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5.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6.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always"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Contractors/Live/"/>
    </mc:Choice>
  </mc:AlternateContent>
  <xr:revisionPtr revIDLastSave="2" documentId="8_{98F99A61-D79F-48D0-9F77-E6D146DF219A}" xr6:coauthVersionLast="47" xr6:coauthVersionMax="47" xr10:uidLastSave="{F1EE802B-5844-4957-8B53-509684263E37}"/>
  <bookViews>
    <workbookView xWindow="-120" yWindow="-120" windowWidth="38640" windowHeight="21240" tabRatio="867" activeTab="1" xr2:uid="{00000000-000D-0000-FFFF-FFFF00000000}"/>
  </bookViews>
  <sheets>
    <sheet name="Log" sheetId="96" r:id="rId1"/>
    <sheet name="Map" sheetId="95" r:id="rId2"/>
    <sheet name="Input " sheetId="80" r:id="rId3"/>
    <sheet name="CGL coverage" sheetId="79" r:id="rId4"/>
    <sheet name="Settings" sheetId="13" r:id="rId5"/>
    <sheet name="Input Property info " sheetId="32" r:id="rId6"/>
    <sheet name="Pricing CGL" sheetId="90" state="hidden" r:id="rId7"/>
    <sheet name="Property" sheetId="9" r:id="rId8"/>
    <sheet name="Rate increase" sheetId="88" state="hidden" r:id="rId9"/>
    <sheet name="Translation endorsments" sheetId="87" state="hidden" r:id="rId10"/>
    <sheet name="Low risk commission" sheetId="85" state="hidden" r:id="rId11"/>
    <sheet name="Quote template-1" sheetId="2" r:id="rId12"/>
    <sheet name="Quote template-2" sheetId="62" r:id="rId13"/>
    <sheet name="QBE Rates CGL" sheetId="89" state="hidden" r:id="rId14"/>
    <sheet name="Mandatory endorsements" sheetId="16" r:id="rId15"/>
    <sheet name="Aide-Help IBC codes" sheetId="12" r:id="rId16"/>
    <sheet name="Rates- Limits UW settings" sheetId="93" r:id="rId17"/>
    <sheet name="Conditions (sept 2020)" sheetId="92" r:id="rId18"/>
    <sheet name="April Rating Property" sheetId="26" state="hidden" r:id="rId19"/>
    <sheet name="April Property risk grading" sheetId="72" state="hidden" r:id="rId20"/>
    <sheet name="Additional condition CGL Amlin" sheetId="75" r:id="rId21"/>
    <sheet name="Hazards updated Dec 2018" sheetId="77" state="hidden" r:id="rId22"/>
    <sheet name="Intact property rates" sheetId="70" state="hidden" r:id="rId23"/>
    <sheet name="EQ rate no1" sheetId="34" state="hidden" r:id="rId24"/>
    <sheet name="EQ rate no2" sheetId="53" state="hidden" r:id="rId25"/>
    <sheet name="EQ rate no3" sheetId="54" state="hidden" r:id="rId26"/>
    <sheet name="EQ rate no4" sheetId="55" state="hidden" r:id="rId27"/>
    <sheet name="EQ rate no5" sheetId="56" state="hidden" r:id="rId28"/>
    <sheet name="EQ rate no6" sheetId="57" state="hidden" r:id="rId29"/>
    <sheet name="EQ rate no7" sheetId="58" state="hidden" r:id="rId30"/>
    <sheet name="EQ rate no8" sheetId="59" state="hidden" r:id="rId31"/>
    <sheet name="EQ rate no9" sheetId="60" state="hidden" r:id="rId32"/>
    <sheet name="EQ rate no10" sheetId="61" state="hidden" r:id="rId33"/>
    <sheet name="PCODES EQ" sheetId="35" state="hidden" r:id="rId34"/>
    <sheet name="Algorithm_Temple" sheetId="36" state="hidden" r:id="rId35"/>
    <sheet name="Algorithm_QC" sheetId="37" state="hidden" r:id="rId36"/>
    <sheet name="Algorithm_ON" sheetId="38" state="hidden" r:id="rId37"/>
    <sheet name="Algorithm_BC" sheetId="39" state="hidden" r:id="rId38"/>
    <sheet name="Algorithm_West" sheetId="40" state="hidden" r:id="rId39"/>
    <sheet name="Algorithm_ATL" sheetId="41" state="hidden" r:id="rId40"/>
    <sheet name="Algorithm_QC_2590" sheetId="42" state="hidden" r:id="rId41"/>
    <sheet name="Algorithm_ON_2590" sheetId="43" state="hidden" r:id="rId42"/>
    <sheet name="Algorithm_West_2590" sheetId="44" state="hidden" r:id="rId43"/>
    <sheet name="Algorithm_Other_2590" sheetId="45" state="hidden" r:id="rId44"/>
    <sheet name="Algorithm_East_2590" sheetId="46" state="hidden" r:id="rId45"/>
    <sheet name="Algorithm_QC_Eco" sheetId="47" state="hidden" r:id="rId46"/>
    <sheet name="Algorithm_ON_Eco" sheetId="48" state="hidden" r:id="rId47"/>
    <sheet name="Algorithm_BC_Eco" sheetId="49" state="hidden" r:id="rId48"/>
    <sheet name="Algorithm_AB_Other_Eco" sheetId="50" state="hidden" r:id="rId49"/>
    <sheet name="Sheet3" sheetId="51" state="hidden" r:id="rId50"/>
  </sheets>
  <functionGroups builtInGroupCount="19"/>
  <externalReferences>
    <externalReference r:id="rId51"/>
    <externalReference r:id="rId52"/>
    <externalReference r:id="rId53"/>
    <externalReference r:id="rId54"/>
    <externalReference r:id="rId55"/>
  </externalReferences>
  <definedNames>
    <definedName name="_xlnm._FilterDatabase" localSheetId="20" hidden="1">'Additional condition CGL Amlin'!$A$40:$L$40</definedName>
    <definedName name="_xlnm._FilterDatabase" localSheetId="15" hidden="1">'Aide-Help IBC codes'!$A$3:$G$103</definedName>
    <definedName name="_xlnm._FilterDatabase" localSheetId="48" hidden="1">Algorithm_AB_Other_Eco!$L$7:$M$402</definedName>
    <definedName name="_xlnm._FilterDatabase" localSheetId="47" hidden="1">Algorithm_BC_Eco!$Q$7:$R$402</definedName>
    <definedName name="_xlnm._FilterDatabase" localSheetId="45" hidden="1">Algorithm_QC_Eco!$P$7:$Q$427</definedName>
    <definedName name="_xlnm._FilterDatabase" localSheetId="17" hidden="1">'Conditions (sept 2020)'!$A$2:$BA$102</definedName>
    <definedName name="_xlnm._FilterDatabase" localSheetId="23" hidden="1">'EQ rate no1'!$C$1</definedName>
    <definedName name="_xlnm._FilterDatabase" localSheetId="32" hidden="1">'EQ rate no10'!$C$1</definedName>
    <definedName name="_xlnm._FilterDatabase" localSheetId="24" hidden="1">'EQ rate no2'!$C$1</definedName>
    <definedName name="_xlnm._FilterDatabase" localSheetId="25" hidden="1">'EQ rate no3'!$C$1</definedName>
    <definedName name="_xlnm._FilterDatabase" localSheetId="26" hidden="1">'EQ rate no4'!$C$1</definedName>
    <definedName name="_xlnm._FilterDatabase" localSheetId="27" hidden="1">'EQ rate no5'!$C$1</definedName>
    <definedName name="_xlnm._FilterDatabase" localSheetId="28" hidden="1">'EQ rate no6'!$C$1</definedName>
    <definedName name="_xlnm._FilterDatabase" localSheetId="29" hidden="1">'EQ rate no7'!$C$1</definedName>
    <definedName name="_xlnm._FilterDatabase" localSheetId="30" hidden="1">'EQ rate no8'!$C$1</definedName>
    <definedName name="_xlnm._FilterDatabase" localSheetId="31" hidden="1">'EQ rate no9'!$C$1</definedName>
    <definedName name="_xlnm._FilterDatabase" localSheetId="21" hidden="1">'Hazards updated Dec 2018'!$A$1:$K$789</definedName>
    <definedName name="_xlnm._FilterDatabase" localSheetId="14" hidden="1">'Mandatory endorsements'!$C$1:$J$32</definedName>
    <definedName name="_xlnm._FilterDatabase" localSheetId="33" hidden="1">'PCODES EQ'!$A$2:$P$1641</definedName>
    <definedName name="afficher_prime" localSheetId="3">'CGL coverage'!#REF!</definedName>
    <definedName name="afficher_prime" localSheetId="2">'Input '!$E$9</definedName>
    <definedName name="afficher_prime" localSheetId="9">[1]Input!$E$39</definedName>
    <definedName name="afficher_prime">Property!#REF!</definedName>
    <definedName name="Beg_Bal" localSheetId="9">#REF!</definedName>
    <definedName name="BrisMachine" localSheetId="9">[1]Settings!$B$159:$B$160</definedName>
    <definedName name="BrisMachine">Settings!$B$163:$B$164</definedName>
    <definedName name="Broadform" localSheetId="9">[1]Settings!$B$120:$B$123</definedName>
    <definedName name="Broadform">Settings!$B$124:$B$127</definedName>
    <definedName name="CGL" localSheetId="9">#REF!</definedName>
    <definedName name="CGL">Settings!$C$93:$C$97</definedName>
    <definedName name="CGL_Limite" localSheetId="9">[1]Settings!$B$18:$B$23</definedName>
    <definedName name="CGL_Limite">Settings!$B$18:$B$23</definedName>
    <definedName name="ChoixCGL" localSheetId="9">#REF!</definedName>
    <definedName name="ChoixCGL">Settings!$C$93:$C$97</definedName>
    <definedName name="Claims" localSheetId="9">'[1]April Property risk grading'!$C$7:$C$11</definedName>
    <definedName name="Claims">'April Property risk grading'!$C$7:$C$11</definedName>
    <definedName name="Contract" localSheetId="9">#REF!</definedName>
    <definedName name="Contract">Settings!$A$130:$A$131</definedName>
    <definedName name="Coverage" localSheetId="9">#REF!</definedName>
    <definedName name="Coverage">Settings!$A$125:$A$126</definedName>
    <definedName name="CW182_" localSheetId="9">[1]Settings!$B$208:$B$210</definedName>
    <definedName name="CW182_">Settings!$B$212:$B$214</definedName>
    <definedName name="cyber" localSheetId="9">[1]Settings!$G$7:$G$11</definedName>
    <definedName name="cyber">Settings!$G$6:$G$11</definedName>
    <definedName name="Data" localSheetId="9">#REF!</definedName>
    <definedName name="_xlnm.Database">[2]SR_Etatmat_fam_loge_men_fin!$A$1:$CZ$607</definedName>
    <definedName name="Delete" localSheetId="9">'[3]Reasons NR'!$J$7:$J$8</definedName>
    <definedName name="End_Bal" localSheetId="9">#REF!</definedName>
    <definedName name="Extra_Pay" localSheetId="9">#REF!</definedName>
    <definedName name="Form" localSheetId="9">[1]Settings!$C$120:$C$123</definedName>
    <definedName name="Form">Settings!$C$124:$C$127</definedName>
    <definedName name="Full_Print" localSheetId="9">#REF!</definedName>
    <definedName name="Header_Row" localSheetId="3">ROW(#REF!)</definedName>
    <definedName name="Header_Row" localSheetId="17">ROW(#REF!)</definedName>
    <definedName name="Header_Row" localSheetId="2">ROW(#REF!)</definedName>
    <definedName name="Header_Row">ROW(#REF!)</definedName>
    <definedName name="Heating_System" localSheetId="9">'[1]April Property risk grading'!$C$18:$C$22</definedName>
    <definedName name="Heating_System">'April Property risk grading'!$C$18:$C$22</definedName>
    <definedName name="Housekeeping" localSheetId="9">'[1]April Property risk grading'!#REF!</definedName>
    <definedName name="Inspection" localSheetId="9">'[1]April Property risk grading'!$C$35:$C$41</definedName>
    <definedName name="Inspection">'April Property risk grading'!$C$35:$C$41</definedName>
    <definedName name="Int" localSheetId="9">#REF!</definedName>
    <definedName name="Interest_Rate" localSheetId="9">#REF!</definedName>
    <definedName name="Language" localSheetId="9">[1]Settings!$I$2:$I$3</definedName>
    <definedName name="Language">Settings!$I$2:$I$3</definedName>
    <definedName name="Last_Row" localSheetId="3">#N/A</definedName>
    <definedName name="Last_Row" localSheetId="17">#N/A</definedName>
    <definedName name="Last_Row" localSheetId="2">#N/A</definedName>
    <definedName name="Last_Row" localSheetId="9">#N/A</definedName>
    <definedName name="Last_Row">IF([0]!Values_Entered,Header_Row+Number_of_Payments,Header_Row)</definedName>
    <definedName name="List_ApprovedCGL" localSheetId="9">[1]Settings!$B$164:$B$166</definedName>
    <definedName name="List_ApprovedCGL">Settings!$B$168:$B$170</definedName>
    <definedName name="List_Opreations" localSheetId="17">'Conditions (sept 2020)'!$C$3:$C$58</definedName>
    <definedName name="Live_On_Site" localSheetId="9">'[1]April Property risk grading'!#REF!</definedName>
    <definedName name="Loan_Amount" localSheetId="9">#REF!</definedName>
    <definedName name="Loan_Start" localSheetId="9">#REF!</definedName>
    <definedName name="Loan_Years" localSheetId="9">#REF!</definedName>
    <definedName name="Location" localSheetId="9">'[1]April Property risk grading'!$C$29:$C$33</definedName>
    <definedName name="Location">'April Property risk grading'!$C$29:$C$33</definedName>
    <definedName name="MNTH" localSheetId="9">#REF!</definedName>
    <definedName name="MOA" localSheetId="9">#REF!</definedName>
    <definedName name="Month" localSheetId="9">#REF!</definedName>
    <definedName name="Nbofstoreys" localSheetId="32">'EQ rate no10'!$D$9</definedName>
    <definedName name="Nbofstoreys" localSheetId="24">'EQ rate no2'!$D$9</definedName>
    <definedName name="Nbofstoreys" localSheetId="25">'EQ rate no3'!$D$9</definedName>
    <definedName name="Nbofstoreys" localSheetId="26">'EQ rate no4'!$D$9</definedName>
    <definedName name="Nbofstoreys" localSheetId="27">'EQ rate no5'!$D$9</definedName>
    <definedName name="Nbofstoreys" localSheetId="29">'EQ rate no7'!$D$9</definedName>
    <definedName name="Nbofstoreys" localSheetId="30">'EQ rate no8'!$D$9</definedName>
    <definedName name="Nbofstoreys" localSheetId="31">'EQ rate no9'!$D$9</definedName>
    <definedName name="Nbofstoreys" localSheetId="9">'[1]EQ rate no1'!$D$9</definedName>
    <definedName name="Nbofstoreys">'EQ rate no1'!$D$9</definedName>
    <definedName name="Num_Pmt_Per_Year" localSheetId="9">#REF!</definedName>
    <definedName name="Number_of_Payments" localSheetId="3">MATCH(0.01,'CGL coverage'!End_Bal,-1)+1</definedName>
    <definedName name="Number_of_Payments" localSheetId="17">MATCH(0.01,'Conditions (sept 2020)'!End_Bal,-1)+1</definedName>
    <definedName name="Number_of_Payments" localSheetId="2">MATCH(0.01,'Input '!End_Bal,-1)+1</definedName>
    <definedName name="Number_of_Payments" localSheetId="9">MATCH(0.01,'Translation endorsments'!End_Bal,-1)+1</definedName>
    <definedName name="Number_of_Payments">MATCH(0.01,'Translation endorsments'!End_Bal,-1)+1</definedName>
    <definedName name="package" localSheetId="9">[1]Settings!$B$170:$B$174</definedName>
    <definedName name="package">Settings!$B$174:$B$178</definedName>
    <definedName name="Particular_situation" localSheetId="9">'[1]April Property risk grading'!$C$43:$C$46</definedName>
    <definedName name="Particular_situation">'April Property risk grading'!$C$43:$C$46</definedName>
    <definedName name="Pay_Date" localSheetId="9">#REF!</definedName>
    <definedName name="Pay_Num" localSheetId="9">#REF!</definedName>
    <definedName name="Payment_Date" localSheetId="3">DATE(YEAR('CGL coverage'!Loan_Start),MONTH('CGL coverage'!Loan_Start)+Payment_Number,DAY('CGL coverage'!Loan_Start))</definedName>
    <definedName name="Payment_Date" localSheetId="17">DATE(YEAR('Conditions (sept 2020)'!Loan_Start),MONTH('Conditions (sept 2020)'!Loan_Start)+Payment_Number,DAY('Conditions (sept 2020)'!Loan_Start))</definedName>
    <definedName name="Payment_Date" localSheetId="32">DATE(YEAR('Translation endorsments'!Loan_Start),MONTH('Translation endorsments'!Loan_Start)+Payment_Number,DAY('Translation endorsments'!Loan_Start))</definedName>
    <definedName name="Payment_Date" localSheetId="24">DATE(YEAR('Translation endorsments'!Loan_Start),MONTH('Translation endorsments'!Loan_Start)+Payment_Number,DAY('Translation endorsments'!Loan_Start))</definedName>
    <definedName name="Payment_Date" localSheetId="25">DATE(YEAR('Translation endorsments'!Loan_Start),MONTH('Translation endorsments'!Loan_Start)+Payment_Number,DAY('Translation endorsments'!Loan_Start))</definedName>
    <definedName name="Payment_Date" localSheetId="26">DATE(YEAR('Translation endorsments'!Loan_Start),MONTH('Translation endorsments'!Loan_Start)+Payment_Number,DAY('Translation endorsments'!Loan_Start))</definedName>
    <definedName name="Payment_Date" localSheetId="27">DATE(YEAR('Translation endorsments'!Loan_Start),MONTH('Translation endorsments'!Loan_Start)+Payment_Number,DAY('Translation endorsments'!Loan_Start))</definedName>
    <definedName name="Payment_Date" localSheetId="29">DATE(YEAR('Translation endorsments'!Loan_Start),MONTH('Translation endorsments'!Loan_Start)+Payment_Number,DAY('Translation endorsments'!Loan_Start))</definedName>
    <definedName name="Payment_Date" localSheetId="30">DATE(YEAR('Translation endorsments'!Loan_Start),MONTH('Translation endorsments'!Loan_Start)+Payment_Number,DAY('Translation endorsments'!Loan_Start))</definedName>
    <definedName name="Payment_Date" localSheetId="31">DATE(YEAR('Translation endorsments'!Loan_Start),MONTH('Translation endorsments'!Loan_Start)+Payment_Number,DAY('Translation endorsments'!Loan_Start))</definedName>
    <definedName name="Payment_Date" localSheetId="2">DATE(YEAR('Input '!Loan_Start),MONTH('Input '!Loan_Start)+Payment_Number,DAY('Input '!Loan_Start))</definedName>
    <definedName name="Payment_Date" localSheetId="12">DATE(YEAR('Translation endorsments'!Loan_Start),MONTH('Translation endorsments'!Loan_Start)+Payment_Number,DAY('Translation endorsments'!Loan_Start))</definedName>
    <definedName name="Payment_Date" localSheetId="9">DATE(YEAR('Translation endorsments'!Loan_Start),MONTH('Translation endorsments'!Loan_Start)+Payment_Number,DAY('Translation endorsments'!Loan_Start))</definedName>
    <definedName name="Payment_Date">DATE(YEAR('Translation endorsments'!Loan_Start),MONTH('Translation endorsments'!Loan_Start)+Payment_Number,DAY('Translation endorsments'!Loan_Start))</definedName>
    <definedName name="PolicyLenght" localSheetId="9">'[1]April Rating Property'!$F$53</definedName>
    <definedName name="PolicyLenght">'April Rating Property'!$F$53</definedName>
    <definedName name="PostalCode" localSheetId="32">'EQ rate no10'!$D$3</definedName>
    <definedName name="PostalCode" localSheetId="24">'EQ rate no2'!$D$3</definedName>
    <definedName name="PostalCode" localSheetId="25">'EQ rate no3'!$D$3</definedName>
    <definedName name="PostalCode" localSheetId="26">'EQ rate no4'!$D$3</definedName>
    <definedName name="PostalCode" localSheetId="27">'EQ rate no5'!$D$3</definedName>
    <definedName name="PostalCode" localSheetId="29">'EQ rate no7'!$D$3</definedName>
    <definedName name="PostalCode" localSheetId="30">'EQ rate no8'!$D$3</definedName>
    <definedName name="PostalCode" localSheetId="31">'EQ rate no9'!$D$3</definedName>
    <definedName name="PostalCode" localSheetId="9">'[1]EQ rate no1'!$D$3</definedName>
    <definedName name="PostalCode">'EQ rate no1'!$D$3</definedName>
    <definedName name="Princ" localSheetId="9">#REF!</definedName>
    <definedName name="Print" localSheetId="9">[1]Settings!$I$5:$I$6</definedName>
    <definedName name="Print">Settings!$I$5:$I$6</definedName>
    <definedName name="_xlnm.Print_Area" localSheetId="19">'April Property risk grading'!$A$82:$H$114</definedName>
    <definedName name="_xlnm.Print_Area" localSheetId="17">'Conditions (sept 2020)'!$A$1:$AL$102</definedName>
    <definedName name="_xlnm.Print_Area" localSheetId="2">'Input '!$A$1:$X$97</definedName>
    <definedName name="_xlnm.Print_Area" localSheetId="11">'Quote template-1'!$D$4:$N$252</definedName>
    <definedName name="_xlnm.Print_Area" localSheetId="12">'Quote template-2'!$C$5:$N$238</definedName>
    <definedName name="Print_Area_Reset" localSheetId="3">OFFSET('CGL coverage'!Full_Print,0,0,'CGL coverage'!Last_Row)</definedName>
    <definedName name="Print_Area_Reset" localSheetId="17">OFFSET('Conditions (sept 2020)'!Full_Print,0,0,'Conditions (sept 2020)'!Last_Row)</definedName>
    <definedName name="Print_Area_Reset" localSheetId="32">OFFSET('Translation endorsments'!Full_Print,0,0,Last_Row)</definedName>
    <definedName name="Print_Area_Reset" localSheetId="24">OFFSET('Translation endorsments'!Full_Print,0,0,Last_Row)</definedName>
    <definedName name="Print_Area_Reset" localSheetId="25">OFFSET('Translation endorsments'!Full_Print,0,0,Last_Row)</definedName>
    <definedName name="Print_Area_Reset" localSheetId="26">OFFSET('Translation endorsments'!Full_Print,0,0,Last_Row)</definedName>
    <definedName name="Print_Area_Reset" localSheetId="27">OFFSET('Translation endorsments'!Full_Print,0,0,Last_Row)</definedName>
    <definedName name="Print_Area_Reset" localSheetId="29">OFFSET('Translation endorsments'!Full_Print,0,0,Last_Row)</definedName>
    <definedName name="Print_Area_Reset" localSheetId="30">OFFSET('Translation endorsments'!Full_Print,0,0,Last_Row)</definedName>
    <definedName name="Print_Area_Reset" localSheetId="31">OFFSET('Translation endorsments'!Full_Print,0,0,Last_Row)</definedName>
    <definedName name="Print_Area_Reset" localSheetId="2">OFFSET('Input '!Full_Print,0,0,'Input '!Last_Row)</definedName>
    <definedName name="Print_Area_Reset" localSheetId="12">OFFSET('Translation endorsments'!Full_Print,0,0,Last_Row)</definedName>
    <definedName name="Print_Area_Reset" localSheetId="9">OFFSET('Translation endorsments'!Full_Print,0,0,'Translation endorsments'!Last_Row)</definedName>
    <definedName name="Print_Area_Reset">OFFSET('Translation endorsments'!Full_Print,0,0,Last_Row)</definedName>
    <definedName name="_xlnm.Print_Titles" localSheetId="17">'Conditions (sept 2020)'!$2:$2</definedName>
    <definedName name="_xlnm.Print_Titles" localSheetId="11">'Quote template-1'!$5:$5</definedName>
    <definedName name="_xlnm.Print_Titles" localSheetId="12">'Quote template-2'!$6:$6</definedName>
    <definedName name="Propertytotal" localSheetId="3">'CGL coverage'!#REF!</definedName>
    <definedName name="Propertytotal" localSheetId="9">[1]Input!$G$268</definedName>
    <definedName name="Propertytotal">Property!$I$95</definedName>
    <definedName name="Protection" localSheetId="9">'[1]April Rating Property'!$B$20:$B$23</definedName>
    <definedName name="Protection">'April Rating Property'!$B$20:$B$23</definedName>
    <definedName name="Province" localSheetId="9">#REF!</definedName>
    <definedName name="Province_" localSheetId="9">#REF!</definedName>
    <definedName name="R_NR" localSheetId="9">#REF!</definedName>
    <definedName name="RateBC" localSheetId="9">#REF!</definedName>
    <definedName name="RateBC">Algorithm_BC!$Q$20</definedName>
    <definedName name="RateON" localSheetId="41">Algorithm_ON_2590!$L$15</definedName>
    <definedName name="RateON" localSheetId="46">Algorithm_ON_Eco!#REF!</definedName>
    <definedName name="RateON" localSheetId="9">#REF!</definedName>
    <definedName name="RateON">Algorithm_ON!$L$15</definedName>
    <definedName name="reason" localSheetId="9">[1]Settings!$A$181:$A$184</definedName>
    <definedName name="reason">Settings!$A$185:$A$188</definedName>
    <definedName name="Reasons_NR" localSheetId="9">#REF!</definedName>
    <definedName name="Renovations">Settings!$B$206:$B$208</definedName>
    <definedName name="Risque_excluded" localSheetId="3">'CGL coverage'!$AX$37</definedName>
    <definedName name="Risque_excluded" localSheetId="9">#REF!</definedName>
    <definedName name="Risque_excluded">Property!#REF!</definedName>
    <definedName name="rn" localSheetId="9">#REF!</definedName>
    <definedName name="Sched_Pay" localSheetId="9">#REF!</definedName>
    <definedName name="Scheduled_Extra_Payments" localSheetId="9">#REF!</definedName>
    <definedName name="Scheduled_Interest_Rate" localSheetId="9">#REF!</definedName>
    <definedName name="Scheduled_Monthly_Payment" localSheetId="9">#REF!</definedName>
    <definedName name="Sprk" localSheetId="9">#REF!</definedName>
    <definedName name="sResults">OFFSET([5]OpsSearch!$A$2,0,0,COUNTA([5]OpsSearch!$A:$A)-1,3)</definedName>
    <definedName name="Sub" localSheetId="9">'[4]Endt. Page'!$T$41:$T$42</definedName>
    <definedName name="Term" localSheetId="9">'[4]Entry Page'!$A$89:$A$91</definedName>
    <definedName name="Total_Interest" localSheetId="9">#REF!</definedName>
    <definedName name="Total_Pay" localSheetId="9">#REF!</definedName>
    <definedName name="Total_Payment" localSheetId="3">Scheduled_Payment+Extra_Payment</definedName>
    <definedName name="Total_Payment" localSheetId="17">Scheduled_Payment+Extra_Payment</definedName>
    <definedName name="Total_Payment" localSheetId="2">Scheduled_Payment+Extra_Payment</definedName>
    <definedName name="Total_Payment" localSheetId="9">Scheduled_Payment+Extra_Payment</definedName>
    <definedName name="Total_Payment">Scheduled_Payment+Extra_Payment</definedName>
    <definedName name="Totalinsuredvalue" localSheetId="32">'EQ rate no10'!$D$18</definedName>
    <definedName name="Totalinsuredvalue" localSheetId="24">'EQ rate no2'!$D$18</definedName>
    <definedName name="Totalinsuredvalue" localSheetId="25">'EQ rate no3'!$D$18</definedName>
    <definedName name="Totalinsuredvalue" localSheetId="26">'EQ rate no4'!$D$18</definedName>
    <definedName name="Totalinsuredvalue" localSheetId="27">'EQ rate no5'!$D$18</definedName>
    <definedName name="Totalinsuredvalue" localSheetId="29">'EQ rate no7'!$D$18</definedName>
    <definedName name="Totalinsuredvalue" localSheetId="30">'EQ rate no8'!$D$18</definedName>
    <definedName name="Totalinsuredvalue" localSheetId="31">'EQ rate no9'!$D$18</definedName>
    <definedName name="Totalinsuredvalue" localSheetId="9">'[1]EQ rate no1'!$D$18</definedName>
    <definedName name="Totalinsuredvalue">'EQ rate no1'!$D$18</definedName>
    <definedName name="Town_Grade" localSheetId="9">'[1]April Rating Property'!$B$27:$B$36</definedName>
    <definedName name="Town_Grade">'April Rating Property'!$B$27:$B$36</definedName>
    <definedName name="Type" localSheetId="9">[1]Settings!$A$187:$A$189</definedName>
    <definedName name="Type">Settings!$A$191:$A$193</definedName>
    <definedName name="Type_Alarm" localSheetId="9">'[1]April Property risk grading'!$C$48:$C$51</definedName>
    <definedName name="Type_Alarm">'April Property risk grading'!$C$48:$C$51</definedName>
    <definedName name="Type_Property" localSheetId="9">'[1]April Property risk grading'!$C$3:$C$5</definedName>
    <definedName name="Type_Property">'April Property risk grading'!$C$3:$C$5</definedName>
    <definedName name="typeconstrucion" localSheetId="9">#REF!</definedName>
    <definedName name="typeconstrucion">'April Rating Property'!$B$39:$B$44</definedName>
    <definedName name="typeconstruction" localSheetId="9">'[1]April Rating Property'!$B$39:$B$44</definedName>
    <definedName name="typeconstruction">'April Rating Property'!$B$39:$B$44</definedName>
    <definedName name="typeofconstruction" localSheetId="9">'[1]April Rating Property'!$B$39:$B$44</definedName>
    <definedName name="typeofconstruction">'April Rating Property'!$B$39:$B$44</definedName>
    <definedName name="up_to_1000" localSheetId="9">[1]Settings!$G$3:$G$11</definedName>
    <definedName name="up_to_1000">Settings!$G$3:$G$11</definedName>
    <definedName name="up_to_25" localSheetId="9">#REF!</definedName>
    <definedName name="up_to_25">Settings!$G$3:$G$6</definedName>
    <definedName name="up_to_250" localSheetId="9">[1]Settings!$G$3:$G$9</definedName>
    <definedName name="up_to_250">Settings!$G$3:$G$9</definedName>
    <definedName name="up_to_50" localSheetId="9">#REF!</definedName>
    <definedName name="up_to_50">Settings!$G$3:$G$10</definedName>
    <definedName name="up_to_500" localSheetId="9">[1]Settings!$G$3:$G$10</definedName>
    <definedName name="up_to_500">Settings!$G$3:$G$10</definedName>
    <definedName name="up_to_50K" localSheetId="9">[1]Settings!$G$3:$G$7</definedName>
    <definedName name="up_to_50K">Settings!$G$3:$G$7</definedName>
    <definedName name="Up_to100K" localSheetId="9">[1]Settings!$G$3:$G$8</definedName>
    <definedName name="Up_to100K">Settings!$G$3:$G$8</definedName>
    <definedName name="Updates">'April Property risk grading'!$C$24:$C$27</definedName>
    <definedName name="UW" localSheetId="9">'[3]UW TAB LIST'!$C$4:$C$652</definedName>
    <definedName name="Values_Entered" localSheetId="3">IF('CGL coverage'!Loan_Amount*'CGL coverage'!Interest_Rate*'CGL coverage'!Loan_Years*'CGL coverage'!Loan_Start&gt;0,1,0)</definedName>
    <definedName name="Values_Entered" localSheetId="17">IF('Conditions (sept 2020)'!Loan_Amount*'Conditions (sept 2020)'!Interest_Rate*'Conditions (sept 2020)'!Loan_Years*'Conditions (sept 2020)'!Loan_Start&gt;0,1,0)</definedName>
    <definedName name="Values_Entered" localSheetId="32">IF('Translation endorsments'!Loan_Amount*'Translation endorsments'!Interest_Rate*'Translation endorsments'!Loan_Years*'Translation endorsments'!Loan_Start&gt;0,1,0)</definedName>
    <definedName name="Values_Entered" localSheetId="24">IF('Translation endorsments'!Loan_Amount*'Translation endorsments'!Interest_Rate*'Translation endorsments'!Loan_Years*'Translation endorsments'!Loan_Start&gt;0,1,0)</definedName>
    <definedName name="Values_Entered" localSheetId="25">IF('Translation endorsments'!Loan_Amount*'Translation endorsments'!Interest_Rate*'Translation endorsments'!Loan_Years*'Translation endorsments'!Loan_Start&gt;0,1,0)</definedName>
    <definedName name="Values_Entered" localSheetId="26">IF('Translation endorsments'!Loan_Amount*'Translation endorsments'!Interest_Rate*'Translation endorsments'!Loan_Years*'Translation endorsments'!Loan_Start&gt;0,1,0)</definedName>
    <definedName name="Values_Entered" localSheetId="27">IF('Translation endorsments'!Loan_Amount*'Translation endorsments'!Interest_Rate*'Translation endorsments'!Loan_Years*'Translation endorsments'!Loan_Start&gt;0,1,0)</definedName>
    <definedName name="Values_Entered" localSheetId="29">IF('Translation endorsments'!Loan_Amount*'Translation endorsments'!Interest_Rate*'Translation endorsments'!Loan_Years*'Translation endorsments'!Loan_Start&gt;0,1,0)</definedName>
    <definedName name="Values_Entered" localSheetId="30">IF('Translation endorsments'!Loan_Amount*'Translation endorsments'!Interest_Rate*'Translation endorsments'!Loan_Years*'Translation endorsments'!Loan_Start&gt;0,1,0)</definedName>
    <definedName name="Values_Entered" localSheetId="31">IF('Translation endorsments'!Loan_Amount*'Translation endorsments'!Interest_Rate*'Translation endorsments'!Loan_Years*'Translation endorsments'!Loan_Start&gt;0,1,0)</definedName>
    <definedName name="Values_Entered" localSheetId="2">IF('Input '!Loan_Amount*'Input '!Interest_Rate*'Input '!Loan_Years*'Input '!Loan_Start&gt;0,1,0)</definedName>
    <definedName name="Values_Entered" localSheetId="12">IF('Translation endorsments'!Loan_Amount*'Translation endorsments'!Interest_Rate*'Translation endorsments'!Loan_Years*'Translation endorsments'!Loan_Start&gt;0,1,0)</definedName>
    <definedName name="Values_Entered" localSheetId="9">IF('Translation endorsments'!Loan_Amount*'Translation endorsments'!Interest_Rate*'Translation endorsments'!Loan_Years*'Translation endorsments'!Loan_Start&gt;0,1,0)</definedName>
    <definedName name="Values_Entered">IF('Translation endorsments'!Loan_Amount*'Translation endorsments'!Interest_Rate*'Translation endorsments'!Loan_Years*'Translation endorsments'!Loan_Start&gt;0,1,0)</definedName>
    <definedName name="Y_N" localSheetId="9">[1]Settings!$E$2:$E$3</definedName>
    <definedName name="Y_N">Settings!$E$2:$E$3</definedName>
    <definedName name="Year_Built">'April Property risk grading'!$C$13:$C$16</definedName>
    <definedName name="YOA" localSheetId="9">#REF!</definedName>
    <definedName name="Yr" localSheetId="9">#REF!</definedName>
    <definedName name="Yrbuilt" localSheetId="32">'EQ rate no10'!$D$7</definedName>
    <definedName name="Yrbuilt" localSheetId="24">'EQ rate no2'!$D$7</definedName>
    <definedName name="Yrbuilt" localSheetId="25">'EQ rate no3'!$D$7</definedName>
    <definedName name="Yrbuilt" localSheetId="26">'EQ rate no4'!$D$7</definedName>
    <definedName name="Yrbuilt" localSheetId="27">'EQ rate no5'!$D$7</definedName>
    <definedName name="Yrbuilt" localSheetId="29">'EQ rate no7'!$D$7</definedName>
    <definedName name="Yrbuilt" localSheetId="30">'EQ rate no8'!$D$7</definedName>
    <definedName name="Yrbuilt" localSheetId="31">'EQ rate no9'!$D$7</definedName>
    <definedName name="Yrbuilt" localSheetId="9">'[1]EQ rate no1'!$D$7</definedName>
    <definedName name="Yrbuilt">'EQ rate no1'!$D$7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318" i="95" l="1"/>
  <c r="Q317" i="95"/>
  <c r="Q316" i="95"/>
  <c r="Q315" i="95"/>
  <c r="Q314" i="95"/>
  <c r="U315" i="95" l="1"/>
  <c r="N24" i="2" s="1"/>
  <c r="U314" i="95"/>
  <c r="N25" i="2" s="1"/>
  <c r="U316" i="95" l="1"/>
  <c r="H34" i="95" s="1"/>
  <c r="J34" i="95" s="1"/>
  <c r="L34" i="95" s="1"/>
  <c r="G3" i="80"/>
  <c r="M34" i="95" l="1"/>
  <c r="N34" i="95" s="1"/>
  <c r="AL243" i="95" l="1"/>
  <c r="AL242" i="95"/>
  <c r="AL233" i="95"/>
  <c r="AL234" i="95"/>
  <c r="AL235" i="95"/>
  <c r="AL236" i="95"/>
  <c r="AL237" i="95"/>
  <c r="AL238" i="95"/>
  <c r="AL239" i="95"/>
  <c r="AL240" i="95"/>
  <c r="AL241" i="95"/>
  <c r="E151" i="2" l="1"/>
  <c r="AL8" i="95" l="1"/>
  <c r="AL9" i="95"/>
  <c r="AL10" i="95"/>
  <c r="AL11" i="95"/>
  <c r="AL12" i="95"/>
  <c r="AL13" i="95"/>
  <c r="AL14" i="95"/>
  <c r="AL15" i="95"/>
  <c r="AL16" i="95"/>
  <c r="AL17" i="95"/>
  <c r="AL18" i="95"/>
  <c r="AL19" i="95"/>
  <c r="AL20" i="95"/>
  <c r="AL21" i="95"/>
  <c r="AL22" i="95"/>
  <c r="AL23" i="95"/>
  <c r="AL24" i="95"/>
  <c r="AL25" i="95"/>
  <c r="AL26" i="95"/>
  <c r="AL27" i="95"/>
  <c r="AL28" i="95"/>
  <c r="AL29" i="95"/>
  <c r="AL30" i="95"/>
  <c r="AL31" i="95"/>
  <c r="AL32" i="95"/>
  <c r="AL33" i="95"/>
  <c r="AL34" i="95"/>
  <c r="AL35" i="95"/>
  <c r="AL36" i="95"/>
  <c r="AL37" i="95"/>
  <c r="AL38" i="95"/>
  <c r="AL39" i="95"/>
  <c r="AL40" i="95"/>
  <c r="AL41" i="95"/>
  <c r="AL42" i="95"/>
  <c r="AL43" i="95"/>
  <c r="AL44" i="95"/>
  <c r="AL45" i="95"/>
  <c r="AL46" i="95"/>
  <c r="AL47" i="95"/>
  <c r="AL48" i="95"/>
  <c r="AL49" i="95"/>
  <c r="AL50" i="95"/>
  <c r="AL51" i="95"/>
  <c r="AL52" i="95"/>
  <c r="AL53" i="95"/>
  <c r="AL54" i="95"/>
  <c r="AL55" i="95"/>
  <c r="AL56" i="95"/>
  <c r="AL57" i="95"/>
  <c r="AL58" i="95"/>
  <c r="AL59" i="95"/>
  <c r="AL60" i="95"/>
  <c r="AL61" i="95"/>
  <c r="AL62" i="95"/>
  <c r="AL63" i="95"/>
  <c r="AL64" i="95"/>
  <c r="AL65" i="95"/>
  <c r="AL66" i="95"/>
  <c r="AL67" i="95"/>
  <c r="AL68" i="95"/>
  <c r="AL69" i="95"/>
  <c r="AL70" i="95"/>
  <c r="AL71" i="95"/>
  <c r="AL72" i="95"/>
  <c r="AL73" i="95"/>
  <c r="AL74" i="95"/>
  <c r="AL75" i="95"/>
  <c r="AL76" i="95"/>
  <c r="AL77" i="95"/>
  <c r="AL78" i="95"/>
  <c r="AL79" i="95"/>
  <c r="AL80" i="95"/>
  <c r="AL81" i="95"/>
  <c r="AL82" i="95"/>
  <c r="AL83" i="95"/>
  <c r="AL84" i="95"/>
  <c r="AL85" i="95"/>
  <c r="AL86" i="95"/>
  <c r="AL87" i="95"/>
  <c r="AL88" i="95"/>
  <c r="AL89" i="95"/>
  <c r="AL90" i="95"/>
  <c r="AL91" i="95"/>
  <c r="AL92" i="95"/>
  <c r="AL93" i="95"/>
  <c r="AL94" i="95"/>
  <c r="AL95" i="95"/>
  <c r="AL96" i="95"/>
  <c r="AL97" i="95"/>
  <c r="AL98" i="95"/>
  <c r="AL99" i="95"/>
  <c r="AL100" i="95"/>
  <c r="AL101" i="95"/>
  <c r="AL102" i="95"/>
  <c r="AL103" i="95"/>
  <c r="AL104" i="95"/>
  <c r="AL105" i="95"/>
  <c r="AL106" i="95"/>
  <c r="AL107" i="95"/>
  <c r="AL108" i="95"/>
  <c r="AL109" i="95"/>
  <c r="AL110" i="95"/>
  <c r="AL111" i="95"/>
  <c r="AL112" i="95"/>
  <c r="AL113" i="95"/>
  <c r="AL114" i="95"/>
  <c r="AL115" i="95"/>
  <c r="AL116" i="95"/>
  <c r="AL117" i="95"/>
  <c r="AL118" i="95"/>
  <c r="AL119" i="95"/>
  <c r="AL120" i="95"/>
  <c r="AL121" i="95"/>
  <c r="AL122" i="95"/>
  <c r="AL123" i="95"/>
  <c r="AL124" i="95"/>
  <c r="AL125" i="95"/>
  <c r="AL126" i="95"/>
  <c r="AL127" i="95"/>
  <c r="AL128" i="95"/>
  <c r="AL129" i="95"/>
  <c r="AL130" i="95"/>
  <c r="AL131" i="95"/>
  <c r="AL132" i="95"/>
  <c r="AL133" i="95"/>
  <c r="AL134" i="95"/>
  <c r="AL135" i="95"/>
  <c r="AL136" i="95"/>
  <c r="AL137" i="95"/>
  <c r="AL138" i="95"/>
  <c r="AL139" i="95"/>
  <c r="AL140" i="95"/>
  <c r="AL141" i="95"/>
  <c r="AL142" i="95"/>
  <c r="AL143" i="95"/>
  <c r="AL144" i="95"/>
  <c r="AL145" i="95"/>
  <c r="AL146" i="95"/>
  <c r="AL147" i="95"/>
  <c r="AL148" i="95"/>
  <c r="AL149" i="95"/>
  <c r="AL150" i="95"/>
  <c r="AL151" i="95"/>
  <c r="AL152" i="95"/>
  <c r="AL153" i="95"/>
  <c r="AL154" i="95"/>
  <c r="AL155" i="95"/>
  <c r="AL156" i="95"/>
  <c r="AL157" i="95"/>
  <c r="AL158" i="95"/>
  <c r="AL159" i="95"/>
  <c r="AL160" i="95"/>
  <c r="AL161" i="95"/>
  <c r="AL162" i="95"/>
  <c r="AL163" i="95"/>
  <c r="AL164" i="95"/>
  <c r="AL165" i="95"/>
  <c r="AL166" i="95"/>
  <c r="AL167" i="95"/>
  <c r="AL168" i="95"/>
  <c r="AL169" i="95"/>
  <c r="AL170" i="95"/>
  <c r="AL171" i="95"/>
  <c r="AL172" i="95"/>
  <c r="AL173" i="95"/>
  <c r="AL174" i="95"/>
  <c r="AL175" i="95"/>
  <c r="AL176" i="95"/>
  <c r="AL177" i="95"/>
  <c r="AL178" i="95"/>
  <c r="AL179" i="95"/>
  <c r="AL180" i="95"/>
  <c r="AL181" i="95"/>
  <c r="AL182" i="95"/>
  <c r="AL183" i="95"/>
  <c r="AL184" i="95"/>
  <c r="AL185" i="95"/>
  <c r="AL186" i="95"/>
  <c r="AL187" i="95"/>
  <c r="AL188" i="95"/>
  <c r="AL189" i="95"/>
  <c r="AL190" i="95"/>
  <c r="AL191" i="95"/>
  <c r="AL192" i="95"/>
  <c r="AL193" i="95"/>
  <c r="AL194" i="95"/>
  <c r="AL195" i="95"/>
  <c r="AL196" i="95"/>
  <c r="AL197" i="95"/>
  <c r="AL198" i="95"/>
  <c r="AL199" i="95"/>
  <c r="AL200" i="95"/>
  <c r="AL201" i="95"/>
  <c r="AL202" i="95"/>
  <c r="AL203" i="95"/>
  <c r="AL204" i="95"/>
  <c r="AL205" i="95"/>
  <c r="AL206" i="95"/>
  <c r="AL207" i="95"/>
  <c r="AL208" i="95"/>
  <c r="AL209" i="95"/>
  <c r="AL210" i="95"/>
  <c r="AL211" i="95"/>
  <c r="AL212" i="95"/>
  <c r="AL213" i="95"/>
  <c r="AL214" i="95"/>
  <c r="AL215" i="95"/>
  <c r="AL216" i="95"/>
  <c r="AL217" i="95"/>
  <c r="AL218" i="95"/>
  <c r="AL219" i="95"/>
  <c r="AL220" i="95"/>
  <c r="AL221" i="95"/>
  <c r="AL222" i="95"/>
  <c r="AL223" i="95"/>
  <c r="AL224" i="95"/>
  <c r="AL225" i="95"/>
  <c r="AL226" i="95"/>
  <c r="AL227" i="95"/>
  <c r="AL228" i="95"/>
  <c r="AL229" i="95"/>
  <c r="AL230" i="95"/>
  <c r="AL231" i="95"/>
  <c r="AL232" i="95"/>
  <c r="AL7" i="95"/>
  <c r="Q305" i="95" l="1"/>
  <c r="Q306" i="95" s="1"/>
  <c r="Q304" i="95"/>
  <c r="Q289" i="95"/>
  <c r="Q290" i="95"/>
  <c r="Q291" i="95"/>
  <c r="Q292" i="95"/>
  <c r="Q273" i="95"/>
  <c r="Q274" i="95"/>
  <c r="Q262" i="95"/>
  <c r="Q263" i="95"/>
  <c r="Q248" i="95"/>
  <c r="Q179" i="95"/>
  <c r="Q163" i="95"/>
  <c r="Q151" i="95"/>
  <c r="Q152" i="95"/>
  <c r="Q126" i="95"/>
  <c r="U126" i="95" s="1"/>
  <c r="Q112" i="95"/>
  <c r="Q110" i="95"/>
  <c r="Q102" i="95"/>
  <c r="Q97" i="95"/>
  <c r="Q122" i="95"/>
  <c r="I33" i="95"/>
  <c r="H33" i="95"/>
  <c r="J33" i="95" l="1"/>
  <c r="L33" i="95" s="1"/>
  <c r="Q307" i="95"/>
  <c r="U304" i="95" l="1"/>
  <c r="M33" i="95"/>
  <c r="N33" i="95" s="1"/>
  <c r="H10" i="95"/>
  <c r="H9" i="95"/>
  <c r="Q288" i="95" l="1"/>
  <c r="Q235" i="95"/>
  <c r="U164" i="95"/>
  <c r="I68" i="79" s="1"/>
  <c r="I55" i="79"/>
  <c r="Q144" i="95"/>
  <c r="Q143" i="95"/>
  <c r="Q133" i="95"/>
  <c r="U133" i="95" s="1"/>
  <c r="U122" i="95"/>
  <c r="G68" i="80" s="1"/>
  <c r="Q118" i="95"/>
  <c r="T106" i="95"/>
  <c r="U106" i="95" s="1"/>
  <c r="T97" i="95"/>
  <c r="F39" i="80"/>
  <c r="AD9" i="95"/>
  <c r="G29" i="80" s="1"/>
  <c r="AD7" i="95"/>
  <c r="V83" i="95"/>
  <c r="U83" i="95"/>
  <c r="T83" i="95"/>
  <c r="S83" i="95"/>
  <c r="R83" i="95"/>
  <c r="P83" i="95"/>
  <c r="W83" i="95" s="1"/>
  <c r="V82" i="95"/>
  <c r="U82" i="95"/>
  <c r="T82" i="95"/>
  <c r="S82" i="95"/>
  <c r="R82" i="95"/>
  <c r="Q82" i="95"/>
  <c r="P82" i="95"/>
  <c r="W82" i="95" s="1"/>
  <c r="V81" i="95"/>
  <c r="U81" i="95"/>
  <c r="T81" i="95"/>
  <c r="S81" i="95"/>
  <c r="R81" i="95"/>
  <c r="P81" i="95"/>
  <c r="W81" i="95" s="1"/>
  <c r="V80" i="95"/>
  <c r="U80" i="95"/>
  <c r="T80" i="95"/>
  <c r="S80" i="95"/>
  <c r="R80" i="95"/>
  <c r="P80" i="95"/>
  <c r="W80" i="95" s="1"/>
  <c r="V79" i="95"/>
  <c r="U79" i="95"/>
  <c r="T79" i="95"/>
  <c r="S79" i="95"/>
  <c r="R79" i="95"/>
  <c r="Q79" i="95"/>
  <c r="P79" i="95"/>
  <c r="W79" i="95" s="1"/>
  <c r="V78" i="95"/>
  <c r="U78" i="95"/>
  <c r="T78" i="95"/>
  <c r="S78" i="95"/>
  <c r="R78" i="95"/>
  <c r="Q78" i="95"/>
  <c r="P78" i="95"/>
  <c r="W78" i="95" s="1"/>
  <c r="V77" i="95"/>
  <c r="U77" i="95"/>
  <c r="T77" i="95"/>
  <c r="S77" i="95"/>
  <c r="R77" i="95"/>
  <c r="Q77" i="95"/>
  <c r="P77" i="95"/>
  <c r="W77" i="95" s="1"/>
  <c r="V76" i="95"/>
  <c r="U76" i="95"/>
  <c r="T76" i="95"/>
  <c r="S76" i="95"/>
  <c r="R76" i="95"/>
  <c r="Q76" i="95"/>
  <c r="P76" i="95"/>
  <c r="W76" i="95" s="1"/>
  <c r="V75" i="95"/>
  <c r="U75" i="95"/>
  <c r="T75" i="95"/>
  <c r="S75" i="95"/>
  <c r="R75" i="95"/>
  <c r="Q75" i="95"/>
  <c r="P75" i="95"/>
  <c r="W75" i="95" s="1"/>
  <c r="V74" i="95"/>
  <c r="U74" i="95"/>
  <c r="T74" i="95"/>
  <c r="S74" i="95"/>
  <c r="P74" i="95"/>
  <c r="W74" i="95" s="1"/>
  <c r="Q74" i="95"/>
  <c r="R74" i="95"/>
  <c r="Q80" i="95"/>
  <c r="Q81" i="95"/>
  <c r="Q83" i="95"/>
  <c r="W84" i="95" l="1"/>
  <c r="Q90" i="95"/>
  <c r="P87" i="95"/>
  <c r="U236" i="95"/>
  <c r="I73" i="79" s="1"/>
  <c r="U235" i="95"/>
  <c r="G73" i="79" s="1"/>
  <c r="Q294" i="95"/>
  <c r="Q296" i="95" s="1"/>
  <c r="U163" i="95"/>
  <c r="G68" i="79" s="1"/>
  <c r="U97" i="95"/>
  <c r="Q145" i="95"/>
  <c r="U143" i="95" s="1"/>
  <c r="P86" i="95"/>
  <c r="P88" i="95" s="1"/>
  <c r="U84" i="95"/>
  <c r="R84" i="95"/>
  <c r="S84" i="95"/>
  <c r="T84" i="95"/>
  <c r="V84" i="95"/>
  <c r="Q84" i="95"/>
  <c r="H30" i="95" s="1"/>
  <c r="Q91" i="95" l="1"/>
  <c r="P89" i="95"/>
  <c r="P90" i="95" s="1"/>
  <c r="G26" i="80"/>
  <c r="H11" i="95"/>
  <c r="Q297" i="95"/>
  <c r="Q298" i="95" s="1" a="1"/>
  <c r="Q298" i="95" s="1"/>
  <c r="Q299" i="95" s="1"/>
  <c r="U289" i="95" s="1"/>
  <c r="I109" i="9" s="1"/>
  <c r="U85" i="95"/>
  <c r="G39" i="80"/>
  <c r="S85" i="95"/>
  <c r="H24" i="80" s="1"/>
  <c r="T85" i="95"/>
  <c r="R85" i="95"/>
  <c r="G24" i="80" s="1"/>
  <c r="G38" i="80" l="1"/>
  <c r="K24" i="80"/>
  <c r="H32" i="95"/>
  <c r="I24" i="80"/>
  <c r="H24" i="95"/>
  <c r="U288" i="95"/>
  <c r="F109" i="9" s="1"/>
  <c r="G37" i="80" l="1"/>
  <c r="F42" i="80"/>
  <c r="F41" i="80"/>
  <c r="G22" i="80"/>
  <c r="H14" i="95"/>
  <c r="N100" i="12"/>
  <c r="N99" i="12"/>
  <c r="N98" i="12"/>
  <c r="N97" i="12"/>
  <c r="N96" i="12"/>
  <c r="N95" i="12"/>
  <c r="N94" i="12"/>
  <c r="N93" i="12"/>
  <c r="N92" i="12"/>
  <c r="N91" i="12"/>
  <c r="N90" i="12"/>
  <c r="N89" i="12"/>
  <c r="N88" i="12"/>
  <c r="N87" i="12"/>
  <c r="N86" i="12"/>
  <c r="N85" i="12"/>
  <c r="N84" i="12"/>
  <c r="N83" i="12"/>
  <c r="N82" i="12"/>
  <c r="N81" i="12"/>
  <c r="N80" i="12"/>
  <c r="N79" i="12"/>
  <c r="N78" i="12"/>
  <c r="N77" i="12"/>
  <c r="N76" i="12"/>
  <c r="N75" i="12"/>
  <c r="N74" i="12"/>
  <c r="N73" i="12"/>
  <c r="N72" i="12"/>
  <c r="N71" i="12"/>
  <c r="N70" i="12"/>
  <c r="N69" i="12"/>
  <c r="N68" i="12"/>
  <c r="N67" i="12"/>
  <c r="N66" i="12"/>
  <c r="N65" i="12"/>
  <c r="N64" i="12"/>
  <c r="N63" i="12"/>
  <c r="N62" i="12"/>
  <c r="N61" i="12"/>
  <c r="N60" i="12"/>
  <c r="N59" i="12"/>
  <c r="N58" i="12"/>
  <c r="N57" i="12"/>
  <c r="N56" i="12"/>
  <c r="N55" i="12"/>
  <c r="N54" i="12"/>
  <c r="N53" i="12"/>
  <c r="N52" i="12"/>
  <c r="N51" i="12"/>
  <c r="N50" i="12"/>
  <c r="N49" i="12"/>
  <c r="N48" i="12"/>
  <c r="N47" i="12"/>
  <c r="N46" i="12"/>
  <c r="N45" i="12"/>
  <c r="N44" i="12"/>
  <c r="N43" i="12"/>
  <c r="N42" i="12"/>
  <c r="N41" i="12"/>
  <c r="N40" i="12"/>
  <c r="N39" i="12"/>
  <c r="N38" i="12"/>
  <c r="N37" i="12"/>
  <c r="N36" i="12"/>
  <c r="N35" i="12"/>
  <c r="N34" i="12"/>
  <c r="N33" i="12"/>
  <c r="N32" i="12"/>
  <c r="N31" i="12"/>
  <c r="N30" i="12"/>
  <c r="N29" i="12"/>
  <c r="N28" i="12"/>
  <c r="N27" i="12"/>
  <c r="N26" i="12"/>
  <c r="N25" i="12"/>
  <c r="N24" i="12"/>
  <c r="N23" i="12"/>
  <c r="N22" i="12"/>
  <c r="N21" i="12"/>
  <c r="N20" i="12"/>
  <c r="N19" i="12"/>
  <c r="N18" i="12"/>
  <c r="N17" i="12"/>
  <c r="N16" i="12"/>
  <c r="N15" i="12"/>
  <c r="N14" i="12"/>
  <c r="N13" i="12"/>
  <c r="N12" i="12"/>
  <c r="N11" i="12"/>
  <c r="N10" i="12"/>
  <c r="N9" i="12"/>
  <c r="N8" i="12"/>
  <c r="N7" i="12"/>
  <c r="N6" i="12"/>
  <c r="N5" i="12"/>
  <c r="N4" i="12"/>
  <c r="F40" i="80" l="1"/>
  <c r="Q275" i="95"/>
  <c r="Q277" i="95" s="1"/>
  <c r="Q249" i="95"/>
  <c r="Q250" i="95"/>
  <c r="Q252" i="95" s="1"/>
  <c r="Q222" i="95"/>
  <c r="Q209" i="95"/>
  <c r="Q208" i="95"/>
  <c r="Q210" i="95" s="1"/>
  <c r="Q212" i="95" s="1"/>
  <c r="Q193" i="95"/>
  <c r="Q180" i="95"/>
  <c r="U127" i="95"/>
  <c r="Q113" i="95"/>
  <c r="Q111" i="95"/>
  <c r="G57" i="80"/>
  <c r="AE80" i="95"/>
  <c r="AE79" i="95"/>
  <c r="AE78" i="95"/>
  <c r="J85" i="95"/>
  <c r="M85" i="95" s="1"/>
  <c r="N85" i="95" s="1"/>
  <c r="J84" i="95"/>
  <c r="J83" i="95"/>
  <c r="L83" i="95" s="1"/>
  <c r="J82" i="95"/>
  <c r="L82" i="95" s="1"/>
  <c r="J81" i="95"/>
  <c r="L81" i="95" s="1"/>
  <c r="J80" i="95"/>
  <c r="L80" i="95" s="1"/>
  <c r="J79" i="95"/>
  <c r="L79" i="95" s="1"/>
  <c r="J78" i="95"/>
  <c r="M78" i="95" s="1"/>
  <c r="N78" i="95" s="1"/>
  <c r="J77" i="95"/>
  <c r="M77" i="95" s="1"/>
  <c r="N77" i="95" s="1"/>
  <c r="J76" i="95"/>
  <c r="M76" i="95" s="1"/>
  <c r="N76" i="95" s="1"/>
  <c r="J75" i="95"/>
  <c r="J74" i="95"/>
  <c r="M74" i="95" s="1"/>
  <c r="N74" i="95" s="1"/>
  <c r="J73" i="95"/>
  <c r="M73" i="95" s="1"/>
  <c r="N73" i="95" s="1"/>
  <c r="J72" i="95"/>
  <c r="M72" i="95" s="1"/>
  <c r="N72" i="95" s="1"/>
  <c r="J71" i="95"/>
  <c r="M71" i="95" s="1"/>
  <c r="N71" i="95" s="1"/>
  <c r="H70" i="95"/>
  <c r="G70" i="95"/>
  <c r="H69" i="95"/>
  <c r="G69" i="95"/>
  <c r="H68" i="95"/>
  <c r="G68" i="95"/>
  <c r="J68" i="95" s="1"/>
  <c r="M68" i="95" s="1"/>
  <c r="N68" i="95" s="1"/>
  <c r="H67" i="95"/>
  <c r="G67" i="95"/>
  <c r="J67" i="95" s="1"/>
  <c r="L67" i="95" s="1"/>
  <c r="H66" i="95"/>
  <c r="G66" i="95"/>
  <c r="J66" i="95" s="1"/>
  <c r="M66" i="95" s="1"/>
  <c r="N66" i="95" s="1"/>
  <c r="H65" i="95"/>
  <c r="G65" i="95"/>
  <c r="J65" i="95" s="1"/>
  <c r="L65" i="95" s="1"/>
  <c r="H64" i="95"/>
  <c r="G64" i="95"/>
  <c r="J64" i="95" s="1"/>
  <c r="M64" i="95" s="1"/>
  <c r="N64" i="95" s="1"/>
  <c r="H63" i="95"/>
  <c r="G63" i="95"/>
  <c r="J63" i="95" s="1"/>
  <c r="L63" i="95" s="1"/>
  <c r="H62" i="95"/>
  <c r="G62" i="95"/>
  <c r="J62" i="95" s="1"/>
  <c r="M62" i="95" s="1"/>
  <c r="N62" i="95" s="1"/>
  <c r="H61" i="95"/>
  <c r="G61" i="95"/>
  <c r="J61" i="95" s="1"/>
  <c r="L61" i="95" s="1"/>
  <c r="H60" i="95"/>
  <c r="G60" i="95"/>
  <c r="J60" i="95" s="1"/>
  <c r="M60" i="95" s="1"/>
  <c r="N60" i="95" s="1"/>
  <c r="H59" i="95"/>
  <c r="G59" i="95"/>
  <c r="J59" i="95" s="1"/>
  <c r="L59" i="95" s="1"/>
  <c r="H58" i="95"/>
  <c r="G58" i="95"/>
  <c r="J58" i="95" s="1"/>
  <c r="M58" i="95" s="1"/>
  <c r="N58" i="95" s="1"/>
  <c r="H57" i="95"/>
  <c r="G57" i="95"/>
  <c r="J57" i="95" s="1"/>
  <c r="L57" i="95" s="1"/>
  <c r="H56" i="95"/>
  <c r="G56" i="95"/>
  <c r="J56" i="95" s="1"/>
  <c r="M56" i="95" s="1"/>
  <c r="N56" i="95" s="1"/>
  <c r="H55" i="95"/>
  <c r="G55" i="95"/>
  <c r="H54" i="95"/>
  <c r="G54" i="95"/>
  <c r="J54" i="95" s="1"/>
  <c r="M54" i="95" s="1"/>
  <c r="N54" i="95" s="1"/>
  <c r="H53" i="95"/>
  <c r="G53" i="95"/>
  <c r="J53" i="95" s="1"/>
  <c r="L53" i="95" s="1"/>
  <c r="H52" i="95"/>
  <c r="G52" i="95"/>
  <c r="J52" i="95" s="1"/>
  <c r="M52" i="95" s="1"/>
  <c r="N52" i="95" s="1"/>
  <c r="H51" i="95"/>
  <c r="G51" i="95"/>
  <c r="H50" i="95"/>
  <c r="G50" i="95"/>
  <c r="J50" i="95" s="1"/>
  <c r="M50" i="95" s="1"/>
  <c r="N50" i="95" s="1"/>
  <c r="H49" i="95"/>
  <c r="G49" i="95"/>
  <c r="J49" i="95" s="1"/>
  <c r="L49" i="95" s="1"/>
  <c r="H48" i="95"/>
  <c r="G48" i="95"/>
  <c r="J48" i="95" s="1"/>
  <c r="L48" i="95" s="1"/>
  <c r="H47" i="95"/>
  <c r="G47" i="95"/>
  <c r="J47" i="95" s="1"/>
  <c r="M47" i="95" s="1"/>
  <c r="N47" i="95" s="1"/>
  <c r="H46" i="95"/>
  <c r="G46" i="95"/>
  <c r="J46" i="95" s="1"/>
  <c r="M46" i="95" s="1"/>
  <c r="N46" i="95" s="1"/>
  <c r="H45" i="95"/>
  <c r="G45" i="95"/>
  <c r="J45" i="95" s="1"/>
  <c r="L45" i="95" s="1"/>
  <c r="H44" i="95"/>
  <c r="G44" i="95"/>
  <c r="J44" i="95" s="1"/>
  <c r="H43" i="95"/>
  <c r="G43" i="95"/>
  <c r="J43" i="95" s="1"/>
  <c r="H42" i="95"/>
  <c r="G42" i="95"/>
  <c r="J42" i="95" s="1"/>
  <c r="M42" i="95" s="1"/>
  <c r="N42" i="95" s="1"/>
  <c r="H41" i="95"/>
  <c r="G41" i="95"/>
  <c r="J41" i="95" s="1"/>
  <c r="M41" i="95" s="1"/>
  <c r="N41" i="95" s="1"/>
  <c r="H40" i="95"/>
  <c r="G40" i="95"/>
  <c r="J40" i="95" s="1"/>
  <c r="M40" i="95" s="1"/>
  <c r="N40" i="95" s="1"/>
  <c r="H39" i="95"/>
  <c r="G39" i="95"/>
  <c r="J39" i="95" s="1"/>
  <c r="L39" i="95" s="1"/>
  <c r="H38" i="95"/>
  <c r="G38" i="95"/>
  <c r="H31" i="95"/>
  <c r="J31" i="95" s="1"/>
  <c r="M31" i="95" s="1"/>
  <c r="N31" i="95" s="1"/>
  <c r="H29" i="95"/>
  <c r="AD13" i="95" s="1"/>
  <c r="H28" i="95"/>
  <c r="J28" i="95" s="1"/>
  <c r="H27" i="95"/>
  <c r="J27" i="95" s="1"/>
  <c r="L27" i="95" s="1"/>
  <c r="H26" i="95"/>
  <c r="H25" i="95"/>
  <c r="J25" i="95" s="1"/>
  <c r="L25" i="95" s="1"/>
  <c r="H23" i="95"/>
  <c r="J23" i="95" s="1"/>
  <c r="L23" i="95" s="1"/>
  <c r="H22" i="95"/>
  <c r="J22" i="95" s="1"/>
  <c r="L22" i="95" s="1"/>
  <c r="H21" i="95"/>
  <c r="J21" i="95" s="1"/>
  <c r="L21" i="95" s="1"/>
  <c r="H20" i="95"/>
  <c r="J20" i="95" s="1"/>
  <c r="L20" i="95" s="1"/>
  <c r="H19" i="95"/>
  <c r="J19" i="95" s="1"/>
  <c r="L19" i="95" s="1"/>
  <c r="H18" i="95"/>
  <c r="J18" i="95" s="1"/>
  <c r="L18" i="95" s="1"/>
  <c r="H17" i="95"/>
  <c r="J17" i="95" s="1"/>
  <c r="L17" i="95" s="1"/>
  <c r="AD11" i="95"/>
  <c r="H16" i="95"/>
  <c r="J16" i="95" s="1"/>
  <c r="M16" i="95" s="1"/>
  <c r="N16" i="95" s="1"/>
  <c r="AD10" i="95"/>
  <c r="G30" i="80" s="1"/>
  <c r="L45" i="80" s="1"/>
  <c r="H15" i="95"/>
  <c r="J15" i="95" s="1"/>
  <c r="L15" i="95" s="1"/>
  <c r="J14" i="95"/>
  <c r="L14" i="95" s="1"/>
  <c r="AD8" i="95"/>
  <c r="G27" i="80" s="1"/>
  <c r="H13" i="95"/>
  <c r="J13" i="95" s="1"/>
  <c r="M13" i="95" s="1"/>
  <c r="N13" i="95" s="1"/>
  <c r="AJ12" i="95"/>
  <c r="H12" i="95"/>
  <c r="AJ11" i="95"/>
  <c r="J11" i="95"/>
  <c r="J10" i="95"/>
  <c r="J9" i="95"/>
  <c r="AD6" i="95"/>
  <c r="V3" i="79"/>
  <c r="F172" i="2"/>
  <c r="K233" i="2"/>
  <c r="F233" i="2"/>
  <c r="K234" i="2"/>
  <c r="E234" i="2"/>
  <c r="B116" i="13"/>
  <c r="F234" i="2" s="1"/>
  <c r="B115" i="13"/>
  <c r="K109" i="2"/>
  <c r="J70" i="95" l="1"/>
  <c r="M70" i="95" s="1"/>
  <c r="N70" i="95" s="1"/>
  <c r="J51" i="95"/>
  <c r="M51" i="95" s="1"/>
  <c r="N51" i="95" s="1"/>
  <c r="J69" i="95"/>
  <c r="L69" i="95" s="1"/>
  <c r="U223" i="95"/>
  <c r="U222" i="95"/>
  <c r="L233" i="2"/>
  <c r="Q278" i="95"/>
  <c r="Q279" i="95" s="1" a="1"/>
  <c r="Q279" i="95" s="1"/>
  <c r="Q264" i="95"/>
  <c r="Q266" i="95" s="1"/>
  <c r="U262" i="95"/>
  <c r="Q253" i="95"/>
  <c r="Q254" i="95" s="1" a="1"/>
  <c r="Q254" i="95" s="1"/>
  <c r="Q255" i="95" s="1"/>
  <c r="Q181" i="95"/>
  <c r="Q183" i="95" s="1"/>
  <c r="I72" i="79"/>
  <c r="G72" i="79"/>
  <c r="Q213" i="95"/>
  <c r="Q214" i="95" s="1" a="1"/>
  <c r="Q214" i="95" s="1"/>
  <c r="U194" i="95"/>
  <c r="I70" i="79" s="1"/>
  <c r="U193" i="95"/>
  <c r="G70" i="79" s="1"/>
  <c r="Q153" i="95"/>
  <c r="Q155" i="95" s="1"/>
  <c r="G62" i="80"/>
  <c r="Q114" i="95"/>
  <c r="G32" i="80"/>
  <c r="G31" i="80"/>
  <c r="M17" i="95"/>
  <c r="N17" i="95" s="1"/>
  <c r="M82" i="95"/>
  <c r="N82" i="95" s="1"/>
  <c r="L40" i="95"/>
  <c r="M59" i="95"/>
  <c r="N59" i="95" s="1"/>
  <c r="M48" i="95"/>
  <c r="N48" i="95" s="1"/>
  <c r="J38" i="95"/>
  <c r="L38" i="95" s="1"/>
  <c r="L78" i="95"/>
  <c r="L85" i="95"/>
  <c r="J29" i="95"/>
  <c r="M29" i="95" s="1"/>
  <c r="N29" i="95" s="1"/>
  <c r="L74" i="95"/>
  <c r="M15" i="95"/>
  <c r="N15" i="95" s="1"/>
  <c r="M57" i="95"/>
  <c r="N57" i="95" s="1"/>
  <c r="M67" i="95"/>
  <c r="N67" i="95" s="1"/>
  <c r="L71" i="95"/>
  <c r="M61" i="95"/>
  <c r="N61" i="95" s="1"/>
  <c r="M65" i="95"/>
  <c r="N65" i="95" s="1"/>
  <c r="M80" i="95"/>
  <c r="N80" i="95" s="1"/>
  <c r="M81" i="95"/>
  <c r="N81" i="95" s="1"/>
  <c r="M83" i="95"/>
  <c r="N83" i="95" s="1"/>
  <c r="J55" i="95"/>
  <c r="L46" i="95"/>
  <c r="M49" i="95"/>
  <c r="N49" i="95" s="1"/>
  <c r="L77" i="95"/>
  <c r="M79" i="95"/>
  <c r="N79" i="95" s="1"/>
  <c r="M39" i="95"/>
  <c r="N39" i="95" s="1"/>
  <c r="L50" i="95"/>
  <c r="M53" i="95"/>
  <c r="N53" i="95" s="1"/>
  <c r="M69" i="95"/>
  <c r="N69" i="95" s="1"/>
  <c r="M27" i="95"/>
  <c r="N27" i="95" s="1"/>
  <c r="L31" i="95"/>
  <c r="M63" i="95"/>
  <c r="N63" i="95" s="1"/>
  <c r="L73" i="95"/>
  <c r="M45" i="95"/>
  <c r="N45" i="95" s="1"/>
  <c r="L11" i="95"/>
  <c r="M11" i="95"/>
  <c r="N11" i="95" s="1"/>
  <c r="M9" i="95"/>
  <c r="L9" i="95"/>
  <c r="M10" i="95"/>
  <c r="N10" i="95" s="1"/>
  <c r="L10" i="95"/>
  <c r="L13" i="95"/>
  <c r="L42" i="95"/>
  <c r="M14" i="95"/>
  <c r="N14" i="95" s="1"/>
  <c r="M18" i="95"/>
  <c r="N18" i="95" s="1"/>
  <c r="AD12" i="95"/>
  <c r="G34" i="80" s="1"/>
  <c r="J26" i="95"/>
  <c r="L41" i="95"/>
  <c r="L47" i="95"/>
  <c r="M20" i="95"/>
  <c r="N20" i="95" s="1"/>
  <c r="M22" i="95"/>
  <c r="N22" i="95" s="1"/>
  <c r="M44" i="95"/>
  <c r="N44" i="95" s="1"/>
  <c r="L44" i="95"/>
  <c r="L52" i="95"/>
  <c r="L54" i="95"/>
  <c r="L56" i="95"/>
  <c r="L58" i="95"/>
  <c r="L60" i="95"/>
  <c r="L62" i="95"/>
  <c r="L64" i="95"/>
  <c r="L66" i="95"/>
  <c r="L68" i="95"/>
  <c r="M84" i="95"/>
  <c r="N84" i="95" s="1"/>
  <c r="L84" i="95"/>
  <c r="L16" i="95"/>
  <c r="M43" i="95"/>
  <c r="N43" i="95" s="1"/>
  <c r="L43" i="95"/>
  <c r="M75" i="95"/>
  <c r="N75" i="95" s="1"/>
  <c r="L75" i="95"/>
  <c r="M28" i="95"/>
  <c r="N28" i="95" s="1"/>
  <c r="L28" i="95"/>
  <c r="M19" i="95"/>
  <c r="N19" i="95" s="1"/>
  <c r="M21" i="95"/>
  <c r="N21" i="95" s="1"/>
  <c r="M23" i="95"/>
  <c r="N23" i="95" s="1"/>
  <c r="M25" i="95"/>
  <c r="N25" i="95" s="1"/>
  <c r="L72" i="95"/>
  <c r="L76" i="95"/>
  <c r="B91" i="13"/>
  <c r="H93" i="13" s="1"/>
  <c r="F93" i="13" s="1"/>
  <c r="G11" i="90"/>
  <c r="G10" i="90"/>
  <c r="L51" i="95" l="1"/>
  <c r="L70" i="95"/>
  <c r="Q280" i="95"/>
  <c r="U274" i="95" s="1"/>
  <c r="I108" i="9" s="1"/>
  <c r="Q156" i="95"/>
  <c r="Q157" i="95" s="1" a="1"/>
  <c r="Q157" i="95" s="1"/>
  <c r="Q158" i="95" s="1"/>
  <c r="Q184" i="95"/>
  <c r="Q185" i="95" s="1" a="1"/>
  <c r="Q185" i="95" s="1"/>
  <c r="U263" i="95"/>
  <c r="I106" i="9" s="1"/>
  <c r="F106" i="9"/>
  <c r="Q267" i="95"/>
  <c r="Q268" i="95" s="1" a="1"/>
  <c r="Q268" i="95" s="1"/>
  <c r="U249" i="95"/>
  <c r="U248" i="95"/>
  <c r="Q215" i="95"/>
  <c r="Q186" i="95"/>
  <c r="U180" i="95" s="1"/>
  <c r="I69" i="79" s="1"/>
  <c r="M38" i="95"/>
  <c r="N38" i="95" s="1"/>
  <c r="L29" i="95"/>
  <c r="L55" i="95"/>
  <c r="M55" i="95"/>
  <c r="N55" i="95" s="1"/>
  <c r="N9" i="95"/>
  <c r="L26" i="95"/>
  <c r="M26" i="95"/>
  <c r="N26" i="95" s="1"/>
  <c r="G12" i="90"/>
  <c r="AC39" i="79"/>
  <c r="U152" i="95" l="1"/>
  <c r="I5" i="79" s="1"/>
  <c r="M48" i="79" s="1"/>
  <c r="I56" i="79" s="1"/>
  <c r="U151" i="95"/>
  <c r="G54" i="79" s="1"/>
  <c r="U273" i="95"/>
  <c r="F108" i="9" s="1"/>
  <c r="Q269" i="95"/>
  <c r="U267" i="95" s="1"/>
  <c r="U179" i="95"/>
  <c r="G69" i="79" s="1"/>
  <c r="U209" i="95"/>
  <c r="I71" i="79" s="1"/>
  <c r="U208" i="95"/>
  <c r="G71" i="79" s="1"/>
  <c r="J30" i="95"/>
  <c r="F1" i="90"/>
  <c r="I117" i="13"/>
  <c r="I114" i="13"/>
  <c r="I113" i="13"/>
  <c r="I112" i="13"/>
  <c r="I110" i="13"/>
  <c r="I109" i="13"/>
  <c r="I120" i="13"/>
  <c r="H120" i="13"/>
  <c r="H117" i="13"/>
  <c r="H113" i="13"/>
  <c r="H110" i="13"/>
  <c r="H109" i="13"/>
  <c r="G23" i="2"/>
  <c r="G24" i="62"/>
  <c r="F28" i="62"/>
  <c r="U28" i="79"/>
  <c r="K227" i="2"/>
  <c r="N25" i="79"/>
  <c r="H25" i="79"/>
  <c r="I24" i="79"/>
  <c r="K24" i="79"/>
  <c r="L24" i="79"/>
  <c r="M24" i="79"/>
  <c r="N24" i="79"/>
  <c r="O24" i="79"/>
  <c r="P24" i="79"/>
  <c r="Q24" i="79"/>
  <c r="R24" i="79"/>
  <c r="S24" i="79"/>
  <c r="T24" i="79"/>
  <c r="U24" i="79"/>
  <c r="W24" i="79"/>
  <c r="Z24" i="79"/>
  <c r="H24" i="79"/>
  <c r="B72" i="93"/>
  <c r="C72" i="93" s="1"/>
  <c r="D72" i="93" s="1"/>
  <c r="B71" i="93"/>
  <c r="C71" i="93" s="1"/>
  <c r="D71" i="93" s="1"/>
  <c r="B70" i="93"/>
  <c r="C70" i="93" s="1"/>
  <c r="D70" i="93" s="1"/>
  <c r="B69" i="93"/>
  <c r="C69" i="93" s="1"/>
  <c r="D69" i="93" s="1"/>
  <c r="X22" i="79"/>
  <c r="B65" i="93"/>
  <c r="C65" i="93" s="1"/>
  <c r="D65" i="93" s="1"/>
  <c r="B64" i="93"/>
  <c r="C64" i="93" s="1"/>
  <c r="D64" i="93" s="1"/>
  <c r="B63" i="93"/>
  <c r="C63" i="93" s="1"/>
  <c r="D63" i="93" s="1"/>
  <c r="B62" i="93"/>
  <c r="C62" i="93" s="1"/>
  <c r="D62" i="93" s="1"/>
  <c r="B59" i="93"/>
  <c r="C59" i="93" s="1"/>
  <c r="D59" i="93" s="1"/>
  <c r="B58" i="93"/>
  <c r="C58" i="93" s="1"/>
  <c r="D58" i="93" s="1"/>
  <c r="B57" i="93"/>
  <c r="C57" i="93" s="1"/>
  <c r="D57" i="93" s="1"/>
  <c r="B56" i="93"/>
  <c r="C56" i="93" s="1"/>
  <c r="D56" i="93" s="1"/>
  <c r="B44" i="93"/>
  <c r="C44" i="93" s="1"/>
  <c r="D44" i="93" s="1"/>
  <c r="B43" i="93"/>
  <c r="C43" i="93" s="1"/>
  <c r="D43" i="93" s="1"/>
  <c r="B42" i="93"/>
  <c r="C42" i="93" s="1"/>
  <c r="D42" i="93" s="1"/>
  <c r="B41" i="93"/>
  <c r="C41" i="93" s="1"/>
  <c r="I46" i="93"/>
  <c r="I40" i="93" s="1"/>
  <c r="H46" i="93"/>
  <c r="H40" i="93" s="1"/>
  <c r="B50" i="93"/>
  <c r="C50" i="93" s="1"/>
  <c r="D50" i="93" s="1"/>
  <c r="B49" i="93"/>
  <c r="C49" i="93" s="1"/>
  <c r="D49" i="93" s="1"/>
  <c r="B48" i="93"/>
  <c r="C48" i="93" s="1"/>
  <c r="D48" i="93" s="1"/>
  <c r="B47" i="93"/>
  <c r="C47" i="93" s="1"/>
  <c r="D47" i="93" s="1"/>
  <c r="I35" i="93"/>
  <c r="H35" i="93"/>
  <c r="B39" i="93"/>
  <c r="C39" i="93" s="1"/>
  <c r="D39" i="93" s="1"/>
  <c r="B38" i="93"/>
  <c r="C38" i="93" s="1"/>
  <c r="D38" i="93" s="1"/>
  <c r="B37" i="93"/>
  <c r="C37" i="93" s="1"/>
  <c r="D37" i="93" s="1"/>
  <c r="B36" i="93"/>
  <c r="C36" i="93" s="1"/>
  <c r="D36" i="93" s="1"/>
  <c r="I107" i="9" l="1"/>
  <c r="U266" i="95"/>
  <c r="F107" i="9" s="1"/>
  <c r="L30" i="95"/>
  <c r="M30" i="95"/>
  <c r="N30" i="95" s="1"/>
  <c r="H55" i="93"/>
  <c r="H61" i="93" s="1"/>
  <c r="H68" i="93" s="1"/>
  <c r="I55" i="93"/>
  <c r="I61" i="93" s="1"/>
  <c r="I68" i="93" s="1"/>
  <c r="D41" i="93"/>
  <c r="B33" i="93" l="1"/>
  <c r="C33" i="93" s="1"/>
  <c r="D33" i="93" s="1"/>
  <c r="B32" i="93"/>
  <c r="C32" i="93" s="1"/>
  <c r="D32" i="93" s="1"/>
  <c r="B31" i="93"/>
  <c r="C31" i="93" s="1"/>
  <c r="D31" i="93" s="1"/>
  <c r="B30" i="93"/>
  <c r="C30" i="93" s="1"/>
  <c r="D30" i="93" s="1"/>
  <c r="H24" i="93"/>
  <c r="H18" i="93"/>
  <c r="B6" i="93"/>
  <c r="C6" i="93" s="1"/>
  <c r="D6" i="93" s="1"/>
  <c r="B7" i="93"/>
  <c r="C7" i="93" s="1"/>
  <c r="D7" i="93" s="1"/>
  <c r="B8" i="93"/>
  <c r="C8" i="93" s="1"/>
  <c r="D8" i="93" s="1"/>
  <c r="B9" i="93"/>
  <c r="C9" i="93" s="1"/>
  <c r="D9" i="93" s="1"/>
  <c r="B10" i="93"/>
  <c r="C10" i="93" s="1"/>
  <c r="D10" i="93" s="1"/>
  <c r="B11" i="93"/>
  <c r="C11" i="93" s="1"/>
  <c r="D11" i="93" s="1"/>
  <c r="B12" i="93"/>
  <c r="C12" i="93" s="1"/>
  <c r="D12" i="93" s="1"/>
  <c r="B13" i="93"/>
  <c r="C13" i="93" s="1"/>
  <c r="D13" i="93" s="1"/>
  <c r="B14" i="93"/>
  <c r="C14" i="93" s="1"/>
  <c r="D14" i="93" s="1"/>
  <c r="B15" i="93"/>
  <c r="C15" i="93" s="1"/>
  <c r="D15" i="93" s="1"/>
  <c r="B16" i="93"/>
  <c r="C16" i="93" s="1"/>
  <c r="D16" i="93" s="1"/>
  <c r="B17" i="93"/>
  <c r="C17" i="93" s="1"/>
  <c r="D17" i="93" s="1"/>
  <c r="B18" i="93"/>
  <c r="C18" i="93" s="1"/>
  <c r="D18" i="93" s="1"/>
  <c r="B19" i="93"/>
  <c r="C19" i="93" s="1"/>
  <c r="D19" i="93" s="1"/>
  <c r="B20" i="93"/>
  <c r="C20" i="93" s="1"/>
  <c r="D20" i="93" s="1"/>
  <c r="B21" i="93"/>
  <c r="C21" i="93" s="1"/>
  <c r="D21" i="93" s="1"/>
  <c r="B22" i="93"/>
  <c r="C22" i="93" s="1"/>
  <c r="D22" i="93" s="1"/>
  <c r="B23" i="93"/>
  <c r="C23" i="93" s="1"/>
  <c r="D23" i="93" s="1"/>
  <c r="B24" i="93"/>
  <c r="C24" i="93" s="1"/>
  <c r="D24" i="93" s="1"/>
  <c r="B25" i="93"/>
  <c r="C25" i="93" s="1"/>
  <c r="D25" i="93" s="1"/>
  <c r="B26" i="93"/>
  <c r="C26" i="93" s="1"/>
  <c r="D26" i="93" s="1"/>
  <c r="B27" i="93"/>
  <c r="C27" i="93" s="1"/>
  <c r="D27" i="93" s="1"/>
  <c r="B28" i="93"/>
  <c r="C28" i="93" s="1"/>
  <c r="D28" i="93" s="1"/>
  <c r="B5" i="93"/>
  <c r="C5" i="93" s="1"/>
  <c r="D5" i="93" s="1"/>
  <c r="I2" i="9"/>
  <c r="A2" i="9" s="1"/>
  <c r="I28" i="93"/>
  <c r="I22" i="93"/>
  <c r="I10" i="93"/>
  <c r="I16" i="93"/>
  <c r="H23" i="93"/>
  <c r="I27" i="93"/>
  <c r="H27" i="93" s="1"/>
  <c r="I26" i="93"/>
  <c r="H26" i="93" s="1"/>
  <c r="I25" i="93"/>
  <c r="H25" i="93" s="1"/>
  <c r="H28" i="93" s="1"/>
  <c r="I21" i="93"/>
  <c r="H21" i="93" s="1"/>
  <c r="I20" i="93"/>
  <c r="H20" i="93" s="1"/>
  <c r="I19" i="93"/>
  <c r="H19" i="93" s="1"/>
  <c r="H22" i="93" s="1"/>
  <c r="H6" i="93"/>
  <c r="I15" i="93"/>
  <c r="H15" i="93" s="1"/>
  <c r="I9" i="93"/>
  <c r="H9" i="93" s="1"/>
  <c r="I13" i="93"/>
  <c r="H13" i="93" s="1"/>
  <c r="H16" i="93" s="1"/>
  <c r="I7" i="93"/>
  <c r="H7" i="93" s="1"/>
  <c r="H10" i="93" s="1"/>
  <c r="I14" i="93"/>
  <c r="H14" i="93" s="1"/>
  <c r="I8" i="93"/>
  <c r="H8" i="93" s="1"/>
  <c r="T39" i="80"/>
  <c r="AC32" i="79"/>
  <c r="AC36" i="79" s="1"/>
  <c r="AD36" i="79" s="1"/>
  <c r="J154" i="89" l="1"/>
  <c r="K154" i="89" s="1"/>
  <c r="J153" i="89"/>
  <c r="J151" i="89"/>
  <c r="J152" i="89" s="1"/>
  <c r="J150" i="89"/>
  <c r="H38" i="80" l="1"/>
  <c r="K65" i="80"/>
  <c r="S65" i="80" s="1"/>
  <c r="T114" i="95" l="1"/>
  <c r="T113" i="95"/>
  <c r="T112" i="95"/>
  <c r="T111" i="95"/>
  <c r="T110" i="95"/>
  <c r="E8" i="16"/>
  <c r="I14" i="16" s="1"/>
  <c r="D8" i="16"/>
  <c r="U231" i="2"/>
  <c r="U112" i="95" l="1"/>
  <c r="G66" i="80" s="1"/>
  <c r="U110" i="95"/>
  <c r="U111" i="95"/>
  <c r="U113" i="95"/>
  <c r="G67" i="80" s="1"/>
  <c r="F37" i="90"/>
  <c r="F38" i="90"/>
  <c r="F39" i="90"/>
  <c r="F40" i="90"/>
  <c r="F36" i="90"/>
  <c r="C71" i="89"/>
  <c r="D71" i="89" s="1"/>
  <c r="C70" i="89"/>
  <c r="D70" i="89" s="1"/>
  <c r="C69" i="89"/>
  <c r="D69" i="89" s="1"/>
  <c r="C68" i="89"/>
  <c r="D68" i="89" s="1"/>
  <c r="C67" i="89"/>
  <c r="D67" i="89" s="1"/>
  <c r="C66" i="89"/>
  <c r="D66" i="89" s="1"/>
  <c r="C65" i="89"/>
  <c r="D65" i="89" s="1"/>
  <c r="C64" i="89"/>
  <c r="D64" i="89" s="1"/>
  <c r="C63" i="89"/>
  <c r="D63" i="89" s="1"/>
  <c r="C62" i="89"/>
  <c r="D62" i="89" s="1"/>
  <c r="C61" i="89"/>
  <c r="D61" i="89" s="1"/>
  <c r="C60" i="89"/>
  <c r="D60" i="89" s="1"/>
  <c r="C59" i="89"/>
  <c r="D59" i="89" s="1"/>
  <c r="C58" i="89"/>
  <c r="D58" i="89" s="1"/>
  <c r="C103" i="89"/>
  <c r="C102" i="89"/>
  <c r="C101" i="89"/>
  <c r="C161" i="89" s="1"/>
  <c r="C100" i="89"/>
  <c r="C99" i="89"/>
  <c r="C98" i="89"/>
  <c r="C97" i="89"/>
  <c r="C96" i="89"/>
  <c r="C95" i="89"/>
  <c r="C155" i="89" s="1"/>
  <c r="C94" i="89"/>
  <c r="C93" i="89"/>
  <c r="C92" i="89"/>
  <c r="C91" i="89"/>
  <c r="C151" i="89" s="1"/>
  <c r="C90" i="89"/>
  <c r="C121" i="89"/>
  <c r="D121" i="89" s="1"/>
  <c r="C122" i="89"/>
  <c r="D122" i="89" s="1"/>
  <c r="C123" i="89"/>
  <c r="D123" i="89" s="1"/>
  <c r="C124" i="89"/>
  <c r="D124" i="89" s="1"/>
  <c r="C125" i="89"/>
  <c r="D125" i="89" s="1"/>
  <c r="C126" i="89"/>
  <c r="D126" i="89" s="1"/>
  <c r="C127" i="89"/>
  <c r="D127" i="89" s="1"/>
  <c r="C128" i="89"/>
  <c r="D128" i="89" s="1"/>
  <c r="C129" i="89"/>
  <c r="D129" i="89" s="1"/>
  <c r="C130" i="89"/>
  <c r="D130" i="89" s="1"/>
  <c r="C131" i="89"/>
  <c r="D131" i="89" s="1"/>
  <c r="C132" i="89"/>
  <c r="D132" i="89" s="1"/>
  <c r="C133" i="89"/>
  <c r="D133" i="89" s="1"/>
  <c r="C120" i="89"/>
  <c r="D120" i="89" s="1"/>
  <c r="C51" i="90"/>
  <c r="C52" i="90"/>
  <c r="C53" i="90"/>
  <c r="C54" i="90"/>
  <c r="C50" i="90"/>
  <c r="C44" i="90"/>
  <c r="C45" i="90"/>
  <c r="C46" i="90"/>
  <c r="C47" i="90"/>
  <c r="C43" i="90"/>
  <c r="J58" i="89"/>
  <c r="J90" i="89"/>
  <c r="J120" i="89"/>
  <c r="C19" i="90"/>
  <c r="C16" i="90" s="1"/>
  <c r="C18" i="90"/>
  <c r="C14" i="90"/>
  <c r="C13" i="90"/>
  <c r="C15" i="90" s="1"/>
  <c r="J124" i="89"/>
  <c r="K124" i="89" s="1"/>
  <c r="J123" i="89"/>
  <c r="J121" i="89"/>
  <c r="J94" i="89"/>
  <c r="K94" i="89" s="1"/>
  <c r="J93" i="89"/>
  <c r="J91" i="89"/>
  <c r="J62" i="89"/>
  <c r="K62" i="89" s="1"/>
  <c r="J61" i="89"/>
  <c r="J59" i="89"/>
  <c r="H40" i="80"/>
  <c r="G65" i="80" l="1"/>
  <c r="E173" i="2"/>
  <c r="H17" i="16"/>
  <c r="H18" i="16"/>
  <c r="J60" i="89"/>
  <c r="B72" i="89"/>
  <c r="C72" i="89" s="1"/>
  <c r="D72" i="89" s="1"/>
  <c r="J92" i="89"/>
  <c r="B104" i="89"/>
  <c r="J122" i="89"/>
  <c r="B134" i="89"/>
  <c r="C134" i="89" s="1"/>
  <c r="D134" i="89" s="1"/>
  <c r="I27" i="80"/>
  <c r="D91" i="89"/>
  <c r="D151" i="89" s="1"/>
  <c r="D101" i="89"/>
  <c r="D161" i="89" s="1"/>
  <c r="D94" i="89"/>
  <c r="D154" i="89" s="1"/>
  <c r="C154" i="89"/>
  <c r="D97" i="89"/>
  <c r="D157" i="89" s="1"/>
  <c r="C157" i="89"/>
  <c r="D93" i="89"/>
  <c r="D153" i="89" s="1"/>
  <c r="C153" i="89"/>
  <c r="D96" i="89"/>
  <c r="D156" i="89" s="1"/>
  <c r="C156" i="89"/>
  <c r="D103" i="89"/>
  <c r="D163" i="89" s="1"/>
  <c r="C163" i="89"/>
  <c r="D98" i="89"/>
  <c r="D158" i="89" s="1"/>
  <c r="C158" i="89"/>
  <c r="D90" i="89"/>
  <c r="D150" i="89" s="1"/>
  <c r="C150" i="89"/>
  <c r="D100" i="89"/>
  <c r="D160" i="89" s="1"/>
  <c r="C160" i="89"/>
  <c r="D92" i="89"/>
  <c r="D152" i="89" s="1"/>
  <c r="C152" i="89"/>
  <c r="D95" i="89"/>
  <c r="D155" i="89" s="1"/>
  <c r="D99" i="89"/>
  <c r="D159" i="89" s="1"/>
  <c r="C159" i="89"/>
  <c r="D102" i="89"/>
  <c r="D162" i="89" s="1"/>
  <c r="C162" i="89"/>
  <c r="J136" i="89"/>
  <c r="J126" i="89" s="1"/>
  <c r="H64" i="90" s="1"/>
  <c r="J167" i="89"/>
  <c r="J166" i="89"/>
  <c r="J156" i="89" s="1"/>
  <c r="I25" i="80"/>
  <c r="J137" i="89"/>
  <c r="J74" i="89"/>
  <c r="J107" i="89"/>
  <c r="J96" i="89" s="1"/>
  <c r="K25" i="80"/>
  <c r="I32" i="95" s="1"/>
  <c r="J32" i="95" s="1"/>
  <c r="E58" i="90"/>
  <c r="I58" i="90" s="1"/>
  <c r="E52" i="90"/>
  <c r="G52" i="90" s="1"/>
  <c r="E46" i="90"/>
  <c r="E59" i="90"/>
  <c r="I59" i="90" s="1"/>
  <c r="E53" i="90"/>
  <c r="G53" i="90" s="1"/>
  <c r="E47" i="90"/>
  <c r="E43" i="90"/>
  <c r="C12" i="90"/>
  <c r="E54" i="90"/>
  <c r="G54" i="90" s="1"/>
  <c r="E50" i="90"/>
  <c r="G50" i="90" s="1"/>
  <c r="E44" i="90"/>
  <c r="E61" i="90"/>
  <c r="I61" i="90" s="1"/>
  <c r="E57" i="90"/>
  <c r="I57" i="90" s="1"/>
  <c r="E51" i="90"/>
  <c r="G51" i="90" s="1"/>
  <c r="E45" i="90"/>
  <c r="E60" i="90"/>
  <c r="I60" i="90" s="1"/>
  <c r="H10" i="16"/>
  <c r="I10" i="16" s="1"/>
  <c r="H11" i="16"/>
  <c r="I11" i="16" s="1"/>
  <c r="H13" i="16"/>
  <c r="I13" i="16" s="1"/>
  <c r="H19" i="16"/>
  <c r="H12" i="16"/>
  <c r="I12" i="16" s="1"/>
  <c r="S37" i="80"/>
  <c r="C17" i="90"/>
  <c r="C32" i="90" s="1"/>
  <c r="Q2" i="88"/>
  <c r="F4" i="88"/>
  <c r="F5" i="88"/>
  <c r="F6" i="88"/>
  <c r="F3" i="88"/>
  <c r="N2" i="88"/>
  <c r="O2" i="88" s="1"/>
  <c r="A191" i="62"/>
  <c r="A193" i="2"/>
  <c r="M35" i="62"/>
  <c r="E78" i="9"/>
  <c r="E79" i="9"/>
  <c r="E80" i="9"/>
  <c r="E81" i="9"/>
  <c r="F77" i="9"/>
  <c r="E77" i="9" s="1"/>
  <c r="L32" i="95" l="1"/>
  <c r="M32" i="95"/>
  <c r="N32" i="95" s="1"/>
  <c r="I2" i="90"/>
  <c r="G3" i="90" s="1"/>
  <c r="E29" i="90" s="1"/>
  <c r="I29" i="90" s="1"/>
  <c r="I12" i="95"/>
  <c r="J12" i="95" s="1"/>
  <c r="I24" i="95"/>
  <c r="J24" i="95" s="1"/>
  <c r="J73" i="89"/>
  <c r="J64" i="89" s="1"/>
  <c r="J63" i="89"/>
  <c r="K63" i="89" s="1"/>
  <c r="H71" i="90"/>
  <c r="H57" i="90"/>
  <c r="J57" i="90" s="1"/>
  <c r="H36" i="90"/>
  <c r="H65" i="90"/>
  <c r="H29" i="90"/>
  <c r="C21" i="90"/>
  <c r="G43" i="90"/>
  <c r="I43" i="90"/>
  <c r="J43" i="90" s="1"/>
  <c r="G47" i="90"/>
  <c r="I47" i="90"/>
  <c r="J47" i="90" s="1"/>
  <c r="G46" i="90"/>
  <c r="I46" i="90"/>
  <c r="J46" i="90" s="1"/>
  <c r="G45" i="90"/>
  <c r="I45" i="90"/>
  <c r="J45" i="90" s="1"/>
  <c r="G44" i="90"/>
  <c r="I44" i="90"/>
  <c r="J44" i="90" s="1"/>
  <c r="C104" i="89"/>
  <c r="B164" i="89"/>
  <c r="D29" i="90"/>
  <c r="J125" i="89"/>
  <c r="D113" i="89" s="1"/>
  <c r="D117" i="89" s="1"/>
  <c r="D31" i="90"/>
  <c r="D32" i="90"/>
  <c r="D30" i="90"/>
  <c r="D33" i="90"/>
  <c r="C31" i="90"/>
  <c r="C29" i="90"/>
  <c r="C30" i="90"/>
  <c r="C33" i="90"/>
  <c r="L38" i="80"/>
  <c r="D1" i="26"/>
  <c r="A120" i="2"/>
  <c r="A118" i="2"/>
  <c r="K108" i="62"/>
  <c r="H108" i="62"/>
  <c r="K107" i="62"/>
  <c r="H107" i="62"/>
  <c r="K106" i="62"/>
  <c r="H106" i="62"/>
  <c r="K105" i="62"/>
  <c r="H105" i="62"/>
  <c r="K104" i="62"/>
  <c r="H104" i="62"/>
  <c r="J103" i="62"/>
  <c r="H103" i="62"/>
  <c r="K102" i="62"/>
  <c r="H102" i="62"/>
  <c r="K101" i="62"/>
  <c r="H101" i="62"/>
  <c r="K100" i="62"/>
  <c r="H100" i="62"/>
  <c r="K99" i="62"/>
  <c r="H99" i="62"/>
  <c r="K98" i="62"/>
  <c r="H98" i="62"/>
  <c r="H97" i="62"/>
  <c r="H96" i="62"/>
  <c r="H95" i="62"/>
  <c r="H94" i="62"/>
  <c r="H93" i="62"/>
  <c r="H92" i="62"/>
  <c r="J91" i="62"/>
  <c r="H91" i="62"/>
  <c r="K90" i="62"/>
  <c r="H90" i="62"/>
  <c r="K89" i="62"/>
  <c r="H89" i="62"/>
  <c r="E89" i="62"/>
  <c r="K88" i="62"/>
  <c r="H88" i="62"/>
  <c r="K87" i="62"/>
  <c r="H87" i="62"/>
  <c r="K86" i="62"/>
  <c r="H86" i="62"/>
  <c r="K85" i="62"/>
  <c r="H85" i="62"/>
  <c r="K84" i="62"/>
  <c r="H84" i="62"/>
  <c r="K83" i="62"/>
  <c r="H83" i="62"/>
  <c r="K82" i="62"/>
  <c r="H82" i="62"/>
  <c r="K81" i="62"/>
  <c r="K80" i="62"/>
  <c r="I8" i="9"/>
  <c r="L33" i="2" s="1"/>
  <c r="J106" i="75"/>
  <c r="J110" i="75"/>
  <c r="K110" i="75" s="1"/>
  <c r="J107" i="75"/>
  <c r="J109" i="75"/>
  <c r="J112" i="75" s="1"/>
  <c r="E31" i="90" l="1"/>
  <c r="I31" i="90" s="1"/>
  <c r="E68" i="90"/>
  <c r="I68" i="90" s="1"/>
  <c r="E33" i="90"/>
  <c r="I33" i="90" s="1"/>
  <c r="E66" i="90"/>
  <c r="I66" i="90" s="1"/>
  <c r="E72" i="90"/>
  <c r="I72" i="90" s="1"/>
  <c r="E73" i="90"/>
  <c r="I73" i="90" s="1"/>
  <c r="E30" i="90"/>
  <c r="I30" i="90" s="1"/>
  <c r="E38" i="90"/>
  <c r="I38" i="90" s="1"/>
  <c r="E64" i="90"/>
  <c r="I64" i="90" s="1"/>
  <c r="J64" i="90" s="1"/>
  <c r="E39" i="90"/>
  <c r="I39" i="90" s="1"/>
  <c r="E75" i="90"/>
  <c r="I75" i="90" s="1"/>
  <c r="E36" i="90"/>
  <c r="I36" i="90" s="1"/>
  <c r="J36" i="90" s="1"/>
  <c r="E65" i="90"/>
  <c r="I65" i="90" s="1"/>
  <c r="I16" i="90" s="1"/>
  <c r="E32" i="90"/>
  <c r="I32" i="90" s="1"/>
  <c r="E67" i="90"/>
  <c r="I67" i="90" s="1"/>
  <c r="E74" i="90"/>
  <c r="I74" i="90" s="1"/>
  <c r="E40" i="90"/>
  <c r="I40" i="90" s="1"/>
  <c r="G4" i="95"/>
  <c r="E37" i="90"/>
  <c r="I37" i="90" s="1"/>
  <c r="E71" i="90"/>
  <c r="I71" i="90" s="1"/>
  <c r="J71" i="90" s="1"/>
  <c r="M12" i="95"/>
  <c r="L12" i="95"/>
  <c r="M24" i="95"/>
  <c r="I5" i="95" s="1" a="1"/>
  <c r="I5" i="95" s="1"/>
  <c r="L24" i="95"/>
  <c r="J65" i="89"/>
  <c r="J67" i="89" s="1"/>
  <c r="F180" i="62"/>
  <c r="D23" i="90"/>
  <c r="D51" i="89"/>
  <c r="E51" i="89" s="1"/>
  <c r="G51" i="89" s="1"/>
  <c r="C57" i="90" s="1"/>
  <c r="G57" i="90" s="1"/>
  <c r="H22" i="80"/>
  <c r="H37" i="80" s="1"/>
  <c r="F173" i="2"/>
  <c r="J29" i="90"/>
  <c r="H72" i="90"/>
  <c r="J72" i="90" s="1"/>
  <c r="H58" i="90"/>
  <c r="J58" i="90" s="1"/>
  <c r="H37" i="90"/>
  <c r="H66" i="90"/>
  <c r="H30" i="90"/>
  <c r="K125" i="89"/>
  <c r="J127" i="89" s="1"/>
  <c r="I19" i="90"/>
  <c r="F193" i="62"/>
  <c r="A193" i="62" s="1"/>
  <c r="D104" i="89"/>
  <c r="D164" i="89" s="1"/>
  <c r="C164" i="89"/>
  <c r="G29" i="90"/>
  <c r="D114" i="89"/>
  <c r="E113" i="89"/>
  <c r="G113" i="89" s="1"/>
  <c r="C64" i="90" s="1"/>
  <c r="D115" i="89"/>
  <c r="D116" i="89"/>
  <c r="L2" i="88"/>
  <c r="M2" i="88" s="1"/>
  <c r="J105" i="75"/>
  <c r="C19" i="16"/>
  <c r="I37" i="80"/>
  <c r="S45" i="80" s="1"/>
  <c r="J98" i="75"/>
  <c r="J101" i="75" s="1"/>
  <c r="E98" i="75"/>
  <c r="F98" i="75" s="1"/>
  <c r="E99" i="75"/>
  <c r="F99" i="75" s="1"/>
  <c r="E100" i="75"/>
  <c r="F100" i="75" s="1"/>
  <c r="E101" i="75"/>
  <c r="F101" i="75" s="1"/>
  <c r="E102" i="75"/>
  <c r="F102" i="75" s="1"/>
  <c r="E103" i="75"/>
  <c r="F103" i="75" s="1"/>
  <c r="E104" i="75"/>
  <c r="F104" i="75" s="1"/>
  <c r="E97" i="75"/>
  <c r="F97" i="75" s="1"/>
  <c r="D105" i="75"/>
  <c r="C99" i="75"/>
  <c r="C100" i="75" s="1"/>
  <c r="C101" i="75" s="1"/>
  <c r="C102" i="75" s="1"/>
  <c r="C103" i="75" s="1"/>
  <c r="C104" i="75" s="1"/>
  <c r="C105" i="75" s="1"/>
  <c r="C106" i="75" s="1"/>
  <c r="C107" i="75" s="1"/>
  <c r="C108" i="75" s="1"/>
  <c r="C109" i="75" s="1"/>
  <c r="C110" i="75" s="1"/>
  <c r="C111" i="75" s="1"/>
  <c r="C112" i="75" s="1"/>
  <c r="C113" i="75" s="1"/>
  <c r="C114" i="75" s="1"/>
  <c r="C115" i="75" s="1"/>
  <c r="C116" i="75" s="1"/>
  <c r="C117" i="75" s="1"/>
  <c r="C118" i="75" s="1"/>
  <c r="C119" i="75" s="1"/>
  <c r="C120" i="75" s="1"/>
  <c r="C121" i="75" s="1"/>
  <c r="C8" i="16"/>
  <c r="C23" i="16"/>
  <c r="A214" i="2" s="1"/>
  <c r="C22" i="16"/>
  <c r="A213" i="2" s="1"/>
  <c r="C21" i="16"/>
  <c r="A212" i="2" s="1"/>
  <c r="C20" i="16"/>
  <c r="A211" i="2" s="1"/>
  <c r="K63" i="9"/>
  <c r="H78" i="62" s="1"/>
  <c r="C7" i="16"/>
  <c r="E155" i="2"/>
  <c r="E153" i="62" s="1"/>
  <c r="G31" i="90" l="1"/>
  <c r="G33" i="90"/>
  <c r="J30" i="90"/>
  <c r="G30" i="90"/>
  <c r="G64" i="90"/>
  <c r="J66" i="90"/>
  <c r="G32" i="90"/>
  <c r="J65" i="90"/>
  <c r="G5" i="95"/>
  <c r="I4" i="95" s="1"/>
  <c r="J37" i="90"/>
  <c r="N12" i="95"/>
  <c r="N24" i="95"/>
  <c r="D55" i="89"/>
  <c r="N182" i="2"/>
  <c r="F179" i="62"/>
  <c r="F182" i="2"/>
  <c r="N181" i="2"/>
  <c r="G9" i="9"/>
  <c r="F181" i="2"/>
  <c r="D52" i="89"/>
  <c r="E52" i="89" s="1"/>
  <c r="G52" i="89" s="1"/>
  <c r="C58" i="90" s="1"/>
  <c r="G58" i="90" s="1"/>
  <c r="D53" i="89"/>
  <c r="E53" i="89" s="1"/>
  <c r="G53" i="89" s="1"/>
  <c r="C59" i="90" s="1"/>
  <c r="G59" i="90" s="1"/>
  <c r="E154" i="2"/>
  <c r="E152" i="62" s="1"/>
  <c r="F214" i="2"/>
  <c r="D54" i="89"/>
  <c r="E54" i="89" s="1"/>
  <c r="G54" i="89" s="1"/>
  <c r="C60" i="90" s="1"/>
  <c r="G60" i="90" s="1"/>
  <c r="F211" i="2"/>
  <c r="F201" i="2"/>
  <c r="F178" i="62"/>
  <c r="F217" i="2"/>
  <c r="G11" i="9"/>
  <c r="F209" i="62"/>
  <c r="F197" i="2"/>
  <c r="F200" i="62"/>
  <c r="N159" i="2"/>
  <c r="J155" i="89"/>
  <c r="D143" i="89" s="1"/>
  <c r="E143" i="89" s="1"/>
  <c r="C36" i="90" s="1"/>
  <c r="G36" i="90" s="1"/>
  <c r="J95" i="89"/>
  <c r="F180" i="2"/>
  <c r="F198" i="2"/>
  <c r="G31" i="2"/>
  <c r="G32" i="62" s="1"/>
  <c r="F194" i="2"/>
  <c r="A194" i="2" s="1"/>
  <c r="M203" i="62"/>
  <c r="E153" i="2"/>
  <c r="E151" i="62" s="1"/>
  <c r="H38" i="2"/>
  <c r="F210" i="62"/>
  <c r="G32" i="2"/>
  <c r="G33" i="62" s="1"/>
  <c r="F196" i="62"/>
  <c r="F199" i="62"/>
  <c r="F201" i="62"/>
  <c r="M190" i="62"/>
  <c r="F216" i="2"/>
  <c r="F196" i="2"/>
  <c r="G8" i="9"/>
  <c r="F25" i="80"/>
  <c r="F191" i="62"/>
  <c r="G55" i="9"/>
  <c r="F34" i="2" s="1"/>
  <c r="M189" i="62"/>
  <c r="N184" i="2"/>
  <c r="N183" i="2"/>
  <c r="M204" i="62"/>
  <c r="E149" i="62"/>
  <c r="F213" i="2"/>
  <c r="F211" i="62"/>
  <c r="F247" i="2"/>
  <c r="F232" i="62" s="1"/>
  <c r="F194" i="62"/>
  <c r="F218" i="2"/>
  <c r="F195" i="2"/>
  <c r="A195" i="2" s="1"/>
  <c r="F61" i="80"/>
  <c r="F202" i="2"/>
  <c r="F199" i="2"/>
  <c r="F219" i="2"/>
  <c r="F197" i="62"/>
  <c r="N188" i="2"/>
  <c r="AA55" i="9"/>
  <c r="E35" i="62" s="1"/>
  <c r="N180" i="2"/>
  <c r="F192" i="62"/>
  <c r="A192" i="62" s="1"/>
  <c r="M191" i="62"/>
  <c r="N207" i="2"/>
  <c r="G10" i="9"/>
  <c r="F24" i="62"/>
  <c r="F23" i="2" s="1"/>
  <c r="F212" i="2"/>
  <c r="F208" i="62"/>
  <c r="F198" i="62"/>
  <c r="F38" i="80"/>
  <c r="F203" i="2"/>
  <c r="F215" i="62"/>
  <c r="F195" i="62"/>
  <c r="F213" i="62"/>
  <c r="F200" i="2"/>
  <c r="F216" i="62"/>
  <c r="N192" i="2"/>
  <c r="M182" i="62"/>
  <c r="F193" i="2"/>
  <c r="G33" i="2"/>
  <c r="M181" i="62"/>
  <c r="N205" i="2"/>
  <c r="N204" i="2"/>
  <c r="G12" i="9"/>
  <c r="M178" i="62"/>
  <c r="N193" i="2"/>
  <c r="N206" i="2"/>
  <c r="M202" i="62"/>
  <c r="E23" i="90"/>
  <c r="N18" i="79" s="1"/>
  <c r="H73" i="90"/>
  <c r="J73" i="90" s="1"/>
  <c r="E115" i="89"/>
  <c r="G115" i="89" s="1"/>
  <c r="C66" i="90" s="1"/>
  <c r="G66" i="90" s="1"/>
  <c r="H59" i="90"/>
  <c r="J59" i="90" s="1"/>
  <c r="H38" i="90"/>
  <c r="J38" i="90" s="1"/>
  <c r="H31" i="90"/>
  <c r="J31" i="90" s="1"/>
  <c r="E114" i="89"/>
  <c r="G114" i="89" s="1"/>
  <c r="C65" i="90" s="1"/>
  <c r="G65" i="90" s="1"/>
  <c r="J130" i="89"/>
  <c r="D14" i="16"/>
  <c r="P2" i="88"/>
  <c r="M4" i="88" s="1"/>
  <c r="C17" i="16"/>
  <c r="C15" i="16"/>
  <c r="F192" i="2" s="1"/>
  <c r="C18" i="16"/>
  <c r="C12" i="16"/>
  <c r="N156" i="2"/>
  <c r="J100" i="75"/>
  <c r="J102" i="75"/>
  <c r="C122" i="75"/>
  <c r="C123" i="75" s="1"/>
  <c r="C124" i="75" s="1"/>
  <c r="C125" i="75" s="1"/>
  <c r="C126" i="75" s="1"/>
  <c r="C127" i="75" s="1"/>
  <c r="C128" i="75" s="1"/>
  <c r="C129" i="75" s="1"/>
  <c r="C130" i="75" s="1"/>
  <c r="C131" i="75" s="1"/>
  <c r="C132" i="75" s="1"/>
  <c r="C133" i="75" s="1"/>
  <c r="C134" i="75" s="1"/>
  <c r="C135" i="75" s="1"/>
  <c r="C136" i="75" s="1"/>
  <c r="C137" i="75" s="1"/>
  <c r="C138" i="75" s="1"/>
  <c r="C139" i="75" s="1"/>
  <c r="C140" i="75" s="1"/>
  <c r="C141" i="75" s="1"/>
  <c r="C142" i="75" s="1"/>
  <c r="C143" i="75" s="1"/>
  <c r="C144" i="75" s="1"/>
  <c r="C145" i="75" s="1"/>
  <c r="J108" i="75"/>
  <c r="J111" i="75" s="1"/>
  <c r="K111" i="75" s="1"/>
  <c r="E105" i="75"/>
  <c r="F105" i="75" s="1"/>
  <c r="D106" i="75"/>
  <c r="D107" i="75" s="1"/>
  <c r="D108" i="75" s="1"/>
  <c r="D109" i="75" s="1"/>
  <c r="D110" i="75" s="1"/>
  <c r="D111" i="75" s="1"/>
  <c r="D112" i="75" s="1"/>
  <c r="D113" i="75" s="1"/>
  <c r="D114" i="75" s="1"/>
  <c r="D115" i="75" s="1"/>
  <c r="D116" i="75" s="1"/>
  <c r="D117" i="75" s="1"/>
  <c r="D118" i="75" s="1"/>
  <c r="D119" i="75" s="1"/>
  <c r="D120" i="75" s="1"/>
  <c r="D121" i="75" s="1"/>
  <c r="D122" i="75" s="1"/>
  <c r="D123" i="75" s="1"/>
  <c r="D124" i="75" s="1"/>
  <c r="D125" i="75" s="1"/>
  <c r="D126" i="75" s="1"/>
  <c r="D127" i="75" s="1"/>
  <c r="D128" i="75" s="1"/>
  <c r="D129" i="75" s="1"/>
  <c r="D130" i="75" s="1"/>
  <c r="D131" i="75" s="1"/>
  <c r="D132" i="75" s="1"/>
  <c r="D133" i="75" s="1"/>
  <c r="D134" i="75" s="1"/>
  <c r="D135" i="75" s="1"/>
  <c r="D136" i="75" s="1"/>
  <c r="D137" i="75" s="1"/>
  <c r="D138" i="75" s="1"/>
  <c r="D139" i="75" s="1"/>
  <c r="D140" i="75" s="1"/>
  <c r="D141" i="75" s="1"/>
  <c r="D142" i="75" s="1"/>
  <c r="D143" i="75" s="1"/>
  <c r="D144" i="75" s="1"/>
  <c r="D145" i="75" s="1"/>
  <c r="H77" i="2"/>
  <c r="A209" i="62"/>
  <c r="A210" i="62"/>
  <c r="A211" i="62"/>
  <c r="A208" i="62"/>
  <c r="AK44" i="80"/>
  <c r="I6" i="95" l="1" a="1"/>
  <c r="I6" i="95" s="1"/>
  <c r="AG7" i="95"/>
  <c r="F6" i="95"/>
  <c r="M153" i="62"/>
  <c r="D145" i="89"/>
  <c r="E145" i="89" s="1"/>
  <c r="C38" i="90" s="1"/>
  <c r="G38" i="90" s="1"/>
  <c r="F35" i="62"/>
  <c r="G143" i="89"/>
  <c r="K155" i="89"/>
  <c r="J157" i="89" s="1"/>
  <c r="J160" i="89" s="1"/>
  <c r="D146" i="89"/>
  <c r="E146" i="89" s="1"/>
  <c r="D144" i="89"/>
  <c r="E144" i="89" s="1"/>
  <c r="C37" i="90" s="1"/>
  <c r="G37" i="90" s="1"/>
  <c r="D147" i="89"/>
  <c r="D83" i="89"/>
  <c r="K95" i="89"/>
  <c r="J97" i="89" s="1"/>
  <c r="J100" i="89" s="1"/>
  <c r="E34" i="2"/>
  <c r="H74" i="90"/>
  <c r="J74" i="90" s="1"/>
  <c r="E116" i="89"/>
  <c r="G116" i="89" s="1"/>
  <c r="C67" i="90" s="1"/>
  <c r="G67" i="90" s="1"/>
  <c r="H67" i="90"/>
  <c r="J67" i="90" s="1"/>
  <c r="H60" i="90"/>
  <c r="J60" i="90" s="1"/>
  <c r="H39" i="90"/>
  <c r="J39" i="90" s="1"/>
  <c r="H32" i="90"/>
  <c r="J32" i="90" s="1"/>
  <c r="T37" i="80"/>
  <c r="F207" i="2"/>
  <c r="F204" i="62"/>
  <c r="A204" i="62" s="1"/>
  <c r="F206" i="2"/>
  <c r="F203" i="62"/>
  <c r="A203" i="62" s="1"/>
  <c r="F204" i="2"/>
  <c r="A204" i="2" s="1"/>
  <c r="F202" i="62"/>
  <c r="A202" i="62" s="1"/>
  <c r="F205" i="2"/>
  <c r="A190" i="62"/>
  <c r="F190" i="62"/>
  <c r="A192" i="2"/>
  <c r="J113" i="75"/>
  <c r="A186" i="62"/>
  <c r="F186" i="62"/>
  <c r="F189" i="62"/>
  <c r="A189" i="62"/>
  <c r="A185" i="62"/>
  <c r="F185" i="62"/>
  <c r="A188" i="62"/>
  <c r="F188" i="62"/>
  <c r="F187" i="62"/>
  <c r="A187" i="62"/>
  <c r="F190" i="2"/>
  <c r="A190" i="2"/>
  <c r="F189" i="2"/>
  <c r="A189" i="2"/>
  <c r="F191" i="2"/>
  <c r="A191" i="2"/>
  <c r="F188" i="2"/>
  <c r="A188" i="2"/>
  <c r="F186" i="2"/>
  <c r="A186" i="2"/>
  <c r="E106" i="75"/>
  <c r="F106" i="75" s="1"/>
  <c r="AG50" i="80"/>
  <c r="AJ44" i="80"/>
  <c r="AG43" i="80"/>
  <c r="AK50" i="80"/>
  <c r="AK49" i="80"/>
  <c r="AK48" i="80"/>
  <c r="T117" i="9"/>
  <c r="G112" i="9"/>
  <c r="I115" i="9"/>
  <c r="I116" i="9"/>
  <c r="G115" i="9"/>
  <c r="AJ49" i="80" s="1"/>
  <c r="G116" i="9"/>
  <c r="AJ50" i="80" s="1"/>
  <c r="G114" i="9"/>
  <c r="AJ48" i="80" s="1"/>
  <c r="AG133" i="95" l="1"/>
  <c r="AG132" i="95"/>
  <c r="AG114" i="95"/>
  <c r="AG115" i="95"/>
  <c r="A206" i="2"/>
  <c r="A205" i="2"/>
  <c r="AG70" i="95"/>
  <c r="AG72" i="95"/>
  <c r="AG26" i="95"/>
  <c r="AG19" i="95"/>
  <c r="AG74" i="95"/>
  <c r="AG73" i="95"/>
  <c r="AG37" i="95"/>
  <c r="AG8" i="95"/>
  <c r="AG32" i="95"/>
  <c r="AG12" i="95"/>
  <c r="AJ7" i="95"/>
  <c r="AG14" i="95"/>
  <c r="AG75" i="95"/>
  <c r="A207" i="2"/>
  <c r="G145" i="89"/>
  <c r="G144" i="89"/>
  <c r="D85" i="89"/>
  <c r="E85" i="89" s="1"/>
  <c r="G85" i="89" s="1"/>
  <c r="C73" i="90" s="1"/>
  <c r="G73" i="90" s="1"/>
  <c r="D84" i="89"/>
  <c r="E84" i="89" s="1"/>
  <c r="G84" i="89" s="1"/>
  <c r="C72" i="90" s="1"/>
  <c r="G72" i="90" s="1"/>
  <c r="I21" i="90" s="1"/>
  <c r="E83" i="89"/>
  <c r="G83" i="89" s="1"/>
  <c r="C71" i="90" s="1"/>
  <c r="G71" i="90" s="1"/>
  <c r="D86" i="89"/>
  <c r="E86" i="89" s="1"/>
  <c r="G86" i="89" s="1"/>
  <c r="C74" i="90" s="1"/>
  <c r="G74" i="90" s="1"/>
  <c r="D87" i="89"/>
  <c r="E87" i="89" s="1"/>
  <c r="G87" i="89" s="1"/>
  <c r="C75" i="90" s="1"/>
  <c r="G75" i="90" s="1"/>
  <c r="H75" i="90"/>
  <c r="J75" i="90" s="1"/>
  <c r="H33" i="90"/>
  <c r="J33" i="90" s="1"/>
  <c r="H68" i="90"/>
  <c r="J68" i="90" s="1"/>
  <c r="H61" i="90"/>
  <c r="J61" i="90" s="1"/>
  <c r="E55" i="89"/>
  <c r="G55" i="89" s="1"/>
  <c r="C61" i="90" s="1"/>
  <c r="G61" i="90" s="1"/>
  <c r="H40" i="90"/>
  <c r="J40" i="90" s="1"/>
  <c r="E147" i="89"/>
  <c r="C39" i="90"/>
  <c r="G39" i="90" s="1"/>
  <c r="G146" i="89"/>
  <c r="E117" i="89"/>
  <c r="G117" i="89" s="1"/>
  <c r="C68" i="90" s="1"/>
  <c r="G68" i="90" s="1"/>
  <c r="E107" i="75"/>
  <c r="F107" i="75" s="1"/>
  <c r="F181" i="62"/>
  <c r="F183" i="2"/>
  <c r="AJ243" i="95" l="1"/>
  <c r="AJ233" i="95"/>
  <c r="AJ234" i="95"/>
  <c r="AJ229" i="95"/>
  <c r="AJ225" i="95"/>
  <c r="AJ226" i="95"/>
  <c r="AJ227" i="95"/>
  <c r="AJ228" i="95"/>
  <c r="AJ230" i="95"/>
  <c r="AJ8" i="95"/>
  <c r="AJ143" i="95"/>
  <c r="AJ123" i="95"/>
  <c r="AJ58" i="95"/>
  <c r="AJ42" i="95"/>
  <c r="AJ177" i="95"/>
  <c r="AJ184" i="95"/>
  <c r="AJ131" i="95"/>
  <c r="AJ127" i="95"/>
  <c r="AJ160" i="95"/>
  <c r="AJ175" i="95"/>
  <c r="AJ96" i="95"/>
  <c r="AJ179" i="95"/>
  <c r="AJ180" i="95"/>
  <c r="AJ167" i="95"/>
  <c r="AJ197" i="95"/>
  <c r="AJ213" i="95"/>
  <c r="AJ207" i="95"/>
  <c r="AJ163" i="95"/>
  <c r="AJ183" i="95"/>
  <c r="AJ59" i="95"/>
  <c r="AJ133" i="95"/>
  <c r="AJ77" i="95"/>
  <c r="AJ206" i="95"/>
  <c r="AJ45" i="95"/>
  <c r="AJ169" i="95"/>
  <c r="AJ83" i="95"/>
  <c r="AJ138" i="95"/>
  <c r="AJ136" i="95"/>
  <c r="AJ144" i="95"/>
  <c r="AJ52" i="95"/>
  <c r="AJ27" i="95"/>
  <c r="AJ129" i="95"/>
  <c r="AJ130" i="95"/>
  <c r="AJ100" i="95"/>
  <c r="AJ39" i="95"/>
  <c r="AJ46" i="95"/>
  <c r="AJ89" i="95"/>
  <c r="AJ115" i="95"/>
  <c r="AJ196" i="95"/>
  <c r="AJ166" i="95"/>
  <c r="AJ200" i="95"/>
  <c r="AJ150" i="95"/>
  <c r="AJ202" i="95"/>
  <c r="AJ22" i="95"/>
  <c r="AJ75" i="95"/>
  <c r="AJ116" i="95"/>
  <c r="AJ174" i="95"/>
  <c r="AJ173" i="95"/>
  <c r="AJ15" i="95"/>
  <c r="AJ25" i="95"/>
  <c r="AJ208" i="95"/>
  <c r="AJ67" i="95"/>
  <c r="AJ105" i="95"/>
  <c r="AJ47" i="95"/>
  <c r="AJ51" i="95"/>
  <c r="AJ88" i="95"/>
  <c r="AJ201" i="95"/>
  <c r="AJ210" i="95"/>
  <c r="AJ24" i="95"/>
  <c r="AJ168" i="95"/>
  <c r="AJ145" i="95"/>
  <c r="AJ26" i="95"/>
  <c r="AJ172" i="95"/>
  <c r="AJ139" i="95"/>
  <c r="AJ23" i="95"/>
  <c r="AJ81" i="95"/>
  <c r="AJ18" i="95"/>
  <c r="AJ176" i="95"/>
  <c r="AJ124" i="95"/>
  <c r="AJ41" i="95"/>
  <c r="AJ60" i="95"/>
  <c r="AJ80" i="95"/>
  <c r="AJ203" i="95"/>
  <c r="AJ104" i="95"/>
  <c r="AJ194" i="95"/>
  <c r="AJ140" i="95"/>
  <c r="AJ216" i="95"/>
  <c r="AJ106" i="95"/>
  <c r="AJ20" i="95"/>
  <c r="AJ74" i="95"/>
  <c r="AJ19" i="95"/>
  <c r="AJ217" i="95"/>
  <c r="AJ114" i="95"/>
  <c r="AJ204" i="95"/>
  <c r="AJ122" i="95"/>
  <c r="AJ164" i="95"/>
  <c r="AJ146" i="95"/>
  <c r="AJ121" i="95"/>
  <c r="AJ209" i="95"/>
  <c r="AJ95" i="95"/>
  <c r="AJ33" i="95"/>
  <c r="AJ205" i="95"/>
  <c r="AJ119" i="95"/>
  <c r="AJ195" i="95"/>
  <c r="AJ199" i="95"/>
  <c r="AJ65" i="95"/>
  <c r="AJ126" i="95"/>
  <c r="AJ32" i="95"/>
  <c r="AJ37" i="95"/>
  <c r="AJ102" i="95"/>
  <c r="AJ153" i="95"/>
  <c r="AJ154" i="95"/>
  <c r="AJ111" i="95"/>
  <c r="AJ147" i="95"/>
  <c r="AJ36" i="95"/>
  <c r="AJ198" i="95"/>
  <c r="AJ54" i="95"/>
  <c r="AJ71" i="95"/>
  <c r="AJ137" i="95"/>
  <c r="AJ64" i="95"/>
  <c r="AJ128" i="95"/>
  <c r="AJ162" i="95"/>
  <c r="AJ214" i="95"/>
  <c r="AJ86" i="95"/>
  <c r="AJ94" i="95"/>
  <c r="AJ118" i="95"/>
  <c r="AJ82" i="95"/>
  <c r="AJ135" i="95"/>
  <c r="AJ193" i="95"/>
  <c r="AJ61" i="95"/>
  <c r="AJ134" i="95"/>
  <c r="AJ101" i="95"/>
  <c r="AJ48" i="95"/>
  <c r="AJ16" i="95"/>
  <c r="AJ161" i="95"/>
  <c r="I20" i="90"/>
  <c r="I22" i="90" s="1"/>
  <c r="C23" i="90"/>
  <c r="C40" i="90"/>
  <c r="G40" i="90" s="1"/>
  <c r="G147" i="89"/>
  <c r="E108" i="75"/>
  <c r="F108" i="75" s="1"/>
  <c r="F214" i="62"/>
  <c r="Z6" i="62"/>
  <c r="I40" i="80"/>
  <c r="M188" i="62"/>
  <c r="N191" i="2"/>
  <c r="A181" i="62"/>
  <c r="A183" i="2"/>
  <c r="I35" i="79" l="1"/>
  <c r="I32" i="79"/>
  <c r="I33" i="79"/>
  <c r="I34" i="79"/>
  <c r="E109" i="75"/>
  <c r="F109" i="75" s="1"/>
  <c r="H50" i="80"/>
  <c r="H49" i="80"/>
  <c r="H48" i="80"/>
  <c r="H47" i="80"/>
  <c r="E110" i="75" l="1"/>
  <c r="F110" i="75" s="1"/>
  <c r="A92" i="62" l="1"/>
  <c r="E111" i="75"/>
  <c r="F111" i="75" s="1"/>
  <c r="E112" i="75" l="1"/>
  <c r="F112" i="75" s="1"/>
  <c r="I114" i="9"/>
  <c r="E113" i="75" l="1"/>
  <c r="F113" i="75" s="1"/>
  <c r="K58" i="80"/>
  <c r="T118" i="95" s="1"/>
  <c r="U118" i="95" s="1"/>
  <c r="M206" i="62"/>
  <c r="M207" i="62"/>
  <c r="M212" i="62"/>
  <c r="M213" i="62"/>
  <c r="M214" i="62"/>
  <c r="M215" i="62"/>
  <c r="M216" i="62"/>
  <c r="M205" i="62"/>
  <c r="M201" i="62"/>
  <c r="M192" i="62"/>
  <c r="M193" i="62"/>
  <c r="M194" i="62"/>
  <c r="M195" i="62"/>
  <c r="M196" i="62"/>
  <c r="M197" i="62"/>
  <c r="M198" i="62"/>
  <c r="M199" i="62"/>
  <c r="M200" i="62"/>
  <c r="A214" i="62"/>
  <c r="A215" i="62"/>
  <c r="A216" i="62"/>
  <c r="A213" i="62"/>
  <c r="N216" i="2"/>
  <c r="A203" i="2"/>
  <c r="A194" i="62"/>
  <c r="A195" i="62"/>
  <c r="A196" i="62"/>
  <c r="A197" i="62"/>
  <c r="A198" i="62"/>
  <c r="A199" i="62"/>
  <c r="A200" i="62"/>
  <c r="A201" i="62"/>
  <c r="M187" i="62"/>
  <c r="M184" i="62"/>
  <c r="M185" i="62"/>
  <c r="M186" i="62"/>
  <c r="N217" i="2"/>
  <c r="A218" i="2"/>
  <c r="A219" i="2"/>
  <c r="N187" i="2"/>
  <c r="N189" i="2"/>
  <c r="N190" i="2"/>
  <c r="N194" i="2"/>
  <c r="N195" i="2"/>
  <c r="N196" i="2"/>
  <c r="N197" i="2"/>
  <c r="N198" i="2"/>
  <c r="N199" i="2"/>
  <c r="N200" i="2"/>
  <c r="N201" i="2"/>
  <c r="N202" i="2"/>
  <c r="N203" i="2"/>
  <c r="N186" i="2"/>
  <c r="A196" i="2"/>
  <c r="A197" i="2"/>
  <c r="A198" i="2"/>
  <c r="A199" i="2"/>
  <c r="A200" i="2"/>
  <c r="A201" i="2"/>
  <c r="A202" i="2"/>
  <c r="K37" i="80"/>
  <c r="A183" i="62"/>
  <c r="G58" i="80" l="1"/>
  <c r="E114" i="75"/>
  <c r="F114" i="75" s="1"/>
  <c r="F184" i="2"/>
  <c r="F182" i="62"/>
  <c r="A182" i="62" s="1"/>
  <c r="A170" i="62"/>
  <c r="A185" i="2"/>
  <c r="N218" i="2"/>
  <c r="A216" i="2"/>
  <c r="A217" i="2"/>
  <c r="AG118" i="95" l="1"/>
  <c r="A184" i="2"/>
  <c r="E115" i="75"/>
  <c r="F115" i="75" s="1"/>
  <c r="I80" i="79"/>
  <c r="AJ224" i="95" l="1"/>
  <c r="E116" i="75"/>
  <c r="F116" i="75" s="1"/>
  <c r="I76" i="80"/>
  <c r="E117" i="75" l="1"/>
  <c r="F117" i="75" s="1"/>
  <c r="L59" i="80"/>
  <c r="T25" i="80"/>
  <c r="M60" i="75"/>
  <c r="M61" i="75"/>
  <c r="M59" i="75"/>
  <c r="F27" i="2"/>
  <c r="AY9" i="79"/>
  <c r="K41" i="75"/>
  <c r="O34" i="75"/>
  <c r="O33" i="75"/>
  <c r="J7" i="75"/>
  <c r="J8" i="75"/>
  <c r="J9" i="75"/>
  <c r="J10" i="75"/>
  <c r="J11" i="75"/>
  <c r="J12" i="75"/>
  <c r="J13" i="75"/>
  <c r="J14" i="75"/>
  <c r="J15" i="75"/>
  <c r="J16" i="75"/>
  <c r="J17" i="75"/>
  <c r="J18" i="75"/>
  <c r="J19" i="75"/>
  <c r="J20" i="75"/>
  <c r="J21" i="75"/>
  <c r="J22" i="75"/>
  <c r="J23" i="75"/>
  <c r="J24" i="75"/>
  <c r="J25" i="75"/>
  <c r="J26" i="75"/>
  <c r="J27" i="75"/>
  <c r="J28" i="75"/>
  <c r="J29" i="75"/>
  <c r="J30" i="75"/>
  <c r="J31" i="75"/>
  <c r="J32" i="75"/>
  <c r="J35" i="75"/>
  <c r="J36" i="75"/>
  <c r="J37" i="75"/>
  <c r="J38" i="75"/>
  <c r="J6" i="75"/>
  <c r="F231" i="2"/>
  <c r="L234" i="2"/>
  <c r="I119" i="13"/>
  <c r="H119" i="13"/>
  <c r="E118" i="75" l="1"/>
  <c r="F118" i="75" s="1"/>
  <c r="I18" i="79"/>
  <c r="C9" i="16"/>
  <c r="I54" i="79"/>
  <c r="F18" i="79"/>
  <c r="E231" i="2"/>
  <c r="L109" i="2"/>
  <c r="L143" i="2"/>
  <c r="L142" i="2"/>
  <c r="L141" i="2"/>
  <c r="L140" i="2"/>
  <c r="L139" i="2"/>
  <c r="L138" i="2"/>
  <c r="E114" i="2"/>
  <c r="E115" i="2"/>
  <c r="E116" i="2"/>
  <c r="E124" i="2"/>
  <c r="E125" i="2"/>
  <c r="E126" i="2"/>
  <c r="E127" i="2"/>
  <c r="E128" i="2"/>
  <c r="E129" i="2"/>
  <c r="E130" i="2"/>
  <c r="E131" i="2"/>
  <c r="E113" i="2"/>
  <c r="L115" i="2"/>
  <c r="L116" i="2"/>
  <c r="L119" i="2"/>
  <c r="L124" i="2"/>
  <c r="L125" i="2"/>
  <c r="L126" i="2"/>
  <c r="L127" i="2"/>
  <c r="L128" i="2"/>
  <c r="L129" i="2"/>
  <c r="A130" i="2"/>
  <c r="F130" i="2"/>
  <c r="K130" i="2"/>
  <c r="L130" i="2"/>
  <c r="N130" i="2"/>
  <c r="A131" i="2"/>
  <c r="F131" i="2"/>
  <c r="K131" i="2"/>
  <c r="L131" i="2"/>
  <c r="N131" i="2"/>
  <c r="I4" i="79"/>
  <c r="K110" i="62"/>
  <c r="F110" i="62"/>
  <c r="F109" i="2" s="1"/>
  <c r="F109" i="62"/>
  <c r="F108" i="2" s="1"/>
  <c r="AG68" i="95" l="1"/>
  <c r="AJ109" i="95" s="1"/>
  <c r="AG69" i="95"/>
  <c r="AJ113" i="95" s="1"/>
  <c r="AG25" i="95"/>
  <c r="AJ99" i="95" s="1"/>
  <c r="A184" i="62"/>
  <c r="F184" i="62"/>
  <c r="E119" i="75"/>
  <c r="F119" i="75" s="1"/>
  <c r="F187" i="2"/>
  <c r="A187" i="2"/>
  <c r="L26" i="70"/>
  <c r="D21" i="70"/>
  <c r="E21" i="70"/>
  <c r="F21" i="70"/>
  <c r="G21" i="70"/>
  <c r="H21" i="70"/>
  <c r="I21" i="70"/>
  <c r="J21" i="70"/>
  <c r="K21" i="70"/>
  <c r="L21" i="70"/>
  <c r="D22" i="70"/>
  <c r="E22" i="70"/>
  <c r="F22" i="70"/>
  <c r="G22" i="70"/>
  <c r="H22" i="70"/>
  <c r="I22" i="70"/>
  <c r="J22" i="70"/>
  <c r="K22" i="70"/>
  <c r="L22" i="70"/>
  <c r="D23" i="70"/>
  <c r="E23" i="70"/>
  <c r="F23" i="70"/>
  <c r="G23" i="70"/>
  <c r="H23" i="70"/>
  <c r="I23" i="70"/>
  <c r="J23" i="70"/>
  <c r="K23" i="70"/>
  <c r="L23" i="70"/>
  <c r="D24" i="70"/>
  <c r="E24" i="70"/>
  <c r="F24" i="70"/>
  <c r="G24" i="70"/>
  <c r="H24" i="70"/>
  <c r="I24" i="70"/>
  <c r="J24" i="70"/>
  <c r="K24" i="70"/>
  <c r="L24" i="70"/>
  <c r="D25" i="70"/>
  <c r="E25" i="70"/>
  <c r="F25" i="70"/>
  <c r="G25" i="70"/>
  <c r="H25" i="70"/>
  <c r="I25" i="70"/>
  <c r="J25" i="70"/>
  <c r="K25" i="70"/>
  <c r="L25" i="70"/>
  <c r="D26" i="70"/>
  <c r="E26" i="70"/>
  <c r="F26" i="70"/>
  <c r="G26" i="70"/>
  <c r="H26" i="70"/>
  <c r="I26" i="70"/>
  <c r="J26" i="70"/>
  <c r="K26" i="70"/>
  <c r="C22" i="70"/>
  <c r="C23" i="70"/>
  <c r="C24" i="70"/>
  <c r="C25" i="70"/>
  <c r="C26" i="70"/>
  <c r="C21" i="70"/>
  <c r="C9" i="70"/>
  <c r="F38" i="79"/>
  <c r="A110" i="2" s="1"/>
  <c r="E113" i="62"/>
  <c r="K121" i="62"/>
  <c r="K120" i="62"/>
  <c r="K119" i="62"/>
  <c r="K118" i="62"/>
  <c r="K117" i="62"/>
  <c r="K116" i="62"/>
  <c r="E123" i="62"/>
  <c r="E124" i="62"/>
  <c r="K124" i="62"/>
  <c r="E125" i="62"/>
  <c r="K125" i="62"/>
  <c r="K128" i="62"/>
  <c r="E133" i="62"/>
  <c r="K133" i="62"/>
  <c r="E134" i="62"/>
  <c r="K134" i="62"/>
  <c r="E135" i="62"/>
  <c r="K135" i="62"/>
  <c r="E136" i="62"/>
  <c r="K136" i="62"/>
  <c r="E137" i="62"/>
  <c r="K137" i="62"/>
  <c r="E138" i="62"/>
  <c r="K138" i="62"/>
  <c r="E122" i="62"/>
  <c r="G21" i="2"/>
  <c r="G22" i="62"/>
  <c r="AA32" i="62"/>
  <c r="Z32" i="62"/>
  <c r="AG116" i="95" l="1"/>
  <c r="AJ235" i="95" s="1"/>
  <c r="E120" i="75"/>
  <c r="F120" i="75" s="1"/>
  <c r="A111" i="62"/>
  <c r="M23" i="62"/>
  <c r="K34" i="62"/>
  <c r="K39" i="62"/>
  <c r="L79" i="2"/>
  <c r="H39" i="62"/>
  <c r="L38" i="2"/>
  <c r="F33" i="62"/>
  <c r="D162" i="79"/>
  <c r="D163" i="79"/>
  <c r="D164" i="79"/>
  <c r="D165" i="79"/>
  <c r="D166" i="79"/>
  <c r="D167" i="79"/>
  <c r="D168" i="79"/>
  <c r="D169" i="79"/>
  <c r="D170" i="79"/>
  <c r="D171" i="79"/>
  <c r="D172" i="79"/>
  <c r="D173" i="79"/>
  <c r="D174" i="79"/>
  <c r="D175" i="79"/>
  <c r="D176" i="79"/>
  <c r="D177" i="79"/>
  <c r="D178" i="79"/>
  <c r="D179" i="79"/>
  <c r="D180" i="79"/>
  <c r="D181" i="79"/>
  <c r="D182" i="79"/>
  <c r="D183" i="79"/>
  <c r="D184" i="79"/>
  <c r="D185" i="79"/>
  <c r="D186" i="79"/>
  <c r="D187" i="79"/>
  <c r="D188" i="79"/>
  <c r="D189" i="79"/>
  <c r="D190" i="79"/>
  <c r="D191" i="79"/>
  <c r="D192" i="79"/>
  <c r="D193" i="79"/>
  <c r="D194" i="79"/>
  <c r="D195" i="79"/>
  <c r="D196" i="79"/>
  <c r="D197" i="79"/>
  <c r="D161" i="79"/>
  <c r="D99" i="79"/>
  <c r="D100" i="79"/>
  <c r="D101" i="79"/>
  <c r="D102" i="79"/>
  <c r="D103" i="79"/>
  <c r="D104" i="79"/>
  <c r="D105" i="79"/>
  <c r="D106" i="79"/>
  <c r="D107" i="79"/>
  <c r="D108" i="79"/>
  <c r="D109" i="79"/>
  <c r="D110" i="79"/>
  <c r="D111" i="79"/>
  <c r="D112" i="79"/>
  <c r="D113" i="79"/>
  <c r="D114" i="79"/>
  <c r="D115" i="79"/>
  <c r="D116" i="79"/>
  <c r="D117" i="79"/>
  <c r="D118" i="79"/>
  <c r="D119" i="79"/>
  <c r="D120" i="79"/>
  <c r="D121" i="79"/>
  <c r="D122" i="79"/>
  <c r="D123" i="79"/>
  <c r="D124" i="79"/>
  <c r="D125" i="79"/>
  <c r="D126" i="79"/>
  <c r="D127" i="79"/>
  <c r="D128" i="79"/>
  <c r="D129" i="79"/>
  <c r="D130" i="79"/>
  <c r="D131" i="79"/>
  <c r="D132" i="79"/>
  <c r="D133" i="79"/>
  <c r="D134" i="79"/>
  <c r="D135" i="79"/>
  <c r="D136" i="79"/>
  <c r="D137" i="79"/>
  <c r="D138" i="79"/>
  <c r="D139" i="79"/>
  <c r="D140" i="79"/>
  <c r="D98" i="79"/>
  <c r="L57" i="80"/>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43" i="9"/>
  <c r="D121" i="9"/>
  <c r="D122" i="9"/>
  <c r="D123" i="9"/>
  <c r="D124" i="9"/>
  <c r="D125" i="9"/>
  <c r="D126" i="9"/>
  <c r="D127" i="9"/>
  <c r="D128" i="9"/>
  <c r="D129" i="9"/>
  <c r="D130" i="9"/>
  <c r="D131" i="9"/>
  <c r="D132" i="9"/>
  <c r="D133" i="9"/>
  <c r="D134" i="9"/>
  <c r="D135" i="9"/>
  <c r="D136" i="9"/>
  <c r="D137" i="9"/>
  <c r="D138" i="9"/>
  <c r="D119" i="9"/>
  <c r="D120" i="9"/>
  <c r="K108" i="9"/>
  <c r="A94" i="62"/>
  <c r="A95" i="62"/>
  <c r="A91" i="2"/>
  <c r="D74" i="9"/>
  <c r="Z59" i="9"/>
  <c r="Z60" i="9"/>
  <c r="Z61" i="9"/>
  <c r="Z62" i="9"/>
  <c r="Z63" i="9"/>
  <c r="Z64" i="9"/>
  <c r="Z65" i="9"/>
  <c r="Z66" i="9"/>
  <c r="J81" i="62" s="1"/>
  <c r="Z67" i="9"/>
  <c r="J82" i="62" s="1"/>
  <c r="Z68" i="9"/>
  <c r="J83" i="62" s="1"/>
  <c r="Z69" i="9"/>
  <c r="J84" i="62" s="1"/>
  <c r="Z70" i="9"/>
  <c r="J85" i="62" s="1"/>
  <c r="Z71" i="9"/>
  <c r="J86" i="62" s="1"/>
  <c r="Z72" i="9"/>
  <c r="J87" i="62" s="1"/>
  <c r="Z73" i="9"/>
  <c r="J88" i="62" s="1"/>
  <c r="Z74" i="9"/>
  <c r="J89" i="62" s="1"/>
  <c r="Z75" i="9"/>
  <c r="J90" i="62" s="1"/>
  <c r="Z58" i="9"/>
  <c r="AA65" i="9"/>
  <c r="E80" i="62" s="1"/>
  <c r="G76" i="80"/>
  <c r="J56" i="9"/>
  <c r="P56" i="9"/>
  <c r="R56" i="9"/>
  <c r="AD56" i="9"/>
  <c r="AE56" i="9"/>
  <c r="AF56" i="9"/>
  <c r="AG56" i="9"/>
  <c r="AH56" i="9"/>
  <c r="AI56" i="9"/>
  <c r="AJ56" i="9"/>
  <c r="AK56" i="9"/>
  <c r="AL56" i="9"/>
  <c r="AM56" i="9"/>
  <c r="AN56" i="9"/>
  <c r="AO56" i="9"/>
  <c r="AP56" i="9"/>
  <c r="AQ56" i="9"/>
  <c r="AR56" i="9"/>
  <c r="K66" i="9"/>
  <c r="H81" i="62" s="1"/>
  <c r="K64" i="9"/>
  <c r="K35" i="9"/>
  <c r="H52" i="2" s="1"/>
  <c r="K29" i="9"/>
  <c r="K23" i="9"/>
  <c r="U108" i="9" l="1"/>
  <c r="X108" i="9"/>
  <c r="A95" i="2"/>
  <c r="A96" i="62"/>
  <c r="A92" i="2"/>
  <c r="A93" i="62"/>
  <c r="K79" i="2"/>
  <c r="J80" i="62"/>
  <c r="H80" i="2"/>
  <c r="K65" i="9"/>
  <c r="H80" i="62" s="1"/>
  <c r="H78" i="2"/>
  <c r="H79" i="62"/>
  <c r="E121" i="75"/>
  <c r="F121" i="75" s="1"/>
  <c r="A93" i="2"/>
  <c r="A94" i="2"/>
  <c r="G16" i="9"/>
  <c r="G17" i="9"/>
  <c r="G18" i="9"/>
  <c r="G15" i="9"/>
  <c r="G14" i="9"/>
  <c r="H98" i="79"/>
  <c r="D62" i="9"/>
  <c r="D61" i="9"/>
  <c r="D60" i="9"/>
  <c r="D59" i="9"/>
  <c r="D58" i="9"/>
  <c r="D81" i="9"/>
  <c r="D80" i="9"/>
  <c r="D79" i="9"/>
  <c r="D78" i="9"/>
  <c r="D77" i="9"/>
  <c r="D87" i="9"/>
  <c r="D86" i="9"/>
  <c r="D85" i="9"/>
  <c r="D84" i="9"/>
  <c r="D83" i="9"/>
  <c r="D93" i="9"/>
  <c r="D92" i="9"/>
  <c r="D91" i="9"/>
  <c r="D90" i="9"/>
  <c r="D89" i="9"/>
  <c r="D65" i="9"/>
  <c r="D67" i="9"/>
  <c r="D68" i="9"/>
  <c r="D69" i="9"/>
  <c r="D70" i="9"/>
  <c r="D71" i="9"/>
  <c r="D72" i="9"/>
  <c r="D73" i="9"/>
  <c r="D75" i="9"/>
  <c r="D66" i="9"/>
  <c r="D64" i="9"/>
  <c r="D63" i="9"/>
  <c r="I57" i="9"/>
  <c r="E65" i="9"/>
  <c r="A80" i="62" s="1"/>
  <c r="I36" i="9"/>
  <c r="D36" i="9" s="1"/>
  <c r="I42" i="9"/>
  <c r="D42" i="9" s="1"/>
  <c r="G10" i="32"/>
  <c r="H10" i="32"/>
  <c r="F67" i="80"/>
  <c r="D11" i="9"/>
  <c r="I10" i="9"/>
  <c r="I9" i="9"/>
  <c r="I6" i="9"/>
  <c r="H79" i="2" l="1"/>
  <c r="E122" i="75"/>
  <c r="F122" i="75" s="1"/>
  <c r="D56" i="9"/>
  <c r="F210" i="2"/>
  <c r="N210" i="2" s="1"/>
  <c r="F207" i="62"/>
  <c r="F212" i="62"/>
  <c r="F215" i="2"/>
  <c r="N215" i="2" s="1"/>
  <c r="F208" i="2"/>
  <c r="N208" i="2" s="1"/>
  <c r="F205" i="62"/>
  <c r="F209" i="2"/>
  <c r="N209" i="2" s="1"/>
  <c r="F206" i="62"/>
  <c r="K36" i="62"/>
  <c r="L35" i="2"/>
  <c r="E10" i="9"/>
  <c r="K37" i="62"/>
  <c r="L36" i="2"/>
  <c r="AG24" i="95" s="1"/>
  <c r="A79" i="2"/>
  <c r="F66" i="80"/>
  <c r="A22" i="9"/>
  <c r="B22" i="9"/>
  <c r="G5" i="9"/>
  <c r="F56" i="80"/>
  <c r="F68" i="80"/>
  <c r="F65" i="80"/>
  <c r="F57" i="80"/>
  <c r="G6" i="9" s="1"/>
  <c r="F58" i="80"/>
  <c r="F60" i="80"/>
  <c r="G7" i="9" s="1"/>
  <c r="F62" i="80"/>
  <c r="F69" i="80"/>
  <c r="F64" i="80"/>
  <c r="C3" i="32"/>
  <c r="T9" i="9"/>
  <c r="D67" i="72"/>
  <c r="D64" i="72"/>
  <c r="D65" i="72"/>
  <c r="D59" i="72"/>
  <c r="AE85" i="80"/>
  <c r="AD85" i="80"/>
  <c r="AE84" i="80"/>
  <c r="AD84" i="80"/>
  <c r="AE83" i="80"/>
  <c r="AD83" i="80"/>
  <c r="AE82" i="80"/>
  <c r="AD82" i="80"/>
  <c r="AC81" i="80"/>
  <c r="D66" i="72"/>
  <c r="D60" i="72"/>
  <c r="C11" i="26"/>
  <c r="F50" i="79"/>
  <c r="I82" i="80"/>
  <c r="AG45" i="95" l="1"/>
  <c r="AJ50" i="95" s="1"/>
  <c r="AG64" i="95"/>
  <c r="AJ93" i="95" s="1"/>
  <c r="AG33" i="95"/>
  <c r="AJ13" i="95" s="1"/>
  <c r="AG35" i="95"/>
  <c r="AG47" i="95"/>
  <c r="AJ55" i="95" s="1"/>
  <c r="AG49" i="95"/>
  <c r="AJ57" i="95" s="1"/>
  <c r="AG53" i="95"/>
  <c r="AJ69" i="95" s="1"/>
  <c r="AG38" i="95"/>
  <c r="AJ28" i="95" s="1"/>
  <c r="AG52" i="95"/>
  <c r="AJ68" i="95" s="1"/>
  <c r="AG36" i="95"/>
  <c r="AJ17" i="95" s="1"/>
  <c r="AG34" i="95"/>
  <c r="AJ14" i="95" s="1"/>
  <c r="AG58" i="95"/>
  <c r="AJ78" i="95" s="1"/>
  <c r="AG59" i="95"/>
  <c r="AJ79" i="95" s="1"/>
  <c r="AG77" i="95"/>
  <c r="AJ132" i="95" s="1"/>
  <c r="AG60" i="95"/>
  <c r="AJ84" i="95" s="1"/>
  <c r="AG46" i="95"/>
  <c r="AJ53" i="95" s="1"/>
  <c r="AG61" i="95"/>
  <c r="AJ85" i="95" s="1"/>
  <c r="AG50" i="95"/>
  <c r="AJ62" i="95" s="1"/>
  <c r="AG51" i="95"/>
  <c r="AJ66" i="95" s="1"/>
  <c r="AG54" i="95"/>
  <c r="AJ70" i="95" s="1"/>
  <c r="AG40" i="95"/>
  <c r="AJ30" i="95" s="1"/>
  <c r="AG39" i="95"/>
  <c r="AJ29" i="95" s="1"/>
  <c r="AG56" i="95"/>
  <c r="AJ73" i="95" s="1"/>
  <c r="AG48" i="95"/>
  <c r="AJ56" i="95" s="1"/>
  <c r="AG57" i="95"/>
  <c r="AJ76" i="95" s="1"/>
  <c r="AG55" i="95"/>
  <c r="AJ72" i="95" s="1"/>
  <c r="AG44" i="95"/>
  <c r="AJ43" i="95" s="1"/>
  <c r="U10" i="9"/>
  <c r="W10" i="9" s="1"/>
  <c r="E123" i="75"/>
  <c r="F123" i="75" s="1"/>
  <c r="F32" i="2"/>
  <c r="A36" i="2"/>
  <c r="D10" i="9"/>
  <c r="G22" i="2"/>
  <c r="H112" i="9" s="1"/>
  <c r="G23" i="62"/>
  <c r="A37" i="62"/>
  <c r="G22" i="9"/>
  <c r="G56" i="9" s="1"/>
  <c r="F54" i="80"/>
  <c r="B1" i="79"/>
  <c r="I79" i="80"/>
  <c r="AC82" i="80" s="1"/>
  <c r="I83" i="80"/>
  <c r="I84" i="80"/>
  <c r="Q84" i="80"/>
  <c r="H85" i="80"/>
  <c r="I86" i="80"/>
  <c r="Q86" i="80"/>
  <c r="I87" i="80"/>
  <c r="Q87" i="80"/>
  <c r="F82" i="80"/>
  <c r="F83" i="80"/>
  <c r="F84" i="80"/>
  <c r="F85" i="80"/>
  <c r="F86" i="80"/>
  <c r="F87" i="80"/>
  <c r="F52" i="80"/>
  <c r="E13" i="80"/>
  <c r="F11" i="80"/>
  <c r="R43" i="80"/>
  <c r="F9" i="80"/>
  <c r="M43" i="80"/>
  <c r="F37" i="80"/>
  <c r="H4" i="79" s="1"/>
  <c r="F36" i="80"/>
  <c r="F35" i="80"/>
  <c r="F34" i="80"/>
  <c r="F33" i="80"/>
  <c r="F32" i="80"/>
  <c r="F31" i="80"/>
  <c r="F30" i="80"/>
  <c r="F29" i="80"/>
  <c r="F28" i="80"/>
  <c r="F27" i="80"/>
  <c r="F55" i="80"/>
  <c r="F26" i="80"/>
  <c r="F22" i="80"/>
  <c r="K23" i="80"/>
  <c r="J23" i="80"/>
  <c r="I23" i="80"/>
  <c r="H23" i="80"/>
  <c r="G23" i="80"/>
  <c r="G17" i="80"/>
  <c r="F17" i="80"/>
  <c r="F3" i="80"/>
  <c r="H1" i="9" s="1"/>
  <c r="F4" i="80"/>
  <c r="F5" i="80"/>
  <c r="F2" i="80"/>
  <c r="E9" i="80"/>
  <c r="T34" i="80"/>
  <c r="T32" i="80"/>
  <c r="T30" i="80"/>
  <c r="T26" i="80"/>
  <c r="B23" i="80"/>
  <c r="A23" i="80"/>
  <c r="G2" i="80"/>
  <c r="AD92" i="79"/>
  <c r="F92" i="79"/>
  <c r="A129" i="2" s="1"/>
  <c r="AD91" i="79"/>
  <c r="F91" i="79"/>
  <c r="A128" i="2" s="1"/>
  <c r="AD90" i="79"/>
  <c r="F90" i="79"/>
  <c r="A127" i="2" s="1"/>
  <c r="AD89" i="79"/>
  <c r="F89" i="79"/>
  <c r="A126" i="2" s="1"/>
  <c r="AD88" i="79"/>
  <c r="F88" i="79"/>
  <c r="A125" i="2" s="1"/>
  <c r="AD87" i="79"/>
  <c r="AA87" i="79"/>
  <c r="F87" i="79"/>
  <c r="F86" i="79"/>
  <c r="F85" i="79"/>
  <c r="F84" i="79"/>
  <c r="F83" i="79"/>
  <c r="F82" i="79"/>
  <c r="F81" i="79"/>
  <c r="F80" i="79"/>
  <c r="F79" i="79"/>
  <c r="A233" i="2" s="1"/>
  <c r="F78" i="79"/>
  <c r="I77" i="79"/>
  <c r="F77" i="79"/>
  <c r="I76" i="79"/>
  <c r="L113" i="2" s="1"/>
  <c r="F76" i="79"/>
  <c r="AD73" i="79"/>
  <c r="F73" i="79"/>
  <c r="A232" i="2" s="1"/>
  <c r="AD72" i="79"/>
  <c r="F72" i="79"/>
  <c r="A230" i="2" s="1"/>
  <c r="AD71" i="79"/>
  <c r="F71" i="79"/>
  <c r="A229" i="2" s="1"/>
  <c r="AD70" i="79"/>
  <c r="F70" i="79"/>
  <c r="A228" i="2" s="1"/>
  <c r="AD69" i="79"/>
  <c r="F69" i="79"/>
  <c r="AD68" i="79"/>
  <c r="F68" i="79"/>
  <c r="A133" i="2" s="1"/>
  <c r="L133" i="2" s="1"/>
  <c r="AG27" i="95" s="1"/>
  <c r="AJ110" i="95" s="1"/>
  <c r="AF67" i="79"/>
  <c r="AF75" i="79" s="1"/>
  <c r="F60" i="79"/>
  <c r="F59" i="79"/>
  <c r="F54" i="79"/>
  <c r="AW49" i="79"/>
  <c r="AG47" i="79"/>
  <c r="AF47" i="79"/>
  <c r="F40" i="79"/>
  <c r="AC37" i="79"/>
  <c r="Z37" i="79"/>
  <c r="I37" i="79"/>
  <c r="G37" i="79"/>
  <c r="G47" i="79" s="1"/>
  <c r="I36" i="79"/>
  <c r="AZ35" i="79"/>
  <c r="AY35" i="79"/>
  <c r="G35" i="79"/>
  <c r="AZ34" i="79"/>
  <c r="AY34" i="79"/>
  <c r="G34" i="79"/>
  <c r="AZ33" i="79"/>
  <c r="AY33" i="79"/>
  <c r="G33" i="79"/>
  <c r="AD32" i="79"/>
  <c r="K32" i="79"/>
  <c r="G32" i="79"/>
  <c r="AU28" i="79"/>
  <c r="AT28" i="79"/>
  <c r="AR28" i="79"/>
  <c r="AQ28" i="79"/>
  <c r="AO28" i="79"/>
  <c r="AN28" i="79"/>
  <c r="AL28" i="79"/>
  <c r="AK28" i="79"/>
  <c r="AH28" i="79"/>
  <c r="I22" i="79"/>
  <c r="AZ21" i="79"/>
  <c r="N21" i="79"/>
  <c r="AZ20" i="79"/>
  <c r="N20" i="79"/>
  <c r="AZ19" i="79"/>
  <c r="N19" i="79"/>
  <c r="AZ18" i="79"/>
  <c r="AY21" i="79"/>
  <c r="AV28" i="79"/>
  <c r="AS28" i="79"/>
  <c r="AP28" i="79"/>
  <c r="AM28" i="79"/>
  <c r="I3" i="79"/>
  <c r="I2" i="79"/>
  <c r="Z10" i="9"/>
  <c r="Z11" i="9"/>
  <c r="Z9" i="9"/>
  <c r="F28" i="75"/>
  <c r="H28" i="75"/>
  <c r="D28" i="75"/>
  <c r="H27" i="75"/>
  <c r="F27" i="75"/>
  <c r="D27" i="75"/>
  <c r="H26" i="75"/>
  <c r="F26" i="75"/>
  <c r="D26" i="75"/>
  <c r="H25" i="75"/>
  <c r="F25" i="75"/>
  <c r="D25" i="75"/>
  <c r="H24" i="75"/>
  <c r="F24" i="75"/>
  <c r="D24" i="75"/>
  <c r="H23" i="75"/>
  <c r="F23" i="75"/>
  <c r="D23" i="75"/>
  <c r="H22" i="75"/>
  <c r="F22" i="75"/>
  <c r="D22" i="75"/>
  <c r="H21" i="75"/>
  <c r="F21" i="75"/>
  <c r="D21" i="75"/>
  <c r="H20" i="75"/>
  <c r="F20" i="75"/>
  <c r="D20" i="75"/>
  <c r="H19" i="75"/>
  <c r="F19" i="75"/>
  <c r="D19" i="75"/>
  <c r="H18" i="75"/>
  <c r="F18" i="75"/>
  <c r="D18" i="75"/>
  <c r="H17" i="75"/>
  <c r="F17" i="75"/>
  <c r="D17" i="75"/>
  <c r="H16" i="75"/>
  <c r="F16" i="75"/>
  <c r="D16" i="75"/>
  <c r="H15" i="75"/>
  <c r="F15" i="75"/>
  <c r="D15" i="75"/>
  <c r="H14" i="75"/>
  <c r="F14" i="75"/>
  <c r="D14" i="75"/>
  <c r="I45" i="80" l="1"/>
  <c r="G11" i="80" s="1"/>
  <c r="AG65" i="95"/>
  <c r="AJ97" i="95" s="1"/>
  <c r="M57" i="79"/>
  <c r="A227" i="2"/>
  <c r="A134" i="2"/>
  <c r="L134" i="2" s="1"/>
  <c r="AG28" i="95" s="1"/>
  <c r="AJ103" i="95" s="1"/>
  <c r="A226" i="2"/>
  <c r="S232" i="2"/>
  <c r="T232" i="2"/>
  <c r="I39" i="79"/>
  <c r="A135" i="2"/>
  <c r="L135" i="2" s="1"/>
  <c r="AG29" i="95" s="1"/>
  <c r="AJ112" i="95" s="1"/>
  <c r="A137" i="2"/>
  <c r="L137" i="2" s="1"/>
  <c r="AG31" i="95" s="1"/>
  <c r="AJ98" i="95" s="1"/>
  <c r="A136" i="2"/>
  <c r="L136" i="2" s="1"/>
  <c r="AG30" i="95" s="1"/>
  <c r="AJ117" i="95" s="1"/>
  <c r="W17" i="79"/>
  <c r="U17" i="79"/>
  <c r="J22" i="79"/>
  <c r="AE32" i="79"/>
  <c r="N36" i="2"/>
  <c r="M37" i="62"/>
  <c r="AE81" i="79"/>
  <c r="E118" i="2" s="1"/>
  <c r="AE83" i="79"/>
  <c r="E120" i="2" s="1"/>
  <c r="AE39" i="79"/>
  <c r="E112" i="62" s="1"/>
  <c r="E124" i="75"/>
  <c r="F124" i="75" s="1"/>
  <c r="H38" i="79"/>
  <c r="F111" i="62" s="1"/>
  <c r="M3" i="79"/>
  <c r="J116" i="62"/>
  <c r="K138" i="2"/>
  <c r="J118" i="62"/>
  <c r="K140" i="2"/>
  <c r="J120" i="62"/>
  <c r="K142" i="2"/>
  <c r="A125" i="62"/>
  <c r="A116" i="2"/>
  <c r="A133" i="62"/>
  <c r="A124" i="2"/>
  <c r="J134" i="62"/>
  <c r="K125" i="2"/>
  <c r="J136" i="62"/>
  <c r="K127" i="2"/>
  <c r="J138" i="62"/>
  <c r="K129" i="2"/>
  <c r="A122" i="62"/>
  <c r="A113" i="2"/>
  <c r="A124" i="62"/>
  <c r="A115" i="2"/>
  <c r="A128" i="62"/>
  <c r="A119" i="2"/>
  <c r="A132" i="62"/>
  <c r="A123" i="2"/>
  <c r="J117" i="62"/>
  <c r="K139" i="2"/>
  <c r="J119" i="62"/>
  <c r="K141" i="2"/>
  <c r="J121" i="62"/>
  <c r="K143" i="2"/>
  <c r="K123" i="62"/>
  <c r="L114" i="2"/>
  <c r="A131" i="62"/>
  <c r="A122" i="2"/>
  <c r="J133" i="62"/>
  <c r="K124" i="2"/>
  <c r="J135" i="62"/>
  <c r="K126" i="2"/>
  <c r="J137" i="62"/>
  <c r="K128" i="2"/>
  <c r="A143" i="2"/>
  <c r="A123" i="62"/>
  <c r="A114" i="2"/>
  <c r="A126" i="62"/>
  <c r="A117" i="2"/>
  <c r="A130" i="62"/>
  <c r="A121" i="2"/>
  <c r="M133" i="62"/>
  <c r="N124" i="2"/>
  <c r="L230" i="2"/>
  <c r="L226" i="2"/>
  <c r="L231" i="2"/>
  <c r="L227" i="2"/>
  <c r="L232" i="2"/>
  <c r="L228" i="2"/>
  <c r="L229" i="2"/>
  <c r="L225" i="2"/>
  <c r="A113" i="62"/>
  <c r="A112" i="2"/>
  <c r="A142" i="2"/>
  <c r="A141" i="2"/>
  <c r="A140" i="2"/>
  <c r="A139" i="2"/>
  <c r="A138" i="2"/>
  <c r="AA68" i="79"/>
  <c r="A116" i="62"/>
  <c r="AA70" i="79"/>
  <c r="A118" i="62"/>
  <c r="Z72" i="79"/>
  <c r="AA72" i="79" s="1"/>
  <c r="A120" i="62"/>
  <c r="AA60" i="79"/>
  <c r="M115" i="62" s="1"/>
  <c r="A115" i="62"/>
  <c r="AA69" i="79"/>
  <c r="A117" i="62"/>
  <c r="AA71" i="79"/>
  <c r="A119" i="62"/>
  <c r="A121" i="62"/>
  <c r="AA59" i="79"/>
  <c r="M114" i="62" s="1"/>
  <c r="A114" i="62"/>
  <c r="I85" i="79"/>
  <c r="L122" i="2" s="1"/>
  <c r="K122" i="62"/>
  <c r="AA88" i="79"/>
  <c r="A134" i="62"/>
  <c r="AA90" i="79"/>
  <c r="A136" i="62"/>
  <c r="AA92" i="79"/>
  <c r="A138" i="62"/>
  <c r="AA89" i="79"/>
  <c r="A135" i="62"/>
  <c r="AA91" i="79"/>
  <c r="A137" i="62"/>
  <c r="K36" i="2"/>
  <c r="J37" i="62"/>
  <c r="J38" i="62"/>
  <c r="K37" i="2"/>
  <c r="K35" i="2"/>
  <c r="J36" i="62"/>
  <c r="I1" i="9"/>
  <c r="N1" i="9" s="1"/>
  <c r="H91" i="79"/>
  <c r="H62" i="79"/>
  <c r="I59" i="79"/>
  <c r="I60" i="79"/>
  <c r="L79" i="80"/>
  <c r="M86" i="80"/>
  <c r="L17" i="79"/>
  <c r="Z31" i="79"/>
  <c r="H5" i="79"/>
  <c r="AG17" i="79"/>
  <c r="H40" i="79"/>
  <c r="AD67" i="79"/>
  <c r="AD75" i="79" s="1"/>
  <c r="L31" i="79"/>
  <c r="P53" i="79"/>
  <c r="H77" i="79"/>
  <c r="H86" i="79"/>
  <c r="Y17" i="79"/>
  <c r="H3" i="79"/>
  <c r="N17" i="79"/>
  <c r="AB31" i="79"/>
  <c r="H78" i="79"/>
  <c r="H12" i="79"/>
  <c r="H28" i="79" s="1"/>
  <c r="AA17" i="79"/>
  <c r="BA18" i="79"/>
  <c r="AE22" i="79"/>
  <c r="H32" i="79"/>
  <c r="AX32" i="79"/>
  <c r="Z53" i="79"/>
  <c r="Z67" i="79"/>
  <c r="Z75" i="79" s="1"/>
  <c r="H2" i="79"/>
  <c r="J17" i="79"/>
  <c r="S17" i="79"/>
  <c r="AE17" i="79"/>
  <c r="I31" i="79"/>
  <c r="V31" i="79"/>
  <c r="AG31" i="79"/>
  <c r="H33" i="79"/>
  <c r="AX34" i="79"/>
  <c r="H35" i="79"/>
  <c r="H47" i="79"/>
  <c r="L53" i="79"/>
  <c r="F67" i="79"/>
  <c r="F75" i="79"/>
  <c r="F95" i="79"/>
  <c r="H17" i="79"/>
  <c r="P17" i="79"/>
  <c r="AC17" i="79"/>
  <c r="AX18" i="79"/>
  <c r="P31" i="79"/>
  <c r="AD31" i="79"/>
  <c r="AD53" i="79"/>
  <c r="C57" i="79"/>
  <c r="H76" i="79"/>
  <c r="I17" i="79"/>
  <c r="M17" i="79"/>
  <c r="R17" i="79"/>
  <c r="Z17" i="79"/>
  <c r="AD17" i="79"/>
  <c r="H19" i="79"/>
  <c r="H20" i="79"/>
  <c r="H21" i="79"/>
  <c r="K31" i="79"/>
  <c r="O31" i="79"/>
  <c r="Y31" i="79"/>
  <c r="AC31" i="79"/>
  <c r="AX33" i="79"/>
  <c r="H34" i="79"/>
  <c r="H37" i="79"/>
  <c r="AX37" i="79"/>
  <c r="I53" i="79"/>
  <c r="O53" i="79"/>
  <c r="Y53" i="79"/>
  <c r="AC53" i="79"/>
  <c r="H54" i="79"/>
  <c r="H56" i="79"/>
  <c r="AE59" i="79"/>
  <c r="AE60" i="79"/>
  <c r="Y67" i="79"/>
  <c r="Y75" i="79" s="1"/>
  <c r="AC67" i="79"/>
  <c r="AC75" i="79" s="1"/>
  <c r="AG67" i="79"/>
  <c r="AG75" i="79" s="1"/>
  <c r="AE68" i="79"/>
  <c r="AE69" i="79"/>
  <c r="AE70" i="79"/>
  <c r="AE71" i="79"/>
  <c r="AE72" i="79"/>
  <c r="AE73" i="79"/>
  <c r="Y79" i="79"/>
  <c r="AA79" i="79" s="1"/>
  <c r="AE80" i="79"/>
  <c r="E117" i="2" s="1"/>
  <c r="AE82" i="79"/>
  <c r="E119" i="2" s="1"/>
  <c r="Y83" i="79"/>
  <c r="AA83" i="79" s="1"/>
  <c r="AE84" i="79"/>
  <c r="E121" i="2" s="1"/>
  <c r="H87" i="79"/>
  <c r="H88" i="79"/>
  <c r="I84" i="79"/>
  <c r="H39" i="79"/>
  <c r="I47" i="79"/>
  <c r="H53" i="79"/>
  <c r="N53" i="79"/>
  <c r="V53" i="79"/>
  <c r="AB53" i="79"/>
  <c r="AE57" i="79"/>
  <c r="I67" i="79"/>
  <c r="I75" i="79" s="1"/>
  <c r="AB67" i="79"/>
  <c r="AB75" i="79" s="1"/>
  <c r="Y76" i="79"/>
  <c r="AA76" i="79" s="1"/>
  <c r="Y77" i="79"/>
  <c r="AA77" i="79" s="1"/>
  <c r="Y80" i="79"/>
  <c r="AA80" i="79" s="1"/>
  <c r="Y81" i="79"/>
  <c r="AA81" i="79" s="1"/>
  <c r="Y82" i="79"/>
  <c r="AA82" i="79" s="1"/>
  <c r="I83" i="79"/>
  <c r="AE85" i="79"/>
  <c r="H89" i="79"/>
  <c r="H92" i="79"/>
  <c r="G17" i="79"/>
  <c r="K17" i="79"/>
  <c r="O17" i="79"/>
  <c r="V17" i="79"/>
  <c r="AB17" i="79"/>
  <c r="AF17" i="79"/>
  <c r="AX19" i="79"/>
  <c r="AX20" i="79"/>
  <c r="AX21" i="79"/>
  <c r="AX22" i="79"/>
  <c r="H31" i="79"/>
  <c r="M31" i="79"/>
  <c r="R31" i="79"/>
  <c r="AA31" i="79"/>
  <c r="AE31" i="79"/>
  <c r="AX35" i="79"/>
  <c r="AX36" i="79"/>
  <c r="H41" i="79"/>
  <c r="G48" i="79"/>
  <c r="F53" i="79"/>
  <c r="M53" i="79"/>
  <c r="R53" i="79"/>
  <c r="AA53" i="79"/>
  <c r="AE53" i="79"/>
  <c r="AE54" i="79"/>
  <c r="AE56" i="79"/>
  <c r="H59" i="79"/>
  <c r="H60" i="79"/>
  <c r="F115" i="62" s="1"/>
  <c r="H67" i="79"/>
  <c r="AA67" i="79"/>
  <c r="AA75" i="79" s="1"/>
  <c r="AE67" i="79"/>
  <c r="AE75" i="79" s="1"/>
  <c r="H68" i="79"/>
  <c r="K226" i="2" s="1"/>
  <c r="H69" i="79"/>
  <c r="H70" i="79"/>
  <c r="H71" i="79"/>
  <c r="H72" i="79"/>
  <c r="H73" i="79"/>
  <c r="H75" i="79"/>
  <c r="Y78" i="79"/>
  <c r="AA78" i="79" s="1"/>
  <c r="H80" i="79"/>
  <c r="I81" i="79"/>
  <c r="H82" i="79"/>
  <c r="H83" i="79"/>
  <c r="H84" i="79"/>
  <c r="H85" i="79"/>
  <c r="AE86" i="79"/>
  <c r="H90" i="79"/>
  <c r="H79" i="79"/>
  <c r="H81" i="79"/>
  <c r="Y84" i="79"/>
  <c r="AA84" i="79" s="1"/>
  <c r="Y85" i="79"/>
  <c r="AA85" i="79" s="1"/>
  <c r="Y86" i="79"/>
  <c r="AA86" i="79" s="1"/>
  <c r="M87" i="80"/>
  <c r="M83" i="80"/>
  <c r="M85" i="80"/>
  <c r="M84" i="80"/>
  <c r="M82" i="80"/>
  <c r="G36" i="79"/>
  <c r="AD37" i="79"/>
  <c r="AB38" i="79" s="1"/>
  <c r="Z73" i="79"/>
  <c r="L3" i="80"/>
  <c r="F22" i="79"/>
  <c r="N32" i="79"/>
  <c r="AZ32" i="79" s="1"/>
  <c r="H18" i="79"/>
  <c r="AS32" i="79"/>
  <c r="AS37" i="79" s="1"/>
  <c r="I50" i="79"/>
  <c r="G50" i="79"/>
  <c r="AY20" i="79"/>
  <c r="AP32" i="79"/>
  <c r="AP37" i="79" s="1"/>
  <c r="AY18" i="79"/>
  <c r="AM32" i="79"/>
  <c r="AM37" i="79" s="1"/>
  <c r="O57" i="79"/>
  <c r="N57" i="79" s="1"/>
  <c r="AY19" i="79"/>
  <c r="L22" i="79"/>
  <c r="AY22" i="79" s="1"/>
  <c r="Y32" i="79"/>
  <c r="AA32" i="79" s="1"/>
  <c r="AJ32" i="79"/>
  <c r="AJ37" i="79" s="1"/>
  <c r="AV32" i="79"/>
  <c r="AV37" i="79" s="1"/>
  <c r="K36" i="79"/>
  <c r="N36" i="79" s="1"/>
  <c r="AY36" i="79" s="1"/>
  <c r="AE36" i="79"/>
  <c r="V57" i="79" l="1"/>
  <c r="AG67" i="95"/>
  <c r="AJ108" i="95" s="1"/>
  <c r="AG76" i="95"/>
  <c r="AJ125" i="95" s="1"/>
  <c r="T230" i="2"/>
  <c r="S230" i="2"/>
  <c r="S228" i="2"/>
  <c r="T228" i="2"/>
  <c r="T229" i="2"/>
  <c r="S229" i="2"/>
  <c r="T227" i="2"/>
  <c r="S227" i="2"/>
  <c r="S226" i="2"/>
  <c r="T226" i="2"/>
  <c r="B2" i="9"/>
  <c r="K60" i="80" s="1"/>
  <c r="AC38" i="79"/>
  <c r="AD38" i="79" s="1"/>
  <c r="F114" i="62"/>
  <c r="K114" i="9"/>
  <c r="E111" i="2"/>
  <c r="E125" i="75"/>
  <c r="F125" i="75" s="1"/>
  <c r="K116" i="9"/>
  <c r="F110" i="2"/>
  <c r="M130" i="62"/>
  <c r="N121" i="2"/>
  <c r="F125" i="62"/>
  <c r="F116" i="2"/>
  <c r="F130" i="62"/>
  <c r="F121" i="2"/>
  <c r="F126" i="62"/>
  <c r="F117" i="2"/>
  <c r="F120" i="62"/>
  <c r="F142" i="2"/>
  <c r="F116" i="62"/>
  <c r="F138" i="2"/>
  <c r="F138" i="62"/>
  <c r="F129" i="2"/>
  <c r="M128" i="62"/>
  <c r="N119" i="2"/>
  <c r="M122" i="62"/>
  <c r="N113" i="2"/>
  <c r="F134" i="62"/>
  <c r="F125" i="2"/>
  <c r="E121" i="62"/>
  <c r="E143" i="2"/>
  <c r="E117" i="62"/>
  <c r="E139" i="2"/>
  <c r="E134" i="2" s="1"/>
  <c r="F123" i="62"/>
  <c r="F114" i="2"/>
  <c r="F113" i="62"/>
  <c r="F112" i="2"/>
  <c r="F137" i="62"/>
  <c r="F128" i="2"/>
  <c r="M131" i="62"/>
  <c r="N122" i="2"/>
  <c r="K126" i="62"/>
  <c r="L117" i="2"/>
  <c r="F131" i="62"/>
  <c r="F122" i="2"/>
  <c r="K127" i="62"/>
  <c r="L118" i="2"/>
  <c r="F121" i="62"/>
  <c r="F143" i="2"/>
  <c r="F117" i="62"/>
  <c r="F139" i="2"/>
  <c r="K129" i="62"/>
  <c r="L120" i="2"/>
  <c r="M123" i="62"/>
  <c r="N114" i="2"/>
  <c r="K130" i="62"/>
  <c r="L121" i="2"/>
  <c r="M129" i="62"/>
  <c r="N120" i="2"/>
  <c r="M125" i="62"/>
  <c r="N116" i="2"/>
  <c r="E118" i="62"/>
  <c r="E140" i="2"/>
  <c r="E135" i="2" s="1"/>
  <c r="F132" i="62"/>
  <c r="F123" i="2"/>
  <c r="M135" i="62"/>
  <c r="N126" i="2"/>
  <c r="M136" i="62"/>
  <c r="N127" i="2"/>
  <c r="M132" i="62"/>
  <c r="N123" i="2"/>
  <c r="F127" i="62"/>
  <c r="F118" i="2"/>
  <c r="E132" i="62"/>
  <c r="E123" i="2"/>
  <c r="F128" i="62"/>
  <c r="F119" i="2"/>
  <c r="F118" i="62"/>
  <c r="F140" i="2"/>
  <c r="E131" i="62"/>
  <c r="E122" i="2"/>
  <c r="M126" i="62"/>
  <c r="N117" i="2"/>
  <c r="F112" i="62"/>
  <c r="F111" i="2"/>
  <c r="E119" i="62"/>
  <c r="E141" i="2"/>
  <c r="E136" i="2" s="1"/>
  <c r="F124" i="62"/>
  <c r="F115" i="2"/>
  <c r="F136" i="62"/>
  <c r="F127" i="2"/>
  <c r="F129" i="62"/>
  <c r="F120" i="2"/>
  <c r="M124" i="62"/>
  <c r="N115" i="2"/>
  <c r="F119" i="62"/>
  <c r="F141" i="2"/>
  <c r="F135" i="62"/>
  <c r="F126" i="2"/>
  <c r="M127" i="62"/>
  <c r="N118" i="2"/>
  <c r="F133" i="62"/>
  <c r="F124" i="2"/>
  <c r="E120" i="62"/>
  <c r="E142" i="2"/>
  <c r="E137" i="2" s="1"/>
  <c r="E116" i="62"/>
  <c r="E138" i="2"/>
  <c r="E133" i="2" s="1"/>
  <c r="F122" i="62"/>
  <c r="F113" i="2"/>
  <c r="M137" i="62"/>
  <c r="N128" i="2"/>
  <c r="M138" i="62"/>
  <c r="N129" i="2"/>
  <c r="M134" i="62"/>
  <c r="N125" i="2"/>
  <c r="Z95" i="79"/>
  <c r="AA73" i="79"/>
  <c r="M120" i="62"/>
  <c r="N142" i="2"/>
  <c r="M119" i="62"/>
  <c r="N141" i="2"/>
  <c r="M118" i="62"/>
  <c r="N140" i="2"/>
  <c r="M117" i="62"/>
  <c r="N139" i="2"/>
  <c r="M116" i="62"/>
  <c r="N138" i="2"/>
  <c r="E128" i="62"/>
  <c r="E130" i="62"/>
  <c r="E126" i="62"/>
  <c r="E129" i="62"/>
  <c r="E127" i="62"/>
  <c r="E115" i="62"/>
  <c r="Y59" i="79"/>
  <c r="K114" i="62"/>
  <c r="E114" i="62"/>
  <c r="Y60" i="79"/>
  <c r="K115" i="62"/>
  <c r="I86" i="79"/>
  <c r="K131" i="62"/>
  <c r="H15" i="72"/>
  <c r="I14" i="72"/>
  <c r="H14" i="72"/>
  <c r="AX49" i="79"/>
  <c r="H50" i="79" s="1"/>
  <c r="AE47" i="79"/>
  <c r="E110" i="62" s="1"/>
  <c r="E109" i="2" s="1"/>
  <c r="H22" i="79"/>
  <c r="AY32" i="79"/>
  <c r="AY37" i="79" s="1"/>
  <c r="K37" i="79" s="1"/>
  <c r="AZ36" i="79"/>
  <c r="AZ37" i="79" s="1"/>
  <c r="BA37" i="79" s="1"/>
  <c r="BB37" i="79" s="1"/>
  <c r="K22" i="79"/>
  <c r="Y47" i="79"/>
  <c r="AT36" i="79"/>
  <c r="AU36" i="79" s="1"/>
  <c r="AN36" i="79"/>
  <c r="AO36" i="79" s="1"/>
  <c r="AH36" i="79"/>
  <c r="AI36" i="79" s="1"/>
  <c r="AK36" i="79"/>
  <c r="AL36" i="79" s="1"/>
  <c r="P36" i="79"/>
  <c r="R36" i="79" s="1"/>
  <c r="Y36" i="79" s="1"/>
  <c r="AA36" i="79" s="1"/>
  <c r="AQ36" i="79"/>
  <c r="AR36" i="79" s="1"/>
  <c r="T22" i="9"/>
  <c r="T56" i="9" s="1"/>
  <c r="AA11" i="9"/>
  <c r="E11" i="9"/>
  <c r="U11" i="9" s="1"/>
  <c r="AG71" i="95" l="1"/>
  <c r="AJ120" i="95" s="1"/>
  <c r="J60" i="80"/>
  <c r="T102" i="95" s="1"/>
  <c r="U102" i="95" s="1"/>
  <c r="G60" i="80" s="1"/>
  <c r="I7" i="9" s="1"/>
  <c r="U25" i="79"/>
  <c r="I15" i="90"/>
  <c r="M12" i="9"/>
  <c r="M6" i="9"/>
  <c r="M11" i="9"/>
  <c r="M9" i="9"/>
  <c r="N9" i="9" s="1"/>
  <c r="M7" i="9"/>
  <c r="M10" i="9"/>
  <c r="M8" i="9"/>
  <c r="H116" i="9"/>
  <c r="E126" i="75"/>
  <c r="F126" i="75" s="1"/>
  <c r="H114" i="9"/>
  <c r="K132" i="62"/>
  <c r="L123" i="2"/>
  <c r="M121" i="62"/>
  <c r="N143" i="2"/>
  <c r="F38" i="62"/>
  <c r="F37" i="2"/>
  <c r="A38" i="62"/>
  <c r="A37" i="2"/>
  <c r="E37" i="2"/>
  <c r="E38" i="62"/>
  <c r="W11" i="9"/>
  <c r="M22" i="79"/>
  <c r="AR37" i="79"/>
  <c r="AO37" i="79"/>
  <c r="Y37" i="79"/>
  <c r="AI37" i="79"/>
  <c r="AA37" i="79"/>
  <c r="AU37" i="79"/>
  <c r="AL37" i="79"/>
  <c r="I11" i="9"/>
  <c r="AG66" i="95" l="1"/>
  <c r="AJ107" i="95" s="1"/>
  <c r="F17" i="9"/>
  <c r="E17" i="9" s="1"/>
  <c r="L32" i="2"/>
  <c r="AG17" i="95" s="1"/>
  <c r="E55" i="9"/>
  <c r="F15" i="9"/>
  <c r="E15" i="9" s="1"/>
  <c r="K33" i="62"/>
  <c r="C17" i="9"/>
  <c r="W25" i="79"/>
  <c r="U22" i="79"/>
  <c r="I17" i="90"/>
  <c r="I18" i="90" s="1"/>
  <c r="N6" i="9"/>
  <c r="V6" i="9" s="1"/>
  <c r="S6" i="9" s="1"/>
  <c r="U6" i="9"/>
  <c r="N7" i="9"/>
  <c r="V7" i="9" s="1"/>
  <c r="S7" i="9" s="1"/>
  <c r="U7" i="9"/>
  <c r="K115" i="9"/>
  <c r="E127" i="75"/>
  <c r="F127" i="75" s="1"/>
  <c r="C15" i="9"/>
  <c r="E16" i="9"/>
  <c r="A209" i="2" s="1"/>
  <c r="C16" i="9"/>
  <c r="AZ22" i="79"/>
  <c r="BB39" i="79" s="1"/>
  <c r="BC39" i="79" s="1"/>
  <c r="F39" i="79"/>
  <c r="A111" i="2" s="1"/>
  <c r="L37" i="2"/>
  <c r="K38" i="62"/>
  <c r="N37" i="2"/>
  <c r="M38" i="62"/>
  <c r="Z41" i="79"/>
  <c r="AA41" i="79" s="1"/>
  <c r="AB37" i="79"/>
  <c r="AB41" i="79" s="1"/>
  <c r="K34" i="75"/>
  <c r="J34" i="75" s="1"/>
  <c r="K33" i="75"/>
  <c r="J33" i="75" s="1"/>
  <c r="F33" i="75"/>
  <c r="H33" i="75"/>
  <c r="F34" i="75"/>
  <c r="H34" i="75"/>
  <c r="D33" i="75"/>
  <c r="D34" i="75"/>
  <c r="X7" i="9"/>
  <c r="AG113" i="95" l="1"/>
  <c r="AG42" i="95"/>
  <c r="AG43" i="95"/>
  <c r="AJ34" i="95"/>
  <c r="A34" i="2"/>
  <c r="A35" i="62"/>
  <c r="D17" i="9"/>
  <c r="A207" i="62"/>
  <c r="A210" i="2"/>
  <c r="J27" i="90"/>
  <c r="W7" i="9"/>
  <c r="W6" i="9"/>
  <c r="H9" i="9"/>
  <c r="E128" i="75"/>
  <c r="F128" i="75" s="1"/>
  <c r="K64" i="80"/>
  <c r="H115" i="9"/>
  <c r="H117" i="9" s="1"/>
  <c r="D15" i="9"/>
  <c r="A205" i="62"/>
  <c r="A208" i="2"/>
  <c r="D16" i="9"/>
  <c r="A206" i="62"/>
  <c r="L57" i="79"/>
  <c r="Y57" i="79"/>
  <c r="Y54" i="79" s="1"/>
  <c r="F41" i="79"/>
  <c r="A112" i="62"/>
  <c r="B210" i="2"/>
  <c r="E8" i="9"/>
  <c r="A234" i="2" s="1"/>
  <c r="N8" i="9"/>
  <c r="AA8" i="9"/>
  <c r="Z8" i="9"/>
  <c r="K33" i="2" s="1"/>
  <c r="F33" i="2"/>
  <c r="E12" i="9"/>
  <c r="F18" i="9" s="1"/>
  <c r="U12" i="9"/>
  <c r="K231" i="2"/>
  <c r="E58" i="9"/>
  <c r="AJ219" i="95" l="1"/>
  <c r="AJ35" i="95"/>
  <c r="AJ38" i="95"/>
  <c r="A33" i="2"/>
  <c r="AA12" i="79"/>
  <c r="M33" i="62"/>
  <c r="N32" i="2"/>
  <c r="M32" i="62"/>
  <c r="N31" i="2"/>
  <c r="I58" i="80"/>
  <c r="H58" i="80" s="1"/>
  <c r="U9" i="9"/>
  <c r="W9" i="9" s="1"/>
  <c r="N35" i="2" s="1"/>
  <c r="E33" i="2"/>
  <c r="E129" i="75"/>
  <c r="F129" i="75" s="1"/>
  <c r="E18" i="9"/>
  <c r="C18" i="9"/>
  <c r="AA54" i="79"/>
  <c r="AB56" i="79"/>
  <c r="AD56" i="79" s="1"/>
  <c r="AB57" i="79"/>
  <c r="AD57" i="79" s="1"/>
  <c r="AB60" i="79"/>
  <c r="AD60" i="79" s="1"/>
  <c r="AB59" i="79"/>
  <c r="AD59" i="79" s="1"/>
  <c r="J114" i="62" s="1"/>
  <c r="A72" i="2"/>
  <c r="A73" i="62"/>
  <c r="A34" i="62"/>
  <c r="A39" i="62"/>
  <c r="A38" i="2"/>
  <c r="E34" i="62"/>
  <c r="J34" i="62"/>
  <c r="F34" i="62"/>
  <c r="U8" i="9"/>
  <c r="W8" i="9" s="1"/>
  <c r="N33" i="2" s="1"/>
  <c r="F238" i="2"/>
  <c r="A191" i="13"/>
  <c r="I28" i="61"/>
  <c r="I28" i="60"/>
  <c r="I28" i="59"/>
  <c r="I28" i="58"/>
  <c r="I28" i="57"/>
  <c r="E11" i="26"/>
  <c r="E9" i="9" l="1"/>
  <c r="A225" i="2" s="1"/>
  <c r="S234" i="2"/>
  <c r="T234" i="2"/>
  <c r="M36" i="62"/>
  <c r="E130" i="75"/>
  <c r="F130" i="75" s="1"/>
  <c r="J115" i="62"/>
  <c r="D18" i="9"/>
  <c r="A215" i="2"/>
  <c r="A212" i="62"/>
  <c r="M34" i="62"/>
  <c r="E131" i="75" l="1"/>
  <c r="F131" i="75" s="1"/>
  <c r="E132" i="75" l="1"/>
  <c r="F132" i="75" s="1"/>
  <c r="E133" i="75" l="1"/>
  <c r="F133" i="75" s="1"/>
  <c r="G160" i="2"/>
  <c r="E134" i="75" l="1"/>
  <c r="F134" i="75" s="1"/>
  <c r="G106" i="72"/>
  <c r="F106" i="72"/>
  <c r="E106" i="72"/>
  <c r="D106" i="72"/>
  <c r="G99" i="72"/>
  <c r="F99" i="72"/>
  <c r="E99" i="72"/>
  <c r="D99" i="72"/>
  <c r="D96" i="72"/>
  <c r="F95" i="72"/>
  <c r="E95" i="72"/>
  <c r="D95" i="72"/>
  <c r="G94" i="72"/>
  <c r="F94" i="72"/>
  <c r="E94" i="72"/>
  <c r="D94" i="72"/>
  <c r="D93" i="72"/>
  <c r="G92" i="72"/>
  <c r="F92" i="72"/>
  <c r="E92" i="72"/>
  <c r="D92" i="72"/>
  <c r="G84" i="72"/>
  <c r="F84" i="72"/>
  <c r="E84" i="72"/>
  <c r="D84" i="72"/>
  <c r="C105" i="72"/>
  <c r="C112" i="72" s="1"/>
  <c r="C103" i="72"/>
  <c r="C110" i="72" s="1"/>
  <c r="C43" i="72"/>
  <c r="E10" i="32"/>
  <c r="G59" i="13"/>
  <c r="H59" i="13" s="1"/>
  <c r="G60" i="13"/>
  <c r="C63" i="13"/>
  <c r="G63" i="13" s="1"/>
  <c r="C62" i="13"/>
  <c r="G62" i="13" s="1"/>
  <c r="C61" i="13"/>
  <c r="G61" i="13" s="1"/>
  <c r="H61" i="13" s="1"/>
  <c r="H60" i="13" l="1"/>
  <c r="D60" i="75"/>
  <c r="D61" i="75"/>
  <c r="D59" i="75"/>
  <c r="J59" i="13"/>
  <c r="J60" i="13"/>
  <c r="E135" i="75"/>
  <c r="F135" i="75" s="1"/>
  <c r="H63" i="13"/>
  <c r="H62" i="13"/>
  <c r="E136" i="75" l="1"/>
  <c r="F136" i="75" s="1"/>
  <c r="H16" i="32"/>
  <c r="E16" i="32"/>
  <c r="G18" i="62"/>
  <c r="G157" i="62" s="1"/>
  <c r="L152" i="2"/>
  <c r="N152" i="2" l="1"/>
  <c r="B231" i="2"/>
  <c r="B234" i="2"/>
  <c r="E137" i="75"/>
  <c r="F137" i="75" s="1"/>
  <c r="E23" i="9"/>
  <c r="K237" i="2"/>
  <c r="K232" i="2"/>
  <c r="K230" i="2"/>
  <c r="K229" i="2"/>
  <c r="K228" i="2"/>
  <c r="K225" i="2"/>
  <c r="U230" i="2"/>
  <c r="U229" i="2"/>
  <c r="U228" i="2"/>
  <c r="U227" i="2"/>
  <c r="U226" i="2"/>
  <c r="F236" i="2"/>
  <c r="G235" i="2"/>
  <c r="F232" i="2"/>
  <c r="N132" i="2"/>
  <c r="N133" i="2"/>
  <c r="G119" i="13"/>
  <c r="E138" i="75" l="1"/>
  <c r="F138" i="75" s="1"/>
  <c r="V231" i="2"/>
  <c r="L237" i="2"/>
  <c r="V227" i="2"/>
  <c r="V232" i="2"/>
  <c r="V226" i="2"/>
  <c r="V230" i="2"/>
  <c r="V229" i="2"/>
  <c r="V228" i="2"/>
  <c r="H84" i="75"/>
  <c r="H85" i="75"/>
  <c r="H86" i="75"/>
  <c r="H87" i="75"/>
  <c r="H88" i="75"/>
  <c r="H89" i="75"/>
  <c r="H83" i="75"/>
  <c r="H79" i="75"/>
  <c r="H81" i="75"/>
  <c r="H80" i="75"/>
  <c r="H77" i="75"/>
  <c r="H76" i="75"/>
  <c r="H74" i="75"/>
  <c r="H73" i="75"/>
  <c r="H71" i="75"/>
  <c r="H70" i="75"/>
  <c r="H68" i="75"/>
  <c r="H67" i="75"/>
  <c r="H64" i="75"/>
  <c r="H65" i="75"/>
  <c r="H63" i="75"/>
  <c r="H42" i="75"/>
  <c r="H43" i="75"/>
  <c r="H44" i="75"/>
  <c r="H45" i="75"/>
  <c r="H46" i="75"/>
  <c r="H47" i="75"/>
  <c r="H48" i="75"/>
  <c r="H49" i="75"/>
  <c r="H50" i="75"/>
  <c r="H51" i="75"/>
  <c r="H52" i="75"/>
  <c r="H53" i="75"/>
  <c r="H54" i="75"/>
  <c r="H55" i="75"/>
  <c r="H56" i="75"/>
  <c r="H57" i="75"/>
  <c r="H59" i="75"/>
  <c r="H60" i="75"/>
  <c r="H61" i="75"/>
  <c r="H41" i="75"/>
  <c r="H7" i="75"/>
  <c r="H8" i="75"/>
  <c r="H9" i="75"/>
  <c r="H10" i="75"/>
  <c r="H11" i="75"/>
  <c r="H12" i="75"/>
  <c r="H13" i="75"/>
  <c r="H29" i="75"/>
  <c r="H30" i="75"/>
  <c r="H31" i="75"/>
  <c r="H32" i="75"/>
  <c r="H35" i="75"/>
  <c r="H36" i="75"/>
  <c r="H37" i="75"/>
  <c r="H38" i="75"/>
  <c r="H6" i="75"/>
  <c r="F43" i="75"/>
  <c r="F44" i="75"/>
  <c r="F45" i="75"/>
  <c r="F46" i="75"/>
  <c r="F47" i="75"/>
  <c r="F48" i="75"/>
  <c r="F49" i="75"/>
  <c r="F50" i="75"/>
  <c r="F51" i="75"/>
  <c r="F52" i="75"/>
  <c r="F53" i="75"/>
  <c r="F54" i="75"/>
  <c r="F55" i="75"/>
  <c r="F56" i="75"/>
  <c r="F57" i="75"/>
  <c r="F59" i="75"/>
  <c r="F60" i="75"/>
  <c r="F61" i="75"/>
  <c r="F63" i="75"/>
  <c r="F64" i="75"/>
  <c r="F65" i="75"/>
  <c r="F67" i="75"/>
  <c r="F68" i="75"/>
  <c r="F70" i="75"/>
  <c r="F71" i="75"/>
  <c r="F73" i="75"/>
  <c r="F74" i="75"/>
  <c r="F76" i="75"/>
  <c r="F77" i="75"/>
  <c r="F79" i="75"/>
  <c r="F80" i="75"/>
  <c r="F81" i="75"/>
  <c r="F83" i="75"/>
  <c r="F84" i="75"/>
  <c r="F85" i="75"/>
  <c r="F86" i="75"/>
  <c r="F87" i="75"/>
  <c r="F88" i="75"/>
  <c r="F89" i="75"/>
  <c r="F41" i="75"/>
  <c r="F7" i="75"/>
  <c r="F8" i="75"/>
  <c r="F9" i="75"/>
  <c r="F10" i="75"/>
  <c r="F11" i="75"/>
  <c r="F12" i="75"/>
  <c r="F13" i="75"/>
  <c r="F29" i="75"/>
  <c r="F30" i="75"/>
  <c r="F31" i="75"/>
  <c r="F32" i="75"/>
  <c r="F35" i="75"/>
  <c r="F36" i="75"/>
  <c r="F37" i="75"/>
  <c r="F38" i="75"/>
  <c r="F6" i="75"/>
  <c r="D8" i="75"/>
  <c r="D9" i="75"/>
  <c r="D10" i="75"/>
  <c r="D11" i="75"/>
  <c r="D12" i="75"/>
  <c r="D13" i="75"/>
  <c r="D29" i="75"/>
  <c r="D30" i="75"/>
  <c r="D31" i="75"/>
  <c r="D32" i="75"/>
  <c r="D35" i="75"/>
  <c r="D36" i="75"/>
  <c r="D37" i="75"/>
  <c r="D38" i="75"/>
  <c r="D7" i="75"/>
  <c r="E37" i="13"/>
  <c r="E29" i="13"/>
  <c r="AD22" i="79" l="1"/>
  <c r="AD39" i="79"/>
  <c r="AB40" i="79"/>
  <c r="AC40" i="79" s="1"/>
  <c r="AD40" i="79" s="1"/>
  <c r="E139" i="75"/>
  <c r="F139" i="75" s="1"/>
  <c r="H43" i="13"/>
  <c r="E43" i="13"/>
  <c r="H42" i="13"/>
  <c r="E42" i="13"/>
  <c r="H41" i="13"/>
  <c r="E41" i="13"/>
  <c r="H40" i="13"/>
  <c r="E40" i="13"/>
  <c r="H39" i="13"/>
  <c r="E39" i="13"/>
  <c r="H29" i="13"/>
  <c r="V10" i="32"/>
  <c r="U10" i="32"/>
  <c r="T10" i="32"/>
  <c r="O10" i="32"/>
  <c r="N10" i="32"/>
  <c r="M10" i="32"/>
  <c r="L10" i="32"/>
  <c r="K10" i="32"/>
  <c r="J10" i="32"/>
  <c r="I10" i="32"/>
  <c r="F10" i="32"/>
  <c r="F16" i="32" s="1"/>
  <c r="E29" i="9" s="1"/>
  <c r="A47" i="62" s="1"/>
  <c r="D69" i="72"/>
  <c r="G68" i="72"/>
  <c r="F68" i="72" s="1"/>
  <c r="D68" i="72"/>
  <c r="J68" i="72" s="1"/>
  <c r="C10" i="70"/>
  <c r="D10" i="70"/>
  <c r="E10" i="70"/>
  <c r="F10" i="70"/>
  <c r="G10" i="70"/>
  <c r="H10" i="70"/>
  <c r="I10" i="70"/>
  <c r="J10" i="70"/>
  <c r="K10" i="70"/>
  <c r="L10" i="70"/>
  <c r="C11" i="70"/>
  <c r="D11" i="70"/>
  <c r="E11" i="70"/>
  <c r="F11" i="70"/>
  <c r="G11" i="70"/>
  <c r="H11" i="70"/>
  <c r="I11" i="70"/>
  <c r="J11" i="70"/>
  <c r="K11" i="70"/>
  <c r="L11" i="70"/>
  <c r="C12" i="70"/>
  <c r="D12" i="70"/>
  <c r="E12" i="70"/>
  <c r="F12" i="70"/>
  <c r="G12" i="70"/>
  <c r="H12" i="70"/>
  <c r="I12" i="70"/>
  <c r="J12" i="70"/>
  <c r="K12" i="70"/>
  <c r="L12" i="70"/>
  <c r="C13" i="70"/>
  <c r="D13" i="70"/>
  <c r="E13" i="70"/>
  <c r="F13" i="70"/>
  <c r="G13" i="70"/>
  <c r="H13" i="70"/>
  <c r="I13" i="70"/>
  <c r="J13" i="70"/>
  <c r="K13" i="70"/>
  <c r="L13" i="70"/>
  <c r="C14" i="70"/>
  <c r="D14" i="70"/>
  <c r="E14" i="70"/>
  <c r="F14" i="70"/>
  <c r="G14" i="70"/>
  <c r="H14" i="70"/>
  <c r="I14" i="70"/>
  <c r="J14" i="70"/>
  <c r="K14" i="70"/>
  <c r="L14" i="70"/>
  <c r="D9" i="70"/>
  <c r="E9" i="70"/>
  <c r="F9" i="70"/>
  <c r="G9" i="70"/>
  <c r="H9" i="70"/>
  <c r="I9" i="70"/>
  <c r="J9" i="70"/>
  <c r="K9" i="70"/>
  <c r="L9" i="70"/>
  <c r="AD47" i="79" l="1"/>
  <c r="K110" i="2"/>
  <c r="K111" i="2"/>
  <c r="J112" i="62"/>
  <c r="K112" i="2"/>
  <c r="J113" i="62"/>
  <c r="E140" i="75"/>
  <c r="F140" i="75" s="1"/>
  <c r="Y10" i="32"/>
  <c r="Y11" i="32"/>
  <c r="Z10" i="32"/>
  <c r="D62" i="72"/>
  <c r="J111" i="62" l="1"/>
  <c r="E141" i="75"/>
  <c r="F141" i="75" s="1"/>
  <c r="D61" i="72"/>
  <c r="E142" i="75" l="1"/>
  <c r="F142" i="75" s="1"/>
  <c r="I61" i="72"/>
  <c r="Z11" i="32"/>
  <c r="Z12" i="32"/>
  <c r="Z13" i="32"/>
  <c r="Z14" i="32"/>
  <c r="Y12" i="32"/>
  <c r="Y13" i="32"/>
  <c r="Y14" i="32"/>
  <c r="E143" i="75" l="1"/>
  <c r="F143" i="75" s="1"/>
  <c r="M25" i="62"/>
  <c r="K23" i="62" s="1"/>
  <c r="A2" i="32"/>
  <c r="A1" i="32"/>
  <c r="A4" i="32"/>
  <c r="A5" i="32"/>
  <c r="K69" i="62"/>
  <c r="L68" i="2"/>
  <c r="E52" i="9"/>
  <c r="A69" i="62" s="1"/>
  <c r="K66" i="62"/>
  <c r="L65" i="2"/>
  <c r="E49" i="9"/>
  <c r="A66" i="62" s="1"/>
  <c r="A129" i="62" l="1"/>
  <c r="A127" i="62"/>
  <c r="E145" i="75"/>
  <c r="F145" i="75" s="1"/>
  <c r="E144" i="75"/>
  <c r="F144" i="75" s="1"/>
  <c r="A3" i="32"/>
  <c r="E54" i="9" s="1"/>
  <c r="A6" i="32"/>
  <c r="F53" i="9" s="1"/>
  <c r="E53" i="9" s="1"/>
  <c r="A68" i="2"/>
  <c r="A65" i="2"/>
  <c r="A71" i="62" l="1"/>
  <c r="A70" i="62"/>
  <c r="A70" i="2"/>
  <c r="A69" i="2"/>
  <c r="Z7" i="9" l="1"/>
  <c r="X6" i="9"/>
  <c r="L239" i="2"/>
  <c r="AE18" i="9"/>
  <c r="J33" i="62" l="1"/>
  <c r="K32" i="2"/>
  <c r="AG18" i="95" s="1"/>
  <c r="K225" i="62"/>
  <c r="M93" i="9"/>
  <c r="M92" i="9"/>
  <c r="M91" i="9"/>
  <c r="M90" i="9"/>
  <c r="K142" i="62" l="1"/>
  <c r="K143" i="62"/>
  <c r="K144" i="62"/>
  <c r="L146" i="2"/>
  <c r="L147" i="2"/>
  <c r="L148" i="2"/>
  <c r="AG96" i="95" s="1"/>
  <c r="AJ159" i="95" s="1"/>
  <c r="W74" i="9"/>
  <c r="M89" i="62" s="1"/>
  <c r="AG103" i="95" l="1"/>
  <c r="AJ232" i="95" s="1"/>
  <c r="AG92" i="95"/>
  <c r="AJ155" i="95" s="1"/>
  <c r="AG97" i="95"/>
  <c r="AJ165" i="95" s="1"/>
  <c r="AG95" i="95"/>
  <c r="AJ156" i="95" s="1"/>
  <c r="AG90" i="95"/>
  <c r="AJ171" i="95" s="1"/>
  <c r="AG94" i="95"/>
  <c r="AJ157" i="95" s="1"/>
  <c r="AG100" i="95"/>
  <c r="AJ178" i="95" s="1"/>
  <c r="AG93" i="95"/>
  <c r="AJ158" i="95" s="1"/>
  <c r="AG91" i="95"/>
  <c r="AJ170" i="95" s="1"/>
  <c r="AG99" i="95"/>
  <c r="AJ181" i="95" s="1"/>
  <c r="AG101" i="95"/>
  <c r="AJ182" i="95" s="1"/>
  <c r="AG98" i="95"/>
  <c r="AG111" i="95"/>
  <c r="AJ192" i="95" s="1"/>
  <c r="AG107" i="95"/>
  <c r="AJ188" i="95" s="1"/>
  <c r="AG106" i="95"/>
  <c r="AJ187" i="95" s="1"/>
  <c r="AG105" i="95"/>
  <c r="AJ186" i="95" s="1"/>
  <c r="AG108" i="95"/>
  <c r="AJ189" i="95" s="1"/>
  <c r="AG110" i="95"/>
  <c r="AJ191" i="95" s="1"/>
  <c r="AG109" i="95"/>
  <c r="AJ190" i="95" s="1"/>
  <c r="AG104" i="95"/>
  <c r="AJ185" i="95" s="1"/>
  <c r="N88" i="2"/>
  <c r="I29" i="2" l="1"/>
  <c r="M29" i="2"/>
  <c r="O29" i="2"/>
  <c r="E76" i="9" l="1"/>
  <c r="A91" i="62" s="1"/>
  <c r="E41" i="9"/>
  <c r="A59" i="62" s="1"/>
  <c r="E30" i="9"/>
  <c r="A48" i="62" s="1"/>
  <c r="I78" i="9"/>
  <c r="K93" i="62" s="1"/>
  <c r="I79" i="9"/>
  <c r="K94" i="62" s="1"/>
  <c r="I80" i="9"/>
  <c r="K95" i="62" s="1"/>
  <c r="I81" i="9"/>
  <c r="K96" i="62" s="1"/>
  <c r="I43" i="9"/>
  <c r="D43" i="9" s="1"/>
  <c r="I44" i="9"/>
  <c r="I45" i="9"/>
  <c r="D45" i="9" s="1"/>
  <c r="I46" i="9"/>
  <c r="D46" i="9" s="1"/>
  <c r="I37" i="9"/>
  <c r="D37" i="9" s="1"/>
  <c r="I38" i="9"/>
  <c r="D38" i="9" s="1"/>
  <c r="I39" i="9"/>
  <c r="D39" i="9" s="1"/>
  <c r="I40" i="9"/>
  <c r="D40" i="9" s="1"/>
  <c r="N152" i="13"/>
  <c r="O56" i="79" s="1"/>
  <c r="Y56" i="79" s="1"/>
  <c r="N153" i="13"/>
  <c r="N151" i="13"/>
  <c r="P54" i="79" l="1"/>
  <c r="K54" i="79"/>
  <c r="F56" i="79"/>
  <c r="AA56" i="79" s="1"/>
  <c r="O54" i="79"/>
  <c r="R54" i="79"/>
  <c r="L54" i="79"/>
  <c r="AA57" i="79"/>
  <c r="V54" i="79"/>
  <c r="N54" i="79"/>
  <c r="M54" i="79"/>
  <c r="AD54" i="79"/>
  <c r="A90" i="2"/>
  <c r="D44" i="9"/>
  <c r="E24" i="9"/>
  <c r="A42" i="62" s="1"/>
  <c r="E42" i="9"/>
  <c r="A60" i="62" s="1"/>
  <c r="L103" i="2"/>
  <c r="L104" i="2"/>
  <c r="L105" i="2"/>
  <c r="L106" i="2"/>
  <c r="L107" i="2"/>
  <c r="J110" i="62" l="1"/>
  <c r="AB77" i="79"/>
  <c r="AD76" i="79"/>
  <c r="M58" i="9"/>
  <c r="U58" i="9" s="1"/>
  <c r="M59" i="9"/>
  <c r="U59" i="9" s="1"/>
  <c r="M60" i="9"/>
  <c r="U60" i="9" s="1"/>
  <c r="M61" i="9"/>
  <c r="U61" i="9" s="1"/>
  <c r="M62" i="9"/>
  <c r="U62" i="9" s="1"/>
  <c r="M63" i="9"/>
  <c r="U63" i="9" s="1"/>
  <c r="M57" i="9"/>
  <c r="M26" i="62"/>
  <c r="M27" i="62"/>
  <c r="G27" i="62"/>
  <c r="G26" i="62"/>
  <c r="G25" i="62"/>
  <c r="G21" i="62"/>
  <c r="G17" i="62"/>
  <c r="G16" i="62"/>
  <c r="G15" i="62"/>
  <c r="J227" i="62"/>
  <c r="S225" i="62"/>
  <c r="R225" i="62"/>
  <c r="J224" i="62"/>
  <c r="S224" i="62"/>
  <c r="U227" i="62"/>
  <c r="T227" i="62"/>
  <c r="K145" i="62"/>
  <c r="K79" i="62"/>
  <c r="K78" i="62"/>
  <c r="K77" i="62"/>
  <c r="K76" i="62"/>
  <c r="K75" i="62"/>
  <c r="K74" i="62"/>
  <c r="K73" i="62"/>
  <c r="H47" i="62"/>
  <c r="H41" i="62"/>
  <c r="K32" i="62"/>
  <c r="L101" i="2"/>
  <c r="L100" i="2"/>
  <c r="L99" i="2"/>
  <c r="L98" i="2"/>
  <c r="L97" i="2"/>
  <c r="L76" i="2"/>
  <c r="L75" i="2"/>
  <c r="L74" i="2"/>
  <c r="L73" i="2"/>
  <c r="L72" i="2"/>
  <c r="Z79" i="9"/>
  <c r="J94" i="62" s="1"/>
  <c r="Z80" i="9"/>
  <c r="J95" i="62" s="1"/>
  <c r="Z81" i="9"/>
  <c r="J96" i="62" s="1"/>
  <c r="L93" i="2"/>
  <c r="L94" i="2"/>
  <c r="L77" i="9"/>
  <c r="E66" i="9"/>
  <c r="A81" i="62" s="1"/>
  <c r="E67" i="9"/>
  <c r="A82" i="62" s="1"/>
  <c r="E68" i="9"/>
  <c r="A83" i="62" s="1"/>
  <c r="E69" i="9"/>
  <c r="A84" i="62" s="1"/>
  <c r="E70" i="9"/>
  <c r="A85" i="62" s="1"/>
  <c r="E71" i="9"/>
  <c r="A86" i="62" s="1"/>
  <c r="E72" i="9"/>
  <c r="A87" i="62" s="1"/>
  <c r="E73" i="9"/>
  <c r="A88" i="62" s="1"/>
  <c r="E74" i="9"/>
  <c r="A89" i="62" s="1"/>
  <c r="E75" i="9"/>
  <c r="A90" i="62" s="1"/>
  <c r="E84" i="9"/>
  <c r="A99" i="62" s="1"/>
  <c r="E85" i="9"/>
  <c r="A100" i="62" s="1"/>
  <c r="E86" i="9"/>
  <c r="A101" i="62" s="1"/>
  <c r="E87" i="9"/>
  <c r="A102" i="62" s="1"/>
  <c r="E90" i="9"/>
  <c r="A105" i="62" s="1"/>
  <c r="E91" i="9"/>
  <c r="A106" i="62" s="1"/>
  <c r="E92" i="9"/>
  <c r="A107" i="62" s="1"/>
  <c r="E93" i="9"/>
  <c r="E64" i="9"/>
  <c r="E59" i="9"/>
  <c r="E60" i="9"/>
  <c r="E61" i="9"/>
  <c r="E62" i="9"/>
  <c r="E63" i="9"/>
  <c r="C151" i="13"/>
  <c r="C150" i="13"/>
  <c r="C149" i="13"/>
  <c r="C148" i="13"/>
  <c r="C147" i="13"/>
  <c r="D18" i="61"/>
  <c r="D18" i="60"/>
  <c r="D18" i="59"/>
  <c r="D18" i="58"/>
  <c r="D18" i="57"/>
  <c r="D18" i="56"/>
  <c r="D18" i="55"/>
  <c r="D18" i="54"/>
  <c r="D18" i="53"/>
  <c r="D18" i="34"/>
  <c r="I31" i="9"/>
  <c r="D31" i="9" s="1"/>
  <c r="I32" i="9"/>
  <c r="D32" i="9" s="1"/>
  <c r="I33" i="9"/>
  <c r="I34" i="9"/>
  <c r="I30" i="9"/>
  <c r="D30" i="9" s="1"/>
  <c r="I25" i="9"/>
  <c r="I26" i="9"/>
  <c r="I27" i="9"/>
  <c r="I28" i="9"/>
  <c r="I24" i="9"/>
  <c r="D9" i="61"/>
  <c r="D8" i="61"/>
  <c r="D7" i="61"/>
  <c r="D3" i="61"/>
  <c r="D9" i="60"/>
  <c r="D8" i="60"/>
  <c r="D7" i="60"/>
  <c r="D3" i="60"/>
  <c r="D9" i="59"/>
  <c r="D8" i="59"/>
  <c r="D7" i="59"/>
  <c r="D3" i="59"/>
  <c r="D9" i="58"/>
  <c r="D8" i="58"/>
  <c r="D7" i="58"/>
  <c r="D3" i="58"/>
  <c r="D9" i="57"/>
  <c r="D8" i="57"/>
  <c r="D7" i="57"/>
  <c r="D3" i="57"/>
  <c r="D9" i="56"/>
  <c r="D8" i="56"/>
  <c r="D7" i="56"/>
  <c r="D3" i="56"/>
  <c r="D9" i="55"/>
  <c r="D8" i="55"/>
  <c r="D7" i="55"/>
  <c r="D3" i="55"/>
  <c r="D3" i="54"/>
  <c r="D9" i="54"/>
  <c r="D8" i="54"/>
  <c r="D7" i="54"/>
  <c r="H32" i="61"/>
  <c r="H31" i="61"/>
  <c r="H30" i="61"/>
  <c r="K31" i="61"/>
  <c r="J31" i="61"/>
  <c r="I32" i="61"/>
  <c r="F31" i="61"/>
  <c r="AB78" i="79" l="1"/>
  <c r="AD77" i="79"/>
  <c r="J122" i="62"/>
  <c r="K113" i="2"/>
  <c r="A107" i="2"/>
  <c r="A108" i="62"/>
  <c r="K94" i="2"/>
  <c r="K95" i="2"/>
  <c r="A75" i="2"/>
  <c r="A76" i="62"/>
  <c r="A101" i="2"/>
  <c r="A89" i="2"/>
  <c r="A85" i="2"/>
  <c r="A81" i="2"/>
  <c r="A76" i="2"/>
  <c r="A77" i="62"/>
  <c r="A79" i="62"/>
  <c r="A78" i="2"/>
  <c r="A104" i="2"/>
  <c r="A98" i="2"/>
  <c r="A86" i="2"/>
  <c r="A82" i="2"/>
  <c r="A78" i="62"/>
  <c r="A77" i="2"/>
  <c r="A74" i="62"/>
  <c r="A73" i="2"/>
  <c r="A99" i="2"/>
  <c r="A87" i="2"/>
  <c r="A83" i="2"/>
  <c r="A105" i="2"/>
  <c r="A75" i="62"/>
  <c r="A74" i="2"/>
  <c r="A106" i="2"/>
  <c r="A100" i="2"/>
  <c r="A88" i="2"/>
  <c r="A84" i="2"/>
  <c r="A80" i="2"/>
  <c r="D24" i="9"/>
  <c r="I23" i="9"/>
  <c r="D26" i="9"/>
  <c r="D25" i="9"/>
  <c r="E33" i="9"/>
  <c r="A51" i="62" s="1"/>
  <c r="D33" i="9"/>
  <c r="E34" i="9"/>
  <c r="A52" i="62" s="1"/>
  <c r="D34" i="9"/>
  <c r="E27" i="9"/>
  <c r="A45" i="62" s="1"/>
  <c r="D27" i="9"/>
  <c r="E28" i="9"/>
  <c r="A46" i="62" s="1"/>
  <c r="D28" i="9"/>
  <c r="E31" i="9"/>
  <c r="A49" i="62" s="1"/>
  <c r="E32" i="9"/>
  <c r="A50" i="62" s="1"/>
  <c r="K48" i="62"/>
  <c r="X38" i="9"/>
  <c r="Z38" i="9" s="1"/>
  <c r="L55" i="2"/>
  <c r="K56" i="62"/>
  <c r="X45" i="9"/>
  <c r="Z45" i="9" s="1"/>
  <c r="L62" i="2"/>
  <c r="K63" i="62"/>
  <c r="X39" i="9"/>
  <c r="Z39" i="9" s="1"/>
  <c r="K57" i="62"/>
  <c r="L56" i="2"/>
  <c r="E46" i="9"/>
  <c r="A64" i="62" s="1"/>
  <c r="K64" i="62"/>
  <c r="L63" i="2"/>
  <c r="L41" i="2"/>
  <c r="K42" i="62"/>
  <c r="E26" i="9"/>
  <c r="A44" i="62" s="1"/>
  <c r="K44" i="62"/>
  <c r="L43" i="2"/>
  <c r="X40" i="9"/>
  <c r="Z40" i="9" s="1"/>
  <c r="L57" i="2"/>
  <c r="K58" i="62"/>
  <c r="K60" i="62"/>
  <c r="I41" i="9"/>
  <c r="L59" i="2"/>
  <c r="X43" i="9"/>
  <c r="Z43" i="9" s="1"/>
  <c r="L60" i="2"/>
  <c r="K61" i="62"/>
  <c r="E25" i="9"/>
  <c r="A43" i="62" s="1"/>
  <c r="K43" i="62"/>
  <c r="L42" i="2"/>
  <c r="X37" i="9"/>
  <c r="Z37" i="9" s="1"/>
  <c r="L54" i="2"/>
  <c r="K55" i="62"/>
  <c r="E44" i="9"/>
  <c r="A62" i="62" s="1"/>
  <c r="K62" i="62"/>
  <c r="L61" i="2"/>
  <c r="Q162" i="62"/>
  <c r="E37" i="9"/>
  <c r="A55" i="62" s="1"/>
  <c r="E40" i="9"/>
  <c r="A58" i="62" s="1"/>
  <c r="E38" i="9"/>
  <c r="A56" i="62" s="1"/>
  <c r="E45" i="9"/>
  <c r="A63" i="62" s="1"/>
  <c r="X44" i="9"/>
  <c r="Z44" i="9" s="1"/>
  <c r="X42" i="9"/>
  <c r="Z42" i="9" s="1"/>
  <c r="X46" i="9"/>
  <c r="Z46" i="9" s="1"/>
  <c r="E43" i="9"/>
  <c r="A61" i="62" s="1"/>
  <c r="E39" i="9"/>
  <c r="A57" i="62" s="1"/>
  <c r="L95" i="2"/>
  <c r="K46" i="62"/>
  <c r="K49" i="62"/>
  <c r="K45" i="62"/>
  <c r="K52" i="62"/>
  <c r="K51" i="62"/>
  <c r="K50" i="62"/>
  <c r="R224" i="62"/>
  <c r="J30" i="61"/>
  <c r="F30" i="61"/>
  <c r="F32" i="61"/>
  <c r="J32" i="61"/>
  <c r="K30" i="61"/>
  <c r="I31" i="61"/>
  <c r="K32" i="61"/>
  <c r="I30" i="61"/>
  <c r="D28" i="61"/>
  <c r="AB79" i="79" l="1"/>
  <c r="AD78" i="79"/>
  <c r="J123" i="62"/>
  <c r="K114" i="2"/>
  <c r="J59" i="62"/>
  <c r="K58" i="2"/>
  <c r="D22" i="9"/>
  <c r="A55" i="2"/>
  <c r="A61" i="2"/>
  <c r="A63" i="2"/>
  <c r="A56" i="2"/>
  <c r="A54" i="2"/>
  <c r="A62" i="2"/>
  <c r="A60" i="2"/>
  <c r="A57" i="2"/>
  <c r="J62" i="62"/>
  <c r="K61" i="2"/>
  <c r="J64" i="62"/>
  <c r="K63" i="2"/>
  <c r="J58" i="62"/>
  <c r="K57" i="2"/>
  <c r="J57" i="62"/>
  <c r="K56" i="2"/>
  <c r="J63" i="62"/>
  <c r="K62" i="2"/>
  <c r="J61" i="62"/>
  <c r="K60" i="2"/>
  <c r="J55" i="62"/>
  <c r="K54" i="2"/>
  <c r="J60" i="62"/>
  <c r="K59" i="2"/>
  <c r="J56" i="62"/>
  <c r="K55" i="2"/>
  <c r="K59" i="62"/>
  <c r="R227" i="62"/>
  <c r="S227" i="62"/>
  <c r="D4" i="61"/>
  <c r="H32" i="60"/>
  <c r="H31" i="60"/>
  <c r="H30" i="60"/>
  <c r="K31" i="60"/>
  <c r="J32" i="60"/>
  <c r="I32" i="60"/>
  <c r="F32" i="60"/>
  <c r="K23" i="61"/>
  <c r="AB80" i="79" l="1"/>
  <c r="AD79" i="79"/>
  <c r="K115" i="2"/>
  <c r="J124" i="62"/>
  <c r="K32" i="60"/>
  <c r="D28" i="60"/>
  <c r="K30" i="60"/>
  <c r="J31" i="60"/>
  <c r="F31" i="60"/>
  <c r="I25" i="61"/>
  <c r="I26" i="61" s="1"/>
  <c r="I24" i="61"/>
  <c r="I23" i="61"/>
  <c r="I22" i="61"/>
  <c r="H21" i="61"/>
  <c r="I31" i="60"/>
  <c r="G21" i="61"/>
  <c r="F30" i="60"/>
  <c r="J30" i="60"/>
  <c r="F21" i="61"/>
  <c r="I30" i="60"/>
  <c r="H25" i="61"/>
  <c r="F22" i="61"/>
  <c r="G22" i="61"/>
  <c r="AB81" i="79" l="1"/>
  <c r="AD80" i="79"/>
  <c r="J125" i="62"/>
  <c r="K116" i="2"/>
  <c r="G30" i="61"/>
  <c r="F35" i="61" s="1"/>
  <c r="D4" i="60"/>
  <c r="H32" i="59"/>
  <c r="H31" i="59"/>
  <c r="H30" i="59"/>
  <c r="K31" i="59"/>
  <c r="J32" i="59"/>
  <c r="I32" i="59"/>
  <c r="F32" i="59"/>
  <c r="F23" i="61"/>
  <c r="G24" i="61"/>
  <c r="H23" i="61"/>
  <c r="G23" i="61"/>
  <c r="K23" i="60"/>
  <c r="G25" i="61"/>
  <c r="F25" i="61"/>
  <c r="G26" i="61" l="1"/>
  <c r="G32" i="61" s="1"/>
  <c r="F37" i="61" s="1"/>
  <c r="G31" i="61"/>
  <c r="F36" i="61" s="1"/>
  <c r="F39" i="61" s="1"/>
  <c r="F26" i="61"/>
  <c r="AB82" i="79"/>
  <c r="AD81" i="79"/>
  <c r="J126" i="62"/>
  <c r="K117" i="2"/>
  <c r="F31" i="59"/>
  <c r="K30" i="59"/>
  <c r="K32" i="59"/>
  <c r="F30" i="59"/>
  <c r="D28" i="59"/>
  <c r="I25" i="60"/>
  <c r="I26" i="60" s="1"/>
  <c r="I24" i="60"/>
  <c r="I23" i="60"/>
  <c r="I22" i="60"/>
  <c r="H21" i="60"/>
  <c r="G21" i="60"/>
  <c r="J31" i="59"/>
  <c r="J30" i="59"/>
  <c r="F21" i="60"/>
  <c r="I31" i="59"/>
  <c r="I30" i="59"/>
  <c r="H23" i="60"/>
  <c r="F23" i="60"/>
  <c r="G23" i="60"/>
  <c r="AB83" i="79" l="1"/>
  <c r="AD82" i="79"/>
  <c r="J127" i="62"/>
  <c r="K118" i="2"/>
  <c r="F25" i="60"/>
  <c r="G25" i="60"/>
  <c r="H25" i="60"/>
  <c r="F22" i="60"/>
  <c r="K23" i="59"/>
  <c r="G24" i="60"/>
  <c r="G22" i="60"/>
  <c r="G26" i="60" l="1"/>
  <c r="G32" i="60" s="1"/>
  <c r="F37" i="60" s="1"/>
  <c r="G31" i="60"/>
  <c r="F36" i="60" s="1"/>
  <c r="F26" i="60"/>
  <c r="G30" i="60"/>
  <c r="F35" i="60" s="1"/>
  <c r="AB84" i="79"/>
  <c r="AD83" i="79"/>
  <c r="J128" i="62"/>
  <c r="K119" i="2"/>
  <c r="D4" i="59"/>
  <c r="H32" i="58"/>
  <c r="H31" i="58"/>
  <c r="H30" i="58"/>
  <c r="K31" i="58"/>
  <c r="J32" i="58"/>
  <c r="I32" i="58"/>
  <c r="F32" i="58"/>
  <c r="F39" i="60" l="1"/>
  <c r="J129" i="62"/>
  <c r="K120" i="2"/>
  <c r="AB85" i="79"/>
  <c r="AD84" i="79"/>
  <c r="K32" i="58"/>
  <c r="F30" i="58"/>
  <c r="D28" i="58"/>
  <c r="F31" i="58"/>
  <c r="K30" i="58"/>
  <c r="I25" i="59"/>
  <c r="I26" i="59" s="1"/>
  <c r="I24" i="59"/>
  <c r="I23" i="59"/>
  <c r="I22" i="59"/>
  <c r="J31" i="58"/>
  <c r="H21" i="59"/>
  <c r="I31" i="58"/>
  <c r="G21" i="59"/>
  <c r="J30" i="58"/>
  <c r="F21" i="59"/>
  <c r="I30" i="58"/>
  <c r="H23" i="59"/>
  <c r="F23" i="59"/>
  <c r="G25" i="59"/>
  <c r="J130" i="62" l="1"/>
  <c r="K121" i="2"/>
  <c r="AB86" i="79"/>
  <c r="AD86" i="79" s="1"/>
  <c r="AD85" i="79"/>
  <c r="G26" i="59"/>
  <c r="G32" i="59" s="1"/>
  <c r="F37" i="59" s="1"/>
  <c r="K23" i="58"/>
  <c r="H25" i="59"/>
  <c r="G22" i="59"/>
  <c r="G23" i="59"/>
  <c r="F22" i="59"/>
  <c r="G24" i="59"/>
  <c r="F25" i="59"/>
  <c r="G30" i="59" l="1"/>
  <c r="F35" i="59" s="1"/>
  <c r="F26" i="59"/>
  <c r="G31" i="59"/>
  <c r="F36" i="59" s="1"/>
  <c r="J131" i="62"/>
  <c r="K122" i="2"/>
  <c r="J132" i="62"/>
  <c r="K123" i="2"/>
  <c r="D4" i="58"/>
  <c r="H32" i="57"/>
  <c r="H31" i="57"/>
  <c r="H30" i="57"/>
  <c r="K31" i="57"/>
  <c r="J31" i="57"/>
  <c r="I32" i="57"/>
  <c r="F32" i="57"/>
  <c r="F39" i="59" l="1"/>
  <c r="F30" i="57"/>
  <c r="F31" i="57"/>
  <c r="K32" i="57"/>
  <c r="D28" i="57"/>
  <c r="K30" i="57"/>
  <c r="I25" i="58"/>
  <c r="I26" i="58" s="1"/>
  <c r="I24" i="58"/>
  <c r="I23" i="58"/>
  <c r="I22" i="58"/>
  <c r="H21" i="58"/>
  <c r="G21" i="58"/>
  <c r="J30" i="57"/>
  <c r="J32" i="57"/>
  <c r="F21" i="58"/>
  <c r="I31" i="57"/>
  <c r="I30" i="57"/>
  <c r="H23" i="58"/>
  <c r="H25" i="58"/>
  <c r="F22" i="58"/>
  <c r="G23" i="58"/>
  <c r="D4" i="57" l="1"/>
  <c r="H32" i="56"/>
  <c r="H31" i="56"/>
  <c r="H30" i="56"/>
  <c r="K31" i="56"/>
  <c r="J31" i="56"/>
  <c r="I32" i="56"/>
  <c r="G24" i="58"/>
  <c r="K23" i="57"/>
  <c r="G25" i="58"/>
  <c r="G22" i="58"/>
  <c r="F23" i="58"/>
  <c r="F25" i="58"/>
  <c r="G30" i="58" l="1"/>
  <c r="F35" i="58" s="1"/>
  <c r="G26" i="58"/>
  <c r="G32" i="58" s="1"/>
  <c r="F37" i="58" s="1"/>
  <c r="F26" i="58"/>
  <c r="G31" i="58"/>
  <c r="F36" i="58" s="1"/>
  <c r="K32" i="56"/>
  <c r="J30" i="56"/>
  <c r="J32" i="56"/>
  <c r="K30" i="56"/>
  <c r="I25" i="57"/>
  <c r="I26" i="57" s="1"/>
  <c r="I24" i="57"/>
  <c r="I23" i="57"/>
  <c r="I22" i="57"/>
  <c r="I31" i="56"/>
  <c r="I30" i="56"/>
  <c r="D28" i="56"/>
  <c r="K23" i="56"/>
  <c r="F39" i="58" l="1"/>
  <c r="G21" i="56"/>
  <c r="D4" i="56"/>
  <c r="H32" i="55"/>
  <c r="H31" i="55"/>
  <c r="H30" i="55"/>
  <c r="K31" i="55"/>
  <c r="J31" i="55"/>
  <c r="I31" i="55"/>
  <c r="G25" i="56"/>
  <c r="K30" i="55" l="1"/>
  <c r="K32" i="55"/>
  <c r="J32" i="55"/>
  <c r="J30" i="55"/>
  <c r="G26" i="56"/>
  <c r="G32" i="56" s="1"/>
  <c r="F37" i="56" s="1"/>
  <c r="I25" i="56"/>
  <c r="I26" i="56" s="1"/>
  <c r="I24" i="56"/>
  <c r="I23" i="56"/>
  <c r="I22" i="56"/>
  <c r="H21" i="56"/>
  <c r="F21" i="56"/>
  <c r="I30" i="55"/>
  <c r="I32" i="55"/>
  <c r="D28" i="55"/>
  <c r="G24" i="56"/>
  <c r="H25" i="56"/>
  <c r="G22" i="56"/>
  <c r="F23" i="56"/>
  <c r="G23" i="56"/>
  <c r="G31" i="56" l="1"/>
  <c r="G30" i="56"/>
  <c r="D4" i="55"/>
  <c r="H32" i="54"/>
  <c r="H31" i="54"/>
  <c r="H30" i="54"/>
  <c r="K31" i="54"/>
  <c r="J31" i="54"/>
  <c r="I32" i="54"/>
  <c r="H23" i="56"/>
  <c r="K23" i="55"/>
  <c r="F25" i="56"/>
  <c r="F22" i="56"/>
  <c r="F30" i="56" l="1"/>
  <c r="F35" i="56" s="1"/>
  <c r="F26" i="56"/>
  <c r="F32" i="56" s="1"/>
  <c r="J30" i="54"/>
  <c r="J32" i="54"/>
  <c r="I25" i="55"/>
  <c r="I26" i="55" s="1"/>
  <c r="I24" i="55"/>
  <c r="I23" i="55"/>
  <c r="I22" i="55"/>
  <c r="H21" i="55"/>
  <c r="F21" i="55"/>
  <c r="G21" i="55"/>
  <c r="K30" i="54"/>
  <c r="I31" i="54"/>
  <c r="K32" i="54"/>
  <c r="I30" i="54"/>
  <c r="D28" i="54"/>
  <c r="H23" i="55"/>
  <c r="F22" i="55"/>
  <c r="G23" i="55"/>
  <c r="F30" i="55" l="1"/>
  <c r="G30" i="55"/>
  <c r="G31" i="55"/>
  <c r="D4" i="54"/>
  <c r="D9" i="53"/>
  <c r="D8" i="53"/>
  <c r="D7" i="53"/>
  <c r="D3" i="53"/>
  <c r="H32" i="53"/>
  <c r="H31" i="53"/>
  <c r="H30" i="53"/>
  <c r="K31" i="53"/>
  <c r="J31" i="53"/>
  <c r="I32" i="53"/>
  <c r="F23" i="55"/>
  <c r="G22" i="55"/>
  <c r="G25" i="55"/>
  <c r="K23" i="54"/>
  <c r="H25" i="55"/>
  <c r="F25" i="55"/>
  <c r="G24" i="55"/>
  <c r="G26" i="55" l="1"/>
  <c r="G32" i="55" s="1"/>
  <c r="F26" i="55"/>
  <c r="F32" i="55" s="1"/>
  <c r="F35" i="55"/>
  <c r="K32" i="53"/>
  <c r="I25" i="54"/>
  <c r="I26" i="54" s="1"/>
  <c r="I24" i="54"/>
  <c r="I23" i="54"/>
  <c r="I22" i="54"/>
  <c r="H21" i="54"/>
  <c r="G21" i="54"/>
  <c r="F21" i="54"/>
  <c r="J32" i="53"/>
  <c r="K30" i="53"/>
  <c r="J30" i="53"/>
  <c r="I31" i="53"/>
  <c r="I30" i="53"/>
  <c r="D28" i="53"/>
  <c r="G24" i="54"/>
  <c r="K23" i="53"/>
  <c r="F25" i="54"/>
  <c r="H23" i="54"/>
  <c r="F37" i="55" l="1"/>
  <c r="G31" i="54"/>
  <c r="G30" i="54"/>
  <c r="F26" i="54"/>
  <c r="F32" i="54" s="1"/>
  <c r="D4" i="53"/>
  <c r="X83" i="9"/>
  <c r="X84" i="9" s="1"/>
  <c r="X85" i="9" s="1"/>
  <c r="X34" i="9"/>
  <c r="Z34" i="9" s="1"/>
  <c r="J52" i="62" s="1"/>
  <c r="X33" i="9"/>
  <c r="Z33" i="9" s="1"/>
  <c r="J51" i="62" s="1"/>
  <c r="X32" i="9"/>
  <c r="Z32" i="9" s="1"/>
  <c r="J50" i="62" s="1"/>
  <c r="X31" i="9"/>
  <c r="Z31" i="9" s="1"/>
  <c r="X30" i="9"/>
  <c r="Z30" i="9" s="1"/>
  <c r="I88" i="9"/>
  <c r="K103" i="62" s="1"/>
  <c r="I82" i="9"/>
  <c r="K97" i="62" s="1"/>
  <c r="K72" i="62"/>
  <c r="I29" i="9"/>
  <c r="F22" i="54"/>
  <c r="G25" i="54"/>
  <c r="G22" i="54"/>
  <c r="F23" i="54"/>
  <c r="H25" i="54"/>
  <c r="G23" i="54"/>
  <c r="F30" i="54" l="1"/>
  <c r="F35" i="54" s="1"/>
  <c r="G26" i="54"/>
  <c r="G32" i="54" s="1"/>
  <c r="F37" i="54" s="1"/>
  <c r="J47" i="62"/>
  <c r="K46" i="2"/>
  <c r="K47" i="62"/>
  <c r="J48" i="62"/>
  <c r="J49" i="62"/>
  <c r="E82" i="9"/>
  <c r="A97" i="62" s="1"/>
  <c r="K76" i="2"/>
  <c r="J77" i="62"/>
  <c r="K73" i="2"/>
  <c r="J74" i="62"/>
  <c r="K74" i="2"/>
  <c r="J75" i="62"/>
  <c r="E88" i="9"/>
  <c r="A103" i="62" s="1"/>
  <c r="K75" i="2"/>
  <c r="J76" i="62"/>
  <c r="E57" i="9"/>
  <c r="A72" i="62" s="1"/>
  <c r="Z83" i="9"/>
  <c r="J98" i="62" s="1"/>
  <c r="I25" i="53"/>
  <c r="I26" i="53" s="1"/>
  <c r="I24" i="53"/>
  <c r="I23" i="53"/>
  <c r="I22" i="53"/>
  <c r="H21" i="53"/>
  <c r="G21" i="53"/>
  <c r="F21" i="53"/>
  <c r="X86" i="9"/>
  <c r="Z85" i="9"/>
  <c r="J100" i="62" s="1"/>
  <c r="Z84" i="9"/>
  <c r="J99" i="62" s="1"/>
  <c r="H23" i="53"/>
  <c r="G22" i="53"/>
  <c r="F22" i="53"/>
  <c r="A102" i="2" l="1"/>
  <c r="A96" i="2"/>
  <c r="F30" i="53"/>
  <c r="G30" i="53"/>
  <c r="G31" i="53"/>
  <c r="K72" i="2"/>
  <c r="K71" i="2" s="1"/>
  <c r="J73" i="62"/>
  <c r="J72" i="62" s="1"/>
  <c r="K97" i="2"/>
  <c r="K99" i="2"/>
  <c r="K98" i="2"/>
  <c r="X87" i="9"/>
  <c r="Z86" i="9"/>
  <c r="J101" i="62" s="1"/>
  <c r="G24" i="53"/>
  <c r="H25" i="53"/>
  <c r="G25" i="53"/>
  <c r="F25" i="53"/>
  <c r="F23" i="53"/>
  <c r="G23" i="53"/>
  <c r="F26" i="53" l="1"/>
  <c r="F32" i="53" s="1"/>
  <c r="G26" i="53"/>
  <c r="G32" i="53" s="1"/>
  <c r="F35" i="53"/>
  <c r="K100" i="2"/>
  <c r="Z87" i="9"/>
  <c r="J102" i="62" s="1"/>
  <c r="F37" i="53" l="1"/>
  <c r="K101" i="2"/>
  <c r="Z82" i="9" l="1"/>
  <c r="J97" i="62" s="1"/>
  <c r="AF38" i="26" l="1"/>
  <c r="AG38" i="26" s="1"/>
  <c r="AC38" i="26"/>
  <c r="AD38" i="26" s="1"/>
  <c r="Z38" i="26"/>
  <c r="AA38" i="26" s="1"/>
  <c r="W38" i="26"/>
  <c r="X38" i="26" s="1"/>
  <c r="T38" i="26"/>
  <c r="U38" i="26" s="1"/>
  <c r="AF23" i="26"/>
  <c r="AG23" i="26" s="1"/>
  <c r="AC23" i="26"/>
  <c r="AD23" i="26" s="1"/>
  <c r="Z23" i="26"/>
  <c r="AA23" i="26" s="1"/>
  <c r="W23" i="26"/>
  <c r="X23" i="26" s="1"/>
  <c r="T23" i="26"/>
  <c r="U23" i="26" s="1"/>
  <c r="AF27" i="26"/>
  <c r="AG27" i="26" s="1"/>
  <c r="AC27" i="26"/>
  <c r="AD27" i="26" s="1"/>
  <c r="Z27" i="26"/>
  <c r="AA27" i="26" s="1"/>
  <c r="W27" i="26"/>
  <c r="X27" i="26" s="1"/>
  <c r="T27" i="26"/>
  <c r="U27" i="26" s="1"/>
  <c r="D9" i="34"/>
  <c r="I13" i="50" s="1"/>
  <c r="D8" i="34"/>
  <c r="M12" i="47" s="1"/>
  <c r="D7" i="34"/>
  <c r="I11" i="50" s="1"/>
  <c r="D10" i="32"/>
  <c r="C10" i="32"/>
  <c r="I12" i="50"/>
  <c r="I18" i="50" s="1"/>
  <c r="B20" i="46"/>
  <c r="B19" i="46"/>
  <c r="B18" i="46"/>
  <c r="B17" i="46"/>
  <c r="B16" i="46"/>
  <c r="B15" i="46"/>
  <c r="F6" i="46"/>
  <c r="F5" i="46"/>
  <c r="E20" i="45"/>
  <c r="B20" i="45"/>
  <c r="E19" i="45"/>
  <c r="B19" i="45"/>
  <c r="E18" i="45"/>
  <c r="B18" i="45"/>
  <c r="E17" i="45"/>
  <c r="B17" i="45"/>
  <c r="E16" i="45"/>
  <c r="E15" i="45"/>
  <c r="E14" i="45"/>
  <c r="E13" i="45"/>
  <c r="E12" i="45"/>
  <c r="F4" i="45"/>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20" i="43"/>
  <c r="B19" i="43"/>
  <c r="B18" i="43"/>
  <c r="B17" i="43"/>
  <c r="B16" i="43"/>
  <c r="B15" i="43"/>
  <c r="B14" i="43"/>
  <c r="B13" i="43"/>
  <c r="F6" i="43"/>
  <c r="B20" i="42"/>
  <c r="B19" i="42"/>
  <c r="B18" i="42"/>
  <c r="B17" i="42"/>
  <c r="B16" i="42"/>
  <c r="B15" i="42"/>
  <c r="B14" i="42"/>
  <c r="B13" i="42"/>
  <c r="F6" i="42"/>
  <c r="B20" i="41"/>
  <c r="B19" i="41"/>
  <c r="B18" i="41"/>
  <c r="B17" i="41"/>
  <c r="B16" i="41"/>
  <c r="B15" i="41"/>
  <c r="B14" i="41"/>
  <c r="B13" i="41"/>
  <c r="F6" i="41"/>
  <c r="F5" i="41"/>
  <c r="B17" i="40"/>
  <c r="B16" i="40"/>
  <c r="B15" i="40"/>
  <c r="B14" i="40"/>
  <c r="F6" i="40"/>
  <c r="F5" i="40"/>
  <c r="B33" i="39"/>
  <c r="B32" i="39"/>
  <c r="B31" i="39"/>
  <c r="B30" i="39"/>
  <c r="B29" i="39"/>
  <c r="B28" i="39"/>
  <c r="B27" i="39"/>
  <c r="B26" i="39"/>
  <c r="B25" i="39"/>
  <c r="B24" i="39"/>
  <c r="B23" i="39"/>
  <c r="B22" i="39"/>
  <c r="B21" i="39"/>
  <c r="B20" i="39"/>
  <c r="B19" i="39"/>
  <c r="B18" i="39"/>
  <c r="B17" i="39"/>
  <c r="B16" i="39"/>
  <c r="B20" i="38"/>
  <c r="B19" i="38"/>
  <c r="B18" i="38"/>
  <c r="B17" i="38"/>
  <c r="B16" i="38"/>
  <c r="B15" i="38"/>
  <c r="B14" i="38"/>
  <c r="B13" i="38"/>
  <c r="F6" i="38"/>
  <c r="B20" i="37"/>
  <c r="B19" i="37"/>
  <c r="B18" i="37"/>
  <c r="B17" i="37"/>
  <c r="B16" i="37"/>
  <c r="B15" i="37"/>
  <c r="B14" i="37"/>
  <c r="B13" i="37"/>
  <c r="B1641" i="35"/>
  <c r="A1641" i="35"/>
  <c r="B1640" i="35"/>
  <c r="A1640" i="35"/>
  <c r="B1639" i="35"/>
  <c r="A1639" i="35"/>
  <c r="B1638" i="35"/>
  <c r="A1638" i="35"/>
  <c r="B1637" i="35"/>
  <c r="A1637" i="35"/>
  <c r="B1636" i="35"/>
  <c r="A1636" i="35"/>
  <c r="B1635" i="35"/>
  <c r="A1635" i="35"/>
  <c r="B1634" i="35"/>
  <c r="A1634" i="35"/>
  <c r="B1633" i="35"/>
  <c r="A1633" i="35"/>
  <c r="B1632" i="35"/>
  <c r="A1632" i="35"/>
  <c r="B1631" i="35"/>
  <c r="A1631" i="35"/>
  <c r="B1630" i="35"/>
  <c r="A1630" i="35"/>
  <c r="B1629" i="35"/>
  <c r="A1629" i="35"/>
  <c r="B1628" i="35"/>
  <c r="A1628" i="35"/>
  <c r="B1627" i="35"/>
  <c r="A1627" i="35"/>
  <c r="B1626" i="35"/>
  <c r="A1626" i="35"/>
  <c r="B1625" i="35"/>
  <c r="A1625" i="35"/>
  <c r="B1624" i="35"/>
  <c r="A1624" i="35"/>
  <c r="B1623" i="35"/>
  <c r="A1623" i="35"/>
  <c r="B1622" i="35"/>
  <c r="A1622" i="35"/>
  <c r="B1621" i="35"/>
  <c r="A1621" i="35"/>
  <c r="B1620" i="35"/>
  <c r="A1620" i="35"/>
  <c r="B1619" i="35"/>
  <c r="A1619" i="35"/>
  <c r="B1618" i="35"/>
  <c r="A1618" i="35"/>
  <c r="B1617" i="35"/>
  <c r="A1617" i="35"/>
  <c r="B1616" i="35"/>
  <c r="A1616" i="35"/>
  <c r="B1615" i="35"/>
  <c r="A1615" i="35"/>
  <c r="B1614" i="35"/>
  <c r="A1614" i="35"/>
  <c r="B1613" i="35"/>
  <c r="A1613" i="35"/>
  <c r="B1612" i="35"/>
  <c r="A1612" i="35"/>
  <c r="B1611" i="35"/>
  <c r="A1611" i="35"/>
  <c r="B1610" i="35"/>
  <c r="A1610" i="35"/>
  <c r="B1609" i="35"/>
  <c r="A1609" i="35"/>
  <c r="B1608" i="35"/>
  <c r="A1608" i="35"/>
  <c r="B1607" i="35"/>
  <c r="A1607" i="35"/>
  <c r="B1606" i="35"/>
  <c r="A1606" i="35"/>
  <c r="B1605" i="35"/>
  <c r="A1605" i="35"/>
  <c r="B1604" i="35"/>
  <c r="A1604" i="35"/>
  <c r="B1603" i="35"/>
  <c r="A1603" i="35"/>
  <c r="B1602" i="35"/>
  <c r="A1602" i="35"/>
  <c r="B1601" i="35"/>
  <c r="A1601" i="35"/>
  <c r="B1600" i="35"/>
  <c r="A1600" i="35"/>
  <c r="B1599" i="35"/>
  <c r="A1599" i="35"/>
  <c r="B1598" i="35"/>
  <c r="A1598" i="35"/>
  <c r="B1597" i="35"/>
  <c r="A1597" i="35"/>
  <c r="B1596" i="35"/>
  <c r="A1596" i="35"/>
  <c r="B1595" i="35"/>
  <c r="A1595" i="35"/>
  <c r="B1594" i="35"/>
  <c r="A1594" i="35"/>
  <c r="B1593" i="35"/>
  <c r="A1593" i="35"/>
  <c r="B1592" i="35"/>
  <c r="A1592" i="35"/>
  <c r="B1591" i="35"/>
  <c r="A1591" i="35"/>
  <c r="B1590" i="35"/>
  <c r="A1590" i="35"/>
  <c r="B1589" i="35"/>
  <c r="A1589" i="35"/>
  <c r="B1588" i="35"/>
  <c r="A1588" i="35"/>
  <c r="B1587" i="35"/>
  <c r="A1587" i="35"/>
  <c r="B1586" i="35"/>
  <c r="A1586" i="35"/>
  <c r="B1585" i="35"/>
  <c r="A1585" i="35"/>
  <c r="B1584" i="35"/>
  <c r="A1584" i="35"/>
  <c r="B1583" i="35"/>
  <c r="A1583" i="35"/>
  <c r="B1582" i="35"/>
  <c r="A1582" i="35"/>
  <c r="B1581" i="35"/>
  <c r="A1581" i="35"/>
  <c r="B1580" i="35"/>
  <c r="A1580" i="35"/>
  <c r="B1579" i="35"/>
  <c r="A1579" i="35"/>
  <c r="B1578" i="35"/>
  <c r="A1578" i="35"/>
  <c r="B1577" i="35"/>
  <c r="A1577" i="35"/>
  <c r="B1576" i="35"/>
  <c r="A1576" i="35"/>
  <c r="B1575" i="35"/>
  <c r="A1575" i="35"/>
  <c r="B1574" i="35"/>
  <c r="A1574" i="35"/>
  <c r="B1573" i="35"/>
  <c r="A1573" i="35"/>
  <c r="B1572" i="35"/>
  <c r="A1572" i="35"/>
  <c r="B1571" i="35"/>
  <c r="A1571" i="35"/>
  <c r="B1570" i="35"/>
  <c r="A1570" i="35"/>
  <c r="B1569" i="35"/>
  <c r="A1569" i="35"/>
  <c r="B1568" i="35"/>
  <c r="A1568" i="35"/>
  <c r="B1567" i="35"/>
  <c r="A1567" i="35"/>
  <c r="B1566" i="35"/>
  <c r="A1566" i="35"/>
  <c r="B1565" i="35"/>
  <c r="A1565" i="35"/>
  <c r="B1564" i="35"/>
  <c r="A1564" i="35"/>
  <c r="B1563" i="35"/>
  <c r="A1563" i="35"/>
  <c r="B1562" i="35"/>
  <c r="A1562" i="35"/>
  <c r="B1561" i="35"/>
  <c r="A1561" i="35"/>
  <c r="B1560" i="35"/>
  <c r="A1560" i="35"/>
  <c r="B1559" i="35"/>
  <c r="A1559" i="35"/>
  <c r="B1558" i="35"/>
  <c r="A1558" i="35"/>
  <c r="B1557" i="35"/>
  <c r="A1557" i="35"/>
  <c r="B1556" i="35"/>
  <c r="A1556" i="35"/>
  <c r="B1555" i="35"/>
  <c r="A1555" i="35"/>
  <c r="B1554" i="35"/>
  <c r="A1554" i="35"/>
  <c r="B1553" i="35"/>
  <c r="A1553" i="35"/>
  <c r="B1552" i="35"/>
  <c r="A1552" i="35"/>
  <c r="B1551" i="35"/>
  <c r="A1551" i="35"/>
  <c r="B1550" i="35"/>
  <c r="A1550" i="35"/>
  <c r="B1549" i="35"/>
  <c r="A1549" i="35"/>
  <c r="B1548" i="35"/>
  <c r="A1548" i="35"/>
  <c r="B1547" i="35"/>
  <c r="A1547" i="35"/>
  <c r="B1546" i="35"/>
  <c r="A1546" i="35"/>
  <c r="B1545" i="35"/>
  <c r="A1545" i="35"/>
  <c r="B1544" i="35"/>
  <c r="A1544" i="35"/>
  <c r="B1543" i="35"/>
  <c r="A1543" i="35"/>
  <c r="B1542" i="35"/>
  <c r="A1542" i="35"/>
  <c r="B1541" i="35"/>
  <c r="A1541" i="35"/>
  <c r="B1540" i="35"/>
  <c r="A1540" i="35"/>
  <c r="B1539" i="35"/>
  <c r="A1539" i="35"/>
  <c r="B1538" i="35"/>
  <c r="A1538" i="35"/>
  <c r="B1537" i="35"/>
  <c r="A1537" i="35"/>
  <c r="B1536" i="35"/>
  <c r="A1536" i="35"/>
  <c r="B1535" i="35"/>
  <c r="A1535" i="35"/>
  <c r="B1534" i="35"/>
  <c r="A1534" i="35"/>
  <c r="B1533" i="35"/>
  <c r="A1533" i="35"/>
  <c r="B1532" i="35"/>
  <c r="A1532" i="35"/>
  <c r="B1531" i="35"/>
  <c r="A1531" i="35"/>
  <c r="B1530" i="35"/>
  <c r="A1530" i="35"/>
  <c r="B1529" i="35"/>
  <c r="A1529" i="35"/>
  <c r="B1528" i="35"/>
  <c r="A1528" i="35"/>
  <c r="B1527" i="35"/>
  <c r="A1527" i="35"/>
  <c r="B1526" i="35"/>
  <c r="A1526" i="35"/>
  <c r="B1525" i="35"/>
  <c r="A1525" i="35"/>
  <c r="B1524" i="35"/>
  <c r="A1524" i="35"/>
  <c r="B1523" i="35"/>
  <c r="A1523" i="35"/>
  <c r="B1522" i="35"/>
  <c r="A1522" i="35"/>
  <c r="B1521" i="35"/>
  <c r="A1521" i="35"/>
  <c r="B1520" i="35"/>
  <c r="A1520" i="35"/>
  <c r="B1519" i="35"/>
  <c r="A1519" i="35"/>
  <c r="B1518" i="35"/>
  <c r="A1518" i="35"/>
  <c r="B1517" i="35"/>
  <c r="A1517" i="35"/>
  <c r="B1516" i="35"/>
  <c r="A1516" i="35"/>
  <c r="B1515" i="35"/>
  <c r="A1515" i="35"/>
  <c r="B1514" i="35"/>
  <c r="A1514" i="35"/>
  <c r="B1513" i="35"/>
  <c r="A1513" i="35"/>
  <c r="B1512" i="35"/>
  <c r="A1512" i="35"/>
  <c r="B1511" i="35"/>
  <c r="A1511" i="35"/>
  <c r="B1510" i="35"/>
  <c r="A1510" i="35"/>
  <c r="B1509" i="35"/>
  <c r="A1509" i="35"/>
  <c r="B1508" i="35"/>
  <c r="A1508" i="35"/>
  <c r="B1507" i="35"/>
  <c r="A1507" i="35"/>
  <c r="B1506" i="35"/>
  <c r="A1506" i="35"/>
  <c r="B1505" i="35"/>
  <c r="A1505" i="35"/>
  <c r="B1504" i="35"/>
  <c r="A1504" i="35"/>
  <c r="B1503" i="35"/>
  <c r="A1503" i="35"/>
  <c r="B1502" i="35"/>
  <c r="A1502" i="35"/>
  <c r="B1501" i="35"/>
  <c r="A1501" i="35"/>
  <c r="B1500" i="35"/>
  <c r="A1500" i="35"/>
  <c r="B1499" i="35"/>
  <c r="A1499" i="35"/>
  <c r="B1498" i="35"/>
  <c r="A1498" i="35"/>
  <c r="B1497" i="35"/>
  <c r="A1497" i="35"/>
  <c r="B1496" i="35"/>
  <c r="A1496" i="35"/>
  <c r="B1495" i="35"/>
  <c r="A1495" i="35"/>
  <c r="B1494" i="35"/>
  <c r="A1494" i="35"/>
  <c r="B1493" i="35"/>
  <c r="A1493" i="35"/>
  <c r="B1492" i="35"/>
  <c r="A1492" i="35"/>
  <c r="B1491" i="35"/>
  <c r="A1491" i="35"/>
  <c r="B1490" i="35"/>
  <c r="A1490" i="35"/>
  <c r="B1489" i="35"/>
  <c r="A1489" i="35"/>
  <c r="B1488" i="35"/>
  <c r="A1488" i="35"/>
  <c r="B1487" i="35"/>
  <c r="A1487" i="35"/>
  <c r="B1486" i="35"/>
  <c r="A1486" i="35"/>
  <c r="B1485" i="35"/>
  <c r="A1485" i="35"/>
  <c r="B1484" i="35"/>
  <c r="A1484" i="35"/>
  <c r="B1483" i="35"/>
  <c r="A1483" i="35"/>
  <c r="B1482" i="35"/>
  <c r="A1482" i="35"/>
  <c r="B1481" i="35"/>
  <c r="A1481" i="35"/>
  <c r="B1480" i="35"/>
  <c r="A1480" i="35"/>
  <c r="B1479" i="35"/>
  <c r="A1479" i="35"/>
  <c r="B1478" i="35"/>
  <c r="A1478" i="35"/>
  <c r="B1477" i="35"/>
  <c r="A1477" i="35"/>
  <c r="B1476" i="35"/>
  <c r="A1476" i="35"/>
  <c r="B1475" i="35"/>
  <c r="A1475" i="35"/>
  <c r="B1474" i="35"/>
  <c r="A1474" i="35"/>
  <c r="B1473" i="35"/>
  <c r="A1473" i="35"/>
  <c r="B1472" i="35"/>
  <c r="A1472" i="35"/>
  <c r="B1471" i="35"/>
  <c r="A1471" i="35"/>
  <c r="B1470" i="35"/>
  <c r="A1470" i="35"/>
  <c r="B1469" i="35"/>
  <c r="A1469" i="35"/>
  <c r="B1468" i="35"/>
  <c r="A1468" i="35"/>
  <c r="B1467" i="35"/>
  <c r="A1467" i="35"/>
  <c r="B1466" i="35"/>
  <c r="A1466" i="35"/>
  <c r="B1465" i="35"/>
  <c r="A1465" i="35"/>
  <c r="B1464" i="35"/>
  <c r="A1464" i="35"/>
  <c r="B1463" i="35"/>
  <c r="A1463" i="35"/>
  <c r="B1462" i="35"/>
  <c r="A1462" i="35"/>
  <c r="B1461" i="35"/>
  <c r="A1461" i="35"/>
  <c r="B1460" i="35"/>
  <c r="A1460" i="35"/>
  <c r="B1459" i="35"/>
  <c r="A1459" i="35"/>
  <c r="B1458" i="35"/>
  <c r="A1458" i="35"/>
  <c r="B1457" i="35"/>
  <c r="A1457" i="35"/>
  <c r="B1456" i="35"/>
  <c r="A1456" i="35"/>
  <c r="B1455" i="35"/>
  <c r="A1455" i="35"/>
  <c r="B1454" i="35"/>
  <c r="A1454" i="35"/>
  <c r="B1453" i="35"/>
  <c r="A1453" i="35"/>
  <c r="B1452" i="35"/>
  <c r="A1452" i="35"/>
  <c r="B1451" i="35"/>
  <c r="A1451" i="35"/>
  <c r="B1450" i="35"/>
  <c r="A1450" i="35"/>
  <c r="B1449" i="35"/>
  <c r="A1449" i="35"/>
  <c r="B1448" i="35"/>
  <c r="A1448" i="35"/>
  <c r="B1447" i="35"/>
  <c r="A1447" i="35"/>
  <c r="B1446" i="35"/>
  <c r="A1446" i="35"/>
  <c r="B1445" i="35"/>
  <c r="A1445" i="35"/>
  <c r="B1444" i="35"/>
  <c r="A1444" i="35"/>
  <c r="B1443" i="35"/>
  <c r="A1443" i="35"/>
  <c r="B1442" i="35"/>
  <c r="A1442" i="35"/>
  <c r="B1441" i="35"/>
  <c r="A1441" i="35"/>
  <c r="B1440" i="35"/>
  <c r="A1440" i="35"/>
  <c r="B1439" i="35"/>
  <c r="A1439" i="35"/>
  <c r="B1438" i="35"/>
  <c r="A1438" i="35"/>
  <c r="B1437" i="35"/>
  <c r="A1437" i="35"/>
  <c r="B1436" i="35"/>
  <c r="A1436" i="35"/>
  <c r="B1435" i="35"/>
  <c r="A1435" i="35"/>
  <c r="B1434" i="35"/>
  <c r="A1434" i="35"/>
  <c r="B1433" i="35"/>
  <c r="A1433" i="35"/>
  <c r="B1432" i="35"/>
  <c r="A1432" i="35"/>
  <c r="B1431" i="35"/>
  <c r="A1431" i="35"/>
  <c r="B1430" i="35"/>
  <c r="A1430" i="35"/>
  <c r="B1429" i="35"/>
  <c r="A1429" i="35"/>
  <c r="B1428" i="35"/>
  <c r="A1428" i="35"/>
  <c r="B1427" i="35"/>
  <c r="A1427" i="35"/>
  <c r="B1426" i="35"/>
  <c r="A1426" i="35"/>
  <c r="B1425" i="35"/>
  <c r="A1425" i="35"/>
  <c r="B1424" i="35"/>
  <c r="A1424" i="35"/>
  <c r="B1423" i="35"/>
  <c r="A1423" i="35"/>
  <c r="B1422" i="35"/>
  <c r="A1422" i="35"/>
  <c r="B1421" i="35"/>
  <c r="A1421" i="35"/>
  <c r="B1420" i="35"/>
  <c r="A1420" i="35"/>
  <c r="B1419" i="35"/>
  <c r="A1419" i="35"/>
  <c r="B1418" i="35"/>
  <c r="A1418" i="35"/>
  <c r="B1417" i="35"/>
  <c r="A1417" i="35"/>
  <c r="B1416" i="35"/>
  <c r="A1416" i="35"/>
  <c r="B1415" i="35"/>
  <c r="A1415" i="35"/>
  <c r="B1414" i="35"/>
  <c r="A1414" i="35"/>
  <c r="B1413" i="35"/>
  <c r="A1413" i="35"/>
  <c r="B1412" i="35"/>
  <c r="A1412" i="35"/>
  <c r="B1411" i="35"/>
  <c r="A1411" i="35"/>
  <c r="B1410" i="35"/>
  <c r="A1410" i="35"/>
  <c r="B1409" i="35"/>
  <c r="A1409" i="35"/>
  <c r="B1408" i="35"/>
  <c r="A1408" i="35"/>
  <c r="B1407" i="35"/>
  <c r="A1407" i="35"/>
  <c r="B1406" i="35"/>
  <c r="A1406" i="35"/>
  <c r="B1405" i="35"/>
  <c r="A1405" i="35"/>
  <c r="B1404" i="35"/>
  <c r="A1404" i="35"/>
  <c r="B1403" i="35"/>
  <c r="A1403" i="35"/>
  <c r="B1402" i="35"/>
  <c r="A1402" i="35"/>
  <c r="B1401" i="35"/>
  <c r="A1401" i="35"/>
  <c r="B1400" i="35"/>
  <c r="A1400" i="35"/>
  <c r="B1399" i="35"/>
  <c r="A1399" i="35"/>
  <c r="B1398" i="35"/>
  <c r="A1398" i="35"/>
  <c r="B1397" i="35"/>
  <c r="A1397" i="35"/>
  <c r="B1396" i="35"/>
  <c r="A1396" i="35"/>
  <c r="B1395" i="35"/>
  <c r="A1395" i="35"/>
  <c r="B1394" i="35"/>
  <c r="A1394" i="35"/>
  <c r="B1393" i="35"/>
  <c r="A1393" i="35"/>
  <c r="B1392" i="35"/>
  <c r="A1392" i="35"/>
  <c r="B1391" i="35"/>
  <c r="A1391" i="35"/>
  <c r="B1390" i="35"/>
  <c r="A1390" i="35"/>
  <c r="B1389" i="35"/>
  <c r="A1389" i="35"/>
  <c r="B1388" i="35"/>
  <c r="A1388" i="35"/>
  <c r="B1387" i="35"/>
  <c r="A1387" i="35"/>
  <c r="B1386" i="35"/>
  <c r="A1386" i="35"/>
  <c r="B1385" i="35"/>
  <c r="A1385" i="35"/>
  <c r="B1384" i="35"/>
  <c r="A1384" i="35"/>
  <c r="B1383" i="35"/>
  <c r="A1383" i="35"/>
  <c r="B1382" i="35"/>
  <c r="A1382" i="35"/>
  <c r="B1381" i="35"/>
  <c r="A1381" i="35"/>
  <c r="B1380" i="35"/>
  <c r="A1380" i="35"/>
  <c r="B1379" i="35"/>
  <c r="A1379" i="35"/>
  <c r="B1378" i="35"/>
  <c r="A1378" i="35"/>
  <c r="B1377" i="35"/>
  <c r="A1377" i="35"/>
  <c r="B1376" i="35"/>
  <c r="A1376" i="35"/>
  <c r="B1375" i="35"/>
  <c r="A1375" i="35"/>
  <c r="B1374" i="35"/>
  <c r="A1374" i="35"/>
  <c r="B1373" i="35"/>
  <c r="A1373" i="35"/>
  <c r="B1372" i="35"/>
  <c r="A1372" i="35"/>
  <c r="B1371" i="35"/>
  <c r="A1371" i="35"/>
  <c r="B1370" i="35"/>
  <c r="A1370" i="35"/>
  <c r="B1369" i="35"/>
  <c r="A1369" i="35"/>
  <c r="B1368" i="35"/>
  <c r="A1368" i="35"/>
  <c r="B1367" i="35"/>
  <c r="A1367" i="35"/>
  <c r="B1366" i="35"/>
  <c r="A1366" i="35"/>
  <c r="B1365" i="35"/>
  <c r="A1365" i="35"/>
  <c r="B1364" i="35"/>
  <c r="A1364" i="35"/>
  <c r="B1363" i="35"/>
  <c r="A1363" i="35"/>
  <c r="B1362" i="35"/>
  <c r="A1362" i="35"/>
  <c r="B1361" i="35"/>
  <c r="A1361" i="35"/>
  <c r="B1360" i="35"/>
  <c r="A1360" i="35"/>
  <c r="B1359" i="35"/>
  <c r="A1359" i="35"/>
  <c r="B1358" i="35"/>
  <c r="A1358" i="35"/>
  <c r="B1357" i="35"/>
  <c r="A1357" i="35"/>
  <c r="B1356" i="35"/>
  <c r="A1356" i="35"/>
  <c r="B1355" i="35"/>
  <c r="A1355" i="35"/>
  <c r="B1354" i="35"/>
  <c r="A1354" i="35"/>
  <c r="B1353" i="35"/>
  <c r="A1353" i="35"/>
  <c r="B1352" i="35"/>
  <c r="A1352" i="35"/>
  <c r="B1351" i="35"/>
  <c r="A1351" i="35"/>
  <c r="B1350" i="35"/>
  <c r="A1350" i="35"/>
  <c r="B1349" i="35"/>
  <c r="A1349" i="35"/>
  <c r="B1348" i="35"/>
  <c r="A1348" i="35"/>
  <c r="B1347" i="35"/>
  <c r="A1347" i="35"/>
  <c r="B1346" i="35"/>
  <c r="A1346" i="35"/>
  <c r="B1345" i="35"/>
  <c r="A1345" i="35"/>
  <c r="B1344" i="35"/>
  <c r="A1344" i="35"/>
  <c r="B1343" i="35"/>
  <c r="A1343" i="35"/>
  <c r="B1342" i="35"/>
  <c r="A1342" i="35"/>
  <c r="B1341" i="35"/>
  <c r="A1341" i="35"/>
  <c r="B1340" i="35"/>
  <c r="A1340" i="35"/>
  <c r="B1339" i="35"/>
  <c r="A1339" i="35"/>
  <c r="B1338" i="35"/>
  <c r="A1338" i="35"/>
  <c r="B1337" i="35"/>
  <c r="A1337" i="35"/>
  <c r="B1336" i="35"/>
  <c r="A1336" i="35"/>
  <c r="B1335" i="35"/>
  <c r="A1335" i="35"/>
  <c r="B1334" i="35"/>
  <c r="A1334" i="35"/>
  <c r="B1333" i="35"/>
  <c r="A1333" i="35"/>
  <c r="B1332" i="35"/>
  <c r="A1332" i="35"/>
  <c r="B1331" i="35"/>
  <c r="A1331" i="35"/>
  <c r="B1330" i="35"/>
  <c r="A1330" i="35"/>
  <c r="B1329" i="35"/>
  <c r="A1329" i="35"/>
  <c r="B1328" i="35"/>
  <c r="A1328" i="35"/>
  <c r="B1327" i="35"/>
  <c r="A1327" i="35"/>
  <c r="B1326" i="35"/>
  <c r="A1326" i="35"/>
  <c r="B1325" i="35"/>
  <c r="A1325" i="35"/>
  <c r="B1324" i="35"/>
  <c r="A1324" i="35"/>
  <c r="B1323" i="35"/>
  <c r="A1323" i="35"/>
  <c r="B1322" i="35"/>
  <c r="A1322" i="35"/>
  <c r="B1321" i="35"/>
  <c r="A1321" i="35"/>
  <c r="B1320" i="35"/>
  <c r="A1320" i="35"/>
  <c r="B1319" i="35"/>
  <c r="A1319" i="35"/>
  <c r="B1318" i="35"/>
  <c r="A1318" i="35"/>
  <c r="B1317" i="35"/>
  <c r="A1317" i="35"/>
  <c r="B1316" i="35"/>
  <c r="A1316" i="35"/>
  <c r="B1315" i="35"/>
  <c r="A1315" i="35"/>
  <c r="B1314" i="35"/>
  <c r="A1314" i="35"/>
  <c r="B1313" i="35"/>
  <c r="A1313" i="35"/>
  <c r="B1312" i="35"/>
  <c r="A1312" i="35"/>
  <c r="B1311" i="35"/>
  <c r="A1311" i="35"/>
  <c r="B1310" i="35"/>
  <c r="A1310" i="35"/>
  <c r="B1309" i="35"/>
  <c r="A1309" i="35"/>
  <c r="B1308" i="35"/>
  <c r="A1308" i="35"/>
  <c r="B1307" i="35"/>
  <c r="A1307" i="35"/>
  <c r="B1306" i="35"/>
  <c r="A1306" i="35"/>
  <c r="B1305" i="35"/>
  <c r="A1305" i="35"/>
  <c r="B1304" i="35"/>
  <c r="A1304" i="35"/>
  <c r="B1303" i="35"/>
  <c r="A1303" i="35"/>
  <c r="B1302" i="35"/>
  <c r="A1302" i="35"/>
  <c r="B1301" i="35"/>
  <c r="A1301" i="35"/>
  <c r="B1300" i="35"/>
  <c r="A1300" i="35"/>
  <c r="B1299" i="35"/>
  <c r="A1299" i="35"/>
  <c r="B1298" i="35"/>
  <c r="A1298" i="35"/>
  <c r="B1297" i="35"/>
  <c r="A1297" i="35"/>
  <c r="B1296" i="35"/>
  <c r="A1296" i="35"/>
  <c r="B1295" i="35"/>
  <c r="A1295" i="35"/>
  <c r="B1294" i="35"/>
  <c r="A1294" i="35"/>
  <c r="B1293" i="35"/>
  <c r="A1293" i="35"/>
  <c r="B1292" i="35"/>
  <c r="A1292" i="35"/>
  <c r="B1291" i="35"/>
  <c r="A1291" i="35"/>
  <c r="B1290" i="35"/>
  <c r="A1290" i="35"/>
  <c r="B1289" i="35"/>
  <c r="A1289" i="35"/>
  <c r="B1288" i="35"/>
  <c r="A1288" i="35"/>
  <c r="B1287" i="35"/>
  <c r="A1287" i="35"/>
  <c r="B1286" i="35"/>
  <c r="A1286" i="35"/>
  <c r="B1285" i="35"/>
  <c r="A1285" i="35"/>
  <c r="B1284" i="35"/>
  <c r="A1284" i="35"/>
  <c r="B1283" i="35"/>
  <c r="A1283" i="35"/>
  <c r="B1282" i="35"/>
  <c r="A1282" i="35"/>
  <c r="B1281" i="35"/>
  <c r="A1281" i="35"/>
  <c r="B1280" i="35"/>
  <c r="A1280" i="35"/>
  <c r="B1279" i="35"/>
  <c r="A1279" i="35"/>
  <c r="B1278" i="35"/>
  <c r="A1278" i="35"/>
  <c r="B1277" i="35"/>
  <c r="A1277" i="35"/>
  <c r="B1276" i="35"/>
  <c r="A1276" i="35"/>
  <c r="B1275" i="35"/>
  <c r="A1275" i="35"/>
  <c r="B1274" i="35"/>
  <c r="A1274" i="35"/>
  <c r="B1273" i="35"/>
  <c r="A1273" i="35"/>
  <c r="B1272" i="35"/>
  <c r="A1272" i="35"/>
  <c r="B1271" i="35"/>
  <c r="A1271" i="35"/>
  <c r="B1270" i="35"/>
  <c r="A1270" i="35"/>
  <c r="B1269" i="35"/>
  <c r="A1269" i="35"/>
  <c r="B1268" i="35"/>
  <c r="A1268" i="35"/>
  <c r="B1267" i="35"/>
  <c r="A1267" i="35"/>
  <c r="B1266" i="35"/>
  <c r="A1266" i="35"/>
  <c r="B1265" i="35"/>
  <c r="A1265" i="35"/>
  <c r="B1264" i="35"/>
  <c r="A1264" i="35"/>
  <c r="B1263" i="35"/>
  <c r="A1263" i="35"/>
  <c r="B1262" i="35"/>
  <c r="A1262" i="35"/>
  <c r="B1261" i="35"/>
  <c r="A1261" i="35"/>
  <c r="B1260" i="35"/>
  <c r="A1260" i="35"/>
  <c r="B1259" i="35"/>
  <c r="A1259" i="35"/>
  <c r="B1258" i="35"/>
  <c r="A1258" i="35"/>
  <c r="B1257" i="35"/>
  <c r="A1257" i="35"/>
  <c r="B1256" i="35"/>
  <c r="A1256" i="35"/>
  <c r="B1255" i="35"/>
  <c r="A1255" i="35"/>
  <c r="B1254" i="35"/>
  <c r="A1254" i="35"/>
  <c r="B1253" i="35"/>
  <c r="A1253" i="35"/>
  <c r="B1252" i="35"/>
  <c r="A1252" i="35"/>
  <c r="B1251" i="35"/>
  <c r="A1251" i="35"/>
  <c r="B1250" i="35"/>
  <c r="A1250" i="35"/>
  <c r="B1249" i="35"/>
  <c r="A1249" i="35"/>
  <c r="B1248" i="35"/>
  <c r="A1248" i="35"/>
  <c r="B1247" i="35"/>
  <c r="A1247" i="35"/>
  <c r="B1246" i="35"/>
  <c r="A1246" i="35"/>
  <c r="B1245" i="35"/>
  <c r="A1245" i="35"/>
  <c r="B1244" i="35"/>
  <c r="A1244" i="35"/>
  <c r="B1243" i="35"/>
  <c r="A1243" i="35"/>
  <c r="B1242" i="35"/>
  <c r="A1242" i="35"/>
  <c r="B1241" i="35"/>
  <c r="A1241" i="35"/>
  <c r="B1240" i="35"/>
  <c r="A1240" i="35"/>
  <c r="B1239" i="35"/>
  <c r="A1239" i="35"/>
  <c r="B1238" i="35"/>
  <c r="A1238" i="35"/>
  <c r="B1237" i="35"/>
  <c r="A1237" i="35"/>
  <c r="B1236" i="35"/>
  <c r="A1236" i="35"/>
  <c r="B1235" i="35"/>
  <c r="A1235" i="35"/>
  <c r="B1234" i="35"/>
  <c r="A1234" i="35"/>
  <c r="B1233" i="35"/>
  <c r="A1233" i="35"/>
  <c r="B1232" i="35"/>
  <c r="A1232" i="35"/>
  <c r="B1231" i="35"/>
  <c r="A1231" i="35"/>
  <c r="B1230" i="35"/>
  <c r="A1230" i="35"/>
  <c r="B1229" i="35"/>
  <c r="A1229" i="35"/>
  <c r="B1228" i="35"/>
  <c r="A1228" i="35"/>
  <c r="B1227" i="35"/>
  <c r="A1227" i="35"/>
  <c r="B1226" i="35"/>
  <c r="A1226" i="35"/>
  <c r="B1225" i="35"/>
  <c r="A1225" i="35"/>
  <c r="B1224" i="35"/>
  <c r="A1224" i="35"/>
  <c r="B1223" i="35"/>
  <c r="A1223" i="35"/>
  <c r="B1222" i="35"/>
  <c r="A1222" i="35"/>
  <c r="B1221" i="35"/>
  <c r="A1221" i="35"/>
  <c r="B1220" i="35"/>
  <c r="A1220" i="35"/>
  <c r="B1219" i="35"/>
  <c r="A1219" i="35"/>
  <c r="B1218" i="35"/>
  <c r="A1218" i="35"/>
  <c r="B1217" i="35"/>
  <c r="A1217" i="35"/>
  <c r="B1216" i="35"/>
  <c r="A1216" i="35"/>
  <c r="B1215" i="35"/>
  <c r="A1215" i="35"/>
  <c r="B1214" i="35"/>
  <c r="A1214" i="35"/>
  <c r="B1213" i="35"/>
  <c r="A1213" i="35"/>
  <c r="B1212" i="35"/>
  <c r="A1212" i="35"/>
  <c r="B1211" i="35"/>
  <c r="A1211" i="35"/>
  <c r="B1210" i="35"/>
  <c r="A1210" i="35"/>
  <c r="B1209" i="35"/>
  <c r="A1209" i="35"/>
  <c r="B1208" i="35"/>
  <c r="A1208" i="35"/>
  <c r="B1207" i="35"/>
  <c r="A1207" i="35"/>
  <c r="B1206" i="35"/>
  <c r="A1206" i="35"/>
  <c r="B1205" i="35"/>
  <c r="A1205" i="35"/>
  <c r="B1204" i="35"/>
  <c r="A1204" i="35"/>
  <c r="B1203" i="35"/>
  <c r="A1203" i="35"/>
  <c r="B1202" i="35"/>
  <c r="A1202" i="35"/>
  <c r="B1201" i="35"/>
  <c r="A1201" i="35"/>
  <c r="B1200" i="35"/>
  <c r="A1200" i="35"/>
  <c r="B1199" i="35"/>
  <c r="A1199" i="35"/>
  <c r="B1198" i="35"/>
  <c r="A1198" i="35"/>
  <c r="B1197" i="35"/>
  <c r="A1197" i="35"/>
  <c r="B1196" i="35"/>
  <c r="A1196" i="35"/>
  <c r="B1195" i="35"/>
  <c r="A1195" i="35"/>
  <c r="B1194" i="35"/>
  <c r="A1194" i="35"/>
  <c r="B1193" i="35"/>
  <c r="A1193" i="35"/>
  <c r="B1192" i="35"/>
  <c r="A1192" i="35"/>
  <c r="B1191" i="35"/>
  <c r="A1191" i="35"/>
  <c r="B1190" i="35"/>
  <c r="A1190" i="35"/>
  <c r="B1189" i="35"/>
  <c r="A1189" i="35"/>
  <c r="B1188" i="35"/>
  <c r="A1188" i="35"/>
  <c r="B1187" i="35"/>
  <c r="A1187" i="35"/>
  <c r="B1186" i="35"/>
  <c r="A1186" i="35"/>
  <c r="B1185" i="35"/>
  <c r="A1185" i="35"/>
  <c r="B1184" i="35"/>
  <c r="A1184" i="35"/>
  <c r="B1183" i="35"/>
  <c r="A1183" i="35"/>
  <c r="B1182" i="35"/>
  <c r="A1182" i="35"/>
  <c r="B1181" i="35"/>
  <c r="A1181" i="35"/>
  <c r="B1180" i="35"/>
  <c r="A1180" i="35"/>
  <c r="B1179" i="35"/>
  <c r="A1179" i="35"/>
  <c r="B1178" i="35"/>
  <c r="A1178" i="35"/>
  <c r="B1177" i="35"/>
  <c r="A1177" i="35"/>
  <c r="B1176" i="35"/>
  <c r="A1176" i="35"/>
  <c r="B1175" i="35"/>
  <c r="A1175" i="35"/>
  <c r="B1174" i="35"/>
  <c r="A1174" i="35"/>
  <c r="B1173" i="35"/>
  <c r="A1173" i="35"/>
  <c r="B1172" i="35"/>
  <c r="A1172" i="35"/>
  <c r="B1171" i="35"/>
  <c r="A1171" i="35"/>
  <c r="B1170" i="35"/>
  <c r="A1170" i="35"/>
  <c r="B1169" i="35"/>
  <c r="A1169" i="35"/>
  <c r="B1168" i="35"/>
  <c r="A1168" i="35"/>
  <c r="B1167" i="35"/>
  <c r="A1167" i="35"/>
  <c r="B1166" i="35"/>
  <c r="A1166" i="35"/>
  <c r="B1165" i="35"/>
  <c r="A1165" i="35"/>
  <c r="B1164" i="35"/>
  <c r="A1164" i="35"/>
  <c r="B1163" i="35"/>
  <c r="A1163" i="35"/>
  <c r="B1162" i="35"/>
  <c r="A1162" i="35"/>
  <c r="B1161" i="35"/>
  <c r="A1161" i="35"/>
  <c r="B1160" i="35"/>
  <c r="A1160" i="35"/>
  <c r="B1159" i="35"/>
  <c r="A1159" i="35"/>
  <c r="B1158" i="35"/>
  <c r="A1158" i="35"/>
  <c r="B1157" i="35"/>
  <c r="A1157" i="35"/>
  <c r="B1156" i="35"/>
  <c r="A1156" i="35"/>
  <c r="B1155" i="35"/>
  <c r="A1155" i="35"/>
  <c r="B1154" i="35"/>
  <c r="A1154" i="35"/>
  <c r="B1153" i="35"/>
  <c r="A1153" i="35"/>
  <c r="B1152" i="35"/>
  <c r="A1152" i="35"/>
  <c r="B1151" i="35"/>
  <c r="A1151" i="35"/>
  <c r="B1150" i="35"/>
  <c r="A1150" i="35"/>
  <c r="B1149" i="35"/>
  <c r="A1149" i="35"/>
  <c r="B1148" i="35"/>
  <c r="A1148" i="35"/>
  <c r="B1147" i="35"/>
  <c r="A1147" i="35"/>
  <c r="B1146" i="35"/>
  <c r="A1146" i="35"/>
  <c r="B1145" i="35"/>
  <c r="A1145" i="35"/>
  <c r="B1144" i="35"/>
  <c r="A1144" i="35"/>
  <c r="B1143" i="35"/>
  <c r="A1143" i="35"/>
  <c r="B1142" i="35"/>
  <c r="A1142" i="35"/>
  <c r="B1141" i="35"/>
  <c r="A1141" i="35"/>
  <c r="B1140" i="35"/>
  <c r="A1140" i="35"/>
  <c r="B1139" i="35"/>
  <c r="A1139" i="35"/>
  <c r="B1138" i="35"/>
  <c r="A1138" i="35"/>
  <c r="B1137" i="35"/>
  <c r="A1137" i="35"/>
  <c r="B1136" i="35"/>
  <c r="A1136" i="35"/>
  <c r="B1135" i="35"/>
  <c r="A1135" i="35"/>
  <c r="B1134" i="35"/>
  <c r="A1134" i="35"/>
  <c r="B1133" i="35"/>
  <c r="A1133" i="35"/>
  <c r="B1132" i="35"/>
  <c r="A1132" i="35"/>
  <c r="B1131" i="35"/>
  <c r="A1131" i="35"/>
  <c r="B1130" i="35"/>
  <c r="A1130" i="35"/>
  <c r="B1129" i="35"/>
  <c r="A1129" i="35"/>
  <c r="B1128" i="35"/>
  <c r="A1128" i="35"/>
  <c r="B1127" i="35"/>
  <c r="A1127" i="35"/>
  <c r="B1126" i="35"/>
  <c r="A1126" i="35"/>
  <c r="B1125" i="35"/>
  <c r="A1125" i="35"/>
  <c r="B1124" i="35"/>
  <c r="A1124" i="35"/>
  <c r="B1123" i="35"/>
  <c r="A1123" i="35"/>
  <c r="B1122" i="35"/>
  <c r="A1122" i="35"/>
  <c r="B1121" i="35"/>
  <c r="A1121" i="35"/>
  <c r="B1120" i="35"/>
  <c r="A1120" i="35"/>
  <c r="B1119" i="35"/>
  <c r="A1119" i="35"/>
  <c r="B1118" i="35"/>
  <c r="A1118" i="35"/>
  <c r="B1117" i="35"/>
  <c r="A1117" i="35"/>
  <c r="B1116" i="35"/>
  <c r="A1116" i="35"/>
  <c r="B1115" i="35"/>
  <c r="A1115" i="35"/>
  <c r="B1114" i="35"/>
  <c r="A1114" i="35"/>
  <c r="B1113" i="35"/>
  <c r="A1113" i="35"/>
  <c r="B1112" i="35"/>
  <c r="A1112" i="35"/>
  <c r="B1111" i="35"/>
  <c r="A1111" i="35"/>
  <c r="B1110" i="35"/>
  <c r="A1110" i="35"/>
  <c r="B1109" i="35"/>
  <c r="A1109" i="35"/>
  <c r="B1108" i="35"/>
  <c r="A1108" i="35"/>
  <c r="B1107" i="35"/>
  <c r="A1107" i="35"/>
  <c r="B1106" i="35"/>
  <c r="A1106" i="35"/>
  <c r="B1105" i="35"/>
  <c r="A1105" i="35"/>
  <c r="B1104" i="35"/>
  <c r="A1104" i="35"/>
  <c r="B1103" i="35"/>
  <c r="A1103" i="35"/>
  <c r="B1102" i="35"/>
  <c r="A1102" i="35"/>
  <c r="B1101" i="35"/>
  <c r="A1101" i="35"/>
  <c r="B1100" i="35"/>
  <c r="A1100" i="35"/>
  <c r="B1099" i="35"/>
  <c r="A1099" i="35"/>
  <c r="B1098" i="35"/>
  <c r="A1098" i="35"/>
  <c r="B1097" i="35"/>
  <c r="A1097" i="35"/>
  <c r="B1096" i="35"/>
  <c r="A1096" i="35"/>
  <c r="B1095" i="35"/>
  <c r="A1095" i="35"/>
  <c r="B1094" i="35"/>
  <c r="A1094" i="35"/>
  <c r="B1093" i="35"/>
  <c r="A1093" i="35"/>
  <c r="B1092" i="35"/>
  <c r="A1092" i="35"/>
  <c r="B1091" i="35"/>
  <c r="A1091" i="35"/>
  <c r="B1090" i="35"/>
  <c r="A1090" i="35"/>
  <c r="B1089" i="35"/>
  <c r="A1089" i="35"/>
  <c r="B1088" i="35"/>
  <c r="A1088" i="35"/>
  <c r="B1087" i="35"/>
  <c r="A1087" i="35"/>
  <c r="B1086" i="35"/>
  <c r="A1086" i="35"/>
  <c r="B1085" i="35"/>
  <c r="A1085" i="35"/>
  <c r="B1084" i="35"/>
  <c r="A1084" i="35"/>
  <c r="B1083" i="35"/>
  <c r="A1083" i="35"/>
  <c r="B1082" i="35"/>
  <c r="A1082" i="35"/>
  <c r="B1081" i="35"/>
  <c r="A1081" i="35"/>
  <c r="B1080" i="35"/>
  <c r="A1080" i="35"/>
  <c r="B1079" i="35"/>
  <c r="A1079" i="35"/>
  <c r="B1078" i="35"/>
  <c r="A1078" i="35"/>
  <c r="B1077" i="35"/>
  <c r="A1077" i="35"/>
  <c r="B1076" i="35"/>
  <c r="A1076" i="35"/>
  <c r="B1075" i="35"/>
  <c r="A1075" i="35"/>
  <c r="B1074" i="35"/>
  <c r="A1074" i="35"/>
  <c r="B1073" i="35"/>
  <c r="A1073" i="35"/>
  <c r="B1072" i="35"/>
  <c r="A1072" i="35"/>
  <c r="B1071" i="35"/>
  <c r="A1071" i="35"/>
  <c r="B1070" i="35"/>
  <c r="A1070" i="35"/>
  <c r="B1069" i="35"/>
  <c r="A1069" i="35"/>
  <c r="B1068" i="35"/>
  <c r="A1068" i="35"/>
  <c r="B1067" i="35"/>
  <c r="A1067" i="35"/>
  <c r="B1066" i="35"/>
  <c r="A1066" i="35"/>
  <c r="B1065" i="35"/>
  <c r="A1065" i="35"/>
  <c r="B1064" i="35"/>
  <c r="A1064" i="35"/>
  <c r="B1063" i="35"/>
  <c r="A1063" i="35"/>
  <c r="B1062" i="35"/>
  <c r="A1062" i="35"/>
  <c r="B1061" i="35"/>
  <c r="A1061" i="35"/>
  <c r="B1060" i="35"/>
  <c r="A1060" i="35"/>
  <c r="B1059" i="35"/>
  <c r="A1059" i="35"/>
  <c r="B1058" i="35"/>
  <c r="A1058" i="35"/>
  <c r="B1057" i="35"/>
  <c r="A1057" i="35"/>
  <c r="B1056" i="35"/>
  <c r="A1056" i="35"/>
  <c r="B1055" i="35"/>
  <c r="A1055" i="35"/>
  <c r="B1054" i="35"/>
  <c r="A1054" i="35"/>
  <c r="B1053" i="35"/>
  <c r="A1053" i="35"/>
  <c r="B1052" i="35"/>
  <c r="A1052" i="35"/>
  <c r="B1051" i="35"/>
  <c r="A1051" i="35"/>
  <c r="B1050" i="35"/>
  <c r="A1050" i="35"/>
  <c r="B1049" i="35"/>
  <c r="A1049" i="35"/>
  <c r="B1048" i="35"/>
  <c r="A1048" i="35"/>
  <c r="B1047" i="35"/>
  <c r="A1047" i="35"/>
  <c r="B1046" i="35"/>
  <c r="A1046" i="35"/>
  <c r="B1045" i="35"/>
  <c r="A1045" i="35"/>
  <c r="B1044" i="35"/>
  <c r="A1044" i="35"/>
  <c r="B1043" i="35"/>
  <c r="A1043" i="35"/>
  <c r="B1042" i="35"/>
  <c r="A1042" i="35"/>
  <c r="B1041" i="35"/>
  <c r="A1041" i="35"/>
  <c r="B1040" i="35"/>
  <c r="A1040" i="35"/>
  <c r="B1039" i="35"/>
  <c r="A1039" i="35"/>
  <c r="B1038" i="35"/>
  <c r="A1038" i="35"/>
  <c r="B1037" i="35"/>
  <c r="A1037" i="35"/>
  <c r="B1036" i="35"/>
  <c r="A1036" i="35"/>
  <c r="B1035" i="35"/>
  <c r="A1035" i="35"/>
  <c r="B1034" i="35"/>
  <c r="A1034" i="35"/>
  <c r="B1033" i="35"/>
  <c r="A1033" i="35"/>
  <c r="B1032" i="35"/>
  <c r="A1032" i="35"/>
  <c r="B1031" i="35"/>
  <c r="A1031" i="35"/>
  <c r="B1030" i="35"/>
  <c r="A1030" i="35"/>
  <c r="B1029" i="35"/>
  <c r="A1029" i="35"/>
  <c r="B1028" i="35"/>
  <c r="A1028" i="35"/>
  <c r="B1027" i="35"/>
  <c r="A1027" i="35"/>
  <c r="B1026" i="35"/>
  <c r="A1026" i="35"/>
  <c r="B1025" i="35"/>
  <c r="A1025" i="35"/>
  <c r="B1024" i="35"/>
  <c r="A1024" i="35"/>
  <c r="B1023" i="35"/>
  <c r="A1023" i="35"/>
  <c r="B1022" i="35"/>
  <c r="A1022" i="35"/>
  <c r="B1021" i="35"/>
  <c r="A1021" i="35"/>
  <c r="B1020" i="35"/>
  <c r="A1020" i="35"/>
  <c r="B1019" i="35"/>
  <c r="A1019" i="35"/>
  <c r="B1018" i="35"/>
  <c r="A1018" i="35"/>
  <c r="B1017" i="35"/>
  <c r="A1017" i="35"/>
  <c r="B1016" i="35"/>
  <c r="A1016" i="35"/>
  <c r="B1015" i="35"/>
  <c r="A1015" i="35"/>
  <c r="B1014" i="35"/>
  <c r="A1014" i="35"/>
  <c r="B1013" i="35"/>
  <c r="A1013" i="35"/>
  <c r="B1012" i="35"/>
  <c r="A1012" i="35"/>
  <c r="B1011" i="35"/>
  <c r="A1011" i="35"/>
  <c r="B1010" i="35"/>
  <c r="A1010" i="35"/>
  <c r="B1009" i="35"/>
  <c r="A1009" i="35"/>
  <c r="B1008" i="35"/>
  <c r="A1008" i="35"/>
  <c r="B1007" i="35"/>
  <c r="A1007" i="35"/>
  <c r="B1006" i="35"/>
  <c r="A1006" i="35"/>
  <c r="B1005" i="35"/>
  <c r="A1005" i="35"/>
  <c r="B1004" i="35"/>
  <c r="A1004" i="35"/>
  <c r="B1003" i="35"/>
  <c r="A1003" i="35"/>
  <c r="B1002" i="35"/>
  <c r="A1002" i="35"/>
  <c r="B1001" i="35"/>
  <c r="A1001" i="35"/>
  <c r="B1000" i="35"/>
  <c r="A1000" i="35"/>
  <c r="B999" i="35"/>
  <c r="A999" i="35"/>
  <c r="B998" i="35"/>
  <c r="A998" i="35"/>
  <c r="B997" i="35"/>
  <c r="A997" i="35"/>
  <c r="B996" i="35"/>
  <c r="A996" i="35"/>
  <c r="B995" i="35"/>
  <c r="A995" i="35"/>
  <c r="B994" i="35"/>
  <c r="A994" i="35"/>
  <c r="B993" i="35"/>
  <c r="A993" i="35"/>
  <c r="B992" i="35"/>
  <c r="A992" i="35"/>
  <c r="B991" i="35"/>
  <c r="A991" i="35"/>
  <c r="B990" i="35"/>
  <c r="A990" i="35"/>
  <c r="B989" i="35"/>
  <c r="A989" i="35"/>
  <c r="B988" i="35"/>
  <c r="A988" i="35"/>
  <c r="B987" i="35"/>
  <c r="A987" i="35"/>
  <c r="B986" i="35"/>
  <c r="A986" i="35"/>
  <c r="B985" i="35"/>
  <c r="A985" i="35"/>
  <c r="B984" i="35"/>
  <c r="A984" i="35"/>
  <c r="B983" i="35"/>
  <c r="A983" i="35"/>
  <c r="B982" i="35"/>
  <c r="A982" i="35"/>
  <c r="B981" i="35"/>
  <c r="A981" i="35"/>
  <c r="B980" i="35"/>
  <c r="A980" i="35"/>
  <c r="B979" i="35"/>
  <c r="A979" i="35"/>
  <c r="B978" i="35"/>
  <c r="A978" i="35"/>
  <c r="B977" i="35"/>
  <c r="A977" i="35"/>
  <c r="B976" i="35"/>
  <c r="A976" i="35"/>
  <c r="B975" i="35"/>
  <c r="A975" i="35"/>
  <c r="B974" i="35"/>
  <c r="A974" i="35"/>
  <c r="B973" i="35"/>
  <c r="A973" i="35"/>
  <c r="B972" i="35"/>
  <c r="A972" i="35"/>
  <c r="B971" i="35"/>
  <c r="A971" i="35"/>
  <c r="B970" i="35"/>
  <c r="A970" i="35"/>
  <c r="B969" i="35"/>
  <c r="A969" i="35"/>
  <c r="B968" i="35"/>
  <c r="A968" i="35"/>
  <c r="B967" i="35"/>
  <c r="A967" i="35"/>
  <c r="B966" i="35"/>
  <c r="A966" i="35"/>
  <c r="B965" i="35"/>
  <c r="A965" i="35"/>
  <c r="B964" i="35"/>
  <c r="A964" i="35"/>
  <c r="B963" i="35"/>
  <c r="A963" i="35"/>
  <c r="B962" i="35"/>
  <c r="A962" i="35"/>
  <c r="B961" i="35"/>
  <c r="A961" i="35"/>
  <c r="B960" i="35"/>
  <c r="A960" i="35"/>
  <c r="B959" i="35"/>
  <c r="A959" i="35"/>
  <c r="B958" i="35"/>
  <c r="A958" i="35"/>
  <c r="B957" i="35"/>
  <c r="A957" i="35"/>
  <c r="B956" i="35"/>
  <c r="A956" i="35"/>
  <c r="B955" i="35"/>
  <c r="A955" i="35"/>
  <c r="B954" i="35"/>
  <c r="A954" i="35"/>
  <c r="B953" i="35"/>
  <c r="A953" i="35"/>
  <c r="B952" i="35"/>
  <c r="A952" i="35"/>
  <c r="B951" i="35"/>
  <c r="A951" i="35"/>
  <c r="B950" i="35"/>
  <c r="A950" i="35"/>
  <c r="B949" i="35"/>
  <c r="A949" i="35"/>
  <c r="B948" i="35"/>
  <c r="A948" i="35"/>
  <c r="B947" i="35"/>
  <c r="A947" i="35"/>
  <c r="B946" i="35"/>
  <c r="A946" i="35"/>
  <c r="B945" i="35"/>
  <c r="A945" i="35"/>
  <c r="B944" i="35"/>
  <c r="A944" i="35"/>
  <c r="B943" i="35"/>
  <c r="A943" i="35"/>
  <c r="B942" i="35"/>
  <c r="A942" i="35"/>
  <c r="B941" i="35"/>
  <c r="A941" i="35"/>
  <c r="B940" i="35"/>
  <c r="A940" i="35"/>
  <c r="B939" i="35"/>
  <c r="A939" i="35"/>
  <c r="B938" i="35"/>
  <c r="A938" i="35"/>
  <c r="B937" i="35"/>
  <c r="A937" i="35"/>
  <c r="B936" i="35"/>
  <c r="A936" i="35"/>
  <c r="B935" i="35"/>
  <c r="A935" i="35"/>
  <c r="B934" i="35"/>
  <c r="A934" i="35"/>
  <c r="B933" i="35"/>
  <c r="A933" i="35"/>
  <c r="B932" i="35"/>
  <c r="A932" i="35"/>
  <c r="B931" i="35"/>
  <c r="A931" i="35"/>
  <c r="B930" i="35"/>
  <c r="A930" i="35"/>
  <c r="B929" i="35"/>
  <c r="A929" i="35"/>
  <c r="B928" i="35"/>
  <c r="A928" i="35"/>
  <c r="B927" i="35"/>
  <c r="A927" i="35"/>
  <c r="B926" i="35"/>
  <c r="A926" i="35"/>
  <c r="B925" i="35"/>
  <c r="A925" i="35"/>
  <c r="B924" i="35"/>
  <c r="A924" i="35"/>
  <c r="B923" i="35"/>
  <c r="A923" i="35"/>
  <c r="B922" i="35"/>
  <c r="A922" i="35"/>
  <c r="B921" i="35"/>
  <c r="A921" i="35"/>
  <c r="B920" i="35"/>
  <c r="A920" i="35"/>
  <c r="B919" i="35"/>
  <c r="A919" i="35"/>
  <c r="B918" i="35"/>
  <c r="A918" i="35"/>
  <c r="B917" i="35"/>
  <c r="A917" i="35"/>
  <c r="B916" i="35"/>
  <c r="A916" i="35"/>
  <c r="B915" i="35"/>
  <c r="A915" i="35"/>
  <c r="B914" i="35"/>
  <c r="A914" i="35"/>
  <c r="B913" i="35"/>
  <c r="A913" i="35"/>
  <c r="B912" i="35"/>
  <c r="A912" i="35"/>
  <c r="B911" i="35"/>
  <c r="A911" i="35"/>
  <c r="B910" i="35"/>
  <c r="A910" i="35"/>
  <c r="B909" i="35"/>
  <c r="A909" i="35"/>
  <c r="B908" i="35"/>
  <c r="A908" i="35"/>
  <c r="B907" i="35"/>
  <c r="A907" i="35"/>
  <c r="B906" i="35"/>
  <c r="A906" i="35"/>
  <c r="B905" i="35"/>
  <c r="A905" i="35"/>
  <c r="B904" i="35"/>
  <c r="A904" i="35"/>
  <c r="B903" i="35"/>
  <c r="A903" i="35"/>
  <c r="B902" i="35"/>
  <c r="A902" i="35"/>
  <c r="B901" i="35"/>
  <c r="A901" i="35"/>
  <c r="B900" i="35"/>
  <c r="A900" i="35"/>
  <c r="B899" i="35"/>
  <c r="A899" i="35"/>
  <c r="B898" i="35"/>
  <c r="A898" i="35"/>
  <c r="B897" i="35"/>
  <c r="A897" i="35"/>
  <c r="B896" i="35"/>
  <c r="A896" i="35"/>
  <c r="B895" i="35"/>
  <c r="A895" i="35"/>
  <c r="B894" i="35"/>
  <c r="A894" i="35"/>
  <c r="B893" i="35"/>
  <c r="A893" i="35"/>
  <c r="B892" i="35"/>
  <c r="A892" i="35"/>
  <c r="B891" i="35"/>
  <c r="A891" i="35"/>
  <c r="B890" i="35"/>
  <c r="A890" i="35"/>
  <c r="B889" i="35"/>
  <c r="A889" i="35"/>
  <c r="B888" i="35"/>
  <c r="A888" i="35"/>
  <c r="B887" i="35"/>
  <c r="A887" i="35"/>
  <c r="B886" i="35"/>
  <c r="A886" i="35"/>
  <c r="B885" i="35"/>
  <c r="A885" i="35"/>
  <c r="B884" i="35"/>
  <c r="A884" i="35"/>
  <c r="B883" i="35"/>
  <c r="A883" i="35"/>
  <c r="B882" i="35"/>
  <c r="A882" i="35"/>
  <c r="B881" i="35"/>
  <c r="A881" i="35"/>
  <c r="B880" i="35"/>
  <c r="A880" i="35"/>
  <c r="B879" i="35"/>
  <c r="A879" i="35"/>
  <c r="B878" i="35"/>
  <c r="A878" i="35"/>
  <c r="B877" i="35"/>
  <c r="A877" i="35"/>
  <c r="B876" i="35"/>
  <c r="A876" i="35"/>
  <c r="B875" i="35"/>
  <c r="A875" i="35"/>
  <c r="B874" i="35"/>
  <c r="A874" i="35"/>
  <c r="B873" i="35"/>
  <c r="A873" i="35"/>
  <c r="B872" i="35"/>
  <c r="A872" i="35"/>
  <c r="B871" i="35"/>
  <c r="A871" i="35"/>
  <c r="B870" i="35"/>
  <c r="A870" i="35"/>
  <c r="B869" i="35"/>
  <c r="A869" i="35"/>
  <c r="B868" i="35"/>
  <c r="A868" i="35"/>
  <c r="B867" i="35"/>
  <c r="A867" i="35"/>
  <c r="B866" i="35"/>
  <c r="A866" i="35"/>
  <c r="B865" i="35"/>
  <c r="A865" i="35"/>
  <c r="B864" i="35"/>
  <c r="A864" i="35"/>
  <c r="B863" i="35"/>
  <c r="A863" i="35"/>
  <c r="B862" i="35"/>
  <c r="A862" i="35"/>
  <c r="B861" i="35"/>
  <c r="A861" i="35"/>
  <c r="B860" i="35"/>
  <c r="A860" i="35"/>
  <c r="B859" i="35"/>
  <c r="A859" i="35"/>
  <c r="B858" i="35"/>
  <c r="A858" i="35"/>
  <c r="B857" i="35"/>
  <c r="A857" i="35"/>
  <c r="B856" i="35"/>
  <c r="A856" i="35"/>
  <c r="B855" i="35"/>
  <c r="A855" i="35"/>
  <c r="B854" i="35"/>
  <c r="A854" i="35"/>
  <c r="B853" i="35"/>
  <c r="A853" i="35"/>
  <c r="B852" i="35"/>
  <c r="A852" i="35"/>
  <c r="B851" i="35"/>
  <c r="A851" i="35"/>
  <c r="B850" i="35"/>
  <c r="A850" i="35"/>
  <c r="B849" i="35"/>
  <c r="A849" i="35"/>
  <c r="B848" i="35"/>
  <c r="A848" i="35"/>
  <c r="B847" i="35"/>
  <c r="A847" i="35"/>
  <c r="B846" i="35"/>
  <c r="A846" i="35"/>
  <c r="B845" i="35"/>
  <c r="A845" i="35"/>
  <c r="B844" i="35"/>
  <c r="A844" i="35"/>
  <c r="B843" i="35"/>
  <c r="A843" i="35"/>
  <c r="B842" i="35"/>
  <c r="A842" i="35"/>
  <c r="B841" i="35"/>
  <c r="A841" i="35"/>
  <c r="B840" i="35"/>
  <c r="A840" i="35"/>
  <c r="B839" i="35"/>
  <c r="A839" i="35"/>
  <c r="B838" i="35"/>
  <c r="A838" i="35"/>
  <c r="B837" i="35"/>
  <c r="A837" i="35"/>
  <c r="B836" i="35"/>
  <c r="A836" i="35"/>
  <c r="B835" i="35"/>
  <c r="A835" i="35"/>
  <c r="B834" i="35"/>
  <c r="A834" i="35"/>
  <c r="B833" i="35"/>
  <c r="A833" i="35"/>
  <c r="B832" i="35"/>
  <c r="A832" i="35"/>
  <c r="B831" i="35"/>
  <c r="A831" i="35"/>
  <c r="B830" i="35"/>
  <c r="A830" i="35"/>
  <c r="B829" i="35"/>
  <c r="A829" i="35"/>
  <c r="B828" i="35"/>
  <c r="A828" i="35"/>
  <c r="B827" i="35"/>
  <c r="A827" i="35"/>
  <c r="B826" i="35"/>
  <c r="A826" i="35"/>
  <c r="B825" i="35"/>
  <c r="A825" i="35"/>
  <c r="B824" i="35"/>
  <c r="A824" i="35"/>
  <c r="B823" i="35"/>
  <c r="A823" i="35"/>
  <c r="B822" i="35"/>
  <c r="A822" i="35"/>
  <c r="B821" i="35"/>
  <c r="A821" i="35"/>
  <c r="B820" i="35"/>
  <c r="A820" i="35"/>
  <c r="B819" i="35"/>
  <c r="A819" i="35"/>
  <c r="B818" i="35"/>
  <c r="A818" i="35"/>
  <c r="B817" i="35"/>
  <c r="A817" i="35"/>
  <c r="B816" i="35"/>
  <c r="A816" i="35"/>
  <c r="B815" i="35"/>
  <c r="A815" i="35"/>
  <c r="B814" i="35"/>
  <c r="A814" i="35"/>
  <c r="B813" i="35"/>
  <c r="A813" i="35"/>
  <c r="B812" i="35"/>
  <c r="A812" i="35"/>
  <c r="B811" i="35"/>
  <c r="A811" i="35"/>
  <c r="B810" i="35"/>
  <c r="A810" i="35"/>
  <c r="B809" i="35"/>
  <c r="A809" i="35"/>
  <c r="B808" i="35"/>
  <c r="A808" i="35"/>
  <c r="B807" i="35"/>
  <c r="A807" i="35"/>
  <c r="B806" i="35"/>
  <c r="A806" i="35"/>
  <c r="B805" i="35"/>
  <c r="A805" i="35"/>
  <c r="B804" i="35"/>
  <c r="A804" i="35"/>
  <c r="B803" i="35"/>
  <c r="A803" i="35"/>
  <c r="B802" i="35"/>
  <c r="A802" i="35"/>
  <c r="B801" i="35"/>
  <c r="A801" i="35"/>
  <c r="B800" i="35"/>
  <c r="A800" i="35"/>
  <c r="B799" i="35"/>
  <c r="A799" i="35"/>
  <c r="B798" i="35"/>
  <c r="A798" i="35"/>
  <c r="B797" i="35"/>
  <c r="A797" i="35"/>
  <c r="B796" i="35"/>
  <c r="A796" i="35"/>
  <c r="B795" i="35"/>
  <c r="A795" i="35"/>
  <c r="B794" i="35"/>
  <c r="A794" i="35"/>
  <c r="B793" i="35"/>
  <c r="A793" i="35"/>
  <c r="B792" i="35"/>
  <c r="A792" i="35"/>
  <c r="B791" i="35"/>
  <c r="A791" i="35"/>
  <c r="B790" i="35"/>
  <c r="A790" i="35"/>
  <c r="B789" i="35"/>
  <c r="A789" i="35"/>
  <c r="B788" i="35"/>
  <c r="A788" i="35"/>
  <c r="B787" i="35"/>
  <c r="A787" i="35"/>
  <c r="B786" i="35"/>
  <c r="A786" i="35"/>
  <c r="B785" i="35"/>
  <c r="A785" i="35"/>
  <c r="B784" i="35"/>
  <c r="A784" i="35"/>
  <c r="B783" i="35"/>
  <c r="A783" i="35"/>
  <c r="B782" i="35"/>
  <c r="A782" i="35"/>
  <c r="B781" i="35"/>
  <c r="A781" i="35"/>
  <c r="B780" i="35"/>
  <c r="A780" i="35"/>
  <c r="B779" i="35"/>
  <c r="A779" i="35"/>
  <c r="B778" i="35"/>
  <c r="A778" i="35"/>
  <c r="B777" i="35"/>
  <c r="A777" i="35"/>
  <c r="B776" i="35"/>
  <c r="A776" i="35"/>
  <c r="B775" i="35"/>
  <c r="A775" i="35"/>
  <c r="B774" i="35"/>
  <c r="A774" i="35"/>
  <c r="B773" i="35"/>
  <c r="A773" i="35"/>
  <c r="B772" i="35"/>
  <c r="A772" i="35"/>
  <c r="B771" i="35"/>
  <c r="A771" i="35"/>
  <c r="B770" i="35"/>
  <c r="A770" i="35"/>
  <c r="B769" i="35"/>
  <c r="A769" i="35"/>
  <c r="B768" i="35"/>
  <c r="A768" i="35"/>
  <c r="B767" i="35"/>
  <c r="A767" i="35"/>
  <c r="B766" i="35"/>
  <c r="A766" i="35"/>
  <c r="B765" i="35"/>
  <c r="A765" i="35"/>
  <c r="B764" i="35"/>
  <c r="A764" i="35"/>
  <c r="B763" i="35"/>
  <c r="A763" i="35"/>
  <c r="B762" i="35"/>
  <c r="A762" i="35"/>
  <c r="B761" i="35"/>
  <c r="A761" i="35"/>
  <c r="B760" i="35"/>
  <c r="A760" i="35"/>
  <c r="B759" i="35"/>
  <c r="A759" i="35"/>
  <c r="B758" i="35"/>
  <c r="A758" i="35"/>
  <c r="B757" i="35"/>
  <c r="A757" i="35"/>
  <c r="B756" i="35"/>
  <c r="A756" i="35"/>
  <c r="B755" i="35"/>
  <c r="A755" i="35"/>
  <c r="B754" i="35"/>
  <c r="A754" i="35"/>
  <c r="B753" i="35"/>
  <c r="A753" i="35"/>
  <c r="B752" i="35"/>
  <c r="A752" i="35"/>
  <c r="B751" i="35"/>
  <c r="A751" i="35"/>
  <c r="B750" i="35"/>
  <c r="A750" i="35"/>
  <c r="B749" i="35"/>
  <c r="A749" i="35"/>
  <c r="B748" i="35"/>
  <c r="A748" i="35"/>
  <c r="B747" i="35"/>
  <c r="A747" i="35"/>
  <c r="B746" i="35"/>
  <c r="A746" i="35"/>
  <c r="B745" i="35"/>
  <c r="A745" i="35"/>
  <c r="B744" i="35"/>
  <c r="A744" i="35"/>
  <c r="B743" i="35"/>
  <c r="A743" i="35"/>
  <c r="B742" i="35"/>
  <c r="A742" i="35"/>
  <c r="B741" i="35"/>
  <c r="A741" i="35"/>
  <c r="B740" i="35"/>
  <c r="A740" i="35"/>
  <c r="B739" i="35"/>
  <c r="A739" i="35"/>
  <c r="B738" i="35"/>
  <c r="A738" i="35"/>
  <c r="B737" i="35"/>
  <c r="A737" i="35"/>
  <c r="B736" i="35"/>
  <c r="A736" i="35"/>
  <c r="B735" i="35"/>
  <c r="A735" i="35"/>
  <c r="B734" i="35"/>
  <c r="A734" i="35"/>
  <c r="B733" i="35"/>
  <c r="A733" i="35"/>
  <c r="B732" i="35"/>
  <c r="A732" i="35"/>
  <c r="B731" i="35"/>
  <c r="A731" i="35"/>
  <c r="B730" i="35"/>
  <c r="A730" i="35"/>
  <c r="B729" i="35"/>
  <c r="A729" i="35"/>
  <c r="B728" i="35"/>
  <c r="A728" i="35"/>
  <c r="B727" i="35"/>
  <c r="A727" i="35"/>
  <c r="B726" i="35"/>
  <c r="A726" i="35"/>
  <c r="B725" i="35"/>
  <c r="A725" i="35"/>
  <c r="B724" i="35"/>
  <c r="A724" i="35"/>
  <c r="B723" i="35"/>
  <c r="A723" i="35"/>
  <c r="B722" i="35"/>
  <c r="A722" i="35"/>
  <c r="B721" i="35"/>
  <c r="A721" i="35"/>
  <c r="B720" i="35"/>
  <c r="A720" i="35"/>
  <c r="B719" i="35"/>
  <c r="A719" i="35"/>
  <c r="B718" i="35"/>
  <c r="A718" i="35"/>
  <c r="B717" i="35"/>
  <c r="A717" i="35"/>
  <c r="B716" i="35"/>
  <c r="A716" i="35"/>
  <c r="B715" i="35"/>
  <c r="A715" i="35"/>
  <c r="B714" i="35"/>
  <c r="A714" i="35"/>
  <c r="B713" i="35"/>
  <c r="A713" i="35"/>
  <c r="B712" i="35"/>
  <c r="A712" i="35"/>
  <c r="B711" i="35"/>
  <c r="A711" i="35"/>
  <c r="B710" i="35"/>
  <c r="A710" i="35"/>
  <c r="B709" i="35"/>
  <c r="A709" i="35"/>
  <c r="B708" i="35"/>
  <c r="A708" i="35"/>
  <c r="B707" i="35"/>
  <c r="A707" i="35"/>
  <c r="B706" i="35"/>
  <c r="A706" i="35"/>
  <c r="B705" i="35"/>
  <c r="A705" i="35"/>
  <c r="B704" i="35"/>
  <c r="A704" i="35"/>
  <c r="B703" i="35"/>
  <c r="A703" i="35"/>
  <c r="B702" i="35"/>
  <c r="A702" i="35"/>
  <c r="B701" i="35"/>
  <c r="A701" i="35"/>
  <c r="B700" i="35"/>
  <c r="A700" i="35"/>
  <c r="B699" i="35"/>
  <c r="A699" i="35"/>
  <c r="B698" i="35"/>
  <c r="A698" i="35"/>
  <c r="B697" i="35"/>
  <c r="A697" i="35"/>
  <c r="B696" i="35"/>
  <c r="A696" i="35"/>
  <c r="B695" i="35"/>
  <c r="A695" i="35"/>
  <c r="B694" i="35"/>
  <c r="A694" i="35"/>
  <c r="B693" i="35"/>
  <c r="A693" i="35"/>
  <c r="B692" i="35"/>
  <c r="A692" i="35"/>
  <c r="B691" i="35"/>
  <c r="A691" i="35"/>
  <c r="B690" i="35"/>
  <c r="A690" i="35"/>
  <c r="B689" i="35"/>
  <c r="A689" i="35"/>
  <c r="B688" i="35"/>
  <c r="A688" i="35"/>
  <c r="B687" i="35"/>
  <c r="A687" i="35"/>
  <c r="B686" i="35"/>
  <c r="A686" i="35"/>
  <c r="B685" i="35"/>
  <c r="A685" i="35"/>
  <c r="B684" i="35"/>
  <c r="A684" i="35"/>
  <c r="B683" i="35"/>
  <c r="A683" i="35"/>
  <c r="B682" i="35"/>
  <c r="A682" i="35"/>
  <c r="B681" i="35"/>
  <c r="A681" i="35"/>
  <c r="B680" i="35"/>
  <c r="A680" i="35"/>
  <c r="B679" i="35"/>
  <c r="A679" i="35"/>
  <c r="B678" i="35"/>
  <c r="A678" i="35"/>
  <c r="B677" i="35"/>
  <c r="A677" i="35"/>
  <c r="B676" i="35"/>
  <c r="A676" i="35"/>
  <c r="B675" i="35"/>
  <c r="A675" i="35"/>
  <c r="B674" i="35"/>
  <c r="A674" i="35"/>
  <c r="B673" i="35"/>
  <c r="A673" i="35"/>
  <c r="B672" i="35"/>
  <c r="A672" i="35"/>
  <c r="B671" i="35"/>
  <c r="A671" i="35"/>
  <c r="B670" i="35"/>
  <c r="A670" i="35"/>
  <c r="B669" i="35"/>
  <c r="A669" i="35"/>
  <c r="B668" i="35"/>
  <c r="A668" i="35"/>
  <c r="B667" i="35"/>
  <c r="A667" i="35"/>
  <c r="B666" i="35"/>
  <c r="A666" i="35"/>
  <c r="B665" i="35"/>
  <c r="A665" i="35"/>
  <c r="B664" i="35"/>
  <c r="A664" i="35"/>
  <c r="B663" i="35"/>
  <c r="A663" i="35"/>
  <c r="B662" i="35"/>
  <c r="A662" i="35"/>
  <c r="B661" i="35"/>
  <c r="A661" i="35"/>
  <c r="B660" i="35"/>
  <c r="A660" i="35"/>
  <c r="B659" i="35"/>
  <c r="A659" i="35"/>
  <c r="B658" i="35"/>
  <c r="A658" i="35"/>
  <c r="B657" i="35"/>
  <c r="A657" i="35"/>
  <c r="B656" i="35"/>
  <c r="A656" i="35"/>
  <c r="B655" i="35"/>
  <c r="A655" i="35"/>
  <c r="B654" i="35"/>
  <c r="A654" i="35"/>
  <c r="B653" i="35"/>
  <c r="A653" i="35"/>
  <c r="B652" i="35"/>
  <c r="A652" i="35"/>
  <c r="B651" i="35"/>
  <c r="A651" i="35"/>
  <c r="B650" i="35"/>
  <c r="A650" i="35"/>
  <c r="B649" i="35"/>
  <c r="A649" i="35"/>
  <c r="B648" i="35"/>
  <c r="A648" i="35"/>
  <c r="B647" i="35"/>
  <c r="A647" i="35"/>
  <c r="B646" i="35"/>
  <c r="A646" i="35"/>
  <c r="B645" i="35"/>
  <c r="A645" i="35"/>
  <c r="B644" i="35"/>
  <c r="A644" i="35"/>
  <c r="B643" i="35"/>
  <c r="A643" i="35"/>
  <c r="B642" i="35"/>
  <c r="A642" i="35"/>
  <c r="B641" i="35"/>
  <c r="A641" i="35"/>
  <c r="B640" i="35"/>
  <c r="A640" i="35"/>
  <c r="B639" i="35"/>
  <c r="A639" i="35"/>
  <c r="B638" i="35"/>
  <c r="A638" i="35"/>
  <c r="B637" i="35"/>
  <c r="A637" i="35"/>
  <c r="B636" i="35"/>
  <c r="A636" i="35"/>
  <c r="B635" i="35"/>
  <c r="A635" i="35"/>
  <c r="B634" i="35"/>
  <c r="A634" i="35"/>
  <c r="B633" i="35"/>
  <c r="A633" i="35"/>
  <c r="B632" i="35"/>
  <c r="A632" i="35"/>
  <c r="B631" i="35"/>
  <c r="A631" i="35"/>
  <c r="B630" i="35"/>
  <c r="A630" i="35"/>
  <c r="B629" i="35"/>
  <c r="A629" i="35"/>
  <c r="B628" i="35"/>
  <c r="A628" i="35"/>
  <c r="B627" i="35"/>
  <c r="A627" i="35"/>
  <c r="B626" i="35"/>
  <c r="A626" i="35"/>
  <c r="B625" i="35"/>
  <c r="A625" i="35"/>
  <c r="B624" i="35"/>
  <c r="A624" i="35"/>
  <c r="B623" i="35"/>
  <c r="A623" i="35"/>
  <c r="B622" i="35"/>
  <c r="A622" i="35"/>
  <c r="B621" i="35"/>
  <c r="A621" i="35"/>
  <c r="B620" i="35"/>
  <c r="A620" i="35"/>
  <c r="B619" i="35"/>
  <c r="A619" i="35"/>
  <c r="B618" i="35"/>
  <c r="A618" i="35"/>
  <c r="B617" i="35"/>
  <c r="A617" i="35"/>
  <c r="B616" i="35"/>
  <c r="A616" i="35"/>
  <c r="B615" i="35"/>
  <c r="A615" i="35"/>
  <c r="B614" i="35"/>
  <c r="A614" i="35"/>
  <c r="B613" i="35"/>
  <c r="A613" i="35"/>
  <c r="B612" i="35"/>
  <c r="A612" i="35"/>
  <c r="B611" i="35"/>
  <c r="A611" i="35"/>
  <c r="B610" i="35"/>
  <c r="A610" i="35"/>
  <c r="B609" i="35"/>
  <c r="A609" i="35"/>
  <c r="B608" i="35"/>
  <c r="A608" i="35"/>
  <c r="B607" i="35"/>
  <c r="A607" i="35"/>
  <c r="B606" i="35"/>
  <c r="A606" i="35"/>
  <c r="B605" i="35"/>
  <c r="A605" i="35"/>
  <c r="B604" i="35"/>
  <c r="A604" i="35"/>
  <c r="B603" i="35"/>
  <c r="A603" i="35"/>
  <c r="B602" i="35"/>
  <c r="A602" i="35"/>
  <c r="B601" i="35"/>
  <c r="A601" i="35"/>
  <c r="B600" i="35"/>
  <c r="A600" i="35"/>
  <c r="B599" i="35"/>
  <c r="A599" i="35"/>
  <c r="B598" i="35"/>
  <c r="A598" i="35"/>
  <c r="B597" i="35"/>
  <c r="A597" i="35"/>
  <c r="B596" i="35"/>
  <c r="A596" i="35"/>
  <c r="B595" i="35"/>
  <c r="A595" i="35"/>
  <c r="B594" i="35"/>
  <c r="A594" i="35"/>
  <c r="B593" i="35"/>
  <c r="A593" i="35"/>
  <c r="B592" i="35"/>
  <c r="A592" i="35"/>
  <c r="B591" i="35"/>
  <c r="A591" i="35"/>
  <c r="B590" i="35"/>
  <c r="A590" i="35"/>
  <c r="B589" i="35"/>
  <c r="A589" i="35"/>
  <c r="B588" i="35"/>
  <c r="A588" i="35"/>
  <c r="B587" i="35"/>
  <c r="A587" i="35"/>
  <c r="B586" i="35"/>
  <c r="A586" i="35"/>
  <c r="B585" i="35"/>
  <c r="A585" i="35"/>
  <c r="B584" i="35"/>
  <c r="A584" i="35"/>
  <c r="B583" i="35"/>
  <c r="A583" i="35"/>
  <c r="B582" i="35"/>
  <c r="A582" i="35"/>
  <c r="B581" i="35"/>
  <c r="A581" i="35"/>
  <c r="B580" i="35"/>
  <c r="A580" i="35"/>
  <c r="B579" i="35"/>
  <c r="A579" i="35"/>
  <c r="B578" i="35"/>
  <c r="A578" i="35"/>
  <c r="B577" i="35"/>
  <c r="A577" i="35"/>
  <c r="B576" i="35"/>
  <c r="A576" i="35"/>
  <c r="B575" i="35"/>
  <c r="A575" i="35"/>
  <c r="B574" i="35"/>
  <c r="A574" i="35"/>
  <c r="B573" i="35"/>
  <c r="A573" i="35"/>
  <c r="B572" i="35"/>
  <c r="A572" i="35"/>
  <c r="B571" i="35"/>
  <c r="A571" i="35"/>
  <c r="B570" i="35"/>
  <c r="A570" i="35"/>
  <c r="B569" i="35"/>
  <c r="A569" i="35"/>
  <c r="B568" i="35"/>
  <c r="A568" i="35"/>
  <c r="B567" i="35"/>
  <c r="A567" i="35"/>
  <c r="B566" i="35"/>
  <c r="A566" i="35"/>
  <c r="B565" i="35"/>
  <c r="A565" i="35"/>
  <c r="B564" i="35"/>
  <c r="A564" i="35"/>
  <c r="B563" i="35"/>
  <c r="A563" i="35"/>
  <c r="B562" i="35"/>
  <c r="A562" i="35"/>
  <c r="B561" i="35"/>
  <c r="A561" i="35"/>
  <c r="B560" i="35"/>
  <c r="A560" i="35"/>
  <c r="B559" i="35"/>
  <c r="A559" i="35"/>
  <c r="B558" i="35"/>
  <c r="A558" i="35"/>
  <c r="B557" i="35"/>
  <c r="A557" i="35"/>
  <c r="B556" i="35"/>
  <c r="A556" i="35"/>
  <c r="B555" i="35"/>
  <c r="A555" i="35"/>
  <c r="B554" i="35"/>
  <c r="A554" i="35"/>
  <c r="B553" i="35"/>
  <c r="A553" i="35"/>
  <c r="B552" i="35"/>
  <c r="A552" i="35"/>
  <c r="B551" i="35"/>
  <c r="A551" i="35"/>
  <c r="B550" i="35"/>
  <c r="A550" i="35"/>
  <c r="B549" i="35"/>
  <c r="A549" i="35"/>
  <c r="B548" i="35"/>
  <c r="A548" i="35"/>
  <c r="B547" i="35"/>
  <c r="A547" i="35"/>
  <c r="B546" i="35"/>
  <c r="A546" i="35"/>
  <c r="B545" i="35"/>
  <c r="A545" i="35"/>
  <c r="B544" i="35"/>
  <c r="A544" i="35"/>
  <c r="B543" i="35"/>
  <c r="A543" i="35"/>
  <c r="B542" i="35"/>
  <c r="A542" i="35"/>
  <c r="B541" i="35"/>
  <c r="A541" i="35"/>
  <c r="B540" i="35"/>
  <c r="A540" i="35"/>
  <c r="B539" i="35"/>
  <c r="A539" i="35"/>
  <c r="B538" i="35"/>
  <c r="A538" i="35"/>
  <c r="B537" i="35"/>
  <c r="A537" i="35"/>
  <c r="B536" i="35"/>
  <c r="A536" i="35"/>
  <c r="B535" i="35"/>
  <c r="A535" i="35"/>
  <c r="B534" i="35"/>
  <c r="A534" i="35"/>
  <c r="B533" i="35"/>
  <c r="A533" i="35"/>
  <c r="B532" i="35"/>
  <c r="A532" i="35"/>
  <c r="B531" i="35"/>
  <c r="A531" i="35"/>
  <c r="B530" i="35"/>
  <c r="A530" i="35"/>
  <c r="B529" i="35"/>
  <c r="A529" i="35"/>
  <c r="B528" i="35"/>
  <c r="A528" i="35"/>
  <c r="B527" i="35"/>
  <c r="A527" i="35"/>
  <c r="B526" i="35"/>
  <c r="A526" i="35"/>
  <c r="B525" i="35"/>
  <c r="A525" i="35"/>
  <c r="B524" i="35"/>
  <c r="A524" i="35"/>
  <c r="B523" i="35"/>
  <c r="A523" i="35"/>
  <c r="B522" i="35"/>
  <c r="A522" i="35"/>
  <c r="B521" i="35"/>
  <c r="A521" i="35"/>
  <c r="B520" i="35"/>
  <c r="A520" i="35"/>
  <c r="B519" i="35"/>
  <c r="A519" i="35"/>
  <c r="B518" i="35"/>
  <c r="A518" i="35"/>
  <c r="B517" i="35"/>
  <c r="A517" i="35"/>
  <c r="B516" i="35"/>
  <c r="A516" i="35"/>
  <c r="B515" i="35"/>
  <c r="A515" i="35"/>
  <c r="B514" i="35"/>
  <c r="A514" i="35"/>
  <c r="B513" i="35"/>
  <c r="A513" i="35"/>
  <c r="B512" i="35"/>
  <c r="A512" i="35"/>
  <c r="B511" i="35"/>
  <c r="A511" i="35"/>
  <c r="B510" i="35"/>
  <c r="A510" i="35"/>
  <c r="B509" i="35"/>
  <c r="A509" i="35"/>
  <c r="B508" i="35"/>
  <c r="A508" i="35"/>
  <c r="B507" i="35"/>
  <c r="A507" i="35"/>
  <c r="B506" i="35"/>
  <c r="A506" i="35"/>
  <c r="B505" i="35"/>
  <c r="A505" i="35"/>
  <c r="B504" i="35"/>
  <c r="A504" i="35"/>
  <c r="B503" i="35"/>
  <c r="A503" i="35"/>
  <c r="B502" i="35"/>
  <c r="A502" i="35"/>
  <c r="B501" i="35"/>
  <c r="A501" i="35"/>
  <c r="B500" i="35"/>
  <c r="A500" i="35"/>
  <c r="B499" i="35"/>
  <c r="A499" i="35"/>
  <c r="B498" i="35"/>
  <c r="A498" i="35"/>
  <c r="B497" i="35"/>
  <c r="A497" i="35"/>
  <c r="B496" i="35"/>
  <c r="A496" i="35"/>
  <c r="B495" i="35"/>
  <c r="A495" i="35"/>
  <c r="B494" i="35"/>
  <c r="A494" i="35"/>
  <c r="B493" i="35"/>
  <c r="A493" i="35"/>
  <c r="B492" i="35"/>
  <c r="A492" i="35"/>
  <c r="B491" i="35"/>
  <c r="A491" i="35"/>
  <c r="B490" i="35"/>
  <c r="A490" i="35"/>
  <c r="B489" i="35"/>
  <c r="A489" i="35"/>
  <c r="B488" i="35"/>
  <c r="A488" i="35"/>
  <c r="B487" i="35"/>
  <c r="A487" i="35"/>
  <c r="B486" i="35"/>
  <c r="A486" i="35"/>
  <c r="B485" i="35"/>
  <c r="A485" i="35"/>
  <c r="B484" i="35"/>
  <c r="A484" i="35"/>
  <c r="B483" i="35"/>
  <c r="A483" i="35"/>
  <c r="B482" i="35"/>
  <c r="A482" i="35"/>
  <c r="B481" i="35"/>
  <c r="A481" i="35"/>
  <c r="B480" i="35"/>
  <c r="A480" i="35"/>
  <c r="B479" i="35"/>
  <c r="A479" i="35"/>
  <c r="B478" i="35"/>
  <c r="A478" i="35"/>
  <c r="B477" i="35"/>
  <c r="A477" i="35"/>
  <c r="B476" i="35"/>
  <c r="A476" i="35"/>
  <c r="B475" i="35"/>
  <c r="A475" i="35"/>
  <c r="B474" i="35"/>
  <c r="A474" i="35"/>
  <c r="B473" i="35"/>
  <c r="A473" i="35"/>
  <c r="B472" i="35"/>
  <c r="A472" i="35"/>
  <c r="B471" i="35"/>
  <c r="A471" i="35"/>
  <c r="B470" i="35"/>
  <c r="A470" i="35"/>
  <c r="B469" i="35"/>
  <c r="A469" i="35"/>
  <c r="B468" i="35"/>
  <c r="A468" i="35"/>
  <c r="B467" i="35"/>
  <c r="A467" i="35"/>
  <c r="B466" i="35"/>
  <c r="A466" i="35"/>
  <c r="B465" i="35"/>
  <c r="A465" i="35"/>
  <c r="B464" i="35"/>
  <c r="A464" i="35"/>
  <c r="B463" i="35"/>
  <c r="A463" i="35"/>
  <c r="B462" i="35"/>
  <c r="A462" i="35"/>
  <c r="B461" i="35"/>
  <c r="A461" i="35"/>
  <c r="B460" i="35"/>
  <c r="A460" i="35"/>
  <c r="B459" i="35"/>
  <c r="A459" i="35"/>
  <c r="B458" i="35"/>
  <c r="A458" i="35"/>
  <c r="B457" i="35"/>
  <c r="A457" i="35"/>
  <c r="B456" i="35"/>
  <c r="A456" i="35"/>
  <c r="B455" i="35"/>
  <c r="A455" i="35"/>
  <c r="B454" i="35"/>
  <c r="A454" i="35"/>
  <c r="B453" i="35"/>
  <c r="A453" i="35"/>
  <c r="B452" i="35"/>
  <c r="A452" i="35"/>
  <c r="B451" i="35"/>
  <c r="A451" i="35"/>
  <c r="B450" i="35"/>
  <c r="A450" i="35"/>
  <c r="B449" i="35"/>
  <c r="A449" i="35"/>
  <c r="B448" i="35"/>
  <c r="A448" i="35"/>
  <c r="B447" i="35"/>
  <c r="A447" i="35"/>
  <c r="B446" i="35"/>
  <c r="A446" i="35"/>
  <c r="B445" i="35"/>
  <c r="A445" i="35"/>
  <c r="B444" i="35"/>
  <c r="A444" i="35"/>
  <c r="B443" i="35"/>
  <c r="A443" i="35"/>
  <c r="B442" i="35"/>
  <c r="A442" i="35"/>
  <c r="B441" i="35"/>
  <c r="A441" i="35"/>
  <c r="B440" i="35"/>
  <c r="A440" i="35"/>
  <c r="B439" i="35"/>
  <c r="A439" i="35"/>
  <c r="B438" i="35"/>
  <c r="A438" i="35"/>
  <c r="B437" i="35"/>
  <c r="A437" i="35"/>
  <c r="B436" i="35"/>
  <c r="A436" i="35"/>
  <c r="B435" i="35"/>
  <c r="A435" i="35"/>
  <c r="B434" i="35"/>
  <c r="A434" i="35"/>
  <c r="B433" i="35"/>
  <c r="A433" i="35"/>
  <c r="B432" i="35"/>
  <c r="A432" i="35"/>
  <c r="B431" i="35"/>
  <c r="A431" i="35"/>
  <c r="B430" i="35"/>
  <c r="A430" i="35"/>
  <c r="B429" i="35"/>
  <c r="A429" i="35"/>
  <c r="B428" i="35"/>
  <c r="A428" i="35"/>
  <c r="B427" i="35"/>
  <c r="A427" i="35"/>
  <c r="B426" i="35"/>
  <c r="A426" i="35"/>
  <c r="B425" i="35"/>
  <c r="A425" i="35"/>
  <c r="B424" i="35"/>
  <c r="A424" i="35"/>
  <c r="B423" i="35"/>
  <c r="A423" i="35"/>
  <c r="B422" i="35"/>
  <c r="A422" i="35"/>
  <c r="B421" i="35"/>
  <c r="A421" i="35"/>
  <c r="B420" i="35"/>
  <c r="A420" i="35"/>
  <c r="B419" i="35"/>
  <c r="A419" i="35"/>
  <c r="B418" i="35"/>
  <c r="A418" i="35"/>
  <c r="B417" i="35"/>
  <c r="A417" i="35"/>
  <c r="B416" i="35"/>
  <c r="A416" i="35"/>
  <c r="B415" i="35"/>
  <c r="A415" i="35"/>
  <c r="B414" i="35"/>
  <c r="A414" i="35"/>
  <c r="B413" i="35"/>
  <c r="A413" i="35"/>
  <c r="B412" i="35"/>
  <c r="A412" i="35"/>
  <c r="B411" i="35"/>
  <c r="A411" i="35"/>
  <c r="B410" i="35"/>
  <c r="A410" i="35"/>
  <c r="B409" i="35"/>
  <c r="A409" i="35"/>
  <c r="B408" i="35"/>
  <c r="A408" i="35"/>
  <c r="B407" i="35"/>
  <c r="A407" i="35"/>
  <c r="B406" i="35"/>
  <c r="A406" i="35"/>
  <c r="B405" i="35"/>
  <c r="A405" i="35"/>
  <c r="B404" i="35"/>
  <c r="A404" i="35"/>
  <c r="B403" i="35"/>
  <c r="A403" i="35"/>
  <c r="B402" i="35"/>
  <c r="A402" i="35"/>
  <c r="B401" i="35"/>
  <c r="A401" i="35"/>
  <c r="B400" i="35"/>
  <c r="A400" i="35"/>
  <c r="B399" i="35"/>
  <c r="A399" i="35"/>
  <c r="B398" i="35"/>
  <c r="A398" i="35"/>
  <c r="B397" i="35"/>
  <c r="A397" i="35"/>
  <c r="B396" i="35"/>
  <c r="A396" i="35"/>
  <c r="B395" i="35"/>
  <c r="A395" i="35"/>
  <c r="B394" i="35"/>
  <c r="A394" i="35"/>
  <c r="B393" i="35"/>
  <c r="A393" i="35"/>
  <c r="B392" i="35"/>
  <c r="A392" i="35"/>
  <c r="B391" i="35"/>
  <c r="A391" i="35"/>
  <c r="B390" i="35"/>
  <c r="A390" i="35"/>
  <c r="B389" i="35"/>
  <c r="A389" i="35"/>
  <c r="B388" i="35"/>
  <c r="A388" i="35"/>
  <c r="B387" i="35"/>
  <c r="A387" i="35"/>
  <c r="B386" i="35"/>
  <c r="A386" i="35"/>
  <c r="B385" i="35"/>
  <c r="A385" i="35"/>
  <c r="B384" i="35"/>
  <c r="A384" i="35"/>
  <c r="B383" i="35"/>
  <c r="A383" i="35"/>
  <c r="B382" i="35"/>
  <c r="A382" i="35"/>
  <c r="B381" i="35"/>
  <c r="A381" i="35"/>
  <c r="B380" i="35"/>
  <c r="A380" i="35"/>
  <c r="B379" i="35"/>
  <c r="A379" i="35"/>
  <c r="B378" i="35"/>
  <c r="A378" i="35"/>
  <c r="B377" i="35"/>
  <c r="A377" i="35"/>
  <c r="B376" i="35"/>
  <c r="A376" i="35"/>
  <c r="B375" i="35"/>
  <c r="A375" i="35"/>
  <c r="B374" i="35"/>
  <c r="A374" i="35"/>
  <c r="B373" i="35"/>
  <c r="A373" i="35"/>
  <c r="B372" i="35"/>
  <c r="A372" i="35"/>
  <c r="B371" i="35"/>
  <c r="A371" i="35"/>
  <c r="B370" i="35"/>
  <c r="A370" i="35"/>
  <c r="B369" i="35"/>
  <c r="A369" i="35"/>
  <c r="B368" i="35"/>
  <c r="A368" i="35"/>
  <c r="B367" i="35"/>
  <c r="A367" i="35"/>
  <c r="B366" i="35"/>
  <c r="A366" i="35"/>
  <c r="B365" i="35"/>
  <c r="A365" i="35"/>
  <c r="B364" i="35"/>
  <c r="A364" i="35"/>
  <c r="B363" i="35"/>
  <c r="A363" i="35"/>
  <c r="B362" i="35"/>
  <c r="A362" i="35"/>
  <c r="B361" i="35"/>
  <c r="A361" i="35"/>
  <c r="B360" i="35"/>
  <c r="A360" i="35"/>
  <c r="B359" i="35"/>
  <c r="A359" i="35"/>
  <c r="B358" i="35"/>
  <c r="A358" i="35"/>
  <c r="B357" i="35"/>
  <c r="A357" i="35"/>
  <c r="B356" i="35"/>
  <c r="A356" i="35"/>
  <c r="B355" i="35"/>
  <c r="A355" i="35"/>
  <c r="B354" i="35"/>
  <c r="A354" i="35"/>
  <c r="B353" i="35"/>
  <c r="A353" i="35"/>
  <c r="B352" i="35"/>
  <c r="A352" i="35"/>
  <c r="B351" i="35"/>
  <c r="A351" i="35"/>
  <c r="B350" i="35"/>
  <c r="A350" i="35"/>
  <c r="B349" i="35"/>
  <c r="A349" i="35"/>
  <c r="B348" i="35"/>
  <c r="A348" i="35"/>
  <c r="B347" i="35"/>
  <c r="A347" i="35"/>
  <c r="B346" i="35"/>
  <c r="A346" i="35"/>
  <c r="B345" i="35"/>
  <c r="A345" i="35"/>
  <c r="B344" i="35"/>
  <c r="A344" i="35"/>
  <c r="B343" i="35"/>
  <c r="A343" i="35"/>
  <c r="B342" i="35"/>
  <c r="A342" i="35"/>
  <c r="B341" i="35"/>
  <c r="A341" i="35"/>
  <c r="B340" i="35"/>
  <c r="A340" i="35"/>
  <c r="B339" i="35"/>
  <c r="A339" i="35"/>
  <c r="B338" i="35"/>
  <c r="A338" i="35"/>
  <c r="B337" i="35"/>
  <c r="A337" i="35"/>
  <c r="B336" i="35"/>
  <c r="A336" i="35"/>
  <c r="B335" i="35"/>
  <c r="A335" i="35"/>
  <c r="B334" i="35"/>
  <c r="A334" i="35"/>
  <c r="B333" i="35"/>
  <c r="A333" i="35"/>
  <c r="B332" i="35"/>
  <c r="A332" i="35"/>
  <c r="B331" i="35"/>
  <c r="A331" i="35"/>
  <c r="B330" i="35"/>
  <c r="A330" i="35"/>
  <c r="B329" i="35"/>
  <c r="A329" i="35"/>
  <c r="B328" i="35"/>
  <c r="A328" i="35"/>
  <c r="B327" i="35"/>
  <c r="A327" i="35"/>
  <c r="B326" i="35"/>
  <c r="A326" i="35"/>
  <c r="B325" i="35"/>
  <c r="A325" i="35"/>
  <c r="B324" i="35"/>
  <c r="A324" i="35"/>
  <c r="B323" i="35"/>
  <c r="A323" i="35"/>
  <c r="B322" i="35"/>
  <c r="A322" i="35"/>
  <c r="B321" i="35"/>
  <c r="A321" i="35"/>
  <c r="B320" i="35"/>
  <c r="A320" i="35"/>
  <c r="B319" i="35"/>
  <c r="A319" i="35"/>
  <c r="B318" i="35"/>
  <c r="A318" i="35"/>
  <c r="B317" i="35"/>
  <c r="A317" i="35"/>
  <c r="B316" i="35"/>
  <c r="A316" i="35"/>
  <c r="B315" i="35"/>
  <c r="A315" i="35"/>
  <c r="B314" i="35"/>
  <c r="A314" i="35"/>
  <c r="B313" i="35"/>
  <c r="A313" i="35"/>
  <c r="B312" i="35"/>
  <c r="A312" i="35"/>
  <c r="B311" i="35"/>
  <c r="A311" i="35"/>
  <c r="B310" i="35"/>
  <c r="A310" i="35"/>
  <c r="B309" i="35"/>
  <c r="A309" i="35"/>
  <c r="B308" i="35"/>
  <c r="A308" i="35"/>
  <c r="B307" i="35"/>
  <c r="A307" i="35"/>
  <c r="B306" i="35"/>
  <c r="A306" i="35"/>
  <c r="B305" i="35"/>
  <c r="A305" i="35"/>
  <c r="B304" i="35"/>
  <c r="A304" i="35"/>
  <c r="B303" i="35"/>
  <c r="A303" i="35"/>
  <c r="B302" i="35"/>
  <c r="A302" i="35"/>
  <c r="B301" i="35"/>
  <c r="A301" i="35"/>
  <c r="B300" i="35"/>
  <c r="A300" i="35"/>
  <c r="B299" i="35"/>
  <c r="A299" i="35"/>
  <c r="B298" i="35"/>
  <c r="A298" i="35"/>
  <c r="B297" i="35"/>
  <c r="A297" i="35"/>
  <c r="B296" i="35"/>
  <c r="A296" i="35"/>
  <c r="B295" i="35"/>
  <c r="A295" i="35"/>
  <c r="B294" i="35"/>
  <c r="A294" i="35"/>
  <c r="B293" i="35"/>
  <c r="A293" i="35"/>
  <c r="B292" i="35"/>
  <c r="A292" i="35"/>
  <c r="B291" i="35"/>
  <c r="A291" i="35"/>
  <c r="B290" i="35"/>
  <c r="A290" i="35"/>
  <c r="B289" i="35"/>
  <c r="A289" i="35"/>
  <c r="B288" i="35"/>
  <c r="A288" i="35"/>
  <c r="B287" i="35"/>
  <c r="A287" i="35"/>
  <c r="B286" i="35"/>
  <c r="A286" i="35"/>
  <c r="B285" i="35"/>
  <c r="A285" i="35"/>
  <c r="B284" i="35"/>
  <c r="A284" i="35"/>
  <c r="B283" i="35"/>
  <c r="A283" i="35"/>
  <c r="B282" i="35"/>
  <c r="A282" i="35"/>
  <c r="B281" i="35"/>
  <c r="A281" i="35"/>
  <c r="B280" i="35"/>
  <c r="A280" i="35"/>
  <c r="B279" i="35"/>
  <c r="A279" i="35"/>
  <c r="B278" i="35"/>
  <c r="A278" i="35"/>
  <c r="B277" i="35"/>
  <c r="A277" i="35"/>
  <c r="B276" i="35"/>
  <c r="A276" i="35"/>
  <c r="B275" i="35"/>
  <c r="A275" i="35"/>
  <c r="B274" i="35"/>
  <c r="A274" i="35"/>
  <c r="B273" i="35"/>
  <c r="A273" i="35"/>
  <c r="B272" i="35"/>
  <c r="A272" i="35"/>
  <c r="B271" i="35"/>
  <c r="A271" i="35"/>
  <c r="B270" i="35"/>
  <c r="A270" i="35"/>
  <c r="B269" i="35"/>
  <c r="A269" i="35"/>
  <c r="B268" i="35"/>
  <c r="A268" i="35"/>
  <c r="B267" i="35"/>
  <c r="A267" i="35"/>
  <c r="B266" i="35"/>
  <c r="A266" i="35"/>
  <c r="B265" i="35"/>
  <c r="A265" i="35"/>
  <c r="B264" i="35"/>
  <c r="A264" i="35"/>
  <c r="B263" i="35"/>
  <c r="A263" i="35"/>
  <c r="B262" i="35"/>
  <c r="A262" i="35"/>
  <c r="B261" i="35"/>
  <c r="A261" i="35"/>
  <c r="B260" i="35"/>
  <c r="A260" i="35"/>
  <c r="B259" i="35"/>
  <c r="A259" i="35"/>
  <c r="B258" i="35"/>
  <c r="A258" i="35"/>
  <c r="B257" i="35"/>
  <c r="A257" i="35"/>
  <c r="B256" i="35"/>
  <c r="A256" i="35"/>
  <c r="B255" i="35"/>
  <c r="A255" i="35"/>
  <c r="B254" i="35"/>
  <c r="A254" i="35"/>
  <c r="B253" i="35"/>
  <c r="A253" i="35"/>
  <c r="B252" i="35"/>
  <c r="A252" i="35"/>
  <c r="B251" i="35"/>
  <c r="A251" i="35"/>
  <c r="B250" i="35"/>
  <c r="A250" i="35"/>
  <c r="B249" i="35"/>
  <c r="A249" i="35"/>
  <c r="B248" i="35"/>
  <c r="A248" i="35"/>
  <c r="B247" i="35"/>
  <c r="A247" i="35"/>
  <c r="B246" i="35"/>
  <c r="A246" i="35"/>
  <c r="B245" i="35"/>
  <c r="A245" i="35"/>
  <c r="B244" i="35"/>
  <c r="A244" i="35"/>
  <c r="B243" i="35"/>
  <c r="A243" i="35"/>
  <c r="B242" i="35"/>
  <c r="A242" i="35"/>
  <c r="B241" i="35"/>
  <c r="A241" i="35"/>
  <c r="B240" i="35"/>
  <c r="A240" i="35"/>
  <c r="B239" i="35"/>
  <c r="A239" i="35"/>
  <c r="B238" i="35"/>
  <c r="A238" i="35"/>
  <c r="B237" i="35"/>
  <c r="A237" i="35"/>
  <c r="B236" i="35"/>
  <c r="A236" i="35"/>
  <c r="B235" i="35"/>
  <c r="A235" i="35"/>
  <c r="B234" i="35"/>
  <c r="A234" i="35"/>
  <c r="B233" i="35"/>
  <c r="A233" i="35"/>
  <c r="B232" i="35"/>
  <c r="A232" i="35"/>
  <c r="B231" i="35"/>
  <c r="A231" i="35"/>
  <c r="B230" i="35"/>
  <c r="A230" i="35"/>
  <c r="B229" i="35"/>
  <c r="A229" i="35"/>
  <c r="B228" i="35"/>
  <c r="A228" i="35"/>
  <c r="B227" i="35"/>
  <c r="A227" i="35"/>
  <c r="B226" i="35"/>
  <c r="A226" i="35"/>
  <c r="B225" i="35"/>
  <c r="A225" i="35"/>
  <c r="B224" i="35"/>
  <c r="A224" i="35"/>
  <c r="B223" i="35"/>
  <c r="A223" i="35"/>
  <c r="B222" i="35"/>
  <c r="A222" i="35"/>
  <c r="B221" i="35"/>
  <c r="A221" i="35"/>
  <c r="B220" i="35"/>
  <c r="A220" i="35"/>
  <c r="B219" i="35"/>
  <c r="A219" i="35"/>
  <c r="B218" i="35"/>
  <c r="A218" i="35"/>
  <c r="B217" i="35"/>
  <c r="A217" i="35"/>
  <c r="B216" i="35"/>
  <c r="A216" i="35"/>
  <c r="B215" i="35"/>
  <c r="A215" i="35"/>
  <c r="B214" i="35"/>
  <c r="A214" i="35"/>
  <c r="B213" i="35"/>
  <c r="A213" i="35"/>
  <c r="B212" i="35"/>
  <c r="A212" i="35"/>
  <c r="B211" i="35"/>
  <c r="A211" i="35"/>
  <c r="B210" i="35"/>
  <c r="A210" i="35"/>
  <c r="B209" i="35"/>
  <c r="A209" i="35"/>
  <c r="B208" i="35"/>
  <c r="A208" i="35"/>
  <c r="B207" i="35"/>
  <c r="A207" i="35"/>
  <c r="B206" i="35"/>
  <c r="A206" i="35"/>
  <c r="B205" i="35"/>
  <c r="A205" i="35"/>
  <c r="B204" i="35"/>
  <c r="A204" i="35"/>
  <c r="B203" i="35"/>
  <c r="A203" i="35"/>
  <c r="B202" i="35"/>
  <c r="A202" i="35"/>
  <c r="B201" i="35"/>
  <c r="A201" i="35"/>
  <c r="B200" i="35"/>
  <c r="A200" i="35"/>
  <c r="B199" i="35"/>
  <c r="A199" i="35"/>
  <c r="B198" i="35"/>
  <c r="A198" i="35"/>
  <c r="B197" i="35"/>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B154" i="35"/>
  <c r="A154" i="35"/>
  <c r="B153" i="35"/>
  <c r="A153" i="35"/>
  <c r="B152" i="35"/>
  <c r="A152" i="35"/>
  <c r="B151" i="35"/>
  <c r="A151" i="35"/>
  <c r="B150" i="35"/>
  <c r="A150" i="35"/>
  <c r="B149" i="35"/>
  <c r="A149" i="35"/>
  <c r="B148" i="35"/>
  <c r="A148" i="35"/>
  <c r="B147" i="35"/>
  <c r="A147" i="35"/>
  <c r="B146" i="35"/>
  <c r="A146" i="35"/>
  <c r="B145" i="35"/>
  <c r="A145" i="35"/>
  <c r="B144" i="35"/>
  <c r="A144" i="35"/>
  <c r="B143" i="35"/>
  <c r="A143" i="35"/>
  <c r="B142" i="35"/>
  <c r="A142" i="35"/>
  <c r="B141" i="35"/>
  <c r="A141" i="35"/>
  <c r="B140" i="35"/>
  <c r="A140" i="35"/>
  <c r="B139" i="35"/>
  <c r="A139" i="35"/>
  <c r="B138" i="35"/>
  <c r="A138" i="35"/>
  <c r="B137" i="35"/>
  <c r="A137" i="35"/>
  <c r="B136" i="35"/>
  <c r="A136" i="35"/>
  <c r="B135" i="35"/>
  <c r="A135" i="35"/>
  <c r="B134" i="35"/>
  <c r="A134" i="35"/>
  <c r="B133" i="35"/>
  <c r="A133" i="35"/>
  <c r="B132" i="35"/>
  <c r="A132" i="35"/>
  <c r="B131" i="35"/>
  <c r="A131" i="35"/>
  <c r="B130" i="35"/>
  <c r="A130" i="35"/>
  <c r="B129" i="35"/>
  <c r="A129" i="35"/>
  <c r="B128" i="35"/>
  <c r="A128" i="35"/>
  <c r="B127" i="35"/>
  <c r="A127" i="35"/>
  <c r="B126" i="35"/>
  <c r="A126" i="35"/>
  <c r="B125" i="35"/>
  <c r="A125" i="35"/>
  <c r="B124" i="35"/>
  <c r="A124" i="35"/>
  <c r="B123" i="35"/>
  <c r="A123" i="35"/>
  <c r="B122" i="35"/>
  <c r="A122" i="35"/>
  <c r="B121" i="35"/>
  <c r="A121" i="35"/>
  <c r="B120" i="35"/>
  <c r="A120" i="35"/>
  <c r="B119" i="35"/>
  <c r="A119" i="35"/>
  <c r="B118" i="35"/>
  <c r="A118" i="35"/>
  <c r="B117" i="35"/>
  <c r="A117" i="35"/>
  <c r="B116" i="35"/>
  <c r="A116" i="35"/>
  <c r="B115" i="35"/>
  <c r="A115" i="35"/>
  <c r="B114" i="35"/>
  <c r="A114" i="35"/>
  <c r="B113" i="35"/>
  <c r="A113" i="35"/>
  <c r="B112" i="35"/>
  <c r="A112" i="35"/>
  <c r="B111" i="35"/>
  <c r="A111" i="35"/>
  <c r="B110" i="35"/>
  <c r="A110" i="35"/>
  <c r="B109" i="35"/>
  <c r="A109" i="35"/>
  <c r="B108" i="35"/>
  <c r="A108" i="35"/>
  <c r="B107" i="35"/>
  <c r="A107" i="35"/>
  <c r="B106" i="35"/>
  <c r="A106" i="35"/>
  <c r="B105" i="35"/>
  <c r="A105" i="35"/>
  <c r="B104" i="35"/>
  <c r="A104" i="35"/>
  <c r="B103" i="35"/>
  <c r="A103" i="35"/>
  <c r="B102" i="35"/>
  <c r="A102" i="35"/>
  <c r="B101" i="35"/>
  <c r="A101" i="35"/>
  <c r="B100" i="35"/>
  <c r="A100" i="35"/>
  <c r="B99" i="35"/>
  <c r="A99" i="35"/>
  <c r="B98" i="35"/>
  <c r="A98" i="35"/>
  <c r="B97" i="35"/>
  <c r="A97" i="35"/>
  <c r="B96" i="35"/>
  <c r="A96" i="35"/>
  <c r="B95" i="35"/>
  <c r="A95" i="35"/>
  <c r="B94" i="35"/>
  <c r="A94" i="35"/>
  <c r="B93" i="35"/>
  <c r="A93" i="35"/>
  <c r="B92" i="35"/>
  <c r="A92" i="35"/>
  <c r="B91" i="35"/>
  <c r="A91" i="35"/>
  <c r="B90" i="35"/>
  <c r="A90" i="35"/>
  <c r="B89" i="35"/>
  <c r="A89" i="35"/>
  <c r="B88" i="35"/>
  <c r="A88" i="35"/>
  <c r="B87" i="35"/>
  <c r="A87" i="35"/>
  <c r="B86" i="35"/>
  <c r="A86" i="35"/>
  <c r="B85" i="35"/>
  <c r="A85" i="35"/>
  <c r="B84" i="35"/>
  <c r="A84" i="35"/>
  <c r="B83" i="35"/>
  <c r="A83" i="35"/>
  <c r="B82" i="35"/>
  <c r="A82" i="35"/>
  <c r="B81" i="35"/>
  <c r="A81" i="35"/>
  <c r="B80" i="35"/>
  <c r="A80" i="35"/>
  <c r="B79" i="35"/>
  <c r="A79" i="35"/>
  <c r="B78" i="35"/>
  <c r="A78" i="35"/>
  <c r="B77" i="35"/>
  <c r="A77" i="35"/>
  <c r="B76" i="35"/>
  <c r="A76" i="35"/>
  <c r="B75" i="35"/>
  <c r="A75" i="35"/>
  <c r="B74" i="35"/>
  <c r="A74" i="35"/>
  <c r="B73" i="35"/>
  <c r="A73" i="35"/>
  <c r="B72" i="35"/>
  <c r="A72" i="35"/>
  <c r="B71" i="35"/>
  <c r="A71" i="35"/>
  <c r="B70" i="35"/>
  <c r="A70" i="35"/>
  <c r="B69" i="35"/>
  <c r="A69" i="35"/>
  <c r="B68" i="35"/>
  <c r="A68" i="35"/>
  <c r="B67" i="35"/>
  <c r="A67" i="35"/>
  <c r="B66" i="35"/>
  <c r="A66" i="35"/>
  <c r="B65" i="35"/>
  <c r="A65" i="35"/>
  <c r="B64" i="35"/>
  <c r="A64" i="35"/>
  <c r="B63" i="35"/>
  <c r="A63" i="35"/>
  <c r="B62" i="35"/>
  <c r="A62" i="35"/>
  <c r="B61" i="35"/>
  <c r="A61" i="35"/>
  <c r="B60" i="35"/>
  <c r="A60" i="35"/>
  <c r="B59" i="35"/>
  <c r="A59" i="35"/>
  <c r="B58" i="35"/>
  <c r="A58" i="35"/>
  <c r="B57" i="35"/>
  <c r="A57" i="35"/>
  <c r="B56" i="35"/>
  <c r="A56" i="35"/>
  <c r="B55" i="35"/>
  <c r="A55" i="35"/>
  <c r="B54" i="35"/>
  <c r="A54" i="35"/>
  <c r="B53" i="35"/>
  <c r="A53" i="35"/>
  <c r="B52" i="35"/>
  <c r="A52" i="35"/>
  <c r="B51" i="35"/>
  <c r="A51" i="35"/>
  <c r="B50" i="35"/>
  <c r="A50" i="35"/>
  <c r="B49" i="35"/>
  <c r="A49" i="35"/>
  <c r="B48" i="35"/>
  <c r="A48" i="35"/>
  <c r="B47" i="35"/>
  <c r="A47" i="35"/>
  <c r="B46" i="35"/>
  <c r="A46" i="35"/>
  <c r="B45" i="35"/>
  <c r="A45" i="35"/>
  <c r="B44" i="35"/>
  <c r="A44" i="35"/>
  <c r="B43" i="35"/>
  <c r="A43" i="35"/>
  <c r="B42" i="35"/>
  <c r="A42" i="35"/>
  <c r="B41" i="35"/>
  <c r="A41" i="35"/>
  <c r="B40" i="35"/>
  <c r="A40" i="35"/>
  <c r="B39" i="35"/>
  <c r="A39" i="35"/>
  <c r="B38" i="35"/>
  <c r="A38" i="35"/>
  <c r="B37" i="35"/>
  <c r="A37" i="35"/>
  <c r="B36" i="35"/>
  <c r="A36" i="35"/>
  <c r="B35" i="35"/>
  <c r="A35" i="35"/>
  <c r="B34" i="35"/>
  <c r="A34" i="35"/>
  <c r="B33" i="35"/>
  <c r="A33" i="35"/>
  <c r="B32" i="35"/>
  <c r="A32" i="35"/>
  <c r="B31" i="35"/>
  <c r="A31" i="35"/>
  <c r="B30" i="35"/>
  <c r="A30" i="35"/>
  <c r="B29" i="35"/>
  <c r="A29" i="35"/>
  <c r="B28" i="35"/>
  <c r="A28" i="35"/>
  <c r="B27" i="35"/>
  <c r="A27" i="35"/>
  <c r="B26" i="35"/>
  <c r="A26" i="35"/>
  <c r="B25" i="35"/>
  <c r="A25" i="35"/>
  <c r="B24" i="35"/>
  <c r="A24" i="35"/>
  <c r="B23" i="35"/>
  <c r="A23" i="35"/>
  <c r="B22" i="35"/>
  <c r="A22" i="35"/>
  <c r="B21" i="35"/>
  <c r="A21" i="35"/>
  <c r="B20" i="35"/>
  <c r="A20" i="35"/>
  <c r="B19" i="35"/>
  <c r="A19" i="35"/>
  <c r="B18" i="35"/>
  <c r="A18" i="35"/>
  <c r="B17" i="35"/>
  <c r="A17" i="35"/>
  <c r="B16" i="35"/>
  <c r="A16" i="35"/>
  <c r="B15" i="35"/>
  <c r="A15" i="35"/>
  <c r="B14" i="35"/>
  <c r="A14" i="35"/>
  <c r="B13" i="35"/>
  <c r="A13" i="35"/>
  <c r="B12" i="35"/>
  <c r="A12" i="35"/>
  <c r="B11" i="35"/>
  <c r="A11" i="35"/>
  <c r="B10" i="35"/>
  <c r="A10" i="35"/>
  <c r="B9" i="35"/>
  <c r="A9" i="35"/>
  <c r="B8" i="35"/>
  <c r="A8" i="35"/>
  <c r="B7" i="35"/>
  <c r="A7" i="35"/>
  <c r="B6" i="35"/>
  <c r="A6" i="35"/>
  <c r="B5" i="35"/>
  <c r="A5" i="35"/>
  <c r="B4" i="35"/>
  <c r="A4" i="35"/>
  <c r="B3" i="35"/>
  <c r="A3" i="35"/>
  <c r="H32" i="34"/>
  <c r="H31" i="34"/>
  <c r="H30" i="34"/>
  <c r="L11" i="41" l="1"/>
  <c r="Q9" i="39"/>
  <c r="Q17" i="39" s="1"/>
  <c r="K8" i="36"/>
  <c r="J13" i="37"/>
  <c r="L13" i="37" s="1"/>
  <c r="L9" i="38"/>
  <c r="K10" i="36"/>
  <c r="I9" i="46"/>
  <c r="D3" i="34"/>
  <c r="H21" i="57" s="1"/>
  <c r="H77" i="9"/>
  <c r="F92" i="62" s="1"/>
  <c r="H42" i="9"/>
  <c r="H36" i="9"/>
  <c r="H89" i="9"/>
  <c r="F104" i="62" s="1"/>
  <c r="H83" i="9"/>
  <c r="F98" i="62" s="1"/>
  <c r="H58" i="9"/>
  <c r="H64" i="9" s="1"/>
  <c r="M18" i="47"/>
  <c r="F5" i="47" s="1"/>
  <c r="O12" i="47"/>
  <c r="K9" i="36"/>
  <c r="L10" i="41"/>
  <c r="N10" i="41" s="1"/>
  <c r="L15" i="41" s="1"/>
  <c r="I8" i="46"/>
  <c r="I15" i="46" s="1"/>
  <c r="J12" i="37"/>
  <c r="L12" i="37" s="1"/>
  <c r="J17" i="37" s="1"/>
  <c r="L8" i="40"/>
  <c r="L13" i="40" s="1"/>
  <c r="J8" i="45"/>
  <c r="N12" i="49"/>
  <c r="N18" i="49" s="1"/>
  <c r="F5" i="49" s="1"/>
  <c r="Q8" i="39"/>
  <c r="J12" i="42"/>
  <c r="L12" i="42" s="1"/>
  <c r="N8" i="44"/>
  <c r="M8" i="48"/>
  <c r="M14" i="48" s="1"/>
  <c r="L8" i="38"/>
  <c r="L12" i="38" s="1"/>
  <c r="L14" i="38" s="1"/>
  <c r="L8" i="43"/>
  <c r="L12" i="43" s="1"/>
  <c r="L14" i="43" s="1"/>
  <c r="D28" i="34"/>
  <c r="L7" i="38"/>
  <c r="N7" i="38" s="1"/>
  <c r="J11" i="42"/>
  <c r="L11" i="42" s="1"/>
  <c r="L9" i="40"/>
  <c r="J13" i="42"/>
  <c r="L13" i="42" s="1"/>
  <c r="L9" i="43"/>
  <c r="J9" i="45"/>
  <c r="N9" i="44"/>
  <c r="M13" i="47"/>
  <c r="M9" i="48"/>
  <c r="N13" i="49"/>
  <c r="J11" i="37"/>
  <c r="F5" i="37" s="1"/>
  <c r="Q7" i="39"/>
  <c r="S7" i="39" s="1"/>
  <c r="L7" i="40"/>
  <c r="N7" i="40" s="1"/>
  <c r="N7" i="44"/>
  <c r="N14" i="44" s="1"/>
  <c r="I7" i="46"/>
  <c r="I14" i="46" s="1"/>
  <c r="M7" i="48"/>
  <c r="O7" i="48" s="1"/>
  <c r="L7" i="43"/>
  <c r="N7" i="43" s="1"/>
  <c r="M11" i="47"/>
  <c r="L9" i="41"/>
  <c r="N9" i="41" s="1"/>
  <c r="J7" i="45"/>
  <c r="N11" i="49"/>
  <c r="K23" i="34"/>
  <c r="H23" i="57"/>
  <c r="F91" i="2" l="1"/>
  <c r="L15" i="40"/>
  <c r="AF50" i="26"/>
  <c r="AC50" i="26"/>
  <c r="Z50" i="26"/>
  <c r="W50" i="26"/>
  <c r="T50" i="26"/>
  <c r="S9" i="39"/>
  <c r="Q19" i="39" s="1"/>
  <c r="F2" i="46"/>
  <c r="F60" i="62"/>
  <c r="F59" i="2"/>
  <c r="F54" i="62"/>
  <c r="F53" i="2"/>
  <c r="K5" i="36"/>
  <c r="K14" i="36" s="1"/>
  <c r="F5" i="36" s="1"/>
  <c r="K24" i="59" s="1"/>
  <c r="G21" i="57"/>
  <c r="D4" i="34"/>
  <c r="I23" i="34" s="1"/>
  <c r="F21" i="57"/>
  <c r="F21" i="34"/>
  <c r="F103" i="2"/>
  <c r="F97" i="2"/>
  <c r="F72" i="2"/>
  <c r="F73" i="62"/>
  <c r="L17" i="41"/>
  <c r="F5" i="39"/>
  <c r="J19" i="42"/>
  <c r="L11" i="37"/>
  <c r="J19" i="37" s="1"/>
  <c r="F4" i="37"/>
  <c r="F6" i="37" s="1"/>
  <c r="H21" i="34"/>
  <c r="G21" i="34"/>
  <c r="G24" i="57"/>
  <c r="G23" i="34"/>
  <c r="F23" i="57"/>
  <c r="H23" i="34"/>
  <c r="F23" i="34"/>
  <c r="G31" i="57" l="1"/>
  <c r="F36" i="57" s="1"/>
  <c r="K24" i="54"/>
  <c r="K24" i="53"/>
  <c r="K24" i="57"/>
  <c r="K24" i="34"/>
  <c r="K31" i="34" s="1"/>
  <c r="K24" i="60"/>
  <c r="K24" i="61"/>
  <c r="K24" i="58"/>
  <c r="K24" i="56"/>
  <c r="K24" i="55"/>
  <c r="F4" i="36"/>
  <c r="K22" i="59" s="1"/>
  <c r="M6" i="48"/>
  <c r="M13" i="48" s="1"/>
  <c r="F4" i="48" s="1"/>
  <c r="I24" i="34"/>
  <c r="Q6" i="39"/>
  <c r="S6" i="39" s="1"/>
  <c r="Q18" i="39" s="1"/>
  <c r="F2" i="39" s="1"/>
  <c r="I22" i="34"/>
  <c r="I25" i="34"/>
  <c r="I26" i="34" s="1"/>
  <c r="L6" i="43"/>
  <c r="L13" i="43" s="1"/>
  <c r="F2" i="43" s="1"/>
  <c r="J8" i="42"/>
  <c r="J18" i="42" s="1"/>
  <c r="J8" i="37"/>
  <c r="J18" i="37" s="1"/>
  <c r="F2" i="37" s="1"/>
  <c r="L6" i="38"/>
  <c r="J30" i="34"/>
  <c r="I8" i="50"/>
  <c r="I17" i="50"/>
  <c r="F2" i="50" s="1"/>
  <c r="N8" i="49"/>
  <c r="N17" i="49" s="1"/>
  <c r="F2" i="48"/>
  <c r="M8" i="47"/>
  <c r="M17" i="47" s="1"/>
  <c r="F2" i="45"/>
  <c r="J6" i="45"/>
  <c r="N6" i="44"/>
  <c r="N13" i="44" s="1"/>
  <c r="I6" i="46"/>
  <c r="L8" i="41"/>
  <c r="L16" i="41" s="1"/>
  <c r="F2" i="41" s="1"/>
  <c r="L6" i="40"/>
  <c r="L14" i="40" s="1"/>
  <c r="F2" i="40" s="1"/>
  <c r="F22" i="57"/>
  <c r="G22" i="57"/>
  <c r="F22" i="34"/>
  <c r="G23" i="57"/>
  <c r="G30" i="57" l="1"/>
  <c r="F35" i="57" s="1"/>
  <c r="F39" i="57" s="1"/>
  <c r="F30" i="34"/>
  <c r="F4" i="39"/>
  <c r="F6" i="39" s="1"/>
  <c r="K22" i="56"/>
  <c r="K22" i="53"/>
  <c r="K22" i="54"/>
  <c r="K22" i="57"/>
  <c r="K22" i="60"/>
  <c r="K22" i="55"/>
  <c r="K22" i="58"/>
  <c r="K22" i="61"/>
  <c r="K22" i="34"/>
  <c r="K30" i="34" s="1"/>
  <c r="J17" i="42"/>
  <c r="F2" i="42" s="1"/>
  <c r="L13" i="38"/>
  <c r="F2" i="38" s="1"/>
  <c r="F2" i="49"/>
  <c r="F4" i="49"/>
  <c r="J31" i="34"/>
  <c r="F4" i="44"/>
  <c r="F5" i="44"/>
  <c r="N15" i="44"/>
  <c r="F2" i="44" s="1"/>
  <c r="F2" i="47"/>
  <c r="F4" i="47"/>
  <c r="J32" i="34"/>
  <c r="K32" i="34"/>
  <c r="G22" i="34"/>
  <c r="G24" i="34"/>
  <c r="G25" i="34"/>
  <c r="H25" i="57"/>
  <c r="H25" i="34"/>
  <c r="G25" i="57"/>
  <c r="F25" i="34"/>
  <c r="F25" i="57"/>
  <c r="F26" i="57" l="1"/>
  <c r="G26" i="57"/>
  <c r="G32" i="57" s="1"/>
  <c r="F37" i="57" s="1"/>
  <c r="I30" i="34"/>
  <c r="G30" i="34"/>
  <c r="G31" i="34"/>
  <c r="G26" i="34"/>
  <c r="G32" i="34" s="1"/>
  <c r="F26" i="34"/>
  <c r="F32" i="34" s="1"/>
  <c r="I32" i="34" l="1"/>
  <c r="F37" i="34" s="1"/>
  <c r="M89" i="9" s="1"/>
  <c r="U89" i="9" s="1"/>
  <c r="V89" i="9" s="1"/>
  <c r="W89" i="9" s="1"/>
  <c r="M104" i="62" s="1"/>
  <c r="F35" i="34"/>
  <c r="N103" i="2" l="1"/>
  <c r="U91" i="9"/>
  <c r="V91" i="9" s="1"/>
  <c r="W91" i="9" s="1"/>
  <c r="M106" i="62" s="1"/>
  <c r="U92" i="9"/>
  <c r="V92" i="9" s="1"/>
  <c r="W92" i="9" s="1"/>
  <c r="M107" i="62" s="1"/>
  <c r="U93" i="9"/>
  <c r="V93" i="9" s="1"/>
  <c r="W93" i="9" s="1"/>
  <c r="M108" i="62" s="1"/>
  <c r="U90" i="9"/>
  <c r="V90" i="9" s="1"/>
  <c r="N107" i="2" l="1"/>
  <c r="N105" i="2"/>
  <c r="N106" i="2"/>
  <c r="W90" i="9"/>
  <c r="M105" i="62" s="1"/>
  <c r="V88" i="9"/>
  <c r="W88" i="9" l="1"/>
  <c r="M103" i="62" s="1"/>
  <c r="N104" i="2"/>
  <c r="O104" i="13"/>
  <c r="N102" i="2" l="1"/>
  <c r="X25" i="9"/>
  <c r="H24" i="9"/>
  <c r="F42" i="62" l="1"/>
  <c r="H10" i="9"/>
  <c r="Z25" i="9"/>
  <c r="X79" i="9"/>
  <c r="X28" i="9"/>
  <c r="X24" i="9"/>
  <c r="X26" i="9"/>
  <c r="X27" i="9"/>
  <c r="I31" i="34"/>
  <c r="Q38" i="26"/>
  <c r="N38" i="26"/>
  <c r="K38" i="26"/>
  <c r="H38" i="26"/>
  <c r="E38" i="26"/>
  <c r="Q27" i="26"/>
  <c r="N27" i="26"/>
  <c r="K27" i="26"/>
  <c r="H27" i="26"/>
  <c r="E27" i="26"/>
  <c r="F27" i="26" s="1"/>
  <c r="Q23" i="26"/>
  <c r="N23" i="26"/>
  <c r="K23" i="26"/>
  <c r="H23" i="26"/>
  <c r="E23" i="26"/>
  <c r="P14" i="32"/>
  <c r="Q14" i="32" s="1"/>
  <c r="P13" i="32"/>
  <c r="Q13" i="32" s="1"/>
  <c r="P12" i="32"/>
  <c r="Q12" i="32" s="1"/>
  <c r="P11" i="32"/>
  <c r="Q11" i="32" s="1"/>
  <c r="P10" i="32"/>
  <c r="H40" i="2"/>
  <c r="H82" i="2"/>
  <c r="H83" i="2"/>
  <c r="H81" i="2"/>
  <c r="H46" i="2"/>
  <c r="H30" i="9"/>
  <c r="L47" i="2"/>
  <c r="L45" i="2"/>
  <c r="L48" i="2"/>
  <c r="K48" i="2"/>
  <c r="L49" i="2"/>
  <c r="K49" i="2"/>
  <c r="L50" i="2"/>
  <c r="K50" i="2"/>
  <c r="L51" i="2"/>
  <c r="K51" i="2"/>
  <c r="L58" i="2"/>
  <c r="L71" i="2"/>
  <c r="L77" i="2"/>
  <c r="L78" i="2"/>
  <c r="L80" i="2"/>
  <c r="L81" i="2"/>
  <c r="L82" i="2"/>
  <c r="L83" i="2"/>
  <c r="L84" i="2"/>
  <c r="L85" i="2"/>
  <c r="L86" i="2"/>
  <c r="L87" i="2"/>
  <c r="L88" i="2"/>
  <c r="E88" i="2"/>
  <c r="L89" i="2"/>
  <c r="L96" i="2"/>
  <c r="L102" i="2"/>
  <c r="L44" i="2"/>
  <c r="F41" i="2"/>
  <c r="K96" i="2"/>
  <c r="K47" i="2"/>
  <c r="AG80" i="95" l="1"/>
  <c r="AJ211" i="95" s="1"/>
  <c r="Q10" i="32"/>
  <c r="K41" i="62"/>
  <c r="N50" i="26"/>
  <c r="AA50" i="26"/>
  <c r="X50" i="26"/>
  <c r="H50" i="26"/>
  <c r="K42" i="2"/>
  <c r="J43" i="62"/>
  <c r="Z24" i="9"/>
  <c r="K84" i="2"/>
  <c r="K81" i="2"/>
  <c r="K78" i="2"/>
  <c r="J79" i="62"/>
  <c r="K80" i="2"/>
  <c r="K77" i="2"/>
  <c r="J78" i="62"/>
  <c r="K89" i="2"/>
  <c r="K82" i="2"/>
  <c r="K88" i="2"/>
  <c r="K85" i="2"/>
  <c r="K86" i="2"/>
  <c r="K87" i="2"/>
  <c r="K83" i="2"/>
  <c r="A46" i="2"/>
  <c r="F47" i="2"/>
  <c r="F48" i="62"/>
  <c r="Z27" i="9"/>
  <c r="X81" i="9"/>
  <c r="Z26" i="9"/>
  <c r="X80" i="9"/>
  <c r="Z28" i="9"/>
  <c r="U50" i="26"/>
  <c r="AD50" i="26"/>
  <c r="AG50" i="26"/>
  <c r="L46" i="2"/>
  <c r="AG20" i="95" s="1"/>
  <c r="AG22" i="95" s="1"/>
  <c r="F53" i="26"/>
  <c r="K41" i="9"/>
  <c r="H58" i="2" s="1"/>
  <c r="AG21" i="95" l="1"/>
  <c r="AG41" i="95"/>
  <c r="AJ31" i="95" s="1"/>
  <c r="AJ21" i="95"/>
  <c r="J41" i="62"/>
  <c r="K40" i="2"/>
  <c r="V60" i="9"/>
  <c r="W60" i="9" s="1"/>
  <c r="V58" i="9"/>
  <c r="W58" i="9" s="1"/>
  <c r="V59" i="9"/>
  <c r="W59" i="9" s="1"/>
  <c r="V62" i="9"/>
  <c r="W62" i="9" s="1"/>
  <c r="V61" i="9"/>
  <c r="W61" i="9" s="1"/>
  <c r="Q50" i="26"/>
  <c r="K50" i="26"/>
  <c r="E50" i="26"/>
  <c r="F50" i="26" s="1"/>
  <c r="J44" i="62"/>
  <c r="K43" i="2"/>
  <c r="J42" i="62"/>
  <c r="K41" i="2"/>
  <c r="V63" i="9"/>
  <c r="W63" i="9" s="1"/>
  <c r="K45" i="2"/>
  <c r="J46" i="62"/>
  <c r="K44" i="2"/>
  <c r="J45" i="62"/>
  <c r="M83" i="9"/>
  <c r="M87" i="9"/>
  <c r="M85" i="9"/>
  <c r="M86" i="9"/>
  <c r="M84" i="9"/>
  <c r="F24" i="57"/>
  <c r="F24" i="61"/>
  <c r="F24" i="60"/>
  <c r="F24" i="59"/>
  <c r="F24" i="58"/>
  <c r="F24" i="56"/>
  <c r="F31" i="56" s="1"/>
  <c r="F36" i="56" s="1"/>
  <c r="F39" i="56" s="1"/>
  <c r="X93" i="9" s="1"/>
  <c r="Z93" i="9" s="1"/>
  <c r="J108" i="62" s="1"/>
  <c r="F24" i="55"/>
  <c r="F31" i="55" s="1"/>
  <c r="F36" i="55" s="1"/>
  <c r="F39" i="55" s="1"/>
  <c r="X92" i="9" s="1"/>
  <c r="Z92" i="9" s="1"/>
  <c r="J107" i="62" s="1"/>
  <c r="F24" i="54"/>
  <c r="F31" i="54" s="1"/>
  <c r="F36" i="54" s="1"/>
  <c r="F39" i="54" s="1"/>
  <c r="X91" i="9" s="1"/>
  <c r="Z91" i="9" s="1"/>
  <c r="J106" i="62" s="1"/>
  <c r="F24" i="53"/>
  <c r="F31" i="53" s="1"/>
  <c r="F36" i="53" s="1"/>
  <c r="F39" i="53" s="1"/>
  <c r="M70" i="9"/>
  <c r="M82" i="9"/>
  <c r="U82" i="9" s="1"/>
  <c r="I53" i="26"/>
  <c r="L53" i="26" s="1"/>
  <c r="O53" i="26" s="1"/>
  <c r="AJ218" i="95" l="1"/>
  <c r="K106" i="2"/>
  <c r="K107" i="2"/>
  <c r="K105" i="2"/>
  <c r="N77" i="2"/>
  <c r="M78" i="62"/>
  <c r="N75" i="2"/>
  <c r="M76" i="62"/>
  <c r="N74" i="2"/>
  <c r="M75" i="62"/>
  <c r="N72" i="2"/>
  <c r="M73" i="62"/>
  <c r="N73" i="2"/>
  <c r="M74" i="62"/>
  <c r="N76" i="2"/>
  <c r="M77" i="62"/>
  <c r="X90" i="9"/>
  <c r="Z90" i="9" s="1"/>
  <c r="J105" i="62" s="1"/>
  <c r="V83" i="9"/>
  <c r="U83" i="9"/>
  <c r="V84" i="9"/>
  <c r="W84" i="9" s="1"/>
  <c r="M99" i="62" s="1"/>
  <c r="U84" i="9"/>
  <c r="V87" i="9"/>
  <c r="W87" i="9" s="1"/>
  <c r="M102" i="62" s="1"/>
  <c r="U87" i="9"/>
  <c r="V85" i="9"/>
  <c r="W85" i="9" s="1"/>
  <c r="M100" i="62" s="1"/>
  <c r="U85" i="9"/>
  <c r="V86" i="9"/>
  <c r="W86" i="9" s="1"/>
  <c r="M101" i="62" s="1"/>
  <c r="U86" i="9"/>
  <c r="U70" i="9"/>
  <c r="V70" i="9"/>
  <c r="W57" i="9"/>
  <c r="V57" i="9"/>
  <c r="M14" i="47"/>
  <c r="L10" i="40"/>
  <c r="J14" i="42"/>
  <c r="I10" i="46"/>
  <c r="J14" i="37"/>
  <c r="N10" i="44"/>
  <c r="N14" i="49"/>
  <c r="F24" i="34"/>
  <c r="F31" i="34" s="1"/>
  <c r="F36" i="34" s="1"/>
  <c r="F39" i="34" s="1"/>
  <c r="X89" i="9" s="1"/>
  <c r="Z89" i="9" s="1"/>
  <c r="J104" i="62" s="1"/>
  <c r="L12" i="41"/>
  <c r="J10" i="45"/>
  <c r="Q10" i="39"/>
  <c r="K11" i="36"/>
  <c r="L10" i="38"/>
  <c r="I14" i="50"/>
  <c r="L10" i="43"/>
  <c r="R53" i="26"/>
  <c r="U53" i="26" s="1"/>
  <c r="X53" i="26" s="1"/>
  <c r="AA53" i="26" s="1"/>
  <c r="AD53" i="26" s="1"/>
  <c r="AG53" i="26" s="1"/>
  <c r="K103" i="2" l="1"/>
  <c r="K104" i="2"/>
  <c r="N71" i="2"/>
  <c r="M72" i="62"/>
  <c r="N100" i="2"/>
  <c r="N101" i="2"/>
  <c r="N99" i="2"/>
  <c r="N98" i="2"/>
  <c r="V82" i="9"/>
  <c r="W83" i="9"/>
  <c r="M98" i="62" s="1"/>
  <c r="K102" i="2"/>
  <c r="R50" i="26"/>
  <c r="O50" i="26"/>
  <c r="L50" i="26"/>
  <c r="I50" i="26"/>
  <c r="R38" i="26"/>
  <c r="O38" i="26"/>
  <c r="L38" i="26"/>
  <c r="I38" i="26"/>
  <c r="F38" i="26"/>
  <c r="R27" i="26"/>
  <c r="O27" i="26"/>
  <c r="L27" i="26"/>
  <c r="I27" i="26"/>
  <c r="R23" i="26"/>
  <c r="O23" i="26"/>
  <c r="L23" i="26"/>
  <c r="I23" i="26"/>
  <c r="F23" i="26"/>
  <c r="E2" i="26"/>
  <c r="N97" i="2" l="1"/>
  <c r="W82" i="9"/>
  <c r="M97" i="62" s="1"/>
  <c r="H2" i="26"/>
  <c r="K2" i="26" s="1"/>
  <c r="N2" i="26" s="1"/>
  <c r="Q2" i="26" s="1"/>
  <c r="T2" i="26" s="1"/>
  <c r="W2" i="26" s="1"/>
  <c r="Z2" i="26" s="1"/>
  <c r="AC2" i="26" s="1"/>
  <c r="AF2" i="26" s="1"/>
  <c r="U2" i="26"/>
  <c r="X2" i="26" s="1"/>
  <c r="AA2" i="26" s="1"/>
  <c r="AD2" i="26" s="1"/>
  <c r="AG2" i="26" s="1"/>
  <c r="F2" i="26"/>
  <c r="N96" i="2" l="1"/>
  <c r="AD23" i="9"/>
  <c r="A51" i="2" l="1"/>
  <c r="A50" i="2"/>
  <c r="A49" i="2"/>
  <c r="A48" i="2"/>
  <c r="A42" i="2" l="1"/>
  <c r="A43" i="2"/>
  <c r="A44" i="2"/>
  <c r="A45" i="2"/>
  <c r="A58" i="2"/>
  <c r="A71" i="2"/>
  <c r="L40" i="2" l="1"/>
  <c r="I2" i="26"/>
  <c r="L2" i="26" l="1"/>
  <c r="O2" i="26" l="1"/>
  <c r="R2" i="26" l="1"/>
  <c r="E30" i="13" l="1"/>
  <c r="E33" i="13"/>
  <c r="H33" i="13"/>
  <c r="H32" i="13"/>
  <c r="H31" i="13"/>
  <c r="H30" i="13"/>
  <c r="E32" i="13"/>
  <c r="E31" i="13"/>
  <c r="BO9" i="9" l="1"/>
  <c r="B215" i="2" l="1"/>
  <c r="U225" i="2"/>
  <c r="U235" i="2" l="1"/>
  <c r="V225" i="2"/>
  <c r="V235" i="2" s="1"/>
  <c r="G53" i="13"/>
  <c r="H53" i="13"/>
  <c r="A132" i="2" l="1"/>
  <c r="L132" i="2" s="1"/>
  <c r="AG23" i="95" s="1"/>
  <c r="AJ63" i="95" s="1"/>
  <c r="S225" i="2"/>
  <c r="A35" i="2"/>
  <c r="A36" i="62"/>
  <c r="D9" i="9"/>
  <c r="T225" i="2" l="1"/>
  <c r="AD25" i="9"/>
  <c r="AD27" i="9"/>
  <c r="AD26" i="9"/>
  <c r="AD24" i="9"/>
  <c r="W70" i="9" l="1"/>
  <c r="M85" i="62" s="1"/>
  <c r="N84" i="2" l="1"/>
  <c r="K93" i="13"/>
  <c r="H94" i="13"/>
  <c r="C91" i="13"/>
  <c r="I93" i="13" s="1"/>
  <c r="E106" i="9"/>
  <c r="E107" i="9"/>
  <c r="E108" i="9"/>
  <c r="A238" i="2" s="1"/>
  <c r="E109" i="9"/>
  <c r="A237" i="2" l="1"/>
  <c r="S238" i="2" s="1"/>
  <c r="W106" i="9"/>
  <c r="A142" i="62"/>
  <c r="A149" i="2"/>
  <c r="M109" i="9"/>
  <c r="A147" i="2"/>
  <c r="A143" i="62"/>
  <c r="A146" i="2"/>
  <c r="A148" i="2"/>
  <c r="A144" i="62"/>
  <c r="M75" i="9"/>
  <c r="A145" i="62"/>
  <c r="I227" i="2"/>
  <c r="I226" i="2"/>
  <c r="H95" i="13"/>
  <c r="W107" i="9"/>
  <c r="Z109" i="9"/>
  <c r="L149" i="2"/>
  <c r="AG87" i="95" s="1"/>
  <c r="E6" i="9"/>
  <c r="A231" i="2" s="1"/>
  <c r="E7" i="9"/>
  <c r="Z107" i="9"/>
  <c r="Z106" i="9"/>
  <c r="Z12" i="9"/>
  <c r="L31" i="2"/>
  <c r="AG15" i="95" s="1"/>
  <c r="N12" i="9"/>
  <c r="AG84" i="95" l="1"/>
  <c r="AJ149" i="95" s="1"/>
  <c r="AG81" i="95"/>
  <c r="AJ141" i="95" s="1"/>
  <c r="AG86" i="95"/>
  <c r="AJ151" i="95" s="1"/>
  <c r="AJ152" i="95"/>
  <c r="AG83" i="95"/>
  <c r="AJ148" i="95" s="1"/>
  <c r="AG82" i="95"/>
  <c r="AJ142" i="95" s="1"/>
  <c r="AG62" i="95"/>
  <c r="AJ91" i="95" s="1"/>
  <c r="AG63" i="95"/>
  <c r="AJ92" i="95" s="1"/>
  <c r="AJ90" i="95"/>
  <c r="S231" i="2"/>
  <c r="T231" i="2"/>
  <c r="A236" i="2"/>
  <c r="I13" i="9"/>
  <c r="A33" i="62"/>
  <c r="A32" i="2"/>
  <c r="N146" i="2"/>
  <c r="M142" i="62"/>
  <c r="J39" i="62"/>
  <c r="K38" i="2"/>
  <c r="M143" i="62"/>
  <c r="N147" i="2"/>
  <c r="A31" i="2"/>
  <c r="D6" i="9"/>
  <c r="D7" i="9"/>
  <c r="I229" i="2"/>
  <c r="I228" i="2"/>
  <c r="S237" i="2"/>
  <c r="K147" i="2"/>
  <c r="J143" i="62"/>
  <c r="J142" i="62"/>
  <c r="K146" i="2"/>
  <c r="V75" i="9"/>
  <c r="W75" i="9" s="1"/>
  <c r="M90" i="62" s="1"/>
  <c r="T237" i="2"/>
  <c r="A32" i="62"/>
  <c r="K149" i="2"/>
  <c r="J145" i="62"/>
  <c r="Z6" i="9"/>
  <c r="I94" i="13"/>
  <c r="F94" i="13"/>
  <c r="F95" i="13"/>
  <c r="I95" i="13"/>
  <c r="W108" i="9"/>
  <c r="V110" i="9"/>
  <c r="M144" i="62" l="1"/>
  <c r="N148" i="2"/>
  <c r="N89" i="2"/>
  <c r="S235" i="2"/>
  <c r="K235" i="2" s="1"/>
  <c r="T235" i="2"/>
  <c r="L235" i="2" s="1"/>
  <c r="U75" i="9"/>
  <c r="K31" i="2"/>
  <c r="J32" i="62"/>
  <c r="W12" i="9"/>
  <c r="AG16" i="95" l="1"/>
  <c r="AJ44" i="95" s="1"/>
  <c r="W13" i="9"/>
  <c r="M39" i="62"/>
  <c r="N38" i="2"/>
  <c r="G27" i="13"/>
  <c r="F27" i="13"/>
  <c r="D27" i="13"/>
  <c r="C27" i="13"/>
  <c r="G26" i="13" l="1"/>
  <c r="G37" i="13"/>
  <c r="D26" i="13"/>
  <c r="D36" i="13" s="1"/>
  <c r="D37" i="13"/>
  <c r="C26" i="13"/>
  <c r="C37" i="13"/>
  <c r="F26" i="13"/>
  <c r="F36" i="13" s="1"/>
  <c r="F37" i="13"/>
  <c r="AH22" i="79" l="1"/>
  <c r="AI22" i="79" s="1"/>
  <c r="AM22" i="79"/>
  <c r="AV22" i="79"/>
  <c r="AS22" i="79"/>
  <c r="AJ22" i="79"/>
  <c r="AP22" i="79"/>
  <c r="C36" i="13"/>
  <c r="L60" i="75"/>
  <c r="E60" i="75" s="1"/>
  <c r="N22" i="79" s="1"/>
  <c r="L61" i="75"/>
  <c r="E61" i="75" s="1"/>
  <c r="L59" i="75"/>
  <c r="E59" i="75" s="1"/>
  <c r="I232" i="2"/>
  <c r="I230" i="2" l="1"/>
  <c r="C21" i="72" l="1"/>
  <c r="C10" i="72"/>
  <c r="C67" i="72"/>
  <c r="F92" i="80" s="1"/>
  <c r="C3" i="72"/>
  <c r="C27" i="72"/>
  <c r="C28" i="72"/>
  <c r="C45" i="72"/>
  <c r="C49" i="72"/>
  <c r="C59" i="72"/>
  <c r="F77" i="80" s="1"/>
  <c r="C5" i="72"/>
  <c r="C22" i="72"/>
  <c r="C35" i="72"/>
  <c r="C63" i="72"/>
  <c r="F81" i="80" s="1"/>
  <c r="C66" i="72"/>
  <c r="C11" i="72"/>
  <c r="C23" i="72"/>
  <c r="C26" i="72"/>
  <c r="C36" i="72"/>
  <c r="C44" i="72"/>
  <c r="C48" i="72"/>
  <c r="C51" i="72"/>
  <c r="C72" i="72"/>
  <c r="F97" i="80" s="1"/>
  <c r="C29" i="72"/>
  <c r="C61" i="72"/>
  <c r="F79" i="80" s="1"/>
  <c r="C64" i="72"/>
  <c r="F90" i="80" s="1"/>
  <c r="C8" i="72"/>
  <c r="C19" i="72"/>
  <c r="C25" i="72"/>
  <c r="C86" i="72" s="1"/>
  <c r="C38" i="72"/>
  <c r="C42" i="72"/>
  <c r="C46" i="72"/>
  <c r="C62" i="72"/>
  <c r="F80" i="80" s="1"/>
  <c r="C12" i="72"/>
  <c r="F183" i="62"/>
  <c r="F185" i="2"/>
  <c r="A172" i="2"/>
  <c r="Z9" i="32"/>
  <c r="AB9" i="32" s="1"/>
  <c r="F171" i="62"/>
  <c r="A171" i="62" s="1"/>
  <c r="F175" i="2"/>
  <c r="F174" i="62" s="1"/>
  <c r="A192" i="13"/>
  <c r="G54" i="9"/>
  <c r="AA54" i="9"/>
  <c r="G49" i="9"/>
  <c r="A187" i="13"/>
  <c r="K152" i="2"/>
  <c r="M183" i="62"/>
  <c r="AA63" i="9"/>
  <c r="AA10" i="9"/>
  <c r="AA106" i="9"/>
  <c r="J151" i="62"/>
  <c r="K154" i="2" s="1"/>
  <c r="AA109" i="9"/>
  <c r="AA88" i="9"/>
  <c r="E103" i="62" s="1"/>
  <c r="F229" i="2"/>
  <c r="F136" i="2" s="1"/>
  <c r="AA80" i="9"/>
  <c r="E95" i="62" s="1"/>
  <c r="AA89" i="9"/>
  <c r="E104" i="62" s="1"/>
  <c r="AA7" i="9"/>
  <c r="F228" i="2"/>
  <c r="F135" i="2" s="1"/>
  <c r="AA69" i="9"/>
  <c r="E84" i="62" s="1"/>
  <c r="AA84" i="9"/>
  <c r="E99" i="62" s="1"/>
  <c r="AA58" i="9"/>
  <c r="F230" i="2"/>
  <c r="F137" i="2" s="1"/>
  <c r="AA9" i="9"/>
  <c r="K16" i="62"/>
  <c r="F229" i="62"/>
  <c r="F242" i="2" s="1"/>
  <c r="F177" i="62"/>
  <c r="F179" i="2" s="1"/>
  <c r="J152" i="62"/>
  <c r="K155" i="2" s="1"/>
  <c r="F21" i="62"/>
  <c r="F20" i="2" s="1"/>
  <c r="W105" i="9"/>
  <c r="AO105" i="9"/>
  <c r="X5" i="9"/>
  <c r="X22" i="9"/>
  <c r="X56" i="9" s="1"/>
  <c r="G64" i="9"/>
  <c r="E9" i="32"/>
  <c r="V9" i="32"/>
  <c r="F74" i="80" s="1"/>
  <c r="G23" i="9"/>
  <c r="F223" i="62"/>
  <c r="F224" i="2" s="1"/>
  <c r="J149" i="62"/>
  <c r="K151" i="2" s="1"/>
  <c r="F17" i="62"/>
  <c r="F16" i="2" s="1"/>
  <c r="Z105" i="9"/>
  <c r="AR105" i="9"/>
  <c r="AA5" i="9"/>
  <c r="AA22" i="9"/>
  <c r="AA56" i="9" s="1"/>
  <c r="G76" i="9"/>
  <c r="F91" i="62" s="1"/>
  <c r="G41" i="9"/>
  <c r="D9" i="32"/>
  <c r="U9" i="32"/>
  <c r="F73" i="80" s="1"/>
  <c r="K30" i="62"/>
  <c r="K105" i="9"/>
  <c r="AE105" i="9"/>
  <c r="V5" i="9"/>
  <c r="G82" i="9"/>
  <c r="F97" i="62" s="1"/>
  <c r="K9" i="32"/>
  <c r="J30" i="62"/>
  <c r="K29" i="2" s="1"/>
  <c r="F25" i="62"/>
  <c r="F24" i="2" s="1"/>
  <c r="X105" i="9"/>
  <c r="AP105" i="9"/>
  <c r="Y5" i="9"/>
  <c r="Y22" i="9"/>
  <c r="Y56" i="9" s="1"/>
  <c r="G88" i="9"/>
  <c r="F103" i="62" s="1"/>
  <c r="G63" i="9"/>
  <c r="E2" i="32"/>
  <c r="S9" i="32"/>
  <c r="G9" i="32"/>
  <c r="AA53" i="9"/>
  <c r="G52" i="9"/>
  <c r="G50" i="9"/>
  <c r="AA108" i="9"/>
  <c r="AA6" i="9"/>
  <c r="AA90" i="9"/>
  <c r="E105" i="62" s="1"/>
  <c r="F227" i="2"/>
  <c r="F134" i="2" s="1"/>
  <c r="AA93" i="9"/>
  <c r="E108" i="62" s="1"/>
  <c r="K220" i="2"/>
  <c r="F233" i="62"/>
  <c r="F249" i="2" s="1"/>
  <c r="F32" i="62"/>
  <c r="I105" i="9"/>
  <c r="C13" i="32"/>
  <c r="F30" i="62"/>
  <c r="F29" i="2" s="1"/>
  <c r="AF105" i="9"/>
  <c r="E5" i="9"/>
  <c r="C12" i="32"/>
  <c r="J150" i="62"/>
  <c r="K153" i="2" s="1"/>
  <c r="G230" i="62"/>
  <c r="G245" i="2" s="1"/>
  <c r="AD105" i="9"/>
  <c r="G29" i="9"/>
  <c r="F9" i="32"/>
  <c r="G48" i="9"/>
  <c r="F64" i="2"/>
  <c r="G51" i="9"/>
  <c r="A188" i="13"/>
  <c r="B174" i="13"/>
  <c r="AA66" i="9"/>
  <c r="E81" i="62" s="1"/>
  <c r="G244" i="2"/>
  <c r="AA107" i="9"/>
  <c r="N185" i="2"/>
  <c r="AA12" i="9"/>
  <c r="AA78" i="9"/>
  <c r="E93" i="62" s="1"/>
  <c r="AA76" i="9"/>
  <c r="E91" i="62" s="1"/>
  <c r="AA87" i="9"/>
  <c r="E102" i="62" s="1"/>
  <c r="AA61" i="9"/>
  <c r="AA79" i="9"/>
  <c r="E94" i="62" s="1"/>
  <c r="N134" i="2"/>
  <c r="AA91" i="9"/>
  <c r="E106" i="62" s="1"/>
  <c r="AC22" i="9"/>
  <c r="AC56" i="9" s="1"/>
  <c r="G237" i="62"/>
  <c r="G252" i="2" s="1"/>
  <c r="F235" i="62"/>
  <c r="F250" i="2" s="1"/>
  <c r="F237" i="62"/>
  <c r="F252" i="2" s="1"/>
  <c r="M30" i="62"/>
  <c r="N29" i="2" s="1"/>
  <c r="F26" i="62"/>
  <c r="F25" i="2" s="1"/>
  <c r="Q105" i="9"/>
  <c r="AK105" i="9"/>
  <c r="S5" i="9"/>
  <c r="S22" i="9"/>
  <c r="S56" i="9" s="1"/>
  <c r="G109" i="9"/>
  <c r="G68" i="9"/>
  <c r="F83" i="62" s="1"/>
  <c r="AJ6" i="32"/>
  <c r="R11" i="32" s="1"/>
  <c r="R9" i="32"/>
  <c r="Z22" i="9"/>
  <c r="Z56" i="9" s="1"/>
  <c r="G70" i="9"/>
  <c r="F85" i="62" s="1"/>
  <c r="X9" i="32"/>
  <c r="H30" i="62"/>
  <c r="H29" i="2" s="1"/>
  <c r="F22" i="62"/>
  <c r="F21" i="2" s="1"/>
  <c r="V105" i="9"/>
  <c r="AN105" i="9"/>
  <c r="W5" i="9"/>
  <c r="W22" i="9"/>
  <c r="W56" i="9" s="1"/>
  <c r="G66" i="9"/>
  <c r="F81" i="62" s="1"/>
  <c r="C11" i="32"/>
  <c r="P9" i="32"/>
  <c r="F16" i="62"/>
  <c r="F15" i="2" s="1"/>
  <c r="Y105" i="9"/>
  <c r="L5" i="9"/>
  <c r="E22" i="9"/>
  <c r="E56" i="9" s="1"/>
  <c r="K26" i="62"/>
  <c r="L25" i="2" s="1"/>
  <c r="S105" i="9"/>
  <c r="AL105" i="9"/>
  <c r="U5" i="9"/>
  <c r="U22" i="9"/>
  <c r="U56" i="9" s="1"/>
  <c r="G105" i="9"/>
  <c r="G67" i="9"/>
  <c r="F82" i="62" s="1"/>
  <c r="N9" i="32"/>
  <c r="L22" i="9"/>
  <c r="L56" i="9" s="1"/>
  <c r="G57" i="9"/>
  <c r="AA50" i="9"/>
  <c r="AA64" i="9"/>
  <c r="L220" i="2"/>
  <c r="AA82" i="9"/>
  <c r="E97" i="62" s="1"/>
  <c r="AC105" i="9"/>
  <c r="AA62" i="9"/>
  <c r="F163" i="62"/>
  <c r="F165" i="2" s="1"/>
  <c r="F221" i="62"/>
  <c r="F223" i="2" s="1"/>
  <c r="AA105" i="9"/>
  <c r="I22" i="9"/>
  <c r="G35" i="9"/>
  <c r="I9" i="32"/>
  <c r="F88" i="80" s="1"/>
  <c r="K25" i="62"/>
  <c r="L24" i="2" s="1"/>
  <c r="M5" i="9"/>
  <c r="G73" i="9"/>
  <c r="F88" i="62" s="1"/>
  <c r="Y9" i="32"/>
  <c r="AA9" i="32" s="1"/>
  <c r="AI105" i="9"/>
  <c r="J153" i="62"/>
  <c r="K156" i="2" s="1"/>
  <c r="K5" i="9"/>
  <c r="E1" i="9"/>
  <c r="G107" i="9"/>
  <c r="G53" i="9"/>
  <c r="AA52" i="9"/>
  <c r="AA49" i="9"/>
  <c r="AA51" i="9"/>
  <c r="A186" i="13"/>
  <c r="F174" i="2"/>
  <c r="F173" i="62" s="1"/>
  <c r="AA70" i="9"/>
  <c r="E85" i="62" s="1"/>
  <c r="AA85" i="9"/>
  <c r="E100" i="62" s="1"/>
  <c r="AA59" i="9"/>
  <c r="AA68" i="9"/>
  <c r="E83" i="62" s="1"/>
  <c r="AA83" i="9"/>
  <c r="E98" i="62" s="1"/>
  <c r="AA57" i="9"/>
  <c r="AB22" i="9"/>
  <c r="AB56" i="9" s="1"/>
  <c r="K223" i="2"/>
  <c r="AA73" i="9"/>
  <c r="E88" i="62" s="1"/>
  <c r="AA86" i="9"/>
  <c r="E101" i="62" s="1"/>
  <c r="AA60" i="9"/>
  <c r="AA81" i="9"/>
  <c r="E96" i="62" s="1"/>
  <c r="L223" i="2"/>
  <c r="K15" i="62"/>
  <c r="F166" i="62"/>
  <c r="F168" i="2" s="1"/>
  <c r="F164" i="62"/>
  <c r="F166" i="2" s="1"/>
  <c r="K27" i="62"/>
  <c r="L26" i="2" s="1"/>
  <c r="M105" i="9"/>
  <c r="AG105" i="9"/>
  <c r="N5" i="9"/>
  <c r="N22" i="9"/>
  <c r="N56" i="9" s="1"/>
  <c r="E110" i="9"/>
  <c r="G72" i="9"/>
  <c r="F87" i="62" s="1"/>
  <c r="M9" i="32"/>
  <c r="P5" i="9"/>
  <c r="O9" i="32"/>
  <c r="E30" i="62"/>
  <c r="F27" i="62"/>
  <c r="F26" i="2" s="1"/>
  <c r="P105" i="9"/>
  <c r="AJ105" i="9"/>
  <c r="Q5" i="9"/>
  <c r="Q22" i="9"/>
  <c r="Q56" i="9" s="1"/>
  <c r="G108" i="9"/>
  <c r="G69" i="9"/>
  <c r="F84" i="62" s="1"/>
  <c r="L9" i="32"/>
  <c r="G227" i="62"/>
  <c r="F23" i="62"/>
  <c r="F22" i="2" s="1"/>
  <c r="U105" i="9"/>
  <c r="AM105" i="9"/>
  <c r="V22" i="9"/>
  <c r="V56" i="9" s="1"/>
  <c r="F218" i="62"/>
  <c r="F220" i="2" s="1"/>
  <c r="N105" i="9"/>
  <c r="AH105" i="9"/>
  <c r="O5" i="9"/>
  <c r="O22" i="9"/>
  <c r="O56" i="9" s="1"/>
  <c r="I225" i="2"/>
  <c r="G106" i="9"/>
  <c r="F237" i="2" s="1"/>
  <c r="G71" i="9"/>
  <c r="F86" i="62" s="1"/>
  <c r="C14" i="32"/>
  <c r="J9" i="32"/>
  <c r="F89" i="80" s="1"/>
  <c r="AQ105" i="9"/>
  <c r="A193" i="13"/>
  <c r="G243" i="2"/>
  <c r="AA92" i="9"/>
  <c r="E107" i="62" s="1"/>
  <c r="AA77" i="9"/>
  <c r="E92" i="62" s="1"/>
  <c r="F226" i="2"/>
  <c r="F133" i="2" s="1"/>
  <c r="F168" i="62"/>
  <c r="F170" i="2" s="1"/>
  <c r="F15" i="62"/>
  <c r="F14" i="2" s="1"/>
  <c r="I5" i="9"/>
  <c r="G75" i="9"/>
  <c r="F90" i="62" s="1"/>
  <c r="E98" i="9"/>
  <c r="J218" i="62"/>
  <c r="C9" i="32"/>
  <c r="L105" i="9"/>
  <c r="M22" i="9"/>
  <c r="M56" i="9" s="1"/>
  <c r="E101" i="9"/>
  <c r="H9" i="32"/>
  <c r="O105" i="9"/>
  <c r="Z5" i="9"/>
  <c r="F20" i="62"/>
  <c r="F19" i="2" s="1"/>
  <c r="K22" i="9"/>
  <c r="K56" i="9" s="1"/>
  <c r="E105" i="9"/>
  <c r="G74" i="9"/>
  <c r="F89" i="62" s="1"/>
  <c r="W9" i="32"/>
  <c r="T9" i="32"/>
  <c r="F72" i="80" s="1"/>
  <c r="AG119" i="95" l="1"/>
  <c r="AJ222" i="95" s="1"/>
  <c r="AG117" i="95"/>
  <c r="AJ236" i="95" s="1"/>
  <c r="AG123" i="95"/>
  <c r="AG131" i="95"/>
  <c r="AJ40" i="95" s="1"/>
  <c r="AG124" i="95"/>
  <c r="AJ238" i="95" s="1"/>
  <c r="AG121" i="95"/>
  <c r="AG125" i="95"/>
  <c r="AJ239" i="95" s="1"/>
  <c r="AG129" i="95"/>
  <c r="AJ221" i="95" s="1"/>
  <c r="AG120" i="95"/>
  <c r="AG122" i="95"/>
  <c r="AJ237" i="95" s="1"/>
  <c r="AG128" i="95"/>
  <c r="AJ242" i="95" s="1"/>
  <c r="AG130" i="95"/>
  <c r="AJ220" i="95" s="1"/>
  <c r="AG126" i="95"/>
  <c r="AJ240" i="95" s="1"/>
  <c r="AG127" i="95"/>
  <c r="AJ241" i="95" s="1"/>
  <c r="AJ223" i="95"/>
  <c r="G89" i="9"/>
  <c r="G90" i="9" s="1"/>
  <c r="G91" i="9" s="1"/>
  <c r="G92" i="9" s="1"/>
  <c r="G93" i="9" s="1"/>
  <c r="G83" i="9"/>
  <c r="G84" i="9" s="1"/>
  <c r="G85" i="9" s="1"/>
  <c r="G86" i="9" s="1"/>
  <c r="G87" i="9" s="1"/>
  <c r="G77" i="9"/>
  <c r="G78" i="9" s="1"/>
  <c r="G79" i="9" s="1"/>
  <c r="G80" i="9" s="1"/>
  <c r="G81" i="9" s="1"/>
  <c r="G36" i="9"/>
  <c r="G37" i="9" s="1"/>
  <c r="G38" i="9" s="1"/>
  <c r="G39" i="9" s="1"/>
  <c r="G40" i="9" s="1"/>
  <c r="G42" i="9"/>
  <c r="G43" i="9" s="1"/>
  <c r="G44" i="9" s="1"/>
  <c r="G45" i="9" s="1"/>
  <c r="G46" i="9" s="1"/>
  <c r="G65" i="9"/>
  <c r="G58" i="9"/>
  <c r="G59" i="9" s="1"/>
  <c r="G60" i="9" s="1"/>
  <c r="G61" i="9" s="1"/>
  <c r="G62" i="9" s="1"/>
  <c r="G30" i="9"/>
  <c r="G24" i="9"/>
  <c r="G25" i="9" s="1"/>
  <c r="G26" i="9" s="1"/>
  <c r="G27" i="9" s="1"/>
  <c r="G28" i="9" s="1"/>
  <c r="I56" i="9"/>
  <c r="G22" i="79"/>
  <c r="F132" i="2"/>
  <c r="F225" i="2"/>
  <c r="N135" i="2"/>
  <c r="F39" i="62"/>
  <c r="F38" i="2"/>
  <c r="E36" i="62"/>
  <c r="E35" i="2"/>
  <c r="E39" i="62"/>
  <c r="E38" i="2"/>
  <c r="F36" i="2"/>
  <c r="F37" i="62"/>
  <c r="F35" i="2"/>
  <c r="F36" i="62"/>
  <c r="E32" i="2"/>
  <c r="E33" i="62"/>
  <c r="E36" i="2"/>
  <c r="E37" i="62"/>
  <c r="N97" i="80"/>
  <c r="R97" i="80"/>
  <c r="C95" i="72"/>
  <c r="C87" i="72"/>
  <c r="H107" i="72"/>
  <c r="C88" i="72"/>
  <c r="C96" i="72"/>
  <c r="C113" i="72" s="1"/>
  <c r="H113" i="72"/>
  <c r="C94" i="72"/>
  <c r="H100" i="72"/>
  <c r="F31" i="2"/>
  <c r="F65" i="62"/>
  <c r="G66" i="72"/>
  <c r="F66" i="72" s="1"/>
  <c r="H13" i="72"/>
  <c r="H61" i="72" s="1"/>
  <c r="C55" i="72"/>
  <c r="H16" i="72"/>
  <c r="C56" i="72"/>
  <c r="C47" i="72"/>
  <c r="C6" i="72"/>
  <c r="C37" i="72"/>
  <c r="C18" i="72"/>
  <c r="C39" i="72"/>
  <c r="C50" i="72"/>
  <c r="C34" i="72"/>
  <c r="C4" i="72"/>
  <c r="G59" i="72" s="1"/>
  <c r="F59" i="72" s="1"/>
  <c r="C2" i="72"/>
  <c r="C40" i="72"/>
  <c r="C17" i="72"/>
  <c r="C60" i="72"/>
  <c r="F78" i="80" s="1"/>
  <c r="C9" i="72"/>
  <c r="C65" i="72"/>
  <c r="F91" i="80" s="1"/>
  <c r="C41" i="72"/>
  <c r="C24" i="72"/>
  <c r="C32" i="72"/>
  <c r="C31" i="72"/>
  <c r="C54" i="72"/>
  <c r="C69" i="72" s="1"/>
  <c r="F93" i="80" s="1"/>
  <c r="C30" i="72"/>
  <c r="C52" i="72"/>
  <c r="C68" i="72" s="1"/>
  <c r="C33" i="72"/>
  <c r="C7" i="72"/>
  <c r="C20" i="72"/>
  <c r="G61" i="72"/>
  <c r="F61" i="72" s="1"/>
  <c r="J66" i="72"/>
  <c r="I66" i="72"/>
  <c r="F85" i="2"/>
  <c r="E100" i="2"/>
  <c r="F53" i="62"/>
  <c r="F52" i="2"/>
  <c r="E67" i="62"/>
  <c r="E66" i="2"/>
  <c r="F88" i="2"/>
  <c r="E91" i="2"/>
  <c r="H40" i="9"/>
  <c r="H46" i="9"/>
  <c r="H81" i="9"/>
  <c r="F96" i="62" s="1"/>
  <c r="H62" i="9"/>
  <c r="H87" i="9"/>
  <c r="F102" i="62" s="1"/>
  <c r="H93" i="9"/>
  <c r="F108" i="62" s="1"/>
  <c r="H34" i="9"/>
  <c r="H28" i="9"/>
  <c r="F146" i="2"/>
  <c r="F224" i="62"/>
  <c r="F142" i="62"/>
  <c r="F83" i="2"/>
  <c r="H223" i="62"/>
  <c r="E29" i="2"/>
  <c r="E87" i="2"/>
  <c r="E72" i="62"/>
  <c r="E71" i="2"/>
  <c r="E84" i="2"/>
  <c r="E68" i="62"/>
  <c r="E67" i="2"/>
  <c r="E77" i="62"/>
  <c r="E76" i="2"/>
  <c r="F82" i="2"/>
  <c r="E90" i="2"/>
  <c r="E80" i="2"/>
  <c r="H38" i="9"/>
  <c r="H44" i="9"/>
  <c r="H79" i="9"/>
  <c r="F94" i="62" s="1"/>
  <c r="H91" i="9"/>
  <c r="F106" i="62" s="1"/>
  <c r="H60" i="9"/>
  <c r="H85" i="9"/>
  <c r="F100" i="62" s="1"/>
  <c r="H32" i="9"/>
  <c r="H26" i="9"/>
  <c r="E107" i="2"/>
  <c r="F78" i="62"/>
  <c r="F77" i="2"/>
  <c r="F96" i="2"/>
  <c r="L29" i="2"/>
  <c r="J223" i="62"/>
  <c r="K224" i="2" s="1"/>
  <c r="E83" i="2"/>
  <c r="E103" i="2"/>
  <c r="E102" i="2"/>
  <c r="E70" i="2"/>
  <c r="E71" i="62"/>
  <c r="F69" i="2"/>
  <c r="F70" i="62"/>
  <c r="F72" i="62"/>
  <c r="F71" i="2"/>
  <c r="H37" i="9"/>
  <c r="H43" i="9"/>
  <c r="H78" i="9"/>
  <c r="F93" i="62" s="1"/>
  <c r="H84" i="9"/>
  <c r="F99" i="62" s="1"/>
  <c r="H90" i="9"/>
  <c r="F105" i="62" s="1"/>
  <c r="H59" i="9"/>
  <c r="H65" i="9" s="1"/>
  <c r="H31" i="9"/>
  <c r="H25" i="9"/>
  <c r="H11" i="9" s="1"/>
  <c r="E105" i="2"/>
  <c r="E101" i="2"/>
  <c r="F68" i="62"/>
  <c r="F67" i="2"/>
  <c r="H80" i="9"/>
  <c r="F95" i="62" s="1"/>
  <c r="H39" i="9"/>
  <c r="H45" i="9"/>
  <c r="H92" i="9"/>
  <c r="F107" i="62" s="1"/>
  <c r="H61" i="9"/>
  <c r="H86" i="9"/>
  <c r="F101" i="62" s="1"/>
  <c r="H33" i="9"/>
  <c r="H27" i="9"/>
  <c r="E69" i="2"/>
  <c r="E70" i="62"/>
  <c r="F79" i="62"/>
  <c r="F78" i="2"/>
  <c r="E94" i="2"/>
  <c r="F145" i="2"/>
  <c r="F141" i="62"/>
  <c r="F89" i="2"/>
  <c r="F86" i="2"/>
  <c r="B176" i="13"/>
  <c r="K239" i="2"/>
  <c r="F244" i="2"/>
  <c r="E95" i="2"/>
  <c r="E75" i="62"/>
  <c r="E74" i="2"/>
  <c r="E82" i="2"/>
  <c r="E74" i="62"/>
  <c r="E73" i="2"/>
  <c r="B228" i="2"/>
  <c r="B223" i="2"/>
  <c r="B227" i="2"/>
  <c r="B225" i="2"/>
  <c r="B232" i="2"/>
  <c r="B230" i="2"/>
  <c r="B229" i="2"/>
  <c r="B226" i="2"/>
  <c r="E68" i="2"/>
  <c r="E69" i="62"/>
  <c r="E96" i="2"/>
  <c r="E79" i="62"/>
  <c r="E78" i="2"/>
  <c r="E79" i="2" s="1"/>
  <c r="F80" i="2"/>
  <c r="F84" i="2"/>
  <c r="E93" i="2"/>
  <c r="E76" i="62"/>
  <c r="E75" i="2"/>
  <c r="E92" i="2"/>
  <c r="E104" i="2"/>
  <c r="F68" i="2"/>
  <c r="F69" i="62"/>
  <c r="F90" i="2"/>
  <c r="K158" i="62"/>
  <c r="M15" i="2"/>
  <c r="M161" i="2" s="1"/>
  <c r="E73" i="62"/>
  <c r="E72" i="2"/>
  <c r="E145" i="62"/>
  <c r="E149" i="2"/>
  <c r="E78" i="62"/>
  <c r="E77" i="2"/>
  <c r="F66" i="62"/>
  <c r="F65" i="2"/>
  <c r="E99" i="2"/>
  <c r="F47" i="62"/>
  <c r="F46" i="2"/>
  <c r="E98" i="2"/>
  <c r="E106" i="2"/>
  <c r="F148" i="2"/>
  <c r="F144" i="62"/>
  <c r="K157" i="62"/>
  <c r="M14" i="2"/>
  <c r="M160" i="2" s="1"/>
  <c r="H239" i="2"/>
  <c r="F243" i="2"/>
  <c r="B175" i="13"/>
  <c r="E97" i="2"/>
  <c r="E66" i="62"/>
  <c r="E65" i="2"/>
  <c r="F147" i="2"/>
  <c r="F143" i="62"/>
  <c r="F31" i="62"/>
  <c r="F30" i="2"/>
  <c r="F87" i="2"/>
  <c r="F81" i="2"/>
  <c r="R14" i="32"/>
  <c r="R12" i="32"/>
  <c r="R13" i="32"/>
  <c r="F149" i="2"/>
  <c r="F145" i="62"/>
  <c r="L95" i="9"/>
  <c r="E143" i="62"/>
  <c r="E147" i="2"/>
  <c r="E32" i="62"/>
  <c r="E31" i="2"/>
  <c r="E148" i="2"/>
  <c r="E144" i="62"/>
  <c r="E238" i="2"/>
  <c r="H225" i="62"/>
  <c r="F67" i="62"/>
  <c r="F66" i="2"/>
  <c r="F102" i="2"/>
  <c r="F59" i="62"/>
  <c r="F58" i="2"/>
  <c r="F41" i="62"/>
  <c r="F40" i="2"/>
  <c r="E237" i="2"/>
  <c r="H224" i="62"/>
  <c r="E146" i="2"/>
  <c r="E142" i="62"/>
  <c r="F70" i="2"/>
  <c r="F71" i="62"/>
  <c r="F79" i="2" l="1"/>
  <c r="F80" i="62"/>
  <c r="G31" i="9"/>
  <c r="G32" i="9" s="1"/>
  <c r="G33" i="9" s="1"/>
  <c r="G34" i="9" s="1"/>
  <c r="N136" i="2"/>
  <c r="N137" i="2" s="1"/>
  <c r="F51" i="9"/>
  <c r="E51" i="9" s="1"/>
  <c r="E50" i="9" s="1"/>
  <c r="C100" i="72"/>
  <c r="C102" i="72"/>
  <c r="C109" i="72" s="1"/>
  <c r="C101" i="72"/>
  <c r="C108" i="72" s="1"/>
  <c r="C104" i="72"/>
  <c r="C111" i="72" s="1"/>
  <c r="C93" i="72"/>
  <c r="C85" i="72"/>
  <c r="I59" i="72"/>
  <c r="J60" i="72"/>
  <c r="B236" i="2"/>
  <c r="J59" i="72"/>
  <c r="G67" i="72"/>
  <c r="F67" i="72" s="1"/>
  <c r="I67" i="72"/>
  <c r="I60" i="72"/>
  <c r="J67" i="72"/>
  <c r="G60" i="72"/>
  <c r="F60" i="72" s="1"/>
  <c r="I62" i="72"/>
  <c r="I65" i="72"/>
  <c r="G62" i="72"/>
  <c r="F62" i="72" s="1"/>
  <c r="J65" i="72"/>
  <c r="F18" i="62"/>
  <c r="F17" i="2" s="1"/>
  <c r="F160" i="2" s="1"/>
  <c r="J62" i="72"/>
  <c r="G65" i="72"/>
  <c r="F65" i="72" s="1"/>
  <c r="F6" i="62"/>
  <c r="F5" i="2" s="1"/>
  <c r="I64" i="72"/>
  <c r="G69" i="72"/>
  <c r="F69" i="72" s="1"/>
  <c r="G64" i="72"/>
  <c r="F64" i="72" s="1"/>
  <c r="J64" i="72"/>
  <c r="F51" i="62"/>
  <c r="F50" i="2"/>
  <c r="F92" i="2"/>
  <c r="J26" i="9"/>
  <c r="K26" i="9" s="1"/>
  <c r="S12" i="32"/>
  <c r="F100" i="2"/>
  <c r="F56" i="2"/>
  <c r="F57" i="62"/>
  <c r="F74" i="62"/>
  <c r="F73" i="2"/>
  <c r="F61" i="62"/>
  <c r="F60" i="2"/>
  <c r="F75" i="62"/>
  <c r="F74" i="2"/>
  <c r="F55" i="2"/>
  <c r="F56" i="62"/>
  <c r="F101" i="2"/>
  <c r="F57" i="2"/>
  <c r="F58" i="62"/>
  <c r="J27" i="9"/>
  <c r="K27" i="9" s="1"/>
  <c r="S13" i="32"/>
  <c r="F62" i="2"/>
  <c r="F63" i="62"/>
  <c r="F49" i="62"/>
  <c r="F48" i="2"/>
  <c r="F99" i="2"/>
  <c r="F61" i="2"/>
  <c r="F62" i="62"/>
  <c r="F107" i="2"/>
  <c r="F63" i="2"/>
  <c r="F64" i="62"/>
  <c r="J28" i="9"/>
  <c r="K28" i="9" s="1"/>
  <c r="S14" i="32"/>
  <c r="F45" i="62"/>
  <c r="F44" i="2"/>
  <c r="F106" i="2"/>
  <c r="F43" i="62"/>
  <c r="F42" i="2"/>
  <c r="F98" i="2"/>
  <c r="F50" i="62"/>
  <c r="F49" i="2"/>
  <c r="F93" i="2"/>
  <c r="F52" i="62"/>
  <c r="F51" i="2"/>
  <c r="F95" i="2"/>
  <c r="J25" i="9"/>
  <c r="L25" i="9" s="1"/>
  <c r="S11" i="32"/>
  <c r="F76" i="62"/>
  <c r="F75" i="2"/>
  <c r="F94" i="2"/>
  <c r="F104" i="2"/>
  <c r="F54" i="2"/>
  <c r="F55" i="62"/>
  <c r="F44" i="62"/>
  <c r="F43" i="2"/>
  <c r="F105" i="2"/>
  <c r="F46" i="62"/>
  <c r="F45" i="2"/>
  <c r="F76" i="2"/>
  <c r="F77" i="62"/>
  <c r="K238" i="2"/>
  <c r="L238" i="2" s="1"/>
  <c r="AQ22" i="79" l="1"/>
  <c r="AR22" i="79" s="1"/>
  <c r="AN22" i="79"/>
  <c r="AO22" i="79" s="1"/>
  <c r="AT22" i="79"/>
  <c r="AU22" i="79" s="1"/>
  <c r="AK22" i="79"/>
  <c r="AL22" i="79" s="1"/>
  <c r="A68" i="62"/>
  <c r="K25" i="9"/>
  <c r="Y83" i="80"/>
  <c r="V83" i="80" s="1"/>
  <c r="Y86" i="80"/>
  <c r="V86" i="80" s="1"/>
  <c r="Y87" i="80"/>
  <c r="V87" i="80" s="1"/>
  <c r="Y82" i="80"/>
  <c r="V82" i="80" s="1"/>
  <c r="Y84" i="80"/>
  <c r="V84" i="80" s="1"/>
  <c r="Y85" i="80"/>
  <c r="V85" i="80" s="1"/>
  <c r="H11" i="26"/>
  <c r="D4" i="32"/>
  <c r="Z11" i="26"/>
  <c r="Q11" i="26"/>
  <c r="T11" i="26" s="1"/>
  <c r="K11" i="26"/>
  <c r="W11" i="26"/>
  <c r="F11" i="26"/>
  <c r="AC11" i="26"/>
  <c r="U11" i="26"/>
  <c r="U52" i="26" s="1"/>
  <c r="U54" i="26" s="1"/>
  <c r="N11" i="26"/>
  <c r="AF11" i="26"/>
  <c r="C107" i="72"/>
  <c r="I72" i="72"/>
  <c r="K227" i="62"/>
  <c r="F157" i="62"/>
  <c r="L27" i="9"/>
  <c r="H44" i="2" s="1"/>
  <c r="J33" i="9"/>
  <c r="K33" i="9" s="1"/>
  <c r="L26" i="9"/>
  <c r="H43" i="2" s="1"/>
  <c r="J32" i="9"/>
  <c r="K32" i="9" s="1"/>
  <c r="L28" i="9"/>
  <c r="H45" i="2" s="1"/>
  <c r="J34" i="9"/>
  <c r="K34" i="9" s="1"/>
  <c r="J31" i="9"/>
  <c r="K31" i="9" s="1"/>
  <c r="V238" i="2"/>
  <c r="T238" i="2" s="1"/>
  <c r="Z108" i="9"/>
  <c r="H45" i="62" l="1"/>
  <c r="H44" i="62"/>
  <c r="H46" i="62"/>
  <c r="H42" i="2"/>
  <c r="H43" i="62"/>
  <c r="Z82" i="80"/>
  <c r="W82" i="80" s="1"/>
  <c r="Z85" i="80"/>
  <c r="W85" i="80" s="1"/>
  <c r="Z83" i="80"/>
  <c r="W83" i="80" s="1"/>
  <c r="Z84" i="80"/>
  <c r="W84" i="80" s="1"/>
  <c r="Z87" i="80"/>
  <c r="W87" i="80" s="1"/>
  <c r="Z86" i="80"/>
  <c r="W86" i="80" s="1"/>
  <c r="AC83" i="80"/>
  <c r="AD11" i="26"/>
  <c r="AD52" i="26" s="1"/>
  <c r="AD54" i="26" s="1"/>
  <c r="AG11" i="26"/>
  <c r="AG52" i="26" s="1"/>
  <c r="AG54" i="26" s="1"/>
  <c r="O11" i="26"/>
  <c r="O52" i="26" s="1"/>
  <c r="O54" i="26" s="1"/>
  <c r="F52" i="26"/>
  <c r="F54" i="26" s="1"/>
  <c r="I11" i="26"/>
  <c r="I52" i="26" s="1"/>
  <c r="I54" i="26" s="1"/>
  <c r="R11" i="26"/>
  <c r="R52" i="26" s="1"/>
  <c r="R54" i="26" s="1"/>
  <c r="AA11" i="26"/>
  <c r="AA52" i="26" s="1"/>
  <c r="AA54" i="26" s="1"/>
  <c r="X11" i="26"/>
  <c r="X52" i="26" s="1"/>
  <c r="X54" i="26" s="1"/>
  <c r="L11" i="26"/>
  <c r="L52" i="26" s="1"/>
  <c r="L54" i="26" s="1"/>
  <c r="U55" i="26"/>
  <c r="J37" i="9"/>
  <c r="K37" i="9" s="1"/>
  <c r="L31" i="9"/>
  <c r="H48" i="2" s="1"/>
  <c r="J40" i="9"/>
  <c r="K40" i="9" s="1"/>
  <c r="L34" i="9"/>
  <c r="H51" i="2" s="1"/>
  <c r="L32" i="9"/>
  <c r="H49" i="2" s="1"/>
  <c r="J38" i="9"/>
  <c r="K38" i="9" s="1"/>
  <c r="L33" i="9"/>
  <c r="H50" i="2" s="1"/>
  <c r="J39" i="9"/>
  <c r="K39" i="9" s="1"/>
  <c r="K148" i="2"/>
  <c r="AG102" i="95" s="1"/>
  <c r="AJ231" i="95" s="1"/>
  <c r="J144" i="62"/>
  <c r="H52" i="62" l="1"/>
  <c r="H49" i="62"/>
  <c r="H50" i="62"/>
  <c r="H51" i="62"/>
  <c r="AC84" i="80"/>
  <c r="AC80" i="80" s="1"/>
  <c r="D63" i="72" s="1"/>
  <c r="I81" i="80" s="1"/>
  <c r="AA12" i="32"/>
  <c r="L55" i="26"/>
  <c r="I55" i="26"/>
  <c r="AA11" i="32"/>
  <c r="AD55" i="26"/>
  <c r="R55" i="26"/>
  <c r="AA14" i="32"/>
  <c r="AG55" i="26"/>
  <c r="AA55" i="26"/>
  <c r="O55" i="26"/>
  <c r="AA13" i="32"/>
  <c r="X55" i="26"/>
  <c r="AA10" i="32"/>
  <c r="F55" i="26"/>
  <c r="L37" i="9"/>
  <c r="H54" i="2" s="1"/>
  <c r="J43" i="9"/>
  <c r="L43" i="9" s="1"/>
  <c r="L40" i="9"/>
  <c r="H58" i="62" s="1"/>
  <c r="J46" i="9"/>
  <c r="L46" i="9" s="1"/>
  <c r="L39" i="9"/>
  <c r="H56" i="2" s="1"/>
  <c r="J45" i="9"/>
  <c r="L45" i="9" s="1"/>
  <c r="L38" i="9"/>
  <c r="H55" i="2" s="1"/>
  <c r="J44" i="9"/>
  <c r="L44" i="9" s="1"/>
  <c r="M27" i="9" l="1"/>
  <c r="AB13" i="32"/>
  <c r="M33" i="9" s="1"/>
  <c r="M28" i="9"/>
  <c r="AB14" i="32"/>
  <c r="M34" i="9" s="1"/>
  <c r="M25" i="9"/>
  <c r="AB11" i="32"/>
  <c r="M31" i="9" s="1"/>
  <c r="M65" i="9" s="1"/>
  <c r="U65" i="9" s="1"/>
  <c r="V65" i="9" s="1"/>
  <c r="W65" i="9" s="1"/>
  <c r="M80" i="62" s="1"/>
  <c r="M26" i="9"/>
  <c r="AB12" i="32"/>
  <c r="M32" i="9" s="1"/>
  <c r="M24" i="9"/>
  <c r="M67" i="9" s="1"/>
  <c r="AB10" i="32"/>
  <c r="M30" i="9" s="1"/>
  <c r="M42" i="9" s="1"/>
  <c r="H56" i="62"/>
  <c r="H57" i="62"/>
  <c r="H55" i="62"/>
  <c r="K46" i="9"/>
  <c r="K43" i="9"/>
  <c r="K44" i="9"/>
  <c r="K45" i="9"/>
  <c r="H57" i="2"/>
  <c r="H63" i="72"/>
  <c r="G63" i="72" s="1"/>
  <c r="AE34" i="9"/>
  <c r="AE28" i="9"/>
  <c r="J63" i="72"/>
  <c r="J72" i="72" s="1"/>
  <c r="M73" i="9" l="1"/>
  <c r="N79" i="2"/>
  <c r="H62" i="2"/>
  <c r="H63" i="62"/>
  <c r="H60" i="2"/>
  <c r="H61" i="62"/>
  <c r="H61" i="2"/>
  <c r="H62" i="62"/>
  <c r="H63" i="2"/>
  <c r="H64" i="62"/>
  <c r="F63" i="72"/>
  <c r="F72" i="72" s="1"/>
  <c r="G72" i="72" s="1"/>
  <c r="H97" i="80" s="1"/>
  <c r="AE26" i="9"/>
  <c r="AE40" i="9"/>
  <c r="AE32" i="9"/>
  <c r="M45" i="9"/>
  <c r="M39" i="9"/>
  <c r="M40" i="9"/>
  <c r="AE33" i="9"/>
  <c r="M46" i="9"/>
  <c r="AF28" i="9"/>
  <c r="AE46" i="9"/>
  <c r="AE30" i="9"/>
  <c r="M37" i="9"/>
  <c r="M43" i="9"/>
  <c r="M44" i="9"/>
  <c r="AE31" i="9"/>
  <c r="M38" i="9"/>
  <c r="M36" i="9"/>
  <c r="M64" i="9"/>
  <c r="U64" i="9" s="1"/>
  <c r="M66" i="9"/>
  <c r="U66" i="9" s="1"/>
  <c r="AE29" i="9"/>
  <c r="AF34" i="9"/>
  <c r="AE27" i="9"/>
  <c r="AE24" i="9"/>
  <c r="AE25" i="9"/>
  <c r="M72" i="9"/>
  <c r="M71" i="9"/>
  <c r="H72" i="72"/>
  <c r="K97" i="80" l="1"/>
  <c r="L97" i="80"/>
  <c r="H96" i="80"/>
  <c r="M97" i="80"/>
  <c r="X50" i="9" s="1"/>
  <c r="I97" i="80"/>
  <c r="I96" i="80"/>
  <c r="N43" i="9"/>
  <c r="U43" i="9" s="1"/>
  <c r="AE35" i="9"/>
  <c r="AE42" i="9"/>
  <c r="AE41" i="9"/>
  <c r="V67" i="9"/>
  <c r="U67" i="9"/>
  <c r="AF46" i="9"/>
  <c r="U72" i="9"/>
  <c r="V72" i="9"/>
  <c r="W72" i="9" s="1"/>
  <c r="M87" i="62" s="1"/>
  <c r="AE45" i="9"/>
  <c r="AE44" i="9"/>
  <c r="AE37" i="9"/>
  <c r="AE38" i="9"/>
  <c r="V71" i="9"/>
  <c r="W71" i="9" s="1"/>
  <c r="M86" i="62" s="1"/>
  <c r="U71" i="9"/>
  <c r="AE43" i="9"/>
  <c r="AE39" i="9"/>
  <c r="AF40" i="9"/>
  <c r="V73" i="9"/>
  <c r="W73" i="9" s="1"/>
  <c r="M88" i="62" s="1"/>
  <c r="U73" i="9"/>
  <c r="AE36" i="9"/>
  <c r="V66" i="9"/>
  <c r="W66" i="9" s="1"/>
  <c r="M81" i="62" s="1"/>
  <c r="N80" i="2" l="1"/>
  <c r="N86" i="2"/>
  <c r="N87" i="2"/>
  <c r="N85" i="2"/>
  <c r="N24" i="9"/>
  <c r="U24" i="9" s="1"/>
  <c r="V24" i="9" s="1"/>
  <c r="N38" i="9"/>
  <c r="U38" i="9" s="1"/>
  <c r="V38" i="9" s="1"/>
  <c r="W38" i="9" s="1"/>
  <c r="N37" i="9"/>
  <c r="U37" i="9" s="1"/>
  <c r="AF36" i="9" s="1"/>
  <c r="N44" i="9"/>
  <c r="U44" i="9" s="1"/>
  <c r="V44" i="9" s="1"/>
  <c r="W44" i="9" s="1"/>
  <c r="N31" i="9"/>
  <c r="U31" i="9" s="1"/>
  <c r="N26" i="9"/>
  <c r="N32" i="9"/>
  <c r="N25" i="9"/>
  <c r="U25" i="9" s="1"/>
  <c r="N42" i="9"/>
  <c r="U42" i="9" s="1"/>
  <c r="N30" i="9"/>
  <c r="V43" i="9"/>
  <c r="W43" i="9" s="1"/>
  <c r="AE23" i="9"/>
  <c r="Z50" i="9"/>
  <c r="R10" i="32"/>
  <c r="J24" i="9" s="1"/>
  <c r="AB23" i="9" l="1"/>
  <c r="L24" i="9"/>
  <c r="K24" i="9"/>
  <c r="N55" i="2"/>
  <c r="M56" i="62"/>
  <c r="N60" i="2"/>
  <c r="M61" i="62"/>
  <c r="N61" i="2"/>
  <c r="M62" i="62"/>
  <c r="V37" i="9"/>
  <c r="W37" i="9" s="1"/>
  <c r="M55" i="62" s="1"/>
  <c r="AF43" i="9"/>
  <c r="Q35" i="9"/>
  <c r="Q30" i="9"/>
  <c r="Q41" i="9"/>
  <c r="AF37" i="9"/>
  <c r="AF30" i="9"/>
  <c r="V31" i="9"/>
  <c r="W31" i="9" s="1"/>
  <c r="N27" i="9"/>
  <c r="U26" i="9"/>
  <c r="N33" i="9"/>
  <c r="U32" i="9"/>
  <c r="V25" i="9"/>
  <c r="AF24" i="9"/>
  <c r="U30" i="9"/>
  <c r="V30" i="9" s="1"/>
  <c r="W30" i="9" s="1"/>
  <c r="L41" i="9"/>
  <c r="AF42" i="9"/>
  <c r="W24" i="9"/>
  <c r="AF41" i="9"/>
  <c r="V42" i="9"/>
  <c r="S10" i="32"/>
  <c r="J67" i="62"/>
  <c r="K66" i="2"/>
  <c r="L92" i="2"/>
  <c r="X78" i="9"/>
  <c r="Z78" i="9" s="1"/>
  <c r="J93" i="62" s="1"/>
  <c r="V64" i="9"/>
  <c r="W64" i="9" s="1"/>
  <c r="W67" i="9"/>
  <c r="M82" i="62" s="1"/>
  <c r="H42" i="62" l="1"/>
  <c r="H41" i="2"/>
  <c r="N78" i="2"/>
  <c r="M79" i="62"/>
  <c r="N81" i="2"/>
  <c r="N47" i="2"/>
  <c r="M48" i="62"/>
  <c r="N41" i="2"/>
  <c r="M42" i="62"/>
  <c r="N48" i="2"/>
  <c r="M49" i="62"/>
  <c r="L35" i="9"/>
  <c r="N54" i="2"/>
  <c r="L29" i="9"/>
  <c r="M68" i="9"/>
  <c r="V68" i="9" s="1"/>
  <c r="W68" i="9" s="1"/>
  <c r="M83" i="62" s="1"/>
  <c r="W25" i="9"/>
  <c r="V26" i="9"/>
  <c r="W26" i="9" s="1"/>
  <c r="AF25" i="9"/>
  <c r="U33" i="9"/>
  <c r="N34" i="9"/>
  <c r="N39" i="9"/>
  <c r="U39" i="9" s="1"/>
  <c r="N45" i="9"/>
  <c r="U45" i="9" s="1"/>
  <c r="AF31" i="9"/>
  <c r="V32" i="9"/>
  <c r="W32" i="9" s="1"/>
  <c r="U27" i="9"/>
  <c r="N28" i="9"/>
  <c r="U28" i="9" s="1"/>
  <c r="AF29" i="9"/>
  <c r="M69" i="9"/>
  <c r="U69" i="9" s="1"/>
  <c r="AB38" i="9"/>
  <c r="AB24" i="9"/>
  <c r="AB39" i="9"/>
  <c r="AB33" i="9"/>
  <c r="AC38" i="9"/>
  <c r="AB32" i="9"/>
  <c r="AC32" i="9"/>
  <c r="AB40" i="9"/>
  <c r="AC46" i="9"/>
  <c r="AC29" i="9"/>
  <c r="AB30" i="9"/>
  <c r="AB34" i="9"/>
  <c r="J30" i="9"/>
  <c r="AC30" i="9"/>
  <c r="BJ23" i="9"/>
  <c r="AB75" i="9" s="1"/>
  <c r="AC28" i="9"/>
  <c r="AC25" i="9"/>
  <c r="AC23" i="9"/>
  <c r="AA23" i="9" s="1"/>
  <c r="AB27" i="9"/>
  <c r="AC41" i="9"/>
  <c r="AB28" i="9"/>
  <c r="AC36" i="9"/>
  <c r="AB25" i="9"/>
  <c r="AC34" i="9"/>
  <c r="AB41" i="9"/>
  <c r="AC45" i="9"/>
  <c r="AB44" i="9"/>
  <c r="AC31" i="9"/>
  <c r="AB29" i="9"/>
  <c r="AC27" i="9"/>
  <c r="AC43" i="9"/>
  <c r="AB36" i="9"/>
  <c r="AC26" i="9"/>
  <c r="AC24" i="9"/>
  <c r="AB26" i="9"/>
  <c r="AB37" i="9"/>
  <c r="AB42" i="9"/>
  <c r="AC42" i="9"/>
  <c r="AB31" i="9"/>
  <c r="AB45" i="9"/>
  <c r="AC37" i="9"/>
  <c r="AB43" i="9"/>
  <c r="AC40" i="9"/>
  <c r="AB46" i="9"/>
  <c r="AC39" i="9"/>
  <c r="AB35" i="9"/>
  <c r="AC44" i="9"/>
  <c r="AC33" i="9"/>
  <c r="AC35" i="9"/>
  <c r="W42" i="9"/>
  <c r="E41" i="62" l="1"/>
  <c r="J36" i="9"/>
  <c r="J42" i="9" s="1"/>
  <c r="L30" i="9"/>
  <c r="K30" i="9"/>
  <c r="AA24" i="9"/>
  <c r="E41" i="2" s="1"/>
  <c r="N82" i="2"/>
  <c r="N59" i="2"/>
  <c r="M60" i="62"/>
  <c r="N49" i="2"/>
  <c r="M50" i="62"/>
  <c r="N42" i="2"/>
  <c r="M43" i="62"/>
  <c r="N43" i="2"/>
  <c r="M44" i="62"/>
  <c r="G41" i="62"/>
  <c r="AA31" i="9"/>
  <c r="E48" i="2" s="1"/>
  <c r="V79" i="9"/>
  <c r="W79" i="9" s="1"/>
  <c r="M94" i="62" s="1"/>
  <c r="L23" i="9"/>
  <c r="V78" i="9"/>
  <c r="W78" i="9" s="1"/>
  <c r="M93" i="62" s="1"/>
  <c r="U68" i="9"/>
  <c r="V69" i="9"/>
  <c r="W69" i="9" s="1"/>
  <c r="M84" i="62" s="1"/>
  <c r="G40" i="2"/>
  <c r="AF32" i="9"/>
  <c r="V33" i="9"/>
  <c r="U34" i="9"/>
  <c r="N40" i="9"/>
  <c r="U40" i="9" s="1"/>
  <c r="N46" i="9"/>
  <c r="U46" i="9" s="1"/>
  <c r="AF26" i="9"/>
  <c r="V27" i="9"/>
  <c r="AF38" i="9"/>
  <c r="V39" i="9"/>
  <c r="W39" i="9" s="1"/>
  <c r="AF27" i="9"/>
  <c r="V28" i="9"/>
  <c r="W28" i="9" s="1"/>
  <c r="V45" i="9"/>
  <c r="AF44" i="9"/>
  <c r="AA34" i="9"/>
  <c r="E51" i="2" s="1"/>
  <c r="AA25" i="9"/>
  <c r="E43" i="62" s="1"/>
  <c r="AA46" i="9"/>
  <c r="E64" i="62" s="1"/>
  <c r="AA30" i="9"/>
  <c r="E48" i="62" s="1"/>
  <c r="AA26" i="9"/>
  <c r="E43" i="2" s="1"/>
  <c r="AA38" i="9"/>
  <c r="E55" i="2" s="1"/>
  <c r="AA45" i="9"/>
  <c r="E63" i="62" s="1"/>
  <c r="AA41" i="9"/>
  <c r="AA32" i="9"/>
  <c r="E50" i="62" s="1"/>
  <c r="AA28" i="9"/>
  <c r="E45" i="2" s="1"/>
  <c r="AA43" i="9"/>
  <c r="E61" i="62" s="1"/>
  <c r="AA37" i="9"/>
  <c r="E55" i="62" s="1"/>
  <c r="AA27" i="9"/>
  <c r="E44" i="2" s="1"/>
  <c r="AA39" i="9"/>
  <c r="E56" i="2" s="1"/>
  <c r="AA35" i="9"/>
  <c r="AA42" i="9"/>
  <c r="E60" i="62" s="1"/>
  <c r="AA36" i="9"/>
  <c r="E53" i="2" s="1"/>
  <c r="AA29" i="9"/>
  <c r="AA44" i="9"/>
  <c r="E62" i="62" s="1"/>
  <c r="AA40" i="9"/>
  <c r="E58" i="62" s="1"/>
  <c r="AA33" i="9"/>
  <c r="E51" i="62" s="1"/>
  <c r="AC71" i="9"/>
  <c r="AC72" i="9"/>
  <c r="AC75" i="9"/>
  <c r="AA75" i="9" s="1"/>
  <c r="E90" i="62" s="1"/>
  <c r="AB72" i="9"/>
  <c r="AB67" i="9"/>
  <c r="AB71" i="9"/>
  <c r="AC67" i="9"/>
  <c r="E40" i="2"/>
  <c r="E89" i="2" l="1"/>
  <c r="E59" i="62"/>
  <c r="E46" i="2"/>
  <c r="E53" i="62"/>
  <c r="K36" i="9"/>
  <c r="L36" i="9"/>
  <c r="H47" i="2"/>
  <c r="G46" i="2" s="1"/>
  <c r="H48" i="62"/>
  <c r="G47" i="62" s="1"/>
  <c r="K42" i="9"/>
  <c r="L42" i="9"/>
  <c r="E42" i="62"/>
  <c r="N93" i="2"/>
  <c r="N92" i="2"/>
  <c r="N83" i="2"/>
  <c r="N56" i="2"/>
  <c r="M57" i="62"/>
  <c r="N45" i="2"/>
  <c r="M46" i="62"/>
  <c r="E49" i="62"/>
  <c r="E52" i="62"/>
  <c r="AF45" i="9"/>
  <c r="V46" i="9"/>
  <c r="W46" i="9" s="1"/>
  <c r="W33" i="9"/>
  <c r="AF23" i="9"/>
  <c r="W27" i="9"/>
  <c r="V23" i="9"/>
  <c r="V34" i="9"/>
  <c r="W34" i="9" s="1"/>
  <c r="AF33" i="9"/>
  <c r="W45" i="9"/>
  <c r="AF39" i="9"/>
  <c r="V40" i="9"/>
  <c r="W40" i="9" s="1"/>
  <c r="E42" i="2"/>
  <c r="AA67" i="9"/>
  <c r="E82" i="62" s="1"/>
  <c r="E50" i="2"/>
  <c r="E57" i="62"/>
  <c r="E56" i="62"/>
  <c r="E58" i="2"/>
  <c r="E45" i="62"/>
  <c r="E54" i="2"/>
  <c r="E47" i="62"/>
  <c r="E49" i="2"/>
  <c r="E57" i="2"/>
  <c r="E44" i="62"/>
  <c r="E47" i="2"/>
  <c r="E62" i="2"/>
  <c r="E63" i="2"/>
  <c r="E59" i="2"/>
  <c r="E61" i="2"/>
  <c r="E54" i="62"/>
  <c r="E46" i="62"/>
  <c r="E60" i="2"/>
  <c r="AA72" i="9"/>
  <c r="E87" i="62" s="1"/>
  <c r="E52" i="2"/>
  <c r="AA71" i="9"/>
  <c r="E86" i="62" s="1"/>
  <c r="E86" i="2" l="1"/>
  <c r="H54" i="62"/>
  <c r="G53" i="62" s="1"/>
  <c r="H53" i="2"/>
  <c r="G52" i="2" s="1"/>
  <c r="H60" i="62"/>
  <c r="H59" i="2"/>
  <c r="N57" i="2"/>
  <c r="M58" i="62"/>
  <c r="N51" i="2"/>
  <c r="M52" i="62"/>
  <c r="N50" i="2"/>
  <c r="M51" i="62"/>
  <c r="N62" i="2"/>
  <c r="M63" i="62"/>
  <c r="N44" i="2"/>
  <c r="M45" i="62"/>
  <c r="N63" i="2"/>
  <c r="M64" i="62"/>
  <c r="V81" i="9"/>
  <c r="W81" i="9" s="1"/>
  <c r="M96" i="62" s="1"/>
  <c r="W23" i="9"/>
  <c r="V80" i="9"/>
  <c r="W80" i="9" s="1"/>
  <c r="M95" i="62" s="1"/>
  <c r="E81" i="2"/>
  <c r="W41" i="9"/>
  <c r="W29" i="9"/>
  <c r="V41" i="9"/>
  <c r="V29" i="9"/>
  <c r="E85" i="2"/>
  <c r="N95" i="2" l="1"/>
  <c r="N94" i="2"/>
  <c r="N58" i="2"/>
  <c r="M59" i="62"/>
  <c r="N46" i="2"/>
  <c r="M47" i="62"/>
  <c r="N40" i="2"/>
  <c r="M41" i="62"/>
  <c r="E89" i="9" l="1"/>
  <c r="A104" i="62" s="1"/>
  <c r="A103" i="2" l="1"/>
  <c r="A59" i="2"/>
  <c r="E83" i="9"/>
  <c r="A98" i="62" s="1"/>
  <c r="A97" i="2" l="1"/>
  <c r="A47" i="2"/>
  <c r="A41" i="2"/>
  <c r="A40" i="2"/>
  <c r="A41" i="62"/>
  <c r="A67" i="2" l="1"/>
  <c r="K95" i="13" l="1"/>
  <c r="K94" i="13"/>
  <c r="D91" i="13" l="1"/>
  <c r="J93" i="13" s="1"/>
  <c r="G199" i="2" l="1"/>
  <c r="G202" i="2"/>
  <c r="G201" i="2"/>
  <c r="G198" i="2"/>
  <c r="G200" i="2"/>
  <c r="G197" i="2"/>
  <c r="L53" i="2" l="1"/>
  <c r="N154" i="2" s="1"/>
  <c r="K54" i="62"/>
  <c r="N36" i="9"/>
  <c r="U36" i="9" s="1"/>
  <c r="X36" i="9"/>
  <c r="Z36" i="9" s="1"/>
  <c r="G16" i="32"/>
  <c r="E36" i="9" s="1"/>
  <c r="A54" i="62" s="1"/>
  <c r="I77" i="9"/>
  <c r="K92" i="62" s="1"/>
  <c r="I35" i="9"/>
  <c r="X77" i="9" l="1"/>
  <c r="J53" i="62"/>
  <c r="K52" i="2"/>
  <c r="I95" i="9"/>
  <c r="M151" i="62"/>
  <c r="I76" i="9"/>
  <c r="K91" i="62" s="1"/>
  <c r="L52" i="2"/>
  <c r="AF35" i="9"/>
  <c r="V36" i="9"/>
  <c r="W36" i="9" s="1"/>
  <c r="J54" i="62"/>
  <c r="K53" i="2"/>
  <c r="A53" i="2"/>
  <c r="L91" i="2"/>
  <c r="F50" i="9"/>
  <c r="K53" i="62"/>
  <c r="E35" i="9"/>
  <c r="A53" i="62" s="1"/>
  <c r="AG79" i="95" l="1"/>
  <c r="AJ87" i="95" s="1"/>
  <c r="M54" i="62"/>
  <c r="V77" i="9"/>
  <c r="I98" i="9"/>
  <c r="U116" i="9"/>
  <c r="V116" i="9" s="1"/>
  <c r="U115" i="9"/>
  <c r="V115" i="9" s="1"/>
  <c r="U114" i="9"/>
  <c r="V114" i="9" s="1"/>
  <c r="N53" i="2"/>
  <c r="V35" i="9"/>
  <c r="L90" i="2"/>
  <c r="Z77" i="9"/>
  <c r="J92" i="62" s="1"/>
  <c r="W35" i="9"/>
  <c r="A52" i="2"/>
  <c r="AG112" i="95" l="1"/>
  <c r="AJ49" i="95" s="1"/>
  <c r="I99" i="9"/>
  <c r="N52" i="2"/>
  <c r="M53" i="62"/>
  <c r="A65" i="62" s="1"/>
  <c r="K91" i="2"/>
  <c r="V76" i="9"/>
  <c r="W77" i="9"/>
  <c r="M92" i="62" s="1"/>
  <c r="K90" i="2" l="1"/>
  <c r="K92" i="2"/>
  <c r="K93" i="2" s="1"/>
  <c r="N91" i="2"/>
  <c r="W76" i="9"/>
  <c r="M91" i="62" s="1"/>
  <c r="A67" i="62"/>
  <c r="W98" i="9" l="1"/>
  <c r="W95" i="9"/>
  <c r="N90" i="2"/>
  <c r="A66" i="2"/>
  <c r="A64" i="2" s="1"/>
  <c r="U109" i="9" l="1"/>
  <c r="W109" i="9" s="1"/>
  <c r="M145" i="62" s="1"/>
  <c r="N30" i="2"/>
  <c r="W99" i="9"/>
  <c r="M31" i="62"/>
  <c r="N149" i="2" l="1"/>
  <c r="W110" i="9"/>
  <c r="N145" i="2" s="1"/>
  <c r="A145" i="2" s="1"/>
  <c r="A31" i="62"/>
  <c r="A30" i="2"/>
  <c r="M141" i="62" l="1"/>
  <c r="A141" i="62" s="1"/>
  <c r="L116" i="9" l="1"/>
  <c r="L115" i="9" l="1"/>
  <c r="L114" i="9" l="1"/>
  <c r="Z25" i="79" l="1"/>
  <c r="V22" i="79"/>
  <c r="Y22" i="79" s="1"/>
  <c r="Z22" i="79" l="1"/>
  <c r="AA22" i="79" s="1"/>
  <c r="AA45" i="79" s="1"/>
  <c r="AA47" i="79" s="1"/>
  <c r="W22" i="79" l="1"/>
  <c r="F47" i="79"/>
  <c r="AA95" i="79"/>
  <c r="M110" i="62"/>
  <c r="N109" i="2"/>
  <c r="N108" i="2" s="1"/>
  <c r="N151" i="2" s="1"/>
  <c r="AG9" i="95" l="1"/>
  <c r="AG13" i="95" s="1"/>
  <c r="AJ215" i="95" s="1"/>
  <c r="M109" i="62"/>
  <c r="M149" i="62" s="1"/>
  <c r="D8" i="85"/>
  <c r="D9" i="85"/>
  <c r="AJ212" i="95" l="1"/>
  <c r="E8" i="85"/>
  <c r="F8" i="85" s="1"/>
  <c r="H8" i="85" s="1"/>
  <c r="N153" i="2" s="1"/>
  <c r="AG10" i="95" l="1"/>
  <c r="N155" i="2"/>
  <c r="M150" i="62"/>
  <c r="AG11" i="95" l="1"/>
  <c r="M152" i="62"/>
  <c r="AJ10" i="95" l="1"/>
  <c r="AJ9" i="9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msokolova</author>
  </authors>
  <commentList>
    <comment ref="L43" authorId="0" shapeId="0" xr:uid="{00000000-0006-0000-0100-000001000000}">
      <text>
        <r>
          <rPr>
            <b/>
            <sz val="9"/>
            <color indexed="81"/>
            <rFont val="Tahoma"/>
            <family val="2"/>
          </rPr>
          <t>msokolova:</t>
        </r>
        <r>
          <rPr>
            <sz val="9"/>
            <color indexed="81"/>
            <rFont val="Tahoma"/>
            <family val="2"/>
          </rPr>
          <t xml:space="preserve">
</t>
        </r>
        <r>
          <rPr>
            <sz val="18"/>
            <color indexed="81"/>
            <rFont val="Tahoma"/>
            <family val="2"/>
          </rPr>
          <t>Eligible if 3 Yeeas in Business and No claims in 5 years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<sst xmlns="http://schemas.openxmlformats.org/spreadsheetml/2006/main" count="31223" uniqueCount="5369">
  <si>
    <t>*Champignons et dérivés fongiques </t>
  </si>
  <si>
    <t>Essentiel</t>
  </si>
  <si>
    <t xml:space="preserve">Argent </t>
  </si>
  <si>
    <t>Date de soumission:</t>
  </si>
  <si>
    <t>Soumission Réf:</t>
  </si>
  <si>
    <t>Courtier:</t>
  </si>
  <si>
    <t>Nom  du Souscripteur:</t>
  </si>
  <si>
    <t>Date effective:</t>
  </si>
  <si>
    <t>Nom Assuré:</t>
  </si>
  <si>
    <t>Adresse:</t>
  </si>
  <si>
    <t>Code Postal:</t>
  </si>
  <si>
    <t>Province:</t>
  </si>
  <si>
    <t>Ville:</t>
  </si>
  <si>
    <t>Information Assuré</t>
  </si>
  <si>
    <t>SOUMISSION ENTREPRENEUR</t>
  </si>
  <si>
    <t>Porteur du risque:</t>
  </si>
  <si>
    <t>PA19</t>
  </si>
  <si>
    <t>CM05</t>
  </si>
  <si>
    <t>CW107</t>
  </si>
  <si>
    <t>CW106</t>
  </si>
  <si>
    <t>CW150</t>
  </si>
  <si>
    <t>LE44</t>
  </si>
  <si>
    <t>CW199F</t>
  </si>
  <si>
    <t>CW200F</t>
  </si>
  <si>
    <t>Frais de gestion</t>
  </si>
  <si>
    <t>L1A</t>
  </si>
  <si>
    <t>Commission courtier</t>
  </si>
  <si>
    <t>Formulaire</t>
  </si>
  <si>
    <t>Tous les frais sont non-remboursables. La prime d'assurance et les frais sont dus et payables dans les 30 jours suivant l'émission du contrat.</t>
  </si>
  <si>
    <t>Veuillez lire attentivement cette soumission, elle peut contenir des termes différents de la demande de soumission.</t>
  </si>
  <si>
    <t>Assurance Flottante d’installation </t>
  </si>
  <si>
    <t>*Malfaçon</t>
  </si>
  <si>
    <t>*Pollution soudaine et accidentelle </t>
  </si>
  <si>
    <t>*Soin garde et contrôle</t>
  </si>
  <si>
    <t>*Défaut de performance </t>
  </si>
  <si>
    <t>Montant de garantie pour préjudice personnel ou imputable à la publicité</t>
  </si>
  <si>
    <t xml:space="preserve">Responsabilité civile pour dommages à des véhicules loués </t>
  </si>
  <si>
    <t xml:space="preserve">Exclusion de la location à longue durée </t>
  </si>
  <si>
    <t>Nombre d'années sans réclamations</t>
  </si>
  <si>
    <t>Il y a-t-il une Licence RBQ valide?</t>
  </si>
  <si>
    <t>IndCode</t>
  </si>
  <si>
    <t>IndDescription</t>
  </si>
  <si>
    <t>Description FR</t>
  </si>
  <si>
    <t>IndClass</t>
  </si>
  <si>
    <t>Equipment Rented to Others N.O.C. - Without Operator</t>
  </si>
  <si>
    <t>Location de matériel pour entrepreneurs n.d.a. - Sans opérateur</t>
  </si>
  <si>
    <t>Construction, Erection and Installation Services</t>
  </si>
  <si>
    <t>Equipment Rented to Others N.O.C. - With Operator</t>
  </si>
  <si>
    <t>Location de matériel pour entrepreneurs n.d.a. - Avec opérateur</t>
  </si>
  <si>
    <t>Scaffolding, Ladders, Hoists Rented to Others</t>
  </si>
  <si>
    <t>Location de matériel pour entrepreneurs - Échafaudages, échelles, appareils de levage</t>
  </si>
  <si>
    <t>Cranes, Derricks, Power Shovels - Equipment Rented to Others - Without Operator</t>
  </si>
  <si>
    <t>Location de matériel pour entrepreneurs - Grues ou pelles mécaniques - Sans opérateur</t>
  </si>
  <si>
    <t>Cranes, Derricks, Power Shovels - Equipment Rented to Others - With Operator</t>
  </si>
  <si>
    <t>Location de matériel pour entrepreneurs - Grues ou pelles mécaniques - Avec opérateur</t>
  </si>
  <si>
    <t>Alarm System - Installation (excluding repair of fire suppression equipment)</t>
  </si>
  <si>
    <t>Systèmes d'alarme - Installation (mais non la réparation du matériel à éteindre les incendies)</t>
  </si>
  <si>
    <t>Business and Professional Services</t>
  </si>
  <si>
    <t>Tent Erection, Removal, Repair (off Premises)</t>
  </si>
  <si>
    <t>Érection, démontage, réparations de tentes (hors des lieux)</t>
  </si>
  <si>
    <t>Swimming Pools</t>
  </si>
  <si>
    <t>Piscines</t>
  </si>
  <si>
    <t>Building, Construction of - Not Residential</t>
  </si>
  <si>
    <t>Construction immobilière - Bâtiments autres que d'habitation - inlcuant rénovations ou réparations</t>
  </si>
  <si>
    <t>Mobile Homes, Prefabricated Housing - Away from Shop (Site)</t>
  </si>
  <si>
    <t>Maisons mobiles/préfabriquées - Construction hors usine</t>
  </si>
  <si>
    <t>Mobile Homes, Prefabricated Housing - Shop Operations</t>
  </si>
  <si>
    <t>Maisons mobiles/préfabriquées - Travaux en usine</t>
  </si>
  <si>
    <t>General Contractors</t>
  </si>
  <si>
    <t>Residential - One or Two Family Dwellings</t>
  </si>
  <si>
    <t>Construction immobilière - Habitations à un ou deux ménages - inlcuant rénovations ou réparations</t>
  </si>
  <si>
    <t>Non-Destructive Testing Contractors</t>
  </si>
  <si>
    <t>Entrepreneurs d'essais non destructifs</t>
  </si>
  <si>
    <t>Fire Extinguishing Equipment, Servicing, Refilling</t>
  </si>
  <si>
    <t>Extincteurs d'incendie, entretien, rechargement</t>
  </si>
  <si>
    <t>Fireproofing - Structures</t>
  </si>
  <si>
    <t>Ignifugation - Structures</t>
  </si>
  <si>
    <t>Building Cleaning - Exterior</t>
  </si>
  <si>
    <t>Nettoyage de façades</t>
  </si>
  <si>
    <t>Septic Tank Installation, Service, Repair</t>
  </si>
  <si>
    <t>Fosses septiques (Installation, entretien, réparation de)</t>
  </si>
  <si>
    <t>Waterproofing Operations</t>
  </si>
  <si>
    <t>Étanchéité (Travaux d')</t>
  </si>
  <si>
    <t>Excavation</t>
  </si>
  <si>
    <t>Drilling, Not Oil or Gas</t>
  </si>
  <si>
    <t>Forage, sauf pétrole et gaz</t>
  </si>
  <si>
    <t>Metal Doors, Windows, Awnings</t>
  </si>
  <si>
    <t>Installation de portes, fenêtres et auvents métalliques</t>
  </si>
  <si>
    <t>Erection of Iron ot Steel N.O.C.</t>
  </si>
  <si>
    <t>Éléments métalliques (Montage d') - n.d.a.</t>
  </si>
  <si>
    <t>Erection of Iron ot Steel Structural</t>
  </si>
  <si>
    <t>Éléments métalliques (Montage d') - Ossature</t>
  </si>
  <si>
    <t>Welding, Cutting, Brazing</t>
  </si>
  <si>
    <t>Soudage ou découpage</t>
  </si>
  <si>
    <t>Sheet Metal - Away from Shop</t>
  </si>
  <si>
    <t>Tôlerie - hors atelier</t>
  </si>
  <si>
    <t>Sheet Metal - Shop Only</t>
  </si>
  <si>
    <t>Tôlerie - en atelier seulement</t>
  </si>
  <si>
    <t>Interior Decorator</t>
  </si>
  <si>
    <t>Décorateur ensemblier</t>
  </si>
  <si>
    <t>House Furnishings, Acoustic Ceilings, Floor Coverings</t>
  </si>
  <si>
    <t>Articles d'ameublement, plafonds insonores, revêtements de sol</t>
  </si>
  <si>
    <t>Painting, Decorating including spray paint</t>
  </si>
  <si>
    <t>Peinture, décoration, avec emploi de pistolets</t>
  </si>
  <si>
    <t>Painting, Decorating excluding spray paint</t>
  </si>
  <si>
    <t>Peinture, décoration, sans emploi de pistolets</t>
  </si>
  <si>
    <t>Insulation of Buildings</t>
  </si>
  <si>
    <t>Isolation des bâtiments</t>
  </si>
  <si>
    <t>Carpentry - Away from Shop</t>
  </si>
  <si>
    <t>Menuiserie - hors atelier</t>
  </si>
  <si>
    <t>Carpentry - Shop Operations</t>
  </si>
  <si>
    <t>Menuiserie - en atelier</t>
  </si>
  <si>
    <t>Tilework - Not masonry, Sewers, Drains, Ceiling; Terrazzo</t>
  </si>
  <si>
    <t>Carrelage (pose), mosaïque, sans maçonnerie ni travaux sur égouts/systèmes de drainage/plafonds</t>
  </si>
  <si>
    <t>Platering, Lathing including Drywall</t>
  </si>
  <si>
    <t>Plâtrage et lattage, y compris à sec</t>
  </si>
  <si>
    <t>Masonry including Bricklaying, Stonework, Tile, Marble, Mosaic, Stuccoing</t>
  </si>
  <si>
    <t>Maçonnerie, briquetage, ouvrages en pierre, crépissage</t>
  </si>
  <si>
    <t>Precast Beams</t>
  </si>
  <si>
    <t>Poutres préfabriquées en béton</t>
  </si>
  <si>
    <t>Cement, Concrete Work N.O.C.</t>
  </si>
  <si>
    <t>Ciment ou béton n.d.a. (Ouvrages en)</t>
  </si>
  <si>
    <t>Electrical Apparatus</t>
  </si>
  <si>
    <t>Appareillage électrique</t>
  </si>
  <si>
    <t>Elevators including Operation</t>
  </si>
  <si>
    <t>Ascenseurs, monte-charge, escaliers mobiles - installation/entretien d'</t>
  </si>
  <si>
    <t>Elevators, Escalators - Instal./Service</t>
  </si>
  <si>
    <t>Underground Cable or Conduit excluding Excavation</t>
  </si>
  <si>
    <t>Câbles ou conduits souterrains, excavation exclue</t>
  </si>
  <si>
    <t>Underground Cable or Conduit including Incidental Excavation</t>
  </si>
  <si>
    <t>Câbles ou conduits souterrains, y compris excavation</t>
  </si>
  <si>
    <t>Light, Telephone, Power Lines etc.</t>
  </si>
  <si>
    <t>Lignes électriques ou téléphoniques</t>
  </si>
  <si>
    <t>Wiring including Fixtures, Appliances</t>
  </si>
  <si>
    <t>Circuits, y compris l'installation</t>
  </si>
  <si>
    <t>Water Softening or Treatment Equipment, including Installation</t>
  </si>
  <si>
    <t>Matériel d'adoucissement de l'eau y compris installation</t>
  </si>
  <si>
    <t>Solar Energy Contractors</t>
  </si>
  <si>
    <t>Entrepreneurs en énergie solaire</t>
  </si>
  <si>
    <t>Refrigeration, Commercial</t>
  </si>
  <si>
    <t>Réfrigération commerciale et industrielle</t>
  </si>
  <si>
    <t>Air Conditioning Equipment including Heat Pumps</t>
  </si>
  <si>
    <t>Climatisation, y compris pompes à chaleur</t>
  </si>
  <si>
    <t>Heating Equipment and Combined Air Conditioning - Solid Fuel</t>
  </si>
  <si>
    <t>Appareils de chauffage et climatisation - Combustible solide</t>
  </si>
  <si>
    <t>Heating Equipment and Combined Air Conditioning - Oil or Gas</t>
  </si>
  <si>
    <t>Appareils de chauffage et climatisation - Fuel ou gaz</t>
  </si>
  <si>
    <t>Automatic Sprinklers</t>
  </si>
  <si>
    <t>Extincteurs automatiques</t>
  </si>
  <si>
    <t>Steam Fitters</t>
  </si>
  <si>
    <t>Tuyauteries</t>
  </si>
  <si>
    <t>Boilers</t>
  </si>
  <si>
    <t>Chaudières</t>
  </si>
  <si>
    <t>Plumbing, Including Hot Tubs</t>
  </si>
  <si>
    <t>Plomberie, y compris jacuzzi</t>
  </si>
  <si>
    <t>Shaft Sinking</t>
  </si>
  <si>
    <t>Fonçage de puits</t>
  </si>
  <si>
    <t>Sewer, Water Mains, Steam Mains</t>
  </si>
  <si>
    <t>Égouts, conduites d'eau ou de vapeur</t>
  </si>
  <si>
    <t>Gas Mains</t>
  </si>
  <si>
    <t>Conduites de gaz</t>
  </si>
  <si>
    <t>Subways, Tunnels</t>
  </si>
  <si>
    <t>Souterrains et tunnels</t>
  </si>
  <si>
    <t>Railroads</t>
  </si>
  <si>
    <t>Voies ferrées</t>
  </si>
  <si>
    <t>Pipelines</t>
  </si>
  <si>
    <t>Airport Runways, Aprons including Paving</t>
  </si>
  <si>
    <t>Aéroports - Construction et revêtement de pistes et aires de stationnement des appareils</t>
  </si>
  <si>
    <t>Highway, Street, Road including Paving, Resurfacing</t>
  </si>
  <si>
    <t>Routes, rues y compris revêtement ou décapage</t>
  </si>
  <si>
    <t>Dams, Reservoirs including Hydro-Electric Const.</t>
  </si>
  <si>
    <t>Barrages et réservoirs, y compris les constructions hydroélectriques</t>
  </si>
  <si>
    <t>Dredging</t>
  </si>
  <si>
    <t>Dragage</t>
  </si>
  <si>
    <t>Jetties, Breakwaters, Piers, Docks, Levees</t>
  </si>
  <si>
    <t>Jetées, brise-lames, quais, docks, digues</t>
  </si>
  <si>
    <t>Caissons, Coffer Dams</t>
  </si>
  <si>
    <t>Caissons et batardeaux</t>
  </si>
  <si>
    <t>Bridges</t>
  </si>
  <si>
    <t>Ponts</t>
  </si>
  <si>
    <t>Machinery, Agricultural</t>
  </si>
  <si>
    <t>Machines, agriculture</t>
  </si>
  <si>
    <t>Machinery, Industrial (Millwright)</t>
  </si>
  <si>
    <t>Machines, industrie (Machinistes)</t>
  </si>
  <si>
    <t>Glazier Operations</t>
  </si>
  <si>
    <t>Vitrerie: bâtiments ou installations</t>
  </si>
  <si>
    <t>Television Antennae</t>
  </si>
  <si>
    <t>Antennes de télévision</t>
  </si>
  <si>
    <t>Tanks</t>
  </si>
  <si>
    <t>Réservoirs</t>
  </si>
  <si>
    <t>Signs</t>
  </si>
  <si>
    <t>Enseignes</t>
  </si>
  <si>
    <t>Conveyor Systems</t>
  </si>
  <si>
    <t>Convoyeurs</t>
  </si>
  <si>
    <t>Cleaning Streets - Not Snow Removal</t>
  </si>
  <si>
    <t>Nettoyage des voies publiques, sauf déneigement</t>
  </si>
  <si>
    <t>Cleaning Sewers, Drains</t>
  </si>
  <si>
    <t>Curage d'égouts et systèmes de drainage</t>
  </si>
  <si>
    <t>Grading of Land - Not Road Construction or Excavation</t>
  </si>
  <si>
    <t>Nivellement, sans excavation ni construction de routes</t>
  </si>
  <si>
    <t>Irrigation or Drainage Systems, Construction of</t>
  </si>
  <si>
    <t>Systèmes d'irrigation ou de drainage (Construction de)</t>
  </si>
  <si>
    <t>Sidewalks N.O.C., Construction of</t>
  </si>
  <si>
    <t>Trottoirs n.d.a. (Construction de)</t>
  </si>
  <si>
    <t>Fences, Construction of</t>
  </si>
  <si>
    <t>Clôture (Construction de)</t>
  </si>
  <si>
    <t>Driveways, Parking Areas, Construction of</t>
  </si>
  <si>
    <t>Allées et parkings (Construction d')</t>
  </si>
  <si>
    <t>Blasting Contractors</t>
  </si>
  <si>
    <t>Entrepreneurs en dynamitage</t>
  </si>
  <si>
    <t>Pile Driving</t>
  </si>
  <si>
    <t>Battage de pieux</t>
  </si>
  <si>
    <t>Underpinning of Buildings</t>
  </si>
  <si>
    <t>Reprise en sous-oeuvre</t>
  </si>
  <si>
    <t>Wrecking, Demolition N.O.C.</t>
  </si>
  <si>
    <t>Démolition n.d.a.</t>
  </si>
  <si>
    <t>Building Raising, Moving</t>
  </si>
  <si>
    <t>Relèvement, déménagement</t>
  </si>
  <si>
    <t>Tree Removal, Trimming, Pruning</t>
  </si>
  <si>
    <t>Arbres (enlèvement, taille, élagage)</t>
  </si>
  <si>
    <t>Gardening for Others (Landscaping)</t>
  </si>
  <si>
    <t>Jardiniers-paysagistes (Aménagements paysagers)</t>
  </si>
  <si>
    <t>ILF</t>
  </si>
  <si>
    <t/>
  </si>
  <si>
    <t>L20</t>
  </si>
  <si>
    <t>LE25</t>
  </si>
  <si>
    <t>CM31</t>
  </si>
  <si>
    <t>LE45</t>
  </si>
  <si>
    <t>LE5c</t>
  </si>
  <si>
    <t>LE33</t>
  </si>
  <si>
    <t>Cyber</t>
  </si>
  <si>
    <t>Limit</t>
  </si>
  <si>
    <t>1-855-745-2020</t>
  </si>
  <si>
    <t>Vous avez une question?</t>
  </si>
  <si>
    <t>A</t>
  </si>
  <si>
    <t>B</t>
  </si>
  <si>
    <t>C</t>
  </si>
  <si>
    <t>D</t>
  </si>
  <si>
    <t>Pacific</t>
  </si>
  <si>
    <t>BC</t>
  </si>
  <si>
    <t>Praries</t>
  </si>
  <si>
    <t>AB</t>
  </si>
  <si>
    <t>SK</t>
  </si>
  <si>
    <t>MB</t>
  </si>
  <si>
    <t>Ontario</t>
  </si>
  <si>
    <t>ONT</t>
  </si>
  <si>
    <t>Quebec</t>
  </si>
  <si>
    <t>QC</t>
  </si>
  <si>
    <t>Atlantic</t>
  </si>
  <si>
    <t>ATL</t>
  </si>
  <si>
    <t>YK/NWT/NU</t>
  </si>
  <si>
    <t>Calculation</t>
  </si>
  <si>
    <t>OLT</t>
  </si>
  <si>
    <t>CGL (Designated Premises / No Products Completed Ops)</t>
  </si>
  <si>
    <t>Full CGL</t>
  </si>
  <si>
    <t>R</t>
  </si>
  <si>
    <t>Refer</t>
  </si>
  <si>
    <t>X</t>
  </si>
  <si>
    <t>Decline</t>
  </si>
  <si>
    <t>Province</t>
  </si>
  <si>
    <t>Occ Code</t>
  </si>
  <si>
    <t>Description</t>
  </si>
  <si>
    <t>Property</t>
  </si>
  <si>
    <t>Liability</t>
  </si>
  <si>
    <t>Field Crop Farm</t>
  </si>
  <si>
    <t>Fruit, Treenut and Vegetable Farms</t>
  </si>
  <si>
    <t>Crops under Cover - Not Greenhouses</t>
  </si>
  <si>
    <t>Greenhouses</t>
  </si>
  <si>
    <t>Exclude</t>
  </si>
  <si>
    <t>Dairy Farms</t>
  </si>
  <si>
    <t>Horse Farms - Breeders</t>
  </si>
  <si>
    <t>Agricultural Associations (Breeders, Racing Growers, 4H Clubs, etc.</t>
  </si>
  <si>
    <t>Poultry Farms</t>
  </si>
  <si>
    <t>Beef Cattle Farms</t>
  </si>
  <si>
    <t>Hog Farms</t>
  </si>
  <si>
    <t>Farms, General - N.O.C.</t>
  </si>
  <si>
    <t>Tobacco Farms</t>
  </si>
  <si>
    <t>Fur Farms</t>
  </si>
  <si>
    <t>Peat Plants</t>
  </si>
  <si>
    <t>Agricultural, Horticultural Services - N.O.C.</t>
  </si>
  <si>
    <t>Machinery Operation for Others</t>
  </si>
  <si>
    <t>Crop or Weed Spraying or Fertilizing</t>
  </si>
  <si>
    <t>Nurseryman, Florist (not Store)</t>
  </si>
  <si>
    <t>Veterinarians including Veterinary Hospitals</t>
  </si>
  <si>
    <t>Kennels including Boarding of Household Pets</t>
  </si>
  <si>
    <t>Livestock Commission Merchant, Livestock or Cattle Dealer. No physical possession of animals.</t>
  </si>
  <si>
    <t>Livestock or Cattle Dealer, including Sales Stables</t>
  </si>
  <si>
    <t>Logging Services, Lumbering Operations (Woods Operations)</t>
  </si>
  <si>
    <t>Forest Fire Prevention Act</t>
  </si>
  <si>
    <t>Fish Hatcheries</t>
  </si>
  <si>
    <t>Fishing, Hunting, Trapping, Similar Services</t>
  </si>
  <si>
    <t>Metal Mining</t>
  </si>
  <si>
    <t>Metal Mining - Prospecting</t>
  </si>
  <si>
    <t>Coal Mining - Underground</t>
  </si>
  <si>
    <t>Coal Mining - Surface</t>
  </si>
  <si>
    <t>National Scale Oil (Energy) Cos.</t>
  </si>
  <si>
    <t>Well Producing Operations</t>
  </si>
  <si>
    <t>Well Development including Drilling</t>
  </si>
  <si>
    <t>Well Servicing</t>
  </si>
  <si>
    <t>Well Supplies or Equipment Dealer</t>
  </si>
  <si>
    <t>Pipeline, Pumping Operation</t>
  </si>
  <si>
    <t>Geologists, Seismic Exploration</t>
  </si>
  <si>
    <t>Field Welders</t>
  </si>
  <si>
    <t>Quarrying - Asbestos Mining</t>
  </si>
  <si>
    <t>Quarrying - Sand, Gravel Digging</t>
  </si>
  <si>
    <t>Quarrying - N.O.C. including Crushing, Lime Manufacturing, Slate Splitting</t>
  </si>
  <si>
    <t>Quarrying - Underground Mining</t>
  </si>
  <si>
    <t>Snow Removal, Clearing, Ploughing</t>
  </si>
  <si>
    <t>Welding Warranty</t>
  </si>
  <si>
    <t>Stevedoring</t>
  </si>
  <si>
    <t>Shipwright Operations</t>
  </si>
  <si>
    <t>Marine Wrecking or Demolition</t>
  </si>
  <si>
    <t>Roofing - Residential (Shingle)</t>
  </si>
  <si>
    <t>Roofing - Other (Hot Tar, etc.)</t>
  </si>
  <si>
    <t>Asbestos, Lead, UFI Abatement, Radon Mitigation, Tank Remediation</t>
  </si>
  <si>
    <t>Vacant, Idle Buildings</t>
  </si>
  <si>
    <t>Vacant Land</t>
  </si>
  <si>
    <t>Meat Packing - Not Stockyards excluding Frozen Foods, Rendering</t>
  </si>
  <si>
    <t>Meat Packing - With Stockyards excluding Frozen Foods, Rendering</t>
  </si>
  <si>
    <t>Fish and Seafood Processing (Fresh)</t>
  </si>
  <si>
    <t>Dairy Products including Eggs, Honey; Creameries</t>
  </si>
  <si>
    <t>Frozen Foods Processing (Meat, Fish, Seafood, Fruit, Vegetables)</t>
  </si>
  <si>
    <t>Ice</t>
  </si>
  <si>
    <t>Canning and Preserving (Meat, Fish, Seafood, Fruit, Vegetables), Jams</t>
  </si>
  <si>
    <t>Animal Feed (Pet Foods classify as if for Human Consumption)</t>
  </si>
  <si>
    <t>Grain, Grain Products for Human Consumption including Flour, Cereal</t>
  </si>
  <si>
    <t>Coffee, Tea, Spice Processing</t>
  </si>
  <si>
    <t>Seed Processors and Merchants</t>
  </si>
  <si>
    <t>Bakeries including Pasta Manufacturing</t>
  </si>
  <si>
    <t>Confectionery, Cocoa or Chocolate Manufacturing</t>
  </si>
  <si>
    <t>Sugar, Syrup, Molasses Refineries</t>
  </si>
  <si>
    <t>Distillers - Liquor, Alcohol Distilling</t>
  </si>
  <si>
    <t>Breweries, Wineries, Malt Houses, Vinegar Distillers</t>
  </si>
  <si>
    <t>Soft Drinks, Water, other Non-Alcoholic Beverages</t>
  </si>
  <si>
    <t>Oil, Fat Manufacturing (Animal or Vegetable) including Tank Farm, Animal Reduction, Lard Refining</t>
  </si>
  <si>
    <t>Meat, Poultry Rendering; Fish Oil, Fish Meal Manufacturing</t>
  </si>
  <si>
    <t>Tobacco Products</t>
  </si>
  <si>
    <t>Fabric and Textile Mills, Knitting, Spinning, Weaving - Acetate, Celanese, Cotton, Felt, Linens, Rayon, Twine</t>
  </si>
  <si>
    <t>Fabric and Textile Mills, Knitting, Spinning, Weaving - Other Fibres</t>
  </si>
  <si>
    <t>Carpet, Rug Manufacturing</t>
  </si>
  <si>
    <t>Men's and Boys' Wear - not 2311 or 2331</t>
  </si>
  <si>
    <t>Gloves, Hats, Underwear, Beachwear, Accessories - Men's and Boys'</t>
  </si>
  <si>
    <t>Women's and Girls' Wear - N.O.C. including Synthetic Furs, Suits, Dresses not 2331 or 2332</t>
  </si>
  <si>
    <t>Furs, Pelts, Articles Thereof</t>
  </si>
  <si>
    <t>Gloves, Millinery, Lingerie, Beachwear, Accessories - Women's and Girls'</t>
  </si>
  <si>
    <t>Draperies, Tapestries</t>
  </si>
  <si>
    <t>Burlap Bags, Canvas, Awnings, Tents, Rope, Sails; Cloth Goods N.O.C.</t>
  </si>
  <si>
    <t>Sawmills, Plywood, Veneer, Planing Mills</t>
  </si>
  <si>
    <t>Wood Products Manufacturing, Woodworking Shops N.O.C.</t>
  </si>
  <si>
    <t>Wood Preserving, Dry Kilns</t>
  </si>
  <si>
    <t>Boxes, Barrels, Crates, Pallets -Wood</t>
  </si>
  <si>
    <t>Furniture - Wood, Wicker, Rattan - not Upholstered</t>
  </si>
  <si>
    <t>Boatbuilding - Wood</t>
  </si>
  <si>
    <t>Roof Timbers - Manufacturing</t>
  </si>
  <si>
    <t xml:space="preserve"> Furniture (Upholstered - excluding children's furniture)</t>
  </si>
  <si>
    <t>Mattress, Pillows, Cushion, Bedding, Quilt Manufacturing</t>
  </si>
  <si>
    <t>Pulp and Paper Mills</t>
  </si>
  <si>
    <t>Paper Converting</t>
  </si>
  <si>
    <t>Paper Products (Bags, Boxes, Containers)</t>
  </si>
  <si>
    <t>Stationery</t>
  </si>
  <si>
    <t>Newspapers and Magazine Publishing, Printing</t>
  </si>
  <si>
    <t>Printing, Publishing, Electrotyping, Typesetting, Photo Engraving, Book Binding, Silkscreening</t>
  </si>
  <si>
    <t>Acids, Petrochemicals, Chemicals N.O.C. including Ammonia, Antifreeze, Benzoil</t>
  </si>
  <si>
    <t>Gases, Incombustible Industrial (Argon, Helium, CO2)</t>
  </si>
  <si>
    <t>Gases, Other than Incombustible Industrial</t>
  </si>
  <si>
    <t>Pesticides, Herbicides, Insecticides</t>
  </si>
  <si>
    <t>Paints, Varnish, Lacquer</t>
  </si>
  <si>
    <t>Printers Ink, Aniline Dyes and Pigments</t>
  </si>
  <si>
    <t>Radioactive Isotopes</t>
  </si>
  <si>
    <t>Plastics, Synthetic Resins and Fibres N.O.C. (Acrilan, Fiberglass, Nylon, Rayon, Artificial Silk)</t>
  </si>
  <si>
    <t>Cosmetics, Perfumes, Hair/Skin Preparations</t>
  </si>
  <si>
    <t>Drugs, Pharmaceuticals, Patent Medicines - Low Hazard</t>
  </si>
  <si>
    <t>Drugs, Pharmaceuticals, Patent Medicines - Moderate Hazard</t>
  </si>
  <si>
    <t>Drugs, Pharmaceuticals, Patent Medicines - High Hazard</t>
  </si>
  <si>
    <t>Soap, Soap Powder, Detergent, Shampoo Manufacturing</t>
  </si>
  <si>
    <t>Explosives, Ammunition, Fertilizer using Ammonium Manufacturing Nitrate Manufacturing</t>
  </si>
  <si>
    <t>Fireworks, Match Manufacturing</t>
  </si>
  <si>
    <t>Fertilizer - Not Ammonium Nitrate</t>
  </si>
  <si>
    <t>Adhesives, Glue, Mucilage, Paste</t>
  </si>
  <si>
    <t>Borax, Phosphate, Salt, Sulphur Refining, Potash Work excluding Mining</t>
  </si>
  <si>
    <t>Chemicals - N.O.C. Low Hazard</t>
  </si>
  <si>
    <t>Chemicals - N.O.C. Moderate Hazard</t>
  </si>
  <si>
    <t>Chemicals - N.O.C. High Hazard</t>
  </si>
  <si>
    <t>Asphalt Products Manufacturing including Roofing Products, Linoleum</t>
  </si>
  <si>
    <t>Mineral Oil, Lubricants, Petrochemical including Asphalt, Tar Refining</t>
  </si>
  <si>
    <t>Coal Billets, Briquettes, Coke</t>
  </si>
  <si>
    <t>Wax Products Manufacturing including Polishes, Dressings, Waxes, Candles</t>
  </si>
  <si>
    <t>Rubber Reclaiming</t>
  </si>
  <si>
    <t>Tires, Tubes excluding Retreading</t>
  </si>
  <si>
    <t>Rubber Goods excluding Tires, Tubes - Low, Non Combustible</t>
  </si>
  <si>
    <t>Rubber Goods excluding Tires, Tubes - Medium, Combustible, Free Burning</t>
  </si>
  <si>
    <t>Rubber Goods excluding Tires, Tubes - High, Rapid Burning</t>
  </si>
  <si>
    <t>Signs - Plastic</t>
  </si>
  <si>
    <t>Film (Photographic, X-Ray, Other), Recording Media, Compact Discs</t>
  </si>
  <si>
    <t>Plastic, Bone, Celluloid and Shell Products</t>
  </si>
  <si>
    <t>Tanneries</t>
  </si>
  <si>
    <t>Leather Manufacturing, excluding Footwear</t>
  </si>
  <si>
    <t>Footwear Manufacturing</t>
  </si>
  <si>
    <t>Glass, Ceramics, Porcelain, Pottery Manufacturing; Plaster Statuary, Ornaments</t>
  </si>
  <si>
    <t>Glassware Manufacturing</t>
  </si>
  <si>
    <t>Cement, Concrete, Plaster Products excluding Ready Mix Concrete</t>
  </si>
  <si>
    <t>Ready Mix Concrete</t>
  </si>
  <si>
    <t>Brick, Clay, Similar Refractory Products</t>
  </si>
  <si>
    <t>Precast Concrete for Construction</t>
  </si>
  <si>
    <t>Slate Milling, Cutting, Stone Polishing, Grinding Operations, Monuments</t>
  </si>
  <si>
    <t>Soapstone and its Products, Talc</t>
  </si>
  <si>
    <t>Abrasive Manufacturing</t>
  </si>
  <si>
    <t>Asbestos, Asbestos Product Manufacturing</t>
  </si>
  <si>
    <t>Metal Works or Foundries - Primary Ferrous</t>
  </si>
  <si>
    <t>Metal Works or Foundries - Primary Non-Ferrous</t>
  </si>
  <si>
    <t>Radio, Television, Audio, Video Equipment</t>
  </si>
  <si>
    <t>Personal Computers, Business Machines, Calculators</t>
  </si>
  <si>
    <t>Computer Systems Large or Mainframe including Tape Drives etc.</t>
  </si>
  <si>
    <t>Communications Equipment, N.O.C. excluding Media</t>
  </si>
  <si>
    <t>Electronic Components and Semi-Conductors; Electronic Games</t>
  </si>
  <si>
    <t>Electrical Products Manufacturing N.O.C.</t>
  </si>
  <si>
    <t>Electrical Products for Application to Body</t>
  </si>
  <si>
    <t>Heating Equipment - Electrical</t>
  </si>
  <si>
    <t>Household Appliances, Vending Machines</t>
  </si>
  <si>
    <t>Refrigeration Equipment - Industrial</t>
  </si>
  <si>
    <t>Alarm Systems Manufacturing</t>
  </si>
  <si>
    <t>Metal Products Manufacturing - Light N.O.C.</t>
  </si>
  <si>
    <t>Boatbuilding - Metal</t>
  </si>
  <si>
    <t>Metal Furniture - Not Upholstered</t>
  </si>
  <si>
    <t>Heating Apparatus</t>
  </si>
  <si>
    <t>Housewares including Cutlery</t>
  </si>
  <si>
    <t>Plumbing Supplies</t>
  </si>
  <si>
    <t>Signs excluding Fluorescent and Neon</t>
  </si>
  <si>
    <t>Electroplating</t>
  </si>
  <si>
    <t>Metal Products Manufacturing - Heavy N.O.C.</t>
  </si>
  <si>
    <t>Boilers, Pressure Vessels</t>
  </si>
  <si>
    <t>Elevators, Escalators</t>
  </si>
  <si>
    <t>Agricultural Machinery</t>
  </si>
  <si>
    <t>Machinery, N.O.C.</t>
  </si>
  <si>
    <t>Boatbuilding excluding Wood, Metal</t>
  </si>
  <si>
    <t>Transportation Equipment Manufacturing N.O.C. including Bicycles</t>
  </si>
  <si>
    <t>Cars,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</si>
  <si>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</si>
  <si>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</si>
  <si>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</si>
  <si>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</si>
  <si>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</si>
  <si>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</si>
  <si>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</si>
  <si>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including Locomotives</t>
  </si>
  <si>
    <t>Precision Equipment N.O.C.</t>
  </si>
  <si>
    <t>Photographic (Cameras, Enlargers, etc.) excluding Film, Chemicals</t>
  </si>
  <si>
    <t>Optical (Binoculard, Eyeglasses, Microscopes, etc.)</t>
  </si>
  <si>
    <t>Drafting, Engineering, Machinist, Surveying</t>
  </si>
  <si>
    <t>Prosthetic, Orthopedic, Ambulation Devices other than Optical</t>
  </si>
  <si>
    <t>Scientific Instruments N.O.C.</t>
  </si>
  <si>
    <t>Dental, Hospital and Surgical Supplies - Expendable</t>
  </si>
  <si>
    <t>Dental, Hospital and Surgical Supplies - Nonexpendable</t>
  </si>
  <si>
    <t>Dental, Hospital and Surgical Supplies - Instruments</t>
  </si>
  <si>
    <t>Clocks</t>
  </si>
  <si>
    <t>Costume, Novelty Jewellery ($50 limit/article)</t>
  </si>
  <si>
    <t>Jewellery, Watches, Precious Stones, Silversmiths, Gold/Silver Platers</t>
  </si>
  <si>
    <t>Multiple Occupancy Manufacturing - Owner's Risk Only</t>
  </si>
  <si>
    <t>Condominium - Multiple Occupancy Manufacturing</t>
  </si>
  <si>
    <t>Broom, Brushes, Mop Manufacturing</t>
  </si>
  <si>
    <t>Excelsior Manufacturing</t>
  </si>
  <si>
    <t>Recreational Products N.O.C.; Paintings; Pictures; Notions; Musical Instruments; Artificial Flowers</t>
  </si>
  <si>
    <t>Athletic Protective Equipment</t>
  </si>
  <si>
    <t>Firearms</t>
  </si>
  <si>
    <t>Sporting Goods excluding Firearms, Protective Equipment</t>
  </si>
  <si>
    <t>Toys, Hobby and Handicraft Equipment, Artist Supplies</t>
  </si>
  <si>
    <t>Industrial Plazas - Owner's Risk (Multiple Tenants)</t>
  </si>
  <si>
    <t>Condominium - Multiple Occupancy Industrial Plaza</t>
  </si>
  <si>
    <t>Railroad Operations including Shop Operation, Railway Car Barns</t>
  </si>
  <si>
    <t>Armoured Cars</t>
  </si>
  <si>
    <t>Bus, Streetcar, Subway Transit Operation</t>
  </si>
  <si>
    <t>Bus Terminal excluding Garage (4780)</t>
  </si>
  <si>
    <t>Highway, Bridge, Tunnel Operation</t>
  </si>
  <si>
    <t>Taxis, Limousines, Ambulances</t>
  </si>
  <si>
    <t>Teams (Bakery, Dairy, Ice, Express Co.)</t>
  </si>
  <si>
    <t>Truckmen (Hauling for Others) excluding Warehousing</t>
  </si>
  <si>
    <t>Courier Service, Letter Service</t>
  </si>
  <si>
    <t>Charter and School Bus and Handicapped Transportation</t>
  </si>
  <si>
    <t>Air Terminal, Air Transportation Service</t>
  </si>
  <si>
    <t>Grain Elevator - Terminal</t>
  </si>
  <si>
    <t>Grain Elevator - Country</t>
  </si>
  <si>
    <t>Grain, Seed, Bean Warehouse</t>
  </si>
  <si>
    <t>Tobacco</t>
  </si>
  <si>
    <t>Farm Products</t>
  </si>
  <si>
    <t>Refrigerated (Cold Storage Lockers)</t>
  </si>
  <si>
    <t>Household Goods - Public Rental Units</t>
  </si>
  <si>
    <t>Household Goods - Storage Only</t>
  </si>
  <si>
    <t>Household Goods - Storage and Moving, Handling, Packing</t>
  </si>
  <si>
    <t>General Merchandise - Storage Only - No Fibres, Oils, Petrochemicals, Rags, Fireworks, Matches, Explosives</t>
  </si>
  <si>
    <t xml:space="preserve">General Merchandise - Storage Only - With Fibres, Oils, Petrochemicals, Rags, Fireworks, Matches, Explosives </t>
  </si>
  <si>
    <t>General Merchandise - Storage and Moving, Handling, Packing, No Fibres, Oils, Petrochemicals, Rags, Fireworks, Matches, Explosives</t>
  </si>
  <si>
    <t>General Merchandise - Storage and Moving, Handling, Packing, With Fibres, Oils, Petrochemicals, Rags, Fireworks, Matches, Explosives</t>
  </si>
  <si>
    <t>Electronic Media Storage Centres</t>
  </si>
  <si>
    <t>Whiskey, Distilled Spirits Warehousing</t>
  </si>
  <si>
    <t>Transportation Terminal -Motor Freight (incidental garage)</t>
  </si>
  <si>
    <t>Coal, Ore, Bulk Transfer Waterfront Operations</t>
  </si>
  <si>
    <t>Wharf, Waterfront Properties N.O.C.</t>
  </si>
  <si>
    <t>Water Transportation Services N.O.C.</t>
  </si>
  <si>
    <t>Boat Dealers</t>
  </si>
  <si>
    <t>Marinas - Boat Operation, Non-Owned</t>
  </si>
  <si>
    <t>Marinas - Boat Repairs including Marine Railway</t>
  </si>
  <si>
    <t>Marinas - Boat Rentals, Rowboats, Canoes, Skiffs, Dinghies</t>
  </si>
  <si>
    <t>Marinas - Boat Rentals, Outboards Motor Boats</t>
  </si>
  <si>
    <t>Marinas - Boat Rentals, Inboard Motor Boats, Cabin Cruisers</t>
  </si>
  <si>
    <t>Marinas - Boat Rentals, Sailboat, Other than Dinghies</t>
  </si>
  <si>
    <t>Marinas - Boat Rentals, Rafts, Floats</t>
  </si>
  <si>
    <t>Canal Operations including Locks</t>
  </si>
  <si>
    <t>Aircraft Maintenance, Repair Hangers</t>
  </si>
  <si>
    <t>Bus, Truck Maintenance Garages (excluding Freight Terminals)</t>
  </si>
  <si>
    <t>Telephone Communications</t>
  </si>
  <si>
    <t>Communication Services including Cablevision</t>
  </si>
  <si>
    <t>Telegraph Communication Services</t>
  </si>
  <si>
    <t>Freight Brokers</t>
  </si>
  <si>
    <t>Radio/Television Stations without Stage or Scenery Storage</t>
  </si>
  <si>
    <t>Radio/Television Stations with Stage or Scenery Storage</t>
  </si>
  <si>
    <t>Electronic Light, Power Companies</t>
  </si>
  <si>
    <t>Gas Companies - Local Natural Gas Distribution</t>
  </si>
  <si>
    <t>Gas Companies - Liquified Petroleum Dealers</t>
  </si>
  <si>
    <t>Steam Heating or Power - N.O.C.</t>
  </si>
  <si>
    <t>Garbage - Reduction and Incineration</t>
  </si>
  <si>
    <t>Garbage Collection - Domestic</t>
  </si>
  <si>
    <t>Garbage Collection - Industrial</t>
  </si>
  <si>
    <t>Waterworks</t>
  </si>
  <si>
    <t>Municipal Sewer System Existence</t>
  </si>
  <si>
    <t>Waste Disposal Sites including Hazardous Materials</t>
  </si>
  <si>
    <t>Irrigation Works</t>
  </si>
  <si>
    <t>Recycling Collection Centres and Plants</t>
  </si>
  <si>
    <t>Pipeline Operation - Non-Flammables</t>
  </si>
  <si>
    <t>Cars, Trucks, Buses; Auto Auctions</t>
  </si>
  <si>
    <t>Automobile Operating Parts other than Wheel Assembly, Brakes or Steering Parts</t>
  </si>
  <si>
    <t>Automobile Body or Non-Operating Parts, Accessories</t>
  </si>
  <si>
    <t>Rubber Products - Tires, Tubes</t>
  </si>
  <si>
    <t>Rubber Products - Other</t>
  </si>
  <si>
    <t>Cosmetics</t>
  </si>
  <si>
    <t>Drug Supply - Low Hazard</t>
  </si>
  <si>
    <t>Drug Supply - Medium or High Hazard</t>
  </si>
  <si>
    <t>Acids, Petrochemicals, Fertilizer (Ammonium Nitrate)</t>
  </si>
  <si>
    <t>Gases, Other than Petroleum</t>
  </si>
  <si>
    <t>Paint, Wallpaper, Varnish, Lacquer, Printer's Ink, Aniline Dyes</t>
  </si>
  <si>
    <t>Pesticides, Insecticides, Herbicides</t>
  </si>
  <si>
    <t>Fertilizer not Ammonium Nitrate, Salt, Sulphur, Phosphate, Borax, Potash</t>
  </si>
  <si>
    <t>Chemicals, Low to Moderate Hazard N.O.C.</t>
  </si>
  <si>
    <t>Boots, Shoes</t>
  </si>
  <si>
    <t>Accessories including Leather Goods - Not Footwear, Umbrellas</t>
  </si>
  <si>
    <t>Fur Clothing</t>
  </si>
  <si>
    <t>Children's, Infants' Wear</t>
  </si>
  <si>
    <t>Women's and Girls' Wear</t>
  </si>
  <si>
    <t>Men's and Boys' Wear</t>
  </si>
  <si>
    <t>Dry Goods, Piece Goods, Wool</t>
  </si>
  <si>
    <t>Notions, Housewares N.O.C.</t>
  </si>
  <si>
    <t>Food N.O.C.</t>
  </si>
  <si>
    <t>Non-Alcoholic Beverages</t>
  </si>
  <si>
    <t>Meat, Fish, Seafood, Poultry</t>
  </si>
  <si>
    <t>Fruit, Vegetable (Produce)</t>
  </si>
  <si>
    <t>Animal Feed, Grain, Hay</t>
  </si>
  <si>
    <t>Tobacco, Tobacco Products</t>
  </si>
  <si>
    <t>Tobacco, Unprocessed, Sales Warehouse - Air or No Drying</t>
  </si>
  <si>
    <t>Electrical Appliances - Selling directly to consumers</t>
  </si>
  <si>
    <t>Electrical Appliances-No direct sales to consumers</t>
  </si>
  <si>
    <t>Hardware, Plumbing Supplies, Electrical Apparatus</t>
  </si>
  <si>
    <t>Heating, Air Conditioning, Refrigeration Equipment</t>
  </si>
  <si>
    <t>Radio, Television, Audio, Video Equipment, Electronic Games</t>
  </si>
  <si>
    <t>Machinery, Industrial - Wholesale Distributors</t>
  </si>
  <si>
    <t>Machinery N.O.C. - Wholesale Distributors</t>
  </si>
  <si>
    <t>Marine Supplies - Wholesale Distributors</t>
  </si>
  <si>
    <t>Aircraft Supplies - Wholesale Distributors</t>
  </si>
  <si>
    <t>Machinery, Industrial - Manufacturers' Agents (Sample Stock only)</t>
  </si>
  <si>
    <t>Machinery N.O.C. - Manufacturers' Agents (Sample Stock only)</t>
  </si>
  <si>
    <t>Marine Supplies - Manufacturers' Agents (Sample Stock only)</t>
  </si>
  <si>
    <t>Aircraft Supplies - Manufacturers' Agents (Sample Stock only)</t>
  </si>
  <si>
    <t>Fuel Oil, Gasoline</t>
  </si>
  <si>
    <t>LPG, Gases</t>
  </si>
  <si>
    <t>Asphalt, Greases</t>
  </si>
  <si>
    <t>Tank Farms</t>
  </si>
  <si>
    <t>Automobile Dismantling including Salvage</t>
  </si>
  <si>
    <t>Rag, Paper Stock for Recycling</t>
  </si>
  <si>
    <t>Metal Scrap</t>
  </si>
  <si>
    <t>Second Hand Material Yards excluding Tires</t>
  </si>
  <si>
    <t>Tire Salvage and Storage</t>
  </si>
  <si>
    <t>Liquor, Beer, Wine</t>
  </si>
  <si>
    <t>Paper, Paper Products</t>
  </si>
  <si>
    <t>Furniture, Antiques</t>
  </si>
  <si>
    <t>Pictures, Paintings, Bric-A-Brac, Artificial Flowers</t>
  </si>
  <si>
    <t>Floor Coverings - Rugs, Carpets</t>
  </si>
  <si>
    <t>Floor Coverings - Other than Rugs, Carpets</t>
  </si>
  <si>
    <t>Draperies, Window Goods</t>
  </si>
  <si>
    <t>Lumber Yards Only</t>
  </si>
  <si>
    <t>Building Supplies - Not Lumber Only</t>
  </si>
  <si>
    <t>Light Farm, Lawn, Garden Supplies</t>
  </si>
  <si>
    <t>Costume, Novelty, Imitation Jewellery</t>
  </si>
  <si>
    <t>Clocks, Watches, Precious Stones, Silverware</t>
  </si>
  <si>
    <t>Newspapers, Periodicals, Books</t>
  </si>
  <si>
    <t>Miscellaneous N.O.C.</t>
  </si>
  <si>
    <t>Fireworks, Matches, Resin, Vegetable and Mineral Oils, Celluloid, Plastic, Wax Products, Janitorial Supplies</t>
  </si>
  <si>
    <t>Dental, Hospital, Surgical, Drafting, Engineering, Scientific Equipment</t>
  </si>
  <si>
    <t>Hobby Supplies</t>
  </si>
  <si>
    <t xml:space="preserve">Leather </t>
  </si>
  <si>
    <t>Musical Instruments</t>
  </si>
  <si>
    <t>Religious Goods</t>
  </si>
  <si>
    <t xml:space="preserve">Film  </t>
  </si>
  <si>
    <t>Prosthetic Devices, Hearing Aids, Eye Glasses</t>
  </si>
  <si>
    <t>Cameras, Optical Goods - excluding eyewear</t>
  </si>
  <si>
    <t>Optical Goods</t>
  </si>
  <si>
    <t>Sporting Goods</t>
  </si>
  <si>
    <t>China, Glass Products, Earthenware</t>
  </si>
  <si>
    <t>Marble, Decorative Stone, Monuments, Clay</t>
  </si>
  <si>
    <t>Precious Metals</t>
  </si>
  <si>
    <t>Metal N.O.C.</t>
  </si>
  <si>
    <t>Equipment for Bars, Hotels, Restaurants, Offices or Stores</t>
  </si>
  <si>
    <t>Barber and Beauty Supply</t>
  </si>
  <si>
    <t>Computer Systems - Large or Mainframe including Tape Drives etc.</t>
  </si>
  <si>
    <t>Computers, Other; Office Machines</t>
  </si>
  <si>
    <t>Solid Fuel, Ice</t>
  </si>
  <si>
    <t>Hardware - No work off premises - No Firearms, Ammunition, Explosives Carried</t>
  </si>
  <si>
    <t>Hardware - No work off premises - Firearms, Ammunition, Explosives Carried</t>
  </si>
  <si>
    <t>Hardware Installation/Repairs away from premises</t>
  </si>
  <si>
    <t>Paint and Wallpaper - No work off premises</t>
  </si>
  <si>
    <t>Automobile Parts and Accessories; Sound Equipment, including Installation</t>
  </si>
  <si>
    <t>Mobile Homes, Prefabricated Housing</t>
  </si>
  <si>
    <t>Building Materials, Home Improvement Centres</t>
  </si>
  <si>
    <t>Plumbing, Heating, Air Conditioning - No work off premises</t>
  </si>
  <si>
    <t>China, Crockery, Glassware</t>
  </si>
  <si>
    <t>Mercantile - Multiple Tenants (Owner's Risk Only)</t>
  </si>
  <si>
    <t>Condominium - Mercantile - Multiple Tenants</t>
  </si>
  <si>
    <t>Enclosed Shopping Malls</t>
  </si>
  <si>
    <t>Public Markets (Open Air)</t>
  </si>
  <si>
    <t>Furniture, Heavy Appliances, Lamps, Lighting Fixtures, Second Hand Furniture (1000 m2 or more)</t>
  </si>
  <si>
    <t>Clothing including Footwear (1000 m2 or more)</t>
  </si>
  <si>
    <t>Carpet, Floor Coverings, Draperies (1000 m2 or more)</t>
  </si>
  <si>
    <t>Stores - Large Open Area N.O.C. (1000 m2 or more) Other</t>
  </si>
  <si>
    <t>Department Stores excluding Jewellery, Furs</t>
  </si>
  <si>
    <t>Department Stores including Jewellery, Furs, firearms</t>
  </si>
  <si>
    <t>Vending Machine Operators - Not Food, Beverage</t>
  </si>
  <si>
    <t>Vending Machine Operators - Food, Beverage</t>
  </si>
  <si>
    <t>Door to Door Sales, Services</t>
  </si>
  <si>
    <t>Mail Order Houses, Direct Selling Organizations</t>
  </si>
  <si>
    <t>Supermarkets - (1000 m2 or more)</t>
  </si>
  <si>
    <t>Bakeries</t>
  </si>
  <si>
    <t>Dairy Products (Ice Cream Bars, see Hospitality Services Codes)</t>
  </si>
  <si>
    <t>Confectioners</t>
  </si>
  <si>
    <t>Frozen Foods</t>
  </si>
  <si>
    <t>Food Stores - Other</t>
  </si>
  <si>
    <t>Automobile Dealer</t>
  </si>
  <si>
    <t>Automobile Used Cars Sales Only</t>
  </si>
  <si>
    <t>Automobile Repair Garage, not Self Serve</t>
  </si>
  <si>
    <t>Motorcycles Sales, Service</t>
  </si>
  <si>
    <t>Farm Implements and Machinery</t>
  </si>
  <si>
    <t>Trailer, Camper Unit Sales, Service</t>
  </si>
  <si>
    <t>Gas Bar, not Self Serve or Service Station</t>
  </si>
  <si>
    <t>Service Station</t>
  </si>
  <si>
    <t>Automobile Specialty Shops not Audio (5255), (one of mufflers, transmissions, radiators, etc.)</t>
  </si>
  <si>
    <t>Car Wash</t>
  </si>
  <si>
    <t>Gas Bar - Self Serve</t>
  </si>
  <si>
    <t>Car Wash - Self Serve</t>
  </si>
  <si>
    <t>Automobile Repair Garage - Self Serve</t>
  </si>
  <si>
    <t>Automobile Body, Paint Shops</t>
  </si>
  <si>
    <t>Tire Recapping, Retreading</t>
  </si>
  <si>
    <t>Marine Supplies - Ship Chandlers</t>
  </si>
  <si>
    <t>Aircraft Supplies</t>
  </si>
  <si>
    <t>Furriers</t>
  </si>
  <si>
    <t>Accessories (Belts, Hosiery, Scarves, etc.)</t>
  </si>
  <si>
    <t>Family Clothing</t>
  </si>
  <si>
    <t>Women's Wear not 5691. 5692, 5680</t>
  </si>
  <si>
    <t>Men's Wear</t>
  </si>
  <si>
    <t xml:space="preserve"> Art Galleries, Pictures, Prints, including Conservators, Framing (Store Only)</t>
  </si>
  <si>
    <t>Antiques, Bric-A-Brac, (Store Only)</t>
  </si>
  <si>
    <t>Carpet, Other Floor Coverings, Draperies, Other Window Goods, Linen (Store Only)</t>
  </si>
  <si>
    <t>Furniture, Heavy Appliances, Lamps, Lighting Fixtures, Second Hand Furniture (Store Only)</t>
  </si>
  <si>
    <t>Electronic Equipment (Computers, Home Entertainment, Office Machines) (Store Only)</t>
  </si>
  <si>
    <t>Audio, Video Sales, Rentals (Discs, Records and Tapes) (Store Only)</t>
  </si>
  <si>
    <t>Carpet, Other Floor Coverings, Draperies, Other Window Goods, Linen - With Installation/Repair away from premises</t>
  </si>
  <si>
    <t>Furniture, Heavy Appliances, Lamps, Lighting Fixtures, Second Hand Furniture - With Installation/Repair away from premises</t>
  </si>
  <si>
    <t>Electronic Equipment (Computers, Home Entertainment, Office Machines) - With Installation/Repair away from premises</t>
  </si>
  <si>
    <t>Restaurants - Not Licensed</t>
  </si>
  <si>
    <t>Restaurants - Licensed, No Live Entertainment, No Dancing</t>
  </si>
  <si>
    <t>Refreshment Stands, Drive-in Restaurants</t>
  </si>
  <si>
    <t>Take Out Meal Service</t>
  </si>
  <si>
    <t>Licensed Establishment not in Hotel, Inn, Resort - No Live Entertainment, No Dancing (Beer Parlours/Gardens)</t>
  </si>
  <si>
    <t>Licensed Establishment not in Hotel, Inn, Resort - No Live Entertainment, No Dancing (Taverns)</t>
  </si>
  <si>
    <t>Licensed Establishment not in Hotel, Inn, Resort - Live Entertainment, Dancing (Night Clubs)</t>
  </si>
  <si>
    <t>Drug Stores - Prescription Service Only</t>
  </si>
  <si>
    <t>Drug Stores - Prescription, Cosmetics, Tobacco etc.</t>
  </si>
  <si>
    <t>Beer, Wine, Liquor Stores</t>
  </si>
  <si>
    <t>Sporting Goods - Firearms, Ammunition Carried</t>
  </si>
  <si>
    <t>Sporting Goods - No Firearms, Ammunition Carried</t>
  </si>
  <si>
    <t>Sporting Goods - Specialty Service (Diving Equipment, Sky Diving Service etc.)</t>
  </si>
  <si>
    <t>Bicycles including Repair</t>
  </si>
  <si>
    <t>Pawnbrokers</t>
  </si>
  <si>
    <t xml:space="preserve"> Lawn and Garden Centres and light farm supplies</t>
  </si>
  <si>
    <t>Jewellery</t>
  </si>
  <si>
    <t>Fuel Dealers - Solid Fuel</t>
  </si>
  <si>
    <t>Fuel Dealers - Liquid Fuel</t>
  </si>
  <si>
    <t>Ice Dealers</t>
  </si>
  <si>
    <t>Fuel Dealers - Gases and Chemicals N.O.C.</t>
  </si>
  <si>
    <t>Stores, Other - N.O.C.</t>
  </si>
  <si>
    <t>Tobacconist, Variety Store, Convenience Store</t>
  </si>
  <si>
    <t>Shoe Repair, Shoe Shine, Hat Cleaning</t>
  </si>
  <si>
    <t>Books (not rare books) and stationary</t>
  </si>
  <si>
    <t>Florist, Hairgoods</t>
  </si>
  <si>
    <t>Pet Shops</t>
  </si>
  <si>
    <t>Country General Stores (Population under 3000)</t>
  </si>
  <si>
    <t>Dry Goods, Fabrics etc.</t>
  </si>
  <si>
    <t>Flea Market</t>
  </si>
  <si>
    <t>Handicraft, hobby (no toys)</t>
  </si>
  <si>
    <t>Instruments (Drafting, scienitific)</t>
  </si>
  <si>
    <t>Leather , luggage</t>
  </si>
  <si>
    <t>Cameras, Photography Supplies</t>
  </si>
  <si>
    <t>Limited Price Range Stores (Five and Dime)</t>
  </si>
  <si>
    <t>Coin, Stamp, Card Dealers; Rare Book Stores</t>
  </si>
  <si>
    <t>Banks, Deposit Accepting Trust Company</t>
  </si>
  <si>
    <t>Trust Companies Not Accepting Deposits</t>
  </si>
  <si>
    <t>Foreign Banks - Not Conducting General Banking Business</t>
  </si>
  <si>
    <t>Credit Unions, Caisses Populaires, Savings and Loan</t>
  </si>
  <si>
    <t>Finance Companies, Miscellaneous Personal Credit Institutions</t>
  </si>
  <si>
    <t>Investment Institutions</t>
  </si>
  <si>
    <t>Stock, Security Brokers, Dealers</t>
  </si>
  <si>
    <t>Commodity Brokers, Dealers</t>
  </si>
  <si>
    <t>Stock, Commodity Exchanges</t>
  </si>
  <si>
    <t>Currency Brokers, Exchanges</t>
  </si>
  <si>
    <t>Insurance Companies</t>
  </si>
  <si>
    <t>Pension, Welfare, Retirement Benefit Funds - Labour Unions</t>
  </si>
  <si>
    <t>Pension, Welfare, Retirement Benefit Funds - Not Labour Unions</t>
  </si>
  <si>
    <t>Acocuntants, Auditors</t>
  </si>
  <si>
    <t>Insurance Agents, Brokers, Adjusters</t>
  </si>
  <si>
    <t>Mortgage Brokers, Loan Correspondents</t>
  </si>
  <si>
    <t>Management Consultants</t>
  </si>
  <si>
    <t>Financial Planning</t>
  </si>
  <si>
    <t>Office Buildings - High Rise (over 10 storeys) Occupied by Tenants</t>
  </si>
  <si>
    <t>Office Buildings - High Rise (over 10 storeys) Leased to One Party</t>
  </si>
  <si>
    <t>Office Buildings - (10 storeys or less) - Occupied by Tenants</t>
  </si>
  <si>
    <t>Office Buildings - (10 storeys or less) - Leased to One Party</t>
  </si>
  <si>
    <t>Housing Developments - Large Area (Subdivisions) - No developing</t>
  </si>
  <si>
    <t>Townhouses - No Mercantile Occupancy</t>
  </si>
  <si>
    <t>Apartment Houses (10 storeys or less) - No Mercantile Occupancy</t>
  </si>
  <si>
    <t>Townhouses - Mercantile Occupancy</t>
  </si>
  <si>
    <t>Apartment Houses (10 storeys or less) - Mercantile Occupancy</t>
  </si>
  <si>
    <t>Tenement Apartments, Row Housing</t>
  </si>
  <si>
    <t>Real Estate Agents, Managers (Excluding Property Managers)</t>
  </si>
  <si>
    <t>Office Tenants N.O.C.</t>
  </si>
  <si>
    <t>Apartment Houses - High Rise (over 10 storeys) - No Mercantile Occupancy</t>
  </si>
  <si>
    <t>Apartment Houses - High Rise (over 10 storeys) - Mercantile Occupancy</t>
  </si>
  <si>
    <t>Building Owner's Risk Only - Residential One or Two Families</t>
  </si>
  <si>
    <t>Building Owner's Risk Only - Retail</t>
  </si>
  <si>
    <t>Building Owner's Risk Only - Other including Manufacturing/Warehouses</t>
  </si>
  <si>
    <t>Condominium High Rise (over 10 storeys) - No Mercantile Occupancy</t>
  </si>
  <si>
    <t>Condominium High Rise (over 10 storeys) - Mercantile Occupancy</t>
  </si>
  <si>
    <t>Condominium (10 storeys or less) - No Mercantile Occupancy</t>
  </si>
  <si>
    <t>Condominium (10 storeys or less) - Mercantile Occupancy</t>
  </si>
  <si>
    <t>Condominium (Townhouses)</t>
  </si>
  <si>
    <t>Hotels - Year Round, Licensed</t>
  </si>
  <si>
    <t>Hotels - Year Round, Not Licensed</t>
  </si>
  <si>
    <t>Hotels - Seasonal, Licensed</t>
  </si>
  <si>
    <t>Hotels - Seasonal, Not Licensed</t>
  </si>
  <si>
    <t>Boarding, Rooming Houses including Fraternity or Sorority Houses</t>
  </si>
  <si>
    <t>Mission, Settlement Houses, Family Shelters, Halfway Houses</t>
  </si>
  <si>
    <t>Summer Camps, Dude Ranches, Resort Property</t>
  </si>
  <si>
    <t>Campgrounds including Trailer Parks</t>
  </si>
  <si>
    <t>Resort Property, Other</t>
  </si>
  <si>
    <t>Mobile Home Parks - Not Transient or Recreational</t>
  </si>
  <si>
    <t>Motels, Tourist Courts - Year Round - Restaurant, Snack Bar - Licensed</t>
  </si>
  <si>
    <t>Motels, Tourist Courts - Year Round - Restaurant, Snack Bar - Not Licensed</t>
  </si>
  <si>
    <t>Motels, Tourist Courts - Year Round - No Food or Alcohol Served</t>
  </si>
  <si>
    <t>Bed and Breakfast Tourist Homes</t>
  </si>
  <si>
    <t>Motels, Tourist Courts - Seasonal - Restaurant, Snack Bar - Licensed</t>
  </si>
  <si>
    <t>Motels, Tourist Courts - Seasonal - Restaurant, Snack Bar - Not Licensed</t>
  </si>
  <si>
    <t>Motels, Tourist Courts - Seasonal - No Food or Alcohol Served</t>
  </si>
  <si>
    <t>Laundromats, Drycleaning - Self Service</t>
  </si>
  <si>
    <t>Laundries, Drycleaners, Dyers - Other than Self Service</t>
  </si>
  <si>
    <t>Laundries, Drycleaners Receiving Depot Only</t>
  </si>
  <si>
    <t>Laundry and Drycleaning Stores</t>
  </si>
  <si>
    <t>Cemeteries, Mausoleums</t>
  </si>
  <si>
    <t>Crematory Operations</t>
  </si>
  <si>
    <t>Cemetery Pre-Paid Funds</t>
  </si>
  <si>
    <t>Funeral Homes, Morticians, Undertakers</t>
  </si>
  <si>
    <t>Photographers' Studios</t>
  </si>
  <si>
    <t>Photography and Videotaping - Other excluding Aerial, Motion Picture</t>
  </si>
  <si>
    <t>Photography - Aerial</t>
  </si>
  <si>
    <t>Photography - Developing, Printing Services</t>
  </si>
  <si>
    <t>Barber Shops, Men's Hairstyling</t>
  </si>
  <si>
    <t>Beauty Parlours</t>
  </si>
  <si>
    <t>Tanning Salons</t>
  </si>
  <si>
    <t>Tour Operators</t>
  </si>
  <si>
    <t>Travel Agencies</t>
  </si>
  <si>
    <t>Driving Schools</t>
  </si>
  <si>
    <t>Restaurants - Cooker - Hood Cleaning</t>
  </si>
  <si>
    <t>Advertising Sign - Company Operations</t>
  </si>
  <si>
    <t>Advertising Agencies</t>
  </si>
  <si>
    <t>Public Relations, Graphic Design Firms</t>
  </si>
  <si>
    <t>Collections Agencies</t>
  </si>
  <si>
    <t>Chimney Sweep</t>
  </si>
  <si>
    <t>Fumigation, Exterminating Operations Inside Building or Vessel</t>
  </si>
  <si>
    <t xml:space="preserve">Window Cleaning </t>
  </si>
  <si>
    <t>Building Management</t>
  </si>
  <si>
    <t>Janitorial Service</t>
  </si>
  <si>
    <t>Furniture, Drapery, Rug Cleaning on Customer's Premises</t>
  </si>
  <si>
    <t>Copying/Duplicating Service (Quick Printers)</t>
  </si>
  <si>
    <t>Auctioneer's Operations</t>
  </si>
  <si>
    <t>Catering, Commissariat Work</t>
  </si>
  <si>
    <t>Detective, Patrol Agency, Security Service</t>
  </si>
  <si>
    <t>Towel, Linen, Diaper, Uniform Supply</t>
  </si>
  <si>
    <t>Employment Agencies, Modelling Schools</t>
  </si>
  <si>
    <t>Mailing/Addressing Companies</t>
  </si>
  <si>
    <t>Data Processing Centres</t>
  </si>
  <si>
    <t>Business Services N.O.C.</t>
  </si>
  <si>
    <t>Piano Tuning</t>
  </si>
  <si>
    <t>Modelling Schools</t>
  </si>
  <si>
    <t>Ski/Snowboard Rentals</t>
  </si>
  <si>
    <t>Rental Stores - Equipment Rented to Others</t>
  </si>
  <si>
    <t>Equipment Storage</t>
  </si>
  <si>
    <t>Rental Stores - Party Goods</t>
  </si>
  <si>
    <t>Automobile Parking Lots</t>
  </si>
  <si>
    <t>Automobile Storage Garage</t>
  </si>
  <si>
    <t>Car, Truck Rental</t>
  </si>
  <si>
    <t>Automobile Appraisal Services</t>
  </si>
  <si>
    <t>Repair Shops - Home Entertainment (Radio, Television etc.)</t>
  </si>
  <si>
    <t>Repair Shops - Other Electric Appliances</t>
  </si>
  <si>
    <t>Repair Shops - Other than Home Entertainment and other Electrical Appliances</t>
  </si>
  <si>
    <t>Re-Upholsterers, Furniture Refinishers</t>
  </si>
  <si>
    <t>Motion Picture, Videotaping - Production including Commercials</t>
  </si>
  <si>
    <t>Motion Picture - Distribution including Exchanges</t>
  </si>
  <si>
    <t>Motion Picture Theatres excluding Drive-Ins</t>
  </si>
  <si>
    <t>Theatre, Auditorium, Concert Hall, Plays, Live Theatricals</t>
  </si>
  <si>
    <t>Drive-In Theatres</t>
  </si>
  <si>
    <t>Billiard, Pool Halls</t>
  </si>
  <si>
    <t>Bowling Alleys</t>
  </si>
  <si>
    <t>Coin Operated Amusement Device, Amusement Arcade (No Riding Machines), Video Game Arcades</t>
  </si>
  <si>
    <t>Casinos (Licensed)</t>
  </si>
  <si>
    <t>Casinos (Not Licensed)</t>
  </si>
  <si>
    <t>Commercial Museums (Waxworks, etc.)</t>
  </si>
  <si>
    <t xml:space="preserve">Sports Playing Fields - no stands for spectators </t>
  </si>
  <si>
    <t>Motor Vehicle Racing</t>
  </si>
  <si>
    <t>Athletic Events, Teams or Leagues - Amateur</t>
  </si>
  <si>
    <t>Athletic Events, Teams or Leagues - Professional</t>
  </si>
  <si>
    <t>Horse Show, Rodeo</t>
  </si>
  <si>
    <t>Professional Entertainers</t>
  </si>
  <si>
    <t>Concert or Similar Entertainment</t>
  </si>
  <si>
    <t>Exhibition, Fair Grounds</t>
  </si>
  <si>
    <t>Special Events, Other (Parades, etc.)</t>
  </si>
  <si>
    <t>Tennis, Badminton, Racquet, Squash, Polo Clubs</t>
  </si>
  <si>
    <t>Golf and Country Clubs (Pro Shops codes as 5932)</t>
  </si>
  <si>
    <t>Curling Clubs (Commercial)</t>
  </si>
  <si>
    <t>Gun, Rifle Clubs</t>
  </si>
  <si>
    <t>Yachting Clubs</t>
  </si>
  <si>
    <t>Fish, Game, Hunting Clubs</t>
  </si>
  <si>
    <t>Health, Exercise Clubs</t>
  </si>
  <si>
    <t>Recreational Clubs N.O.C.</t>
  </si>
  <si>
    <t>Bingo Halls</t>
  </si>
  <si>
    <t>Clubs - Private Not Recreational</t>
  </si>
  <si>
    <t>Veteran Halls</t>
  </si>
  <si>
    <t>Race Track Operations - Not Motor Vehicles</t>
  </si>
  <si>
    <t>Ticket Agencies (Sport and Entertainment Events)</t>
  </si>
  <si>
    <t>Commercial Zoos (Safari Parks, Aquaria, etc.)</t>
  </si>
  <si>
    <t>Amusement Parks, Playgrounds - Not Amusement Devices</t>
  </si>
  <si>
    <t>Amusement Devices - Not Coin Operated</t>
  </si>
  <si>
    <t>Arenas - Hockey, Roller Skating, N.O.C.</t>
  </si>
  <si>
    <t>Municipal Halls</t>
  </si>
  <si>
    <t>Dance Halls</t>
  </si>
  <si>
    <t>Fireworks Display</t>
  </si>
  <si>
    <t>Riding Academy - With or Without Riding Rings</t>
  </si>
  <si>
    <t>Outdoor Rinks</t>
  </si>
  <si>
    <t>Circus, Carnival, Travelling Amusement Companies</t>
  </si>
  <si>
    <t>Municipal Golf Courses (Pro Shops code as 5932)</t>
  </si>
  <si>
    <t>Golf Driving Ranges</t>
  </si>
  <si>
    <t>Bathing Beaches</t>
  </si>
  <si>
    <t>Saunas, Baths</t>
  </si>
  <si>
    <t>Ski Resorts (Ski Shops code as 5932)</t>
  </si>
  <si>
    <t>Ski, Sightseeing - Chair Lifts, Gondolas</t>
  </si>
  <si>
    <t>Ski, Sightseeing - All Other Tows and Lifts)</t>
  </si>
  <si>
    <t>Recreation N.O.C.</t>
  </si>
  <si>
    <t>Gynecologists, Obstetricians</t>
  </si>
  <si>
    <t>Physicians, Surgeons Not Specialist in Surgery</t>
  </si>
  <si>
    <t>Surgeon Specialists</t>
  </si>
  <si>
    <t>Psychiatrists</t>
  </si>
  <si>
    <t>Oculists, Opthamologists</t>
  </si>
  <si>
    <t>Radiation Specialists including X-Ray, Infra-Red, Diathermy or Quartz Lamp</t>
  </si>
  <si>
    <t>Dentists, Podiatrists</t>
  </si>
  <si>
    <t>Registered Nurses</t>
  </si>
  <si>
    <t>Physiotherapists</t>
  </si>
  <si>
    <t>Anaesthetists</t>
  </si>
  <si>
    <t>Chiropractors</t>
  </si>
  <si>
    <t>Optometrists</t>
  </si>
  <si>
    <t>Opticians</t>
  </si>
  <si>
    <t>Osteopaths</t>
  </si>
  <si>
    <t>Chiropodists, Podiatrist</t>
  </si>
  <si>
    <t>Dermatologists</t>
  </si>
  <si>
    <t>Hearing Aid Services, Audiologists</t>
  </si>
  <si>
    <t>Vibrator Machine Operators</t>
  </si>
  <si>
    <t>Massage Therapists</t>
  </si>
  <si>
    <t xml:space="preserve">Hospitals </t>
  </si>
  <si>
    <t>Clinics (Not Doctors' or Dentists' Offices) N.O.C.</t>
  </si>
  <si>
    <t>X-Ray, Infra-Red, Diathermy or Quartz Lamp Machines</t>
  </si>
  <si>
    <t>Radioisotope Exposure</t>
  </si>
  <si>
    <t>Residences - Nurses and/or Hospital Staff</t>
  </si>
  <si>
    <t>Abortion Facilities (Outpatient)</t>
  </si>
  <si>
    <t>Convalescent Homes, Nursing Homes, Rest Homes</t>
  </si>
  <si>
    <t>Senior Citizen Care Facilities</t>
  </si>
  <si>
    <t>Mental Health Care Facilities</t>
  </si>
  <si>
    <t>Sanitaria</t>
  </si>
  <si>
    <t>Rehabilitation Centres</t>
  </si>
  <si>
    <t>Non-Institutional Health/Medical Services N.O.C.</t>
  </si>
  <si>
    <t>Medical Laboratories - Analyzing</t>
  </si>
  <si>
    <t>Medical Laboratories - Research</t>
  </si>
  <si>
    <t>Dental Laboratories, Denturists</t>
  </si>
  <si>
    <t>Health, Disability Associations; Societies (Red Cross, Cancer Society, War Amps, Addiction Work etc.)</t>
  </si>
  <si>
    <t>Social, Consulting and Counselling Services</t>
  </si>
  <si>
    <t>Lawyers, Barristers, Solicitors</t>
  </si>
  <si>
    <t>Notaries (Quebec), Public Notaries</t>
  </si>
  <si>
    <t>Libraries</t>
  </si>
  <si>
    <t xml:space="preserve"> Art Galleries, Public</t>
  </si>
  <si>
    <t xml:space="preserve">Museums, Public </t>
  </si>
  <si>
    <t>Zoos</t>
  </si>
  <si>
    <t>Day Care, Nursery, Kindergarten</t>
  </si>
  <si>
    <t>Public Primary Schools</t>
  </si>
  <si>
    <t>Public Secondary Schools including Junior High</t>
  </si>
  <si>
    <t>Private Schools - Primary, Secondary Levels</t>
  </si>
  <si>
    <t>Universities, Community Colleges, CEGEPs and Polytechnical Schools</t>
  </si>
  <si>
    <t>Music School</t>
  </si>
  <si>
    <t>Dance, Gymnastic, Martial Arts, Music Schools</t>
  </si>
  <si>
    <t>Schools N.O.C., Business Colleges</t>
  </si>
  <si>
    <t>Trade Schools or Vocational Schools</t>
  </si>
  <si>
    <t>Professional and Business Associations</t>
  </si>
  <si>
    <t>Labour Unions</t>
  </si>
  <si>
    <t>Boy Scouts, Girl Guides, Similar Groups</t>
  </si>
  <si>
    <t>Y.M.C.A., Y.W.C.A., Y.M.H.A., Y.W.H.A.</t>
  </si>
  <si>
    <t>Community Centres</t>
  </si>
  <si>
    <t>Civic, Community, Special Interest (Non-Medical) Associations or Groups</t>
  </si>
  <si>
    <t>Service Clubs, Fraternal Orders - Insurance, Benefit Paying</t>
  </si>
  <si>
    <t>Service Clubs, Fraternal Orders - No Insurance, Benefit Paying</t>
  </si>
  <si>
    <t>Snowmobile Club</t>
  </si>
  <si>
    <t>Churches, Synagoques, Temples</t>
  </si>
  <si>
    <t>Convents, Monasteries</t>
  </si>
  <si>
    <t>Fund Raising Activities Operated by Charitable or Religious Bodies</t>
  </si>
  <si>
    <t>Scientific Services, Other, including Non-Medical Laboratories</t>
  </si>
  <si>
    <t>Marine Appraiser</t>
  </si>
  <si>
    <t>Land Surveyor</t>
  </si>
  <si>
    <t>Boiler, Elevator Inspection</t>
  </si>
  <si>
    <t>Geophysical Services including Soil Testing</t>
  </si>
  <si>
    <t>Architects</t>
  </si>
  <si>
    <t>Engineers</t>
  </si>
  <si>
    <t>Mercantile/Manufacturing Inspection for Insurance, Valuation</t>
  </si>
  <si>
    <t>Computer Software Developers</t>
  </si>
  <si>
    <t>Municipal - N.O.C. (Population)</t>
  </si>
  <si>
    <t>Municipal - Police Department</t>
  </si>
  <si>
    <t>Municipal - Fire Department - Paid</t>
  </si>
  <si>
    <t>Municipal - Volunteer</t>
  </si>
  <si>
    <t>Municipal - Parks, Botanical Gardens</t>
  </si>
  <si>
    <t>Municipal - Road Maintenance</t>
  </si>
  <si>
    <t>Municipal - Tax Collectors, Secretary/Treasurers including School Boards</t>
  </si>
  <si>
    <t>Municipal Other Public Officials</t>
  </si>
  <si>
    <t>Municipal - Garage or Equipment Storage</t>
  </si>
  <si>
    <t>Municipal - Administration or Office Building</t>
  </si>
  <si>
    <t>Prisons, Jails, Penal Institutions, Correctional Centres</t>
  </si>
  <si>
    <t>Entrepreneurs Généraux</t>
  </si>
  <si>
    <t>Province :</t>
  </si>
  <si>
    <t>British Columbia</t>
  </si>
  <si>
    <t>Alberta</t>
  </si>
  <si>
    <t>Manitoba</t>
  </si>
  <si>
    <t>Saskatchewan</t>
  </si>
  <si>
    <t>Yukon</t>
  </si>
  <si>
    <t>Nunavut</t>
  </si>
  <si>
    <t>Nova Scotia</t>
  </si>
  <si>
    <t>Newfoundland</t>
  </si>
  <si>
    <t>New Brunswick</t>
  </si>
  <si>
    <t>PEI</t>
  </si>
  <si>
    <t>NWT</t>
  </si>
  <si>
    <t>Saisir la réponse ici:</t>
  </si>
  <si>
    <t>Quel est le nombre d'années d'expérience?</t>
  </si>
  <si>
    <t>Montant de revenus de l'activité?</t>
  </si>
  <si>
    <t>CGL</t>
  </si>
  <si>
    <t>Code IBC principal:</t>
  </si>
  <si>
    <t>Outils entrepreneurs</t>
  </si>
  <si>
    <t>Equipment entrepreneurs</t>
  </si>
  <si>
    <t>CM06 Exclusion vol</t>
  </si>
  <si>
    <t>CM29 Condition bâtiment vacant giclé</t>
  </si>
  <si>
    <t>CM99 Extension de la Garantie Relative a la Permission D'Inoccupation</t>
  </si>
  <si>
    <t>CW171F Engagement formel: Système CO2</t>
  </si>
  <si>
    <t xml:space="preserve">PE15 Pertes conséquentielles </t>
  </si>
  <si>
    <t>PE30F EXTENSION DE GARANTIE – PERMISSION D’ACHEVER LES TRAVAUX DE RÉNOVATION</t>
  </si>
  <si>
    <t>PW3 Engagement formel: Alarme</t>
  </si>
  <si>
    <t>PW5 Engagement formel: Gicleur</t>
  </si>
  <si>
    <t>PX1 Exclusion vandalisme</t>
  </si>
  <si>
    <t xml:space="preserve">FCW158 Limites relatives du toit - Exclusion des dommages </t>
  </si>
  <si>
    <t>CM17Ass. Chantier - Engagements formels</t>
  </si>
  <si>
    <t>CM98 Refoulement des égouts</t>
  </si>
  <si>
    <t>PE10 Tremblement de terre</t>
  </si>
  <si>
    <t>PE8 Refoulement des égouts</t>
  </si>
  <si>
    <t>PE23 Extension de la garantie aux propriétaires de condominiums à usage commercial</t>
  </si>
  <si>
    <t>PX4 Exclusion des actes de vandalisme causé par locataires</t>
  </si>
  <si>
    <t>CM14 Exclusion pollution absolue</t>
  </si>
  <si>
    <t>CM21F Exclusion assurance Wrap-Up</t>
  </si>
  <si>
    <t>CM22 Exclusion dommage par pénétration des eaux</t>
  </si>
  <si>
    <t>CM25 Conditions visant les activités aux États-Unis</t>
  </si>
  <si>
    <t>CM27 Exclusion relative aux expulsions</t>
  </si>
  <si>
    <t>CM28 RF Exclusion  Substances Illégales</t>
  </si>
  <si>
    <t>CM31 Dommage aux véhicules loués</t>
  </si>
  <si>
    <t>CM87 Engagement formel - Installation de membrane chaude</t>
  </si>
  <si>
    <t>CW166F Conditions de déneigement</t>
  </si>
  <si>
    <t>CW175F Avenant pour Hangar</t>
  </si>
  <si>
    <t>CW49F Maintien des droits de recours contre les manufacturiers / fournisseurs</t>
  </si>
  <si>
    <t>DR2-36 Exclusion des boulets de démolition</t>
  </si>
  <si>
    <t>DR2-53 Exclusion de pyrite</t>
  </si>
  <si>
    <t>LX13 Exclusion des risques pour la santé</t>
  </si>
  <si>
    <t>LX17b Exclusion de l'épandage de pesticides ou de désherbants</t>
  </si>
  <si>
    <t>LX29 Exclusion produits &amp; après travaux</t>
  </si>
  <si>
    <t>LX2 Exclusion du préjudice personnel</t>
  </si>
  <si>
    <t>LX5b Exclusion services professionnels</t>
  </si>
  <si>
    <t>LX7b Exclusion des risques liés au déplacement ou à la démolition d'un bâtiment</t>
  </si>
  <si>
    <t>CW195F GARANTIE DU SYSTÈME DE RÉCUPÉRATION DE POUSSIÈRE</t>
  </si>
  <si>
    <t>Critères d’admissibilité contrat Amlin :</t>
  </si>
  <si>
    <t>Amlin Rating</t>
  </si>
  <si>
    <t>Min premium</t>
  </si>
  <si>
    <t>Rate per revenue</t>
  </si>
  <si>
    <t>less than 3 years in business and more than 3 years of experience</t>
  </si>
  <si>
    <t>0- 750 000$</t>
  </si>
  <si>
    <t>750 001$ +</t>
  </si>
  <si>
    <t>Limite</t>
  </si>
  <si>
    <t>min 3</t>
  </si>
  <si>
    <t>Autres couvertures</t>
  </si>
  <si>
    <t>Malfaçon</t>
  </si>
  <si>
    <t>Assurance Erreurs et Omission Entrepreneur </t>
  </si>
  <si>
    <t>Champignons et dérivés fongiques </t>
  </si>
  <si>
    <t>Pollution soudaine et accidentelle </t>
  </si>
  <si>
    <t>Soin garde et contrôle</t>
  </si>
  <si>
    <t>Défaut de performance </t>
  </si>
  <si>
    <t>Taux contrat</t>
  </si>
  <si>
    <t>Revenus</t>
  </si>
  <si>
    <t>sous-total</t>
  </si>
  <si>
    <t>Extension de garanties</t>
  </si>
  <si>
    <t>Prime offerte</t>
  </si>
  <si>
    <t>Limite max</t>
  </si>
  <si>
    <t>inclus</t>
  </si>
  <si>
    <t>Y</t>
  </si>
  <si>
    <t>N</t>
  </si>
  <si>
    <t>Welders</t>
  </si>
  <si>
    <t>Plumbers</t>
  </si>
  <si>
    <t>Prime max</t>
  </si>
  <si>
    <t>Prime contractuelle min</t>
  </si>
  <si>
    <t>more than 3 years in business</t>
  </si>
  <si>
    <t>Si règle non respectée</t>
  </si>
  <si>
    <t>A. Section Biens</t>
  </si>
  <si>
    <t>C. Autres</t>
  </si>
  <si>
    <t>Règle</t>
  </si>
  <si>
    <t>Limites</t>
  </si>
  <si>
    <t>checkbox</t>
  </si>
  <si>
    <t>Categorie</t>
  </si>
  <si>
    <t>&lt;500,000$</t>
  </si>
  <si>
    <t>&gt;500,001$+</t>
  </si>
  <si>
    <t>Frais Juridiques Option "Complète"</t>
  </si>
  <si>
    <t>Assurance location de matériel</t>
  </si>
  <si>
    <t>Limite CGL demandée</t>
  </si>
  <si>
    <t>Cat. Revenus</t>
  </si>
  <si>
    <t>Years in business</t>
  </si>
  <si>
    <t xml:space="preserve">&lt;3 </t>
  </si>
  <si>
    <t>Règle Revenus</t>
  </si>
  <si>
    <t>Amlin referals</t>
  </si>
  <si>
    <t>Refer / Exclure</t>
  </si>
  <si>
    <t>OK</t>
  </si>
  <si>
    <t>Catégorie</t>
  </si>
  <si>
    <t>Conditions soumission</t>
  </si>
  <si>
    <t>Franchise Dommages par l'eau</t>
  </si>
  <si>
    <t>Franchise Dommages par la chaleur</t>
  </si>
  <si>
    <t>Min Franchise</t>
  </si>
  <si>
    <t>min</t>
  </si>
  <si>
    <t>Conditions de soumission section HVAC</t>
  </si>
  <si>
    <t>Total Section Responsabilité civile</t>
  </si>
  <si>
    <t>Total Section Biens</t>
  </si>
  <si>
    <t>Total Section Autres</t>
  </si>
  <si>
    <t>Check acceptabilité</t>
  </si>
  <si>
    <t>Si non</t>
  </si>
  <si>
    <t>crédit max autorisé</t>
  </si>
  <si>
    <t>sous-total section</t>
  </si>
  <si>
    <t>Autres couvertures  en civile</t>
  </si>
  <si>
    <t>Franchise min</t>
  </si>
  <si>
    <t>Franchise offerte</t>
  </si>
  <si>
    <t>Franchise appliquée</t>
  </si>
  <si>
    <t>Responsabilité civile produits et travaux terminés</t>
  </si>
  <si>
    <t>Montant de garantie pour frais médicaux</t>
  </si>
  <si>
    <t>Montant de garantie pour responsabilité locative (par lieu assuré)</t>
  </si>
  <si>
    <t>Assurance de la responsabilité civile automobile (non-propriétaire)</t>
  </si>
  <si>
    <t>*</t>
  </si>
  <si>
    <t>Nb de pièces</t>
  </si>
  <si>
    <t>Add on</t>
  </si>
  <si>
    <t>Buy up options – Refer &gt;$250K limit</t>
  </si>
  <si>
    <t>Deductible</t>
  </si>
  <si>
    <t>Up to 100,000</t>
  </si>
  <si>
    <t>100,101 – 250,000</t>
  </si>
  <si>
    <t>250,001 – 500,000</t>
  </si>
  <si>
    <t>500,001 – 1,000,000</t>
  </si>
  <si>
    <t>Pronvice</t>
  </si>
  <si>
    <t>CYBER</t>
  </si>
  <si>
    <t>PA12</t>
  </si>
  <si>
    <t>Ass location équip entrepreneur (valeur min $5000)</t>
  </si>
  <si>
    <t>*Assurance Erreurs et Omission Entrepreneur (Date Retro )</t>
  </si>
  <si>
    <t>Activité de l'assuré:</t>
  </si>
  <si>
    <t>Afficher les primes par couverture à la soumission</t>
  </si>
  <si>
    <t>Prime appliquée</t>
  </si>
  <si>
    <t>CGL Activités HVAC : ouvrir ci-dessous:</t>
  </si>
  <si>
    <t>•</t>
  </si>
  <si>
    <t>Avenants et exclusions</t>
  </si>
  <si>
    <t>Commentaires:</t>
  </si>
  <si>
    <t>Ok</t>
  </si>
  <si>
    <t>Condition</t>
  </si>
  <si>
    <t>Résultat</t>
  </si>
  <si>
    <t>Condition check</t>
  </si>
  <si>
    <t>Score</t>
  </si>
  <si>
    <t>Non complétée</t>
  </si>
  <si>
    <t>Erreur</t>
  </si>
  <si>
    <t>Prime totale</t>
  </si>
  <si>
    <t>Votre soumission</t>
  </si>
  <si>
    <t xml:space="preserve">Résponsabilité civile générale Limite $ 2,000,000 </t>
  </si>
  <si>
    <t xml:space="preserve">Résponsabilité civile générale Limite $ 1,000,000 </t>
  </si>
  <si>
    <t xml:space="preserve">Résponsabilité civile générale Limite $ 5,000,000 </t>
  </si>
  <si>
    <t xml:space="preserve">Résponsabilité civile générale Limite $ 3,000,000 </t>
  </si>
  <si>
    <t xml:space="preserve">Résponsabilité civile générale Limite $ 4,000,000 </t>
  </si>
  <si>
    <t>Package Évolutif</t>
  </si>
  <si>
    <t>client :</t>
  </si>
  <si>
    <t>Affichage onglet soumission</t>
  </si>
  <si>
    <t>+1</t>
  </si>
  <si>
    <t>Rank</t>
  </si>
  <si>
    <t>Packages</t>
  </si>
  <si>
    <t>Loss ratio %</t>
  </si>
  <si>
    <t xml:space="preserve">Condition5 ans sans réclam </t>
  </si>
  <si>
    <t>Prime offerte (max crédit 0%)</t>
  </si>
  <si>
    <t>CGL Activités</t>
  </si>
  <si>
    <t>Vérif. admissibilité revenus</t>
  </si>
  <si>
    <t>Vérif. admissibilité Activité</t>
  </si>
  <si>
    <t xml:space="preserve">Responsabilité civile contractuelle </t>
  </si>
  <si>
    <t>Taux quotté</t>
  </si>
  <si>
    <t>Commentaires au dossier:</t>
  </si>
  <si>
    <t>Refus</t>
  </si>
  <si>
    <t>Que est le % d'exposition aux USA?</t>
  </si>
  <si>
    <t>10% Max</t>
  </si>
  <si>
    <t>Revenues *</t>
  </si>
  <si>
    <t>Plombiers min rate pqr 1000$ rev</t>
  </si>
  <si>
    <t>Min prime calculée par le taux</t>
  </si>
  <si>
    <t>Min limite prime par CGL</t>
  </si>
  <si>
    <t>tx rev</t>
  </si>
  <si>
    <t xml:space="preserve">Taux </t>
  </si>
  <si>
    <t>Plomberie, y compris jacuzzi (1)</t>
  </si>
  <si>
    <t>Appareils de chauffage et climatisation - Fuel ou gaz (2)</t>
  </si>
  <si>
    <t>Extincteurs automatiques (3)</t>
  </si>
  <si>
    <t>sous-total HVAC ( 1-3)</t>
  </si>
  <si>
    <t>soumission</t>
  </si>
  <si>
    <t>contract</t>
  </si>
  <si>
    <t>Contract policy min</t>
  </si>
  <si>
    <t>taux calculé</t>
  </si>
  <si>
    <t>Conditions spécifiques à la présente soumission:</t>
  </si>
  <si>
    <t>Contenu</t>
  </si>
  <si>
    <t>Northbridge</t>
  </si>
  <si>
    <t>Intact</t>
  </si>
  <si>
    <t>Frame</t>
  </si>
  <si>
    <t>Protection</t>
  </si>
  <si>
    <t>Construction</t>
  </si>
  <si>
    <t>Town Grade</t>
  </si>
  <si>
    <t>Sprinklered and Alarmed</t>
  </si>
  <si>
    <t>Fire Resistive</t>
  </si>
  <si>
    <t>Sprinklered and Non Alarmed</t>
  </si>
  <si>
    <t>Non-Combustable / Masonry</t>
  </si>
  <si>
    <t>Non Sprinklered and Alarmed</t>
  </si>
  <si>
    <t>Non-Combustable / Non-Masonry</t>
  </si>
  <si>
    <t>Non Sprinklered and Non Alarmed</t>
  </si>
  <si>
    <t>Masonry</t>
  </si>
  <si>
    <t>Brick Veneer</t>
  </si>
  <si>
    <t>Minimum Rate</t>
  </si>
  <si>
    <t>Maximum Usable Capacity</t>
  </si>
  <si>
    <t>How we should split</t>
  </si>
  <si>
    <t>Participant Capacity</t>
  </si>
  <si>
    <t>U/W Split Capacity</t>
  </si>
  <si>
    <t>U/W split OK</t>
  </si>
  <si>
    <t>Temple</t>
  </si>
  <si>
    <t>Aviva</t>
  </si>
  <si>
    <t>Commonwell</t>
  </si>
  <si>
    <t>TOTAL</t>
  </si>
  <si>
    <t>Residential Construction N.O.C.</t>
  </si>
  <si>
    <t>April 2017 codes</t>
  </si>
  <si>
    <t>Eco</t>
  </si>
  <si>
    <t>Internal Referral</t>
  </si>
  <si>
    <t>Horse Farms - No Breeding, Equestrian, Riding Schools , Rental Boarding, etc.</t>
  </si>
  <si>
    <t>Agricultural Associations (Including Breeders)</t>
  </si>
  <si>
    <t>Automatic Sprinklers - Installation and Repair</t>
  </si>
  <si>
    <t>Commercial Marine Department</t>
  </si>
  <si>
    <t>COC Markets</t>
  </si>
  <si>
    <t>Referral</t>
  </si>
  <si>
    <t>Exclude - Biodegradable chemicals only</t>
  </si>
  <si>
    <t>Excl - document storage</t>
  </si>
  <si>
    <t>Referral - Precious stones only</t>
  </si>
  <si>
    <t>Excl - tack shops</t>
  </si>
  <si>
    <t>excl - dude ranches / horse back riding or rentals</t>
  </si>
  <si>
    <t>excl - animal auctions</t>
  </si>
  <si>
    <t>excl - horse training</t>
  </si>
  <si>
    <t>Exclude - Body Rub Parlours</t>
  </si>
  <si>
    <t>ON</t>
  </si>
  <si>
    <t>x</t>
  </si>
  <si>
    <t>Hazard Code / Occupancy</t>
  </si>
  <si>
    <t>Non-Combustible/Masonry</t>
  </si>
  <si>
    <t>Non-Combustible/Non-Masonry</t>
  </si>
  <si>
    <t>Coverage</t>
  </si>
  <si>
    <t>All Risk</t>
  </si>
  <si>
    <t>Named Perils</t>
  </si>
  <si>
    <t>basse</t>
  </si>
  <si>
    <t>Building rate</t>
  </si>
  <si>
    <t>Contents rate</t>
  </si>
  <si>
    <t>Échéance:</t>
  </si>
  <si>
    <t>Réduction de la garantie pour les locataires / conducteurs de véhicules loués   à bail (FAO 98B)</t>
  </si>
  <si>
    <t>Contenu de bureau</t>
  </si>
  <si>
    <t>Matériel informatique</t>
  </si>
  <si>
    <t>Biens en transport</t>
  </si>
  <si>
    <t>Profits</t>
  </si>
  <si>
    <t>B. brut</t>
  </si>
  <si>
    <t>Honoraires professionnels</t>
  </si>
  <si>
    <t>Frais supplémentaires</t>
  </si>
  <si>
    <t>Documents de valeur</t>
  </si>
  <si>
    <t>Inondations</t>
  </si>
  <si>
    <t>Refoulement des égouts</t>
  </si>
  <si>
    <t>Saisir Adress no 2</t>
  </si>
  <si>
    <t>Saisir Adress no 3</t>
  </si>
  <si>
    <t>Saisir Adress no 4</t>
  </si>
  <si>
    <t>Saisir Adress no 5</t>
  </si>
  <si>
    <t>Année de construction</t>
  </si>
  <si>
    <t>Nb d'étages</t>
  </si>
  <si>
    <t>Pieds carrés</t>
  </si>
  <si>
    <t>Année chauffage</t>
  </si>
  <si>
    <t>Année Elécrticité</t>
  </si>
  <si>
    <t>Année Toiture</t>
  </si>
  <si>
    <t>An.  Plomberie</t>
  </si>
  <si>
    <t>Type de construction</t>
  </si>
  <si>
    <t>Town grade</t>
  </si>
  <si>
    <t>Bâtiment</t>
  </si>
  <si>
    <t>Sprinkelered / Alarmed</t>
  </si>
  <si>
    <t>Type of coverage</t>
  </si>
  <si>
    <t>Opta</t>
  </si>
  <si>
    <t>Rate</t>
  </si>
  <si>
    <t>Settings  Property section</t>
  </si>
  <si>
    <t>Contrôle pieds carrés</t>
  </si>
  <si>
    <t>Model</t>
  </si>
  <si>
    <t>Algorithm</t>
  </si>
  <si>
    <t>Other</t>
  </si>
  <si>
    <t>Acceptability</t>
  </si>
  <si>
    <t>WEST</t>
  </si>
  <si>
    <t>YK</t>
  </si>
  <si>
    <t>NS</t>
  </si>
  <si>
    <t>NB</t>
  </si>
  <si>
    <t>Commercial</t>
  </si>
  <si>
    <t>Opta increase</t>
  </si>
  <si>
    <t>Age du Bâtiment</t>
  </si>
  <si>
    <t xml:space="preserve"> Adresse 1</t>
  </si>
  <si>
    <t xml:space="preserve"> Adresse 2</t>
  </si>
  <si>
    <t xml:space="preserve"> Adresse 3</t>
  </si>
  <si>
    <t xml:space="preserve"> Adresse 4</t>
  </si>
  <si>
    <t xml:space="preserve"> Adresse 5</t>
  </si>
  <si>
    <t>Risques Désignés</t>
  </si>
  <si>
    <t>Formule Etendue</t>
  </si>
  <si>
    <t>Policy length</t>
  </si>
  <si>
    <t>% Co Ins</t>
  </si>
  <si>
    <t>B. brut No-Co</t>
  </si>
  <si>
    <t>No-Co</t>
  </si>
  <si>
    <t>% Oper sur les lieux</t>
  </si>
  <si>
    <t>PE9</t>
  </si>
  <si>
    <t>PE10</t>
  </si>
  <si>
    <t>Coût de remplacement</t>
  </si>
  <si>
    <t xml:space="preserve">Si AMLIN, remplir ici : </t>
  </si>
  <si>
    <t>Total Prime CGL avec Amlin</t>
  </si>
  <si>
    <t>Contrat</t>
  </si>
  <si>
    <t>Amlin</t>
  </si>
  <si>
    <t>Choisir l'assureur pour la  CGL quoté :</t>
  </si>
  <si>
    <t>Quel est le nombre d'années en affaires?</t>
  </si>
  <si>
    <t>Quel est le % de sous-traitance</t>
  </si>
  <si>
    <t>taux commercial</t>
  </si>
  <si>
    <t>Taux</t>
  </si>
  <si>
    <t>OPTA</t>
  </si>
  <si>
    <t>Taux technique</t>
  </si>
  <si>
    <t>Bâtim.
&lt; 5 étages</t>
  </si>
  <si>
    <t>Ces informations vont nous permettre d'obtenir les taux en bien</t>
  </si>
  <si>
    <t>OR</t>
  </si>
  <si>
    <t>Franchise $500 Audit Fiscal / $2,500 Litige des employés syndiqués</t>
  </si>
  <si>
    <t>Coût additionnel :</t>
  </si>
  <si>
    <t>Responsabilité civile générale</t>
  </si>
  <si>
    <t>Sécurité maximum</t>
  </si>
  <si>
    <t>Êtes vous suffisamment  bien protégé?</t>
  </si>
  <si>
    <t>Argent</t>
  </si>
  <si>
    <t>Frais Juridiques -Consultations juridiques par téléphone illimitées</t>
  </si>
  <si>
    <t>PE8</t>
  </si>
  <si>
    <t>CW170F Engagement formel: Nettoyage de conduit</t>
  </si>
  <si>
    <t>CW185F Exclusion de cuisson commerciale</t>
  </si>
  <si>
    <t>PW2 Visite des lieux - engagement formel</t>
  </si>
  <si>
    <t>CW160 Limitation pour les dommages par l'eau</t>
  </si>
  <si>
    <t>Package Argent</t>
  </si>
  <si>
    <t>Package Or</t>
  </si>
  <si>
    <t>Market approved</t>
  </si>
  <si>
    <t>Total soumission</t>
  </si>
  <si>
    <t>Legal</t>
  </si>
  <si>
    <t>Assureurs Domestiques, Lloyd’s de Londres</t>
  </si>
  <si>
    <t>Bien 
protégé</t>
  </si>
  <si>
    <t xml:space="preserve">Couvertures additionnelles incluses: </t>
  </si>
  <si>
    <t xml:space="preserve">Adaptez votre soumission  avec les ajouts  suivants : </t>
  </si>
  <si>
    <t>Et parce que le monde change…</t>
  </si>
  <si>
    <t>*Garanties: par période d’assurances - montant maximum annuel par garantie</t>
  </si>
  <si>
    <t xml:space="preserve"> Earthquake Calculator</t>
  </si>
  <si>
    <t>First 3 Digits of Postal Code :</t>
  </si>
  <si>
    <t>H4P</t>
  </si>
  <si>
    <t>Year Built</t>
  </si>
  <si>
    <t>Construction Class</t>
  </si>
  <si>
    <t>Number of Stories</t>
  </si>
  <si>
    <t>Amount of Insurance</t>
  </si>
  <si>
    <t>Building</t>
  </si>
  <si>
    <t>Contents - Stock &amp; Equipment</t>
  </si>
  <si>
    <t>Business Interruption**</t>
  </si>
  <si>
    <t>Extensions</t>
  </si>
  <si>
    <t>Floaters</t>
  </si>
  <si>
    <t>Total Insured Value (TIV)</t>
  </si>
  <si>
    <t>Minimum Market rates</t>
  </si>
  <si>
    <t>AVIVA</t>
  </si>
  <si>
    <t>2590 EVEREST</t>
  </si>
  <si>
    <t>ECONOMICAL</t>
  </si>
  <si>
    <t>INTACT</t>
  </si>
  <si>
    <t>NORTHBRIDGE</t>
  </si>
  <si>
    <t>TEMPLE</t>
  </si>
  <si>
    <t>Algorithm sheet</t>
  </si>
  <si>
    <t>Algorithm_Temple</t>
  </si>
  <si>
    <t>min Deductible %</t>
  </si>
  <si>
    <t>Follow</t>
  </si>
  <si>
    <t>deductible factor</t>
  </si>
  <si>
    <t>min Deductible  $</t>
  </si>
  <si>
    <t>Rate with deductible factor</t>
  </si>
  <si>
    <t>% Subscribtion by Insurer</t>
  </si>
  <si>
    <t>Based on Market selection</t>
  </si>
  <si>
    <t xml:space="preserve"> min Deductible %</t>
  </si>
  <si>
    <t xml:space="preserve"> min Deductible $</t>
  </si>
  <si>
    <t xml:space="preserve"> min Rate</t>
  </si>
  <si>
    <t>Final Rate</t>
  </si>
  <si>
    <t>Final rate</t>
  </si>
  <si>
    <t>EVEREST</t>
  </si>
  <si>
    <t>ECO</t>
  </si>
  <si>
    <t>First letter</t>
  </si>
  <si>
    <t>Fistr t2 letters</t>
  </si>
  <si>
    <t>PC</t>
  </si>
  <si>
    <t>AZONE</t>
  </si>
  <si>
    <t>CZONE</t>
  </si>
  <si>
    <t>Band</t>
  </si>
  <si>
    <t>Table rate column</t>
  </si>
  <si>
    <t>Algorithm sheet Aviva</t>
  </si>
  <si>
    <t>Algorithm sheet Everest</t>
  </si>
  <si>
    <t>Algorithm sheet Eco</t>
  </si>
  <si>
    <t>Algorithm sheet NB</t>
  </si>
  <si>
    <t>Algorithm sheet Intact</t>
  </si>
  <si>
    <t>NF</t>
  </si>
  <si>
    <t>A0A</t>
  </si>
  <si>
    <t>ATL_E01</t>
  </si>
  <si>
    <t>Algorithm_ATL</t>
  </si>
  <si>
    <t>Algorithm_Other_2590</t>
  </si>
  <si>
    <t>Algorithm_AB_Other_Eco</t>
  </si>
  <si>
    <t>A0B</t>
  </si>
  <si>
    <t>PE</t>
  </si>
  <si>
    <t>A0C</t>
  </si>
  <si>
    <t>E</t>
  </si>
  <si>
    <t>A0E</t>
  </si>
  <si>
    <t>V</t>
  </si>
  <si>
    <t>A0G</t>
  </si>
  <si>
    <t>K</t>
  </si>
  <si>
    <t>A0H</t>
  </si>
  <si>
    <t>L</t>
  </si>
  <si>
    <t>A0J</t>
  </si>
  <si>
    <t>M</t>
  </si>
  <si>
    <t>A0K</t>
  </si>
  <si>
    <t>A0L</t>
  </si>
  <si>
    <t>P</t>
  </si>
  <si>
    <t>A0M</t>
  </si>
  <si>
    <t>G</t>
  </si>
  <si>
    <t>A0N</t>
  </si>
  <si>
    <t>H</t>
  </si>
  <si>
    <t>A0P</t>
  </si>
  <si>
    <t>ATL_E04</t>
  </si>
  <si>
    <t>J</t>
  </si>
  <si>
    <t>A0R</t>
  </si>
  <si>
    <t>West</t>
  </si>
  <si>
    <t>A1A</t>
  </si>
  <si>
    <t>S</t>
  </si>
  <si>
    <t>A1B</t>
  </si>
  <si>
    <t>T</t>
  </si>
  <si>
    <t>A1C</t>
  </si>
  <si>
    <t>NT&amp;NU</t>
  </si>
  <si>
    <t>A1E</t>
  </si>
  <si>
    <t>A1G</t>
  </si>
  <si>
    <t>A1H</t>
  </si>
  <si>
    <t>A1K</t>
  </si>
  <si>
    <t>A1L</t>
  </si>
  <si>
    <t>A1M</t>
  </si>
  <si>
    <t>A1N</t>
  </si>
  <si>
    <t>A1S</t>
  </si>
  <si>
    <t>A1V</t>
  </si>
  <si>
    <t>A1W</t>
  </si>
  <si>
    <t>A1X</t>
  </si>
  <si>
    <t>ATL_E02</t>
  </si>
  <si>
    <t>A1Y</t>
  </si>
  <si>
    <t>A2A</t>
  </si>
  <si>
    <t>A2B</t>
  </si>
  <si>
    <t>A2H</t>
  </si>
  <si>
    <t>A2N</t>
  </si>
  <si>
    <t>A2V</t>
  </si>
  <si>
    <t>A5A</t>
  </si>
  <si>
    <t>A8A</t>
  </si>
  <si>
    <t>B0C</t>
  </si>
  <si>
    <t>B0E</t>
  </si>
  <si>
    <t>B0H</t>
  </si>
  <si>
    <t>ATL_E03</t>
  </si>
  <si>
    <t>B0J</t>
  </si>
  <si>
    <t>B0K</t>
  </si>
  <si>
    <t>B0L</t>
  </si>
  <si>
    <t>ATL_E05</t>
  </si>
  <si>
    <t>B0M</t>
  </si>
  <si>
    <t>B0N</t>
  </si>
  <si>
    <t>B0P</t>
  </si>
  <si>
    <t>B0R</t>
  </si>
  <si>
    <t>B0S</t>
  </si>
  <si>
    <t>B0T</t>
  </si>
  <si>
    <t>B0V</t>
  </si>
  <si>
    <t>B0W</t>
  </si>
  <si>
    <t>B1A</t>
  </si>
  <si>
    <t>B1B</t>
  </si>
  <si>
    <t>B1C</t>
  </si>
  <si>
    <t>B1E</t>
  </si>
  <si>
    <t>B1G</t>
  </si>
  <si>
    <t>B1H</t>
  </si>
  <si>
    <t>B1J</t>
  </si>
  <si>
    <t>B1K</t>
  </si>
  <si>
    <t>B1L</t>
  </si>
  <si>
    <t>B1M</t>
  </si>
  <si>
    <t>B1N</t>
  </si>
  <si>
    <t>B1P</t>
  </si>
  <si>
    <t>B1R</t>
  </si>
  <si>
    <t>B1S</t>
  </si>
  <si>
    <t>B1T</t>
  </si>
  <si>
    <t>B1V</t>
  </si>
  <si>
    <t>B1W</t>
  </si>
  <si>
    <t>B1X</t>
  </si>
  <si>
    <t>B1Y</t>
  </si>
  <si>
    <t>B2A</t>
  </si>
  <si>
    <t>B2C</t>
  </si>
  <si>
    <t>B2E</t>
  </si>
  <si>
    <t>B2G</t>
  </si>
  <si>
    <t>B2H</t>
  </si>
  <si>
    <t>B2J</t>
  </si>
  <si>
    <t>B2N</t>
  </si>
  <si>
    <t>B2R</t>
  </si>
  <si>
    <t>B2S</t>
  </si>
  <si>
    <t>B2T</t>
  </si>
  <si>
    <t>B2V</t>
  </si>
  <si>
    <t>B2W</t>
  </si>
  <si>
    <t>B2X</t>
  </si>
  <si>
    <t>B2Y</t>
  </si>
  <si>
    <t>B2Z</t>
  </si>
  <si>
    <t>B3A</t>
  </si>
  <si>
    <t>B3B</t>
  </si>
  <si>
    <t>B3E</t>
  </si>
  <si>
    <t>B3G</t>
  </si>
  <si>
    <t>B3H</t>
  </si>
  <si>
    <t>B3J</t>
  </si>
  <si>
    <t>B3K</t>
  </si>
  <si>
    <t>B3L</t>
  </si>
  <si>
    <t>B3M</t>
  </si>
  <si>
    <t>B3N</t>
  </si>
  <si>
    <t>B3P</t>
  </si>
  <si>
    <t>B3R</t>
  </si>
  <si>
    <t>B3S</t>
  </si>
  <si>
    <t>B3T</t>
  </si>
  <si>
    <t>B3V</t>
  </si>
  <si>
    <t>B3Z</t>
  </si>
  <si>
    <t>B4A</t>
  </si>
  <si>
    <t>B4B</t>
  </si>
  <si>
    <t>B4C</t>
  </si>
  <si>
    <t>B4E</t>
  </si>
  <si>
    <t>B4G</t>
  </si>
  <si>
    <t>B4H</t>
  </si>
  <si>
    <t>ATL_E06</t>
  </si>
  <si>
    <t>B4N</t>
  </si>
  <si>
    <t>B4P</t>
  </si>
  <si>
    <t>B4R</t>
  </si>
  <si>
    <t>B4V</t>
  </si>
  <si>
    <t>B5A</t>
  </si>
  <si>
    <t>B6L</t>
  </si>
  <si>
    <t>B9A</t>
  </si>
  <si>
    <t>C0A</t>
  </si>
  <si>
    <t>C0B</t>
  </si>
  <si>
    <t>C1A</t>
  </si>
  <si>
    <t>C1B</t>
  </si>
  <si>
    <t>C1C</t>
  </si>
  <si>
    <t>C1E</t>
  </si>
  <si>
    <t>C1N</t>
  </si>
  <si>
    <t>E1A</t>
  </si>
  <si>
    <t>E1B</t>
  </si>
  <si>
    <t>E1C</t>
  </si>
  <si>
    <t>E1E</t>
  </si>
  <si>
    <t>E1G</t>
  </si>
  <si>
    <t>E1H</t>
  </si>
  <si>
    <t>E1J</t>
  </si>
  <si>
    <t>E1N</t>
  </si>
  <si>
    <t>ATL_E08</t>
  </si>
  <si>
    <t>E1V</t>
  </si>
  <si>
    <t>E1W</t>
  </si>
  <si>
    <t>E1X</t>
  </si>
  <si>
    <t>E2A</t>
  </si>
  <si>
    <t>ATL_E07</t>
  </si>
  <si>
    <t>E2E</t>
  </si>
  <si>
    <t>E2G</t>
  </si>
  <si>
    <t>E2H</t>
  </si>
  <si>
    <t>E2J</t>
  </si>
  <si>
    <t>E2K</t>
  </si>
  <si>
    <t>E2L</t>
  </si>
  <si>
    <t>E2M</t>
  </si>
  <si>
    <t>E2N</t>
  </si>
  <si>
    <t>E2P</t>
  </si>
  <si>
    <t>E2R</t>
  </si>
  <si>
    <t>E2S</t>
  </si>
  <si>
    <t>E2V</t>
  </si>
  <si>
    <t>E3A</t>
  </si>
  <si>
    <t>E3B</t>
  </si>
  <si>
    <t>E3C</t>
  </si>
  <si>
    <t>E3E</t>
  </si>
  <si>
    <t>E3G</t>
  </si>
  <si>
    <t>E3L</t>
  </si>
  <si>
    <t>E3N</t>
  </si>
  <si>
    <t>E3V</t>
  </si>
  <si>
    <t>E3Y</t>
  </si>
  <si>
    <t>E3Z</t>
  </si>
  <si>
    <t>E4A</t>
  </si>
  <si>
    <t>E4B</t>
  </si>
  <si>
    <t>E4C</t>
  </si>
  <si>
    <t>E4E</t>
  </si>
  <si>
    <t>E4G</t>
  </si>
  <si>
    <t>E4H</t>
  </si>
  <si>
    <t>E4J</t>
  </si>
  <si>
    <t>E4K</t>
  </si>
  <si>
    <t>E4L</t>
  </si>
  <si>
    <t>E4M</t>
  </si>
  <si>
    <t>E4N</t>
  </si>
  <si>
    <t>E4P</t>
  </si>
  <si>
    <t>E4R</t>
  </si>
  <si>
    <t>E4S</t>
  </si>
  <si>
    <t>E4T</t>
  </si>
  <si>
    <t>E4V</t>
  </si>
  <si>
    <t>E4W</t>
  </si>
  <si>
    <t>E4X</t>
  </si>
  <si>
    <t>E4Y</t>
  </si>
  <si>
    <t>E4Z</t>
  </si>
  <si>
    <t>E5A</t>
  </si>
  <si>
    <t>E5B</t>
  </si>
  <si>
    <t>E5C</t>
  </si>
  <si>
    <t>E5E</t>
  </si>
  <si>
    <t>E5G</t>
  </si>
  <si>
    <t>E5H</t>
  </si>
  <si>
    <t>E5J</t>
  </si>
  <si>
    <t>E5K</t>
  </si>
  <si>
    <t>E5L</t>
  </si>
  <si>
    <t>E5M</t>
  </si>
  <si>
    <t>E5N</t>
  </si>
  <si>
    <t>E5P</t>
  </si>
  <si>
    <t>E5R</t>
  </si>
  <si>
    <t>E5S</t>
  </si>
  <si>
    <t>E5T</t>
  </si>
  <si>
    <t>E5V</t>
  </si>
  <si>
    <t>E6A</t>
  </si>
  <si>
    <t>E6B</t>
  </si>
  <si>
    <t>E6C</t>
  </si>
  <si>
    <t>E6E</t>
  </si>
  <si>
    <t>E6G</t>
  </si>
  <si>
    <t>E6H</t>
  </si>
  <si>
    <t>E6J</t>
  </si>
  <si>
    <t>E6K</t>
  </si>
  <si>
    <t>E6L</t>
  </si>
  <si>
    <t>E7A</t>
  </si>
  <si>
    <t>E7B</t>
  </si>
  <si>
    <t>E7C</t>
  </si>
  <si>
    <t>E7E</t>
  </si>
  <si>
    <t>E7G</t>
  </si>
  <si>
    <t>E7H</t>
  </si>
  <si>
    <t>E7J</t>
  </si>
  <si>
    <t>E7K</t>
  </si>
  <si>
    <t>E7L</t>
  </si>
  <si>
    <t>E7M</t>
  </si>
  <si>
    <t>E7N</t>
  </si>
  <si>
    <t>E7P</t>
  </si>
  <si>
    <t>E8A</t>
  </si>
  <si>
    <t>E8B</t>
  </si>
  <si>
    <t>E8C</t>
  </si>
  <si>
    <t>E8E</t>
  </si>
  <si>
    <t>E8G</t>
  </si>
  <si>
    <t>E8J</t>
  </si>
  <si>
    <t>E8K</t>
  </si>
  <si>
    <t>E8L</t>
  </si>
  <si>
    <t>E8M</t>
  </si>
  <si>
    <t>E8N</t>
  </si>
  <si>
    <t>E8P</t>
  </si>
  <si>
    <t>E8R</t>
  </si>
  <si>
    <t>E8S</t>
  </si>
  <si>
    <t>E8T</t>
  </si>
  <si>
    <t>E9A</t>
  </si>
  <si>
    <t>E9B</t>
  </si>
  <si>
    <t>E9C</t>
  </si>
  <si>
    <t>E9E</t>
  </si>
  <si>
    <t>E9G</t>
  </si>
  <si>
    <t>E9H</t>
  </si>
  <si>
    <t>G0A</t>
  </si>
  <si>
    <t>PQ_E12</t>
  </si>
  <si>
    <t>Band1</t>
  </si>
  <si>
    <t>Algorithm_QC</t>
  </si>
  <si>
    <t>Algorithm_QC_2590</t>
  </si>
  <si>
    <t>Algorithm_QC_Eco</t>
  </si>
  <si>
    <t>G0C</t>
  </si>
  <si>
    <t>PQ_E01</t>
  </si>
  <si>
    <t>Band5</t>
  </si>
  <si>
    <t>G0E</t>
  </si>
  <si>
    <t>PQ_E02</t>
  </si>
  <si>
    <t>G0G</t>
  </si>
  <si>
    <t>G0H</t>
  </si>
  <si>
    <t>PQ_E03</t>
  </si>
  <si>
    <t>G0J</t>
  </si>
  <si>
    <t>Band4</t>
  </si>
  <si>
    <t>G0K</t>
  </si>
  <si>
    <t>Band2</t>
  </si>
  <si>
    <t>G0L</t>
  </si>
  <si>
    <t>G0M</t>
  </si>
  <si>
    <t>G0N</t>
  </si>
  <si>
    <t>G0P</t>
  </si>
  <si>
    <t>G0R</t>
  </si>
  <si>
    <t>PQ_E11</t>
  </si>
  <si>
    <t>G0S</t>
  </si>
  <si>
    <t>PQ_E07</t>
  </si>
  <si>
    <t>G0T</t>
  </si>
  <si>
    <t>G0V</t>
  </si>
  <si>
    <t>Band3</t>
  </si>
  <si>
    <t>G0W</t>
  </si>
  <si>
    <t>PQ_E05</t>
  </si>
  <si>
    <t>G0X</t>
  </si>
  <si>
    <t>G0Y</t>
  </si>
  <si>
    <t>PQ_E04</t>
  </si>
  <si>
    <t>G0Z</t>
  </si>
  <si>
    <t>PQ_E06</t>
  </si>
  <si>
    <t>G1A</t>
  </si>
  <si>
    <t>PQ_E09</t>
  </si>
  <si>
    <t>G1B</t>
  </si>
  <si>
    <t>G1C</t>
  </si>
  <si>
    <t>G1E</t>
  </si>
  <si>
    <t>G1G</t>
  </si>
  <si>
    <t>G1H</t>
  </si>
  <si>
    <t>G1J</t>
  </si>
  <si>
    <t>G1K</t>
  </si>
  <si>
    <t>G1L</t>
  </si>
  <si>
    <t>G1M</t>
  </si>
  <si>
    <t>G1N</t>
  </si>
  <si>
    <t>G1P</t>
  </si>
  <si>
    <t>G1R</t>
  </si>
  <si>
    <t>G1S</t>
  </si>
  <si>
    <t>G1T</t>
  </si>
  <si>
    <t>G1V</t>
  </si>
  <si>
    <t>G1W</t>
  </si>
  <si>
    <t>G1X</t>
  </si>
  <si>
    <t>G1Y</t>
  </si>
  <si>
    <t>G2A</t>
  </si>
  <si>
    <t>G2B</t>
  </si>
  <si>
    <t>PQ_E08</t>
  </si>
  <si>
    <t>G2C</t>
  </si>
  <si>
    <t>G2E</t>
  </si>
  <si>
    <t>PQ_E10</t>
  </si>
  <si>
    <t>G2G</t>
  </si>
  <si>
    <t>G2J</t>
  </si>
  <si>
    <t>G2K</t>
  </si>
  <si>
    <t>G2L</t>
  </si>
  <si>
    <t>G2M</t>
  </si>
  <si>
    <t>G2N</t>
  </si>
  <si>
    <t>G3A</t>
  </si>
  <si>
    <t>G3B</t>
  </si>
  <si>
    <t>G3E</t>
  </si>
  <si>
    <t>G3G</t>
  </si>
  <si>
    <t>G3H</t>
  </si>
  <si>
    <t>G3J</t>
  </si>
  <si>
    <t>G3K</t>
  </si>
  <si>
    <t>G3L</t>
  </si>
  <si>
    <t>G3M</t>
  </si>
  <si>
    <t>G3N</t>
  </si>
  <si>
    <t>G3Z</t>
  </si>
  <si>
    <t>Special</t>
  </si>
  <si>
    <t>Algorithm_East_2590</t>
  </si>
  <si>
    <t>G4A</t>
  </si>
  <si>
    <t>G4R</t>
  </si>
  <si>
    <t>G4S</t>
  </si>
  <si>
    <t>G4T</t>
  </si>
  <si>
    <t>G4V</t>
  </si>
  <si>
    <t>G4W</t>
  </si>
  <si>
    <t>G4X</t>
  </si>
  <si>
    <t>G4Z</t>
  </si>
  <si>
    <t>G5A</t>
  </si>
  <si>
    <t>G5B</t>
  </si>
  <si>
    <t>G5C</t>
  </si>
  <si>
    <t>G5H</t>
  </si>
  <si>
    <t>G5J</t>
  </si>
  <si>
    <t>G5L</t>
  </si>
  <si>
    <t>G5M</t>
  </si>
  <si>
    <t>G5N</t>
  </si>
  <si>
    <t>G5R</t>
  </si>
  <si>
    <t>G5T</t>
  </si>
  <si>
    <t>G5V</t>
  </si>
  <si>
    <t>G5X</t>
  </si>
  <si>
    <t>G5Y</t>
  </si>
  <si>
    <t>G5Z</t>
  </si>
  <si>
    <t>G6A</t>
  </si>
  <si>
    <t>G6B</t>
  </si>
  <si>
    <t>G6C</t>
  </si>
  <si>
    <t>G6E</t>
  </si>
  <si>
    <t>G6G</t>
  </si>
  <si>
    <t>G6H</t>
  </si>
  <si>
    <t>G6J</t>
  </si>
  <si>
    <t>G6K</t>
  </si>
  <si>
    <t>G6L</t>
  </si>
  <si>
    <t>G6P</t>
  </si>
  <si>
    <t>G6R</t>
  </si>
  <si>
    <t>G6S</t>
  </si>
  <si>
    <t>G6T</t>
  </si>
  <si>
    <t>G6V</t>
  </si>
  <si>
    <t>G6W</t>
  </si>
  <si>
    <t>G6X</t>
  </si>
  <si>
    <t>G6Z</t>
  </si>
  <si>
    <t>G7A</t>
  </si>
  <si>
    <t>G7B</t>
  </si>
  <si>
    <t>G7G</t>
  </si>
  <si>
    <t>G7H</t>
  </si>
  <si>
    <t>G7J</t>
  </si>
  <si>
    <t>G7K</t>
  </si>
  <si>
    <t>G7N</t>
  </si>
  <si>
    <t>G7P</t>
  </si>
  <si>
    <t>G7S</t>
  </si>
  <si>
    <t>G7T</t>
  </si>
  <si>
    <t>G7X</t>
  </si>
  <si>
    <t>G7Y</t>
  </si>
  <si>
    <t>G7Z</t>
  </si>
  <si>
    <t>G8A</t>
  </si>
  <si>
    <t>G8B</t>
  </si>
  <si>
    <t>G8C</t>
  </si>
  <si>
    <t>G8E</t>
  </si>
  <si>
    <t>G8G</t>
  </si>
  <si>
    <t>G8H</t>
  </si>
  <si>
    <t>G8J</t>
  </si>
  <si>
    <t>G8K</t>
  </si>
  <si>
    <t>G8L</t>
  </si>
  <si>
    <t>G8M</t>
  </si>
  <si>
    <t>G8N</t>
  </si>
  <si>
    <t>G8P</t>
  </si>
  <si>
    <t>G8T</t>
  </si>
  <si>
    <t>G8V</t>
  </si>
  <si>
    <t>G8W</t>
  </si>
  <si>
    <t>G8Y</t>
  </si>
  <si>
    <t>G8Z</t>
  </si>
  <si>
    <t>G9A</t>
  </si>
  <si>
    <t>G9B</t>
  </si>
  <si>
    <t>G9C</t>
  </si>
  <si>
    <t>G9H</t>
  </si>
  <si>
    <t>G9N</t>
  </si>
  <si>
    <t>G9P</t>
  </si>
  <si>
    <t>G9R</t>
  </si>
  <si>
    <t>G9T</t>
  </si>
  <si>
    <t>G9X</t>
  </si>
  <si>
    <t>H0M</t>
  </si>
  <si>
    <t>E5</t>
  </si>
  <si>
    <t>H1A</t>
  </si>
  <si>
    <t>E3</t>
  </si>
  <si>
    <t>H1B</t>
  </si>
  <si>
    <t>E4</t>
  </si>
  <si>
    <t>H1C</t>
  </si>
  <si>
    <t>H1E</t>
  </si>
  <si>
    <t>H1G</t>
  </si>
  <si>
    <t>H1H</t>
  </si>
  <si>
    <t>H1J</t>
  </si>
  <si>
    <t>H1K</t>
  </si>
  <si>
    <t>H1L</t>
  </si>
  <si>
    <t>H1M</t>
  </si>
  <si>
    <t>H1N</t>
  </si>
  <si>
    <t>H1P</t>
  </si>
  <si>
    <t>H1R</t>
  </si>
  <si>
    <t>H1S</t>
  </si>
  <si>
    <t>H1T</t>
  </si>
  <si>
    <t>H1V</t>
  </si>
  <si>
    <t>H1W</t>
  </si>
  <si>
    <t>H1X</t>
  </si>
  <si>
    <t>H1Y</t>
  </si>
  <si>
    <t>H1Z</t>
  </si>
  <si>
    <t>H2A</t>
  </si>
  <si>
    <t>H2B</t>
  </si>
  <si>
    <t>H2C</t>
  </si>
  <si>
    <t>H2E</t>
  </si>
  <si>
    <t>H2G</t>
  </si>
  <si>
    <t>H2H</t>
  </si>
  <si>
    <t>H2J</t>
  </si>
  <si>
    <t>H2K</t>
  </si>
  <si>
    <t>H2L</t>
  </si>
  <si>
    <t>E2</t>
  </si>
  <si>
    <t>H2M</t>
  </si>
  <si>
    <t>H2N</t>
  </si>
  <si>
    <t>H2P</t>
  </si>
  <si>
    <t>H2R</t>
  </si>
  <si>
    <t>H2S</t>
  </si>
  <si>
    <t>H2T</t>
  </si>
  <si>
    <t>H2V</t>
  </si>
  <si>
    <t>H2W</t>
  </si>
  <si>
    <t>H2X</t>
  </si>
  <si>
    <t>H2Y</t>
  </si>
  <si>
    <t>H2Z</t>
  </si>
  <si>
    <t>E1</t>
  </si>
  <si>
    <t>H3A</t>
  </si>
  <si>
    <t>H3B</t>
  </si>
  <si>
    <t>H3C</t>
  </si>
  <si>
    <t>H3E</t>
  </si>
  <si>
    <t>H3G</t>
  </si>
  <si>
    <t>H3H</t>
  </si>
  <si>
    <t>H3J</t>
  </si>
  <si>
    <t>H3K</t>
  </si>
  <si>
    <t>H3L</t>
  </si>
  <si>
    <t>H3M</t>
  </si>
  <si>
    <t>H3N</t>
  </si>
  <si>
    <t>H3P</t>
  </si>
  <si>
    <t>H3R</t>
  </si>
  <si>
    <t>H3S</t>
  </si>
  <si>
    <t>H3T</t>
  </si>
  <si>
    <t>H3V</t>
  </si>
  <si>
    <t>H3W</t>
  </si>
  <si>
    <t>H3X</t>
  </si>
  <si>
    <t>H3Y</t>
  </si>
  <si>
    <t>H3Z</t>
  </si>
  <si>
    <t>H4A</t>
  </si>
  <si>
    <t>H4B</t>
  </si>
  <si>
    <t>H4C</t>
  </si>
  <si>
    <t>H4E</t>
  </si>
  <si>
    <t>H4G</t>
  </si>
  <si>
    <t>H4H</t>
  </si>
  <si>
    <t>H4J</t>
  </si>
  <si>
    <t>H4K</t>
  </si>
  <si>
    <t>H4L</t>
  </si>
  <si>
    <t>H4M</t>
  </si>
  <si>
    <t>H4N</t>
  </si>
  <si>
    <t>H4R</t>
  </si>
  <si>
    <t>H4S</t>
  </si>
  <si>
    <t>H4T</t>
  </si>
  <si>
    <t>H4V</t>
  </si>
  <si>
    <t>H4W</t>
  </si>
  <si>
    <t>H4X</t>
  </si>
  <si>
    <t>H4Y</t>
  </si>
  <si>
    <t>H4Z</t>
  </si>
  <si>
    <t>H5A</t>
  </si>
  <si>
    <t>H5B</t>
  </si>
  <si>
    <t>H7A</t>
  </si>
  <si>
    <t>H7B</t>
  </si>
  <si>
    <t>H7C</t>
  </si>
  <si>
    <t>H7E</t>
  </si>
  <si>
    <t>H7G</t>
  </si>
  <si>
    <t>H7H</t>
  </si>
  <si>
    <t>H7J</t>
  </si>
  <si>
    <t>H7K</t>
  </si>
  <si>
    <t>H7L</t>
  </si>
  <si>
    <t>H7M</t>
  </si>
  <si>
    <t>H7N</t>
  </si>
  <si>
    <t>H7P</t>
  </si>
  <si>
    <t>H7R</t>
  </si>
  <si>
    <t>H7S</t>
  </si>
  <si>
    <t>H7T</t>
  </si>
  <si>
    <t>H7V</t>
  </si>
  <si>
    <t>H7W</t>
  </si>
  <si>
    <t>H7X</t>
  </si>
  <si>
    <t>H7Y</t>
  </si>
  <si>
    <t>H8N</t>
  </si>
  <si>
    <t>H8P</t>
  </si>
  <si>
    <t>H8R</t>
  </si>
  <si>
    <t>H8S</t>
  </si>
  <si>
    <t>H8T</t>
  </si>
  <si>
    <t>H8Y</t>
  </si>
  <si>
    <t>H8Z</t>
  </si>
  <si>
    <t>H9A</t>
  </si>
  <si>
    <t>H9B</t>
  </si>
  <si>
    <t>H9C</t>
  </si>
  <si>
    <t>H9E</t>
  </si>
  <si>
    <t>H9G</t>
  </si>
  <si>
    <t>H9H</t>
  </si>
  <si>
    <t>H9J</t>
  </si>
  <si>
    <t>H9K</t>
  </si>
  <si>
    <t>H9P</t>
  </si>
  <si>
    <t>H9R</t>
  </si>
  <si>
    <t>H9S</t>
  </si>
  <si>
    <t>H9W</t>
  </si>
  <si>
    <t>H9X</t>
  </si>
  <si>
    <t>J0A</t>
  </si>
  <si>
    <t>J0B</t>
  </si>
  <si>
    <t>J0C</t>
  </si>
  <si>
    <t>J0E</t>
  </si>
  <si>
    <t>J0G</t>
  </si>
  <si>
    <t>J0H</t>
  </si>
  <si>
    <t>J0J</t>
  </si>
  <si>
    <t>J0K</t>
  </si>
  <si>
    <t>J0L</t>
  </si>
  <si>
    <t>J0M</t>
  </si>
  <si>
    <t>J0N</t>
  </si>
  <si>
    <t>J0P</t>
  </si>
  <si>
    <t>J0R</t>
  </si>
  <si>
    <t>J0S</t>
  </si>
  <si>
    <t>J0T</t>
  </si>
  <si>
    <t>J0V</t>
  </si>
  <si>
    <t>J0W</t>
  </si>
  <si>
    <t>J0X</t>
  </si>
  <si>
    <t>J0Y</t>
  </si>
  <si>
    <t>J0Z</t>
  </si>
  <si>
    <t>J1A</t>
  </si>
  <si>
    <t>J1C</t>
  </si>
  <si>
    <t>J1E</t>
  </si>
  <si>
    <t>J1G</t>
  </si>
  <si>
    <t>J1H</t>
  </si>
  <si>
    <t>J1J</t>
  </si>
  <si>
    <t>J1K</t>
  </si>
  <si>
    <t>J1L</t>
  </si>
  <si>
    <t>J1M</t>
  </si>
  <si>
    <t>J1N</t>
  </si>
  <si>
    <t>J1R</t>
  </si>
  <si>
    <t>J1S</t>
  </si>
  <si>
    <t>J1T</t>
  </si>
  <si>
    <t>J1X</t>
  </si>
  <si>
    <t>J1Z</t>
  </si>
  <si>
    <t>J2A</t>
  </si>
  <si>
    <t>J2B</t>
  </si>
  <si>
    <t>J2C</t>
  </si>
  <si>
    <t>J2E</t>
  </si>
  <si>
    <t>J2G</t>
  </si>
  <si>
    <t>J2H</t>
  </si>
  <si>
    <t>J2J</t>
  </si>
  <si>
    <t>J2K</t>
  </si>
  <si>
    <t>J2L</t>
  </si>
  <si>
    <t>J2M</t>
  </si>
  <si>
    <t>J2N</t>
  </si>
  <si>
    <t>J2R</t>
  </si>
  <si>
    <t>J2S</t>
  </si>
  <si>
    <t>J2T</t>
  </si>
  <si>
    <t>J2W</t>
  </si>
  <si>
    <t>J2X</t>
  </si>
  <si>
    <t>J2Y</t>
  </si>
  <si>
    <t>J3A</t>
  </si>
  <si>
    <t>J3B</t>
  </si>
  <si>
    <t>J3E</t>
  </si>
  <si>
    <t>J3G</t>
  </si>
  <si>
    <t>J3H</t>
  </si>
  <si>
    <t>J3L</t>
  </si>
  <si>
    <t>J3M</t>
  </si>
  <si>
    <t>J3N</t>
  </si>
  <si>
    <t>J3P</t>
  </si>
  <si>
    <t>J3R</t>
  </si>
  <si>
    <t>J3T</t>
  </si>
  <si>
    <t>J3V</t>
  </si>
  <si>
    <t>J3X</t>
  </si>
  <si>
    <t>J3Y</t>
  </si>
  <si>
    <t>J3Z</t>
  </si>
  <si>
    <t>J4B</t>
  </si>
  <si>
    <t>J4G</t>
  </si>
  <si>
    <t>J4H</t>
  </si>
  <si>
    <t>J4J</t>
  </si>
  <si>
    <t>J4K</t>
  </si>
  <si>
    <t>J4L</t>
  </si>
  <si>
    <t>J4M</t>
  </si>
  <si>
    <t>J4N</t>
  </si>
  <si>
    <t>J4P</t>
  </si>
  <si>
    <t>J4R</t>
  </si>
  <si>
    <t>J4S</t>
  </si>
  <si>
    <t>J4T</t>
  </si>
  <si>
    <t>J4V</t>
  </si>
  <si>
    <t>J4W</t>
  </si>
  <si>
    <t>J4X</t>
  </si>
  <si>
    <t>J4Y</t>
  </si>
  <si>
    <t>J4Z</t>
  </si>
  <si>
    <t>J5A</t>
  </si>
  <si>
    <t>J5B</t>
  </si>
  <si>
    <t>J5C</t>
  </si>
  <si>
    <t>J5J</t>
  </si>
  <si>
    <t>J5K</t>
  </si>
  <si>
    <t>J5L</t>
  </si>
  <si>
    <t>J5M</t>
  </si>
  <si>
    <t>J5R</t>
  </si>
  <si>
    <t>J5T</t>
  </si>
  <si>
    <t>J5V</t>
  </si>
  <si>
    <t>J5W</t>
  </si>
  <si>
    <t>J5X</t>
  </si>
  <si>
    <t>J5Y</t>
  </si>
  <si>
    <t>J5Z</t>
  </si>
  <si>
    <t>J6A</t>
  </si>
  <si>
    <t>J6E</t>
  </si>
  <si>
    <t>J6J</t>
  </si>
  <si>
    <t>J6K</t>
  </si>
  <si>
    <t>J6N</t>
  </si>
  <si>
    <t>J6R</t>
  </si>
  <si>
    <t>J6S</t>
  </si>
  <si>
    <t>J6T</t>
  </si>
  <si>
    <t>J6V</t>
  </si>
  <si>
    <t>J6W</t>
  </si>
  <si>
    <t>J6X</t>
  </si>
  <si>
    <t>J6Y</t>
  </si>
  <si>
    <t>J6Z</t>
  </si>
  <si>
    <t>J7A</t>
  </si>
  <si>
    <t>J7B</t>
  </si>
  <si>
    <t>J7C</t>
  </si>
  <si>
    <t>J7E</t>
  </si>
  <si>
    <t>J7G</t>
  </si>
  <si>
    <t>J7H</t>
  </si>
  <si>
    <t>J7J</t>
  </si>
  <si>
    <t>J7K</t>
  </si>
  <si>
    <t>J7L</t>
  </si>
  <si>
    <t>J7M</t>
  </si>
  <si>
    <t>J7N</t>
  </si>
  <si>
    <t>J7P</t>
  </si>
  <si>
    <t>J7R</t>
  </si>
  <si>
    <t>J7T</t>
  </si>
  <si>
    <t>J7V</t>
  </si>
  <si>
    <t>J7W</t>
  </si>
  <si>
    <t>J7X</t>
  </si>
  <si>
    <t>J7Y</t>
  </si>
  <si>
    <t>J7Z</t>
  </si>
  <si>
    <t>J8A</t>
  </si>
  <si>
    <t>J8B</t>
  </si>
  <si>
    <t>J8C</t>
  </si>
  <si>
    <t>J8E</t>
  </si>
  <si>
    <t>J8G</t>
  </si>
  <si>
    <t>J8H</t>
  </si>
  <si>
    <t>J8L</t>
  </si>
  <si>
    <t>J8M</t>
  </si>
  <si>
    <t>J8N</t>
  </si>
  <si>
    <t>J8P</t>
  </si>
  <si>
    <t>J8R</t>
  </si>
  <si>
    <t>J8T</t>
  </si>
  <si>
    <t>J8V</t>
  </si>
  <si>
    <t>J8X</t>
  </si>
  <si>
    <t>J8Y</t>
  </si>
  <si>
    <t>J8Z</t>
  </si>
  <si>
    <t>J9A</t>
  </si>
  <si>
    <t>J9B</t>
  </si>
  <si>
    <t>J9E</t>
  </si>
  <si>
    <t>J9H</t>
  </si>
  <si>
    <t>J9J</t>
  </si>
  <si>
    <t>J9L</t>
  </si>
  <si>
    <t>J9P</t>
  </si>
  <si>
    <t>J9T</t>
  </si>
  <si>
    <t>J9V</t>
  </si>
  <si>
    <t>J9X</t>
  </si>
  <si>
    <t>J9Y</t>
  </si>
  <si>
    <t>J9Z</t>
  </si>
  <si>
    <t>K0A</t>
  </si>
  <si>
    <t>ON_E09</t>
  </si>
  <si>
    <t>Algorithm_ON</t>
  </si>
  <si>
    <t>Algorithm_ON_2590</t>
  </si>
  <si>
    <t>Algorithm_ON_Eco</t>
  </si>
  <si>
    <t>K0B</t>
  </si>
  <si>
    <t>ON_E10</t>
  </si>
  <si>
    <t>K0C</t>
  </si>
  <si>
    <t>K0E</t>
  </si>
  <si>
    <t>ON_E08</t>
  </si>
  <si>
    <t>K0G</t>
  </si>
  <si>
    <t>ON_E07</t>
  </si>
  <si>
    <t>K0H</t>
  </si>
  <si>
    <t>ON_E02</t>
  </si>
  <si>
    <t>K0J</t>
  </si>
  <si>
    <t>ON_E06</t>
  </si>
  <si>
    <t>K0K</t>
  </si>
  <si>
    <t>K0L</t>
  </si>
  <si>
    <t>K0M</t>
  </si>
  <si>
    <t>ON_E01</t>
  </si>
  <si>
    <t>K1A</t>
  </si>
  <si>
    <t>K1B</t>
  </si>
  <si>
    <t>K1C</t>
  </si>
  <si>
    <t>K1E</t>
  </si>
  <si>
    <t>K1G</t>
  </si>
  <si>
    <t>K1H</t>
  </si>
  <si>
    <t>K1J</t>
  </si>
  <si>
    <t>K1K</t>
  </si>
  <si>
    <t>K1L</t>
  </si>
  <si>
    <t>K1M</t>
  </si>
  <si>
    <t>K1N</t>
  </si>
  <si>
    <t>K1P</t>
  </si>
  <si>
    <t>K1R</t>
  </si>
  <si>
    <t>K1S</t>
  </si>
  <si>
    <t>K1T</t>
  </si>
  <si>
    <t>K1V</t>
  </si>
  <si>
    <t>K1W</t>
  </si>
  <si>
    <t>K1X</t>
  </si>
  <si>
    <t>K1Y</t>
  </si>
  <si>
    <t>K1Z</t>
  </si>
  <si>
    <t>K2A</t>
  </si>
  <si>
    <t>K2B</t>
  </si>
  <si>
    <t>K2C</t>
  </si>
  <si>
    <t>K2E</t>
  </si>
  <si>
    <t>K2G</t>
  </si>
  <si>
    <t>K2H</t>
  </si>
  <si>
    <t>K2J</t>
  </si>
  <si>
    <t>K2K</t>
  </si>
  <si>
    <t>K2L</t>
  </si>
  <si>
    <t>K2M</t>
  </si>
  <si>
    <t>K2P</t>
  </si>
  <si>
    <t>K2R</t>
  </si>
  <si>
    <t>K2S</t>
  </si>
  <si>
    <t>K2T</t>
  </si>
  <si>
    <t>K2V</t>
  </si>
  <si>
    <t>K2W</t>
  </si>
  <si>
    <t>K4A</t>
  </si>
  <si>
    <t>K4B</t>
  </si>
  <si>
    <t>K4C</t>
  </si>
  <si>
    <t>K4K</t>
  </si>
  <si>
    <t>K4M</t>
  </si>
  <si>
    <t>K4P</t>
  </si>
  <si>
    <t>K4R</t>
  </si>
  <si>
    <t>K6A</t>
  </si>
  <si>
    <t>K6H</t>
  </si>
  <si>
    <t>K6J</t>
  </si>
  <si>
    <t>K6K</t>
  </si>
  <si>
    <t>K6T</t>
  </si>
  <si>
    <t>K6V</t>
  </si>
  <si>
    <t>K7A</t>
  </si>
  <si>
    <t>K7C</t>
  </si>
  <si>
    <t>ON_E05</t>
  </si>
  <si>
    <t>K7G</t>
  </si>
  <si>
    <t>K7H</t>
  </si>
  <si>
    <t>K7K</t>
  </si>
  <si>
    <t>ON_E04</t>
  </si>
  <si>
    <t>K7L</t>
  </si>
  <si>
    <t>K7M</t>
  </si>
  <si>
    <t>ON_E03</t>
  </si>
  <si>
    <t>K7N</t>
  </si>
  <si>
    <t>K7P</t>
  </si>
  <si>
    <t>K7R</t>
  </si>
  <si>
    <t>K7S</t>
  </si>
  <si>
    <t>K7V</t>
  </si>
  <si>
    <t>K8A</t>
  </si>
  <si>
    <t>K8B</t>
  </si>
  <si>
    <t>K8H</t>
  </si>
  <si>
    <t>K8N</t>
  </si>
  <si>
    <t>K8P</t>
  </si>
  <si>
    <t>K8R</t>
  </si>
  <si>
    <t>K8V</t>
  </si>
  <si>
    <t>K9A</t>
  </si>
  <si>
    <t>K9H</t>
  </si>
  <si>
    <t>K9J</t>
  </si>
  <si>
    <t>K9K</t>
  </si>
  <si>
    <t>K9L</t>
  </si>
  <si>
    <t>K9V</t>
  </si>
  <si>
    <t>L0A</t>
  </si>
  <si>
    <t>L0B</t>
  </si>
  <si>
    <t>L0C</t>
  </si>
  <si>
    <t>L0E</t>
  </si>
  <si>
    <t>L0G</t>
  </si>
  <si>
    <t>L0H</t>
  </si>
  <si>
    <t>L0J</t>
  </si>
  <si>
    <t>L0K</t>
  </si>
  <si>
    <t>L0L</t>
  </si>
  <si>
    <t>L0M</t>
  </si>
  <si>
    <t>L0N</t>
  </si>
  <si>
    <t>L0P</t>
  </si>
  <si>
    <t>L0R</t>
  </si>
  <si>
    <t>L0S</t>
  </si>
  <si>
    <t>L1B</t>
  </si>
  <si>
    <t>L1C</t>
  </si>
  <si>
    <t>L1E</t>
  </si>
  <si>
    <t>L1G</t>
  </si>
  <si>
    <t>L1H</t>
  </si>
  <si>
    <t>L1J</t>
  </si>
  <si>
    <t>L1K</t>
  </si>
  <si>
    <t>L1L</t>
  </si>
  <si>
    <t>L1M</t>
  </si>
  <si>
    <t>L1N</t>
  </si>
  <si>
    <t>L1P</t>
  </si>
  <si>
    <t>L1R</t>
  </si>
  <si>
    <t>L1S</t>
  </si>
  <si>
    <t>L1T</t>
  </si>
  <si>
    <t>L1V</t>
  </si>
  <si>
    <t>L1W</t>
  </si>
  <si>
    <t>L1X</t>
  </si>
  <si>
    <t>L1Y</t>
  </si>
  <si>
    <t>L1Z</t>
  </si>
  <si>
    <t>L2A</t>
  </si>
  <si>
    <t>L2E</t>
  </si>
  <si>
    <t>L2G</t>
  </si>
  <si>
    <t>L2H</t>
  </si>
  <si>
    <t>L2J</t>
  </si>
  <si>
    <t>L2M</t>
  </si>
  <si>
    <t>L2N</t>
  </si>
  <si>
    <t>L2P</t>
  </si>
  <si>
    <t>L2R</t>
  </si>
  <si>
    <t>L2S</t>
  </si>
  <si>
    <t>L2T</t>
  </si>
  <si>
    <t>L2V</t>
  </si>
  <si>
    <t>L2W</t>
  </si>
  <si>
    <t>L3B</t>
  </si>
  <si>
    <t>L3C</t>
  </si>
  <si>
    <t>L3K</t>
  </si>
  <si>
    <t>L3M</t>
  </si>
  <si>
    <t>L3P</t>
  </si>
  <si>
    <t>L3R</t>
  </si>
  <si>
    <t>L3S</t>
  </si>
  <si>
    <t>L3T</t>
  </si>
  <si>
    <t>L3V</t>
  </si>
  <si>
    <t>L3X</t>
  </si>
  <si>
    <t>L3Y</t>
  </si>
  <si>
    <t>L3Z</t>
  </si>
  <si>
    <t>L4A</t>
  </si>
  <si>
    <t>L4B</t>
  </si>
  <si>
    <t>L4C</t>
  </si>
  <si>
    <t>L4E</t>
  </si>
  <si>
    <t>L4G</t>
  </si>
  <si>
    <t>L4H</t>
  </si>
  <si>
    <t>L4J</t>
  </si>
  <si>
    <t>L4K</t>
  </si>
  <si>
    <t>L4L</t>
  </si>
  <si>
    <t>L4M</t>
  </si>
  <si>
    <t>L4N</t>
  </si>
  <si>
    <t>L4P</t>
  </si>
  <si>
    <t>L4R</t>
  </si>
  <si>
    <t>L4S</t>
  </si>
  <si>
    <t>L4T</t>
  </si>
  <si>
    <t>L4V</t>
  </si>
  <si>
    <t>L4W</t>
  </si>
  <si>
    <t>L4X</t>
  </si>
  <si>
    <t>L4Y</t>
  </si>
  <si>
    <t>L4Z</t>
  </si>
  <si>
    <t>L5A</t>
  </si>
  <si>
    <t>L5B</t>
  </si>
  <si>
    <t>L5C</t>
  </si>
  <si>
    <t>L5E</t>
  </si>
  <si>
    <t>L5G</t>
  </si>
  <si>
    <t>L5H</t>
  </si>
  <si>
    <t>L5J</t>
  </si>
  <si>
    <t>L5K</t>
  </si>
  <si>
    <t>L5L</t>
  </si>
  <si>
    <t>L5M</t>
  </si>
  <si>
    <t>L5N</t>
  </si>
  <si>
    <t>L5P</t>
  </si>
  <si>
    <t>L5R</t>
  </si>
  <si>
    <t>L5S</t>
  </si>
  <si>
    <t>L5T</t>
  </si>
  <si>
    <t>L5V</t>
  </si>
  <si>
    <t>L5W</t>
  </si>
  <si>
    <t>L6A</t>
  </si>
  <si>
    <t>L6B</t>
  </si>
  <si>
    <t>L6C</t>
  </si>
  <si>
    <t>L6E</t>
  </si>
  <si>
    <t>L6G</t>
  </si>
  <si>
    <t>L6H</t>
  </si>
  <si>
    <t>L6J</t>
  </si>
  <si>
    <t>L6K</t>
  </si>
  <si>
    <t>L6L</t>
  </si>
  <si>
    <t>L6M</t>
  </si>
  <si>
    <t>L6P</t>
  </si>
  <si>
    <t>L6R</t>
  </si>
  <si>
    <t>L6S</t>
  </si>
  <si>
    <t>L6T</t>
  </si>
  <si>
    <t>L6V</t>
  </si>
  <si>
    <t>L6W</t>
  </si>
  <si>
    <t>L6X</t>
  </si>
  <si>
    <t>L6Y</t>
  </si>
  <si>
    <t>L6Z</t>
  </si>
  <si>
    <t>L7A</t>
  </si>
  <si>
    <t>L7B</t>
  </si>
  <si>
    <t>L7C</t>
  </si>
  <si>
    <t>L7E</t>
  </si>
  <si>
    <t>L7G</t>
  </si>
  <si>
    <t>L7J</t>
  </si>
  <si>
    <t>L7K</t>
  </si>
  <si>
    <t>L7L</t>
  </si>
  <si>
    <t>L7M</t>
  </si>
  <si>
    <t>L7N</t>
  </si>
  <si>
    <t>L7P</t>
  </si>
  <si>
    <t>L7R</t>
  </si>
  <si>
    <t>L7S</t>
  </si>
  <si>
    <t>L7T</t>
  </si>
  <si>
    <t>L8E</t>
  </si>
  <si>
    <t>L8G</t>
  </si>
  <si>
    <t>L8H</t>
  </si>
  <si>
    <t>L8J</t>
  </si>
  <si>
    <t>L8K</t>
  </si>
  <si>
    <t>L8L</t>
  </si>
  <si>
    <t>L8M</t>
  </si>
  <si>
    <t>L8N</t>
  </si>
  <si>
    <t>L8P</t>
  </si>
  <si>
    <t>L8R</t>
  </si>
  <si>
    <t>L8S</t>
  </si>
  <si>
    <t>L8T</t>
  </si>
  <si>
    <t>L8V</t>
  </si>
  <si>
    <t>L8W</t>
  </si>
  <si>
    <t>L9A</t>
  </si>
  <si>
    <t>L9B</t>
  </si>
  <si>
    <t>L9C</t>
  </si>
  <si>
    <t>L9G</t>
  </si>
  <si>
    <t>L9H</t>
  </si>
  <si>
    <t>L9J</t>
  </si>
  <si>
    <t>L9K</t>
  </si>
  <si>
    <t>L9L</t>
  </si>
  <si>
    <t>L9M</t>
  </si>
  <si>
    <t>L9N</t>
  </si>
  <si>
    <t>L9P</t>
  </si>
  <si>
    <t>L9R</t>
  </si>
  <si>
    <t>L9S</t>
  </si>
  <si>
    <t>L9T</t>
  </si>
  <si>
    <t>L9V</t>
  </si>
  <si>
    <t>L9W</t>
  </si>
  <si>
    <t>L9Y</t>
  </si>
  <si>
    <t>L9Z</t>
  </si>
  <si>
    <t>M1B</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</si>
  <si>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</si>
  <si>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</si>
  <si>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</si>
  <si>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</si>
  <si>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</si>
  <si>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</si>
  <si>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</si>
  <si>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</si>
  <si>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</si>
  <si>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</si>
  <si>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</si>
  <si>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</si>
  <si>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</si>
  <si>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</si>
  <si>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</si>
  <si>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</si>
  <si>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</si>
  <si>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</si>
  <si>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</si>
  <si>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</si>
  <si>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</si>
  <si>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</si>
  <si>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</si>
  <si>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</si>
  <si>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</si>
  <si>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</si>
  <si>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</si>
  <si>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</si>
  <si>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</si>
  <si>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</si>
  <si>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</si>
  <si>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</si>
  <si>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</si>
  <si>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</si>
  <si>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</si>
  <si>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</si>
  <si>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</si>
  <si>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</si>
  <si>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</si>
  <si>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</si>
  <si>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</si>
  <si>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</si>
  <si>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</si>
  <si>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</si>
  <si>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</si>
  <si>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</si>
  <si>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</si>
  <si>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</si>
  <si>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</si>
  <si>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</si>
  <si>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</si>
  <si>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</si>
  <si>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</si>
  <si>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</si>
  <si>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</si>
  <si>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</si>
  <si>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</si>
  <si>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</si>
  <si>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</si>
  <si>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M5K</t>
  </si>
  <si>
    <t>M5L</t>
  </si>
  <si>
    <t>M5M</t>
  </si>
  <si>
    <t>M5N</t>
  </si>
  <si>
    <t>M5P</t>
  </si>
  <si>
    <t>M5R</t>
  </si>
  <si>
    <t>M5S</t>
  </si>
  <si>
    <t>M5T</t>
  </si>
  <si>
    <t>M5V</t>
  </si>
  <si>
    <t>M5W</t>
  </si>
  <si>
    <t>M5X</t>
  </si>
  <si>
    <t>M6A</t>
  </si>
  <si>
    <t>M6B</t>
  </si>
  <si>
    <t>M6C</t>
  </si>
  <si>
    <t>M6E</t>
  </si>
  <si>
    <t>M6G</t>
  </si>
  <si>
    <t>M6H</t>
  </si>
  <si>
    <t>M6J</t>
  </si>
  <si>
    <t>M6K</t>
  </si>
  <si>
    <t>M6L</t>
  </si>
  <si>
    <t>M6M</t>
  </si>
  <si>
    <t>M6N</t>
  </si>
  <si>
    <t>M6P</t>
  </si>
  <si>
    <t>M6R</t>
  </si>
  <si>
    <t>M6S</t>
  </si>
  <si>
    <t>M7A</t>
  </si>
  <si>
    <t>M7Y</t>
  </si>
  <si>
    <t>M8V</t>
  </si>
  <si>
    <t>M8W</t>
  </si>
  <si>
    <t>M8X</t>
  </si>
  <si>
    <t>M8Y</t>
  </si>
  <si>
    <t>M8Z</t>
  </si>
  <si>
    <t>M9A</t>
  </si>
  <si>
    <t>M9B</t>
  </si>
  <si>
    <t>M9C</t>
  </si>
  <si>
    <t>M9L</t>
  </si>
  <si>
    <t>M9M</t>
  </si>
  <si>
    <t>M9N</t>
  </si>
  <si>
    <t>M9P</t>
  </si>
  <si>
    <t>M9R</t>
  </si>
  <si>
    <t>M9V</t>
  </si>
  <si>
    <t>M9W</t>
  </si>
  <si>
    <t>N0A</t>
  </si>
  <si>
    <t>N0B</t>
  </si>
  <si>
    <t>N0C</t>
  </si>
  <si>
    <t>N0E</t>
  </si>
  <si>
    <t>N0G</t>
  </si>
  <si>
    <t>N0H</t>
  </si>
  <si>
    <t>N0J</t>
  </si>
  <si>
    <t>N0K</t>
  </si>
  <si>
    <t>N0L</t>
  </si>
  <si>
    <t>N0M</t>
  </si>
  <si>
    <t>N0N</t>
  </si>
  <si>
    <t>N0P</t>
  </si>
  <si>
    <t>N0R</t>
  </si>
  <si>
    <t>N1A</t>
  </si>
  <si>
    <t>N1C</t>
  </si>
  <si>
    <t>N1E</t>
  </si>
  <si>
    <t>N1G</t>
  </si>
  <si>
    <t>N1H</t>
  </si>
  <si>
    <t>N1K</t>
  </si>
  <si>
    <t>N1L</t>
  </si>
  <si>
    <t>N1M</t>
  </si>
  <si>
    <t>N1P</t>
  </si>
  <si>
    <t>N1R</t>
  </si>
  <si>
    <t>N1S</t>
  </si>
  <si>
    <t>N1T</t>
  </si>
  <si>
    <t>N2A</t>
  </si>
  <si>
    <t>N2B</t>
  </si>
  <si>
    <t>N2C</t>
  </si>
  <si>
    <t>N2E</t>
  </si>
  <si>
    <t>N2G</t>
  </si>
  <si>
    <t>N2H</t>
  </si>
  <si>
    <t>N2J</t>
  </si>
  <si>
    <t>N2K</t>
  </si>
  <si>
    <t>N2L</t>
  </si>
  <si>
    <t>N2M</t>
  </si>
  <si>
    <t>N2N</t>
  </si>
  <si>
    <t>N2P</t>
  </si>
  <si>
    <t>N2R</t>
  </si>
  <si>
    <t>N2T</t>
  </si>
  <si>
    <t>N2V</t>
  </si>
  <si>
    <t>N2Z</t>
  </si>
  <si>
    <t>N3A</t>
  </si>
  <si>
    <t>N3B</t>
  </si>
  <si>
    <t>N3C</t>
  </si>
  <si>
    <t>N3E</t>
  </si>
  <si>
    <t>N3H</t>
  </si>
  <si>
    <t>N3L</t>
  </si>
  <si>
    <t>N3P</t>
  </si>
  <si>
    <t>N3R</t>
  </si>
  <si>
    <t>N3S</t>
  </si>
  <si>
    <t>N3T</t>
  </si>
  <si>
    <t>N3V</t>
  </si>
  <si>
    <t>N3W</t>
  </si>
  <si>
    <t>N3Y</t>
  </si>
  <si>
    <t>N4B</t>
  </si>
  <si>
    <t>N4G</t>
  </si>
  <si>
    <t>N4K</t>
  </si>
  <si>
    <t>N4L</t>
  </si>
  <si>
    <t>N4N</t>
  </si>
  <si>
    <t>N4S</t>
  </si>
  <si>
    <t>N4T</t>
  </si>
  <si>
    <t>N4V</t>
  </si>
  <si>
    <t>N4W</t>
  </si>
  <si>
    <t>N4X</t>
  </si>
  <si>
    <t>N4Z</t>
  </si>
  <si>
    <t>N5A</t>
  </si>
  <si>
    <t>N5C</t>
  </si>
  <si>
    <t>N5H</t>
  </si>
  <si>
    <t>N5L</t>
  </si>
  <si>
    <t>N5P</t>
  </si>
  <si>
    <t>N5R</t>
  </si>
  <si>
    <t>N5V</t>
  </si>
  <si>
    <t>N5W</t>
  </si>
  <si>
    <t>N5X</t>
  </si>
  <si>
    <t>N5Y</t>
  </si>
  <si>
    <t>N5Z</t>
  </si>
  <si>
    <t>N6A</t>
  </si>
  <si>
    <t>N6B</t>
  </si>
  <si>
    <t>N6C</t>
  </si>
  <si>
    <t>N6E</t>
  </si>
  <si>
    <t>N6G</t>
  </si>
  <si>
    <t>N6H</t>
  </si>
  <si>
    <t>N6J</t>
  </si>
  <si>
    <t>N6K</t>
  </si>
  <si>
    <t>N6L</t>
  </si>
  <si>
    <t>N6M</t>
  </si>
  <si>
    <t>N6N</t>
  </si>
  <si>
    <t>N6P</t>
  </si>
  <si>
    <t>N7A</t>
  </si>
  <si>
    <t>N7G</t>
  </si>
  <si>
    <t>N7L</t>
  </si>
  <si>
    <t>N7M</t>
  </si>
  <si>
    <t>N7S</t>
  </si>
  <si>
    <t>N7T</t>
  </si>
  <si>
    <t>N7V</t>
  </si>
  <si>
    <t>N7W</t>
  </si>
  <si>
    <t>N7X</t>
  </si>
  <si>
    <t>N8A</t>
  </si>
  <si>
    <t>N8H</t>
  </si>
  <si>
    <t>N8M</t>
  </si>
  <si>
    <t>N8N</t>
  </si>
  <si>
    <t>N8P</t>
  </si>
  <si>
    <t>N8R</t>
  </si>
  <si>
    <t>N8S</t>
  </si>
  <si>
    <t>N8T</t>
  </si>
  <si>
    <t>N8V</t>
  </si>
  <si>
    <t>N8W</t>
  </si>
  <si>
    <t>N8X</t>
  </si>
  <si>
    <t>N8Y</t>
  </si>
  <si>
    <t>N9A</t>
  </si>
  <si>
    <t>N9B</t>
  </si>
  <si>
    <t>N9C</t>
  </si>
  <si>
    <t>N9E</t>
  </si>
  <si>
    <t>N9G</t>
  </si>
  <si>
    <t>N9H</t>
  </si>
  <si>
    <t>N9J</t>
  </si>
  <si>
    <t>N9K</t>
  </si>
  <si>
    <t>N9V</t>
  </si>
  <si>
    <t>N9Y</t>
  </si>
  <si>
    <t>P0A</t>
  </si>
  <si>
    <t>P0B</t>
  </si>
  <si>
    <t>P0C</t>
  </si>
  <si>
    <t>P0E</t>
  </si>
  <si>
    <t>P0G</t>
  </si>
  <si>
    <t>P0H</t>
  </si>
  <si>
    <t>P0J</t>
  </si>
  <si>
    <t>P0K</t>
  </si>
  <si>
    <t>P0L</t>
  </si>
  <si>
    <t>P0M</t>
  </si>
  <si>
    <t>P0N</t>
  </si>
  <si>
    <t>P0P</t>
  </si>
  <si>
    <t>P0R</t>
  </si>
  <si>
    <t>P0S</t>
  </si>
  <si>
    <t>P0T</t>
  </si>
  <si>
    <t>P0V</t>
  </si>
  <si>
    <t>P0W</t>
  </si>
  <si>
    <t>P0X</t>
  </si>
  <si>
    <t>P0Y</t>
  </si>
  <si>
    <t>P1A</t>
  </si>
  <si>
    <t>P1B</t>
  </si>
  <si>
    <t>P1C</t>
  </si>
  <si>
    <t>P1H</t>
  </si>
  <si>
    <t>P1L</t>
  </si>
  <si>
    <t>P1P</t>
  </si>
  <si>
    <t>P2A</t>
  </si>
  <si>
    <t>P2B</t>
  </si>
  <si>
    <t>P2N</t>
  </si>
  <si>
    <t>P3A</t>
  </si>
  <si>
    <t>P3B</t>
  </si>
  <si>
    <t>P3C</t>
  </si>
  <si>
    <t>P3E</t>
  </si>
  <si>
    <t>P3G</t>
  </si>
  <si>
    <t>P3L</t>
  </si>
  <si>
    <t>P3N</t>
  </si>
  <si>
    <t>P3P</t>
  </si>
  <si>
    <t>P3Y</t>
  </si>
  <si>
    <t>P4N</t>
  </si>
  <si>
    <t>P4P</t>
  </si>
  <si>
    <t>P4R</t>
  </si>
  <si>
    <t>P5A</t>
  </si>
  <si>
    <t>P5E</t>
  </si>
  <si>
    <t>P5N</t>
  </si>
  <si>
    <t>P6A</t>
  </si>
  <si>
    <t>P6B</t>
  </si>
  <si>
    <t>P6C</t>
  </si>
  <si>
    <t>P7A</t>
  </si>
  <si>
    <t>P7B</t>
  </si>
  <si>
    <t>P7C</t>
  </si>
  <si>
    <t>P7E</t>
  </si>
  <si>
    <t>P7G</t>
  </si>
  <si>
    <t>P7J</t>
  </si>
  <si>
    <t>P7K</t>
  </si>
  <si>
    <t>P7L</t>
  </si>
  <si>
    <t>P8N</t>
  </si>
  <si>
    <t>P8T</t>
  </si>
  <si>
    <t>P9A</t>
  </si>
  <si>
    <t>P9N</t>
  </si>
  <si>
    <t>R0A</t>
  </si>
  <si>
    <t>WEST_E04</t>
  </si>
  <si>
    <t>West (excl. BC)</t>
  </si>
  <si>
    <t>Algorithm_WEST</t>
  </si>
  <si>
    <t>R0B</t>
  </si>
  <si>
    <t>WEST_E01</t>
  </si>
  <si>
    <t>R0C</t>
  </si>
  <si>
    <t>WEST_E02</t>
  </si>
  <si>
    <t>R0E</t>
  </si>
  <si>
    <t>R0G</t>
  </si>
  <si>
    <t>R0H</t>
  </si>
  <si>
    <t>WEST_E03</t>
  </si>
  <si>
    <t>R0J</t>
  </si>
  <si>
    <t>R0K</t>
  </si>
  <si>
    <t>R0L</t>
  </si>
  <si>
    <t>R0M</t>
  </si>
  <si>
    <t>R1A</t>
  </si>
  <si>
    <t>R1B</t>
  </si>
  <si>
    <t>R1C</t>
  </si>
  <si>
    <t>R1N</t>
  </si>
  <si>
    <t>R2C</t>
  </si>
  <si>
    <t>R2E</t>
  </si>
  <si>
    <t>R2G</t>
  </si>
  <si>
    <t>R2H</t>
  </si>
  <si>
    <t>R2J</t>
  </si>
  <si>
    <t>R2K</t>
  </si>
  <si>
    <t>R2L</t>
  </si>
  <si>
    <t>R2M</t>
  </si>
  <si>
    <t>R2N</t>
  </si>
  <si>
    <t>R2P</t>
  </si>
  <si>
    <t>R2R</t>
  </si>
  <si>
    <t>R2V</t>
  </si>
  <si>
    <t>R2W</t>
  </si>
  <si>
    <t>R2X</t>
  </si>
  <si>
    <t>R2Y</t>
  </si>
  <si>
    <t>R3A</t>
  </si>
  <si>
    <t>R3B</t>
  </si>
  <si>
    <t>R3C</t>
  </si>
  <si>
    <t>R3E</t>
  </si>
  <si>
    <t>R3G</t>
  </si>
  <si>
    <t>R3H</t>
  </si>
  <si>
    <t>R3J</t>
  </si>
  <si>
    <t>R3K</t>
  </si>
  <si>
    <t>R3L</t>
  </si>
  <si>
    <t>R3M</t>
  </si>
  <si>
    <t>R3N</t>
  </si>
  <si>
    <t>R3P</t>
  </si>
  <si>
    <t>R3R</t>
  </si>
  <si>
    <t>R3S</t>
  </si>
  <si>
    <t>R3T</t>
  </si>
  <si>
    <t>R3V</t>
  </si>
  <si>
    <t>R3W</t>
  </si>
  <si>
    <t>R3X</t>
  </si>
  <si>
    <t>R3Y</t>
  </si>
  <si>
    <t>R4A</t>
  </si>
  <si>
    <t>R4H</t>
  </si>
  <si>
    <t>R4J</t>
  </si>
  <si>
    <t>R4K</t>
  </si>
  <si>
    <t>R4L</t>
  </si>
  <si>
    <t>R5A</t>
  </si>
  <si>
    <t>R5G</t>
  </si>
  <si>
    <t>R5H</t>
  </si>
  <si>
    <t>R6M</t>
  </si>
  <si>
    <t>R6W</t>
  </si>
  <si>
    <t>R7A</t>
  </si>
  <si>
    <t>R7B</t>
  </si>
  <si>
    <t>R7C</t>
  </si>
  <si>
    <t>R7N</t>
  </si>
  <si>
    <t>R8A</t>
  </si>
  <si>
    <t>R8N</t>
  </si>
  <si>
    <t>R9A</t>
  </si>
  <si>
    <t>S0A</t>
  </si>
  <si>
    <t>S0C</t>
  </si>
  <si>
    <t>WEST_E06</t>
  </si>
  <si>
    <t>S0E</t>
  </si>
  <si>
    <t>S0G</t>
  </si>
  <si>
    <t>S0H</t>
  </si>
  <si>
    <t>S0J</t>
  </si>
  <si>
    <t>S0K</t>
  </si>
  <si>
    <t>S0L</t>
  </si>
  <si>
    <t>S0M</t>
  </si>
  <si>
    <t>S0N</t>
  </si>
  <si>
    <t>S0P</t>
  </si>
  <si>
    <t>S2V</t>
  </si>
  <si>
    <t>S3N</t>
  </si>
  <si>
    <t>S4A</t>
  </si>
  <si>
    <t>S4H</t>
  </si>
  <si>
    <t>WEST_E07</t>
  </si>
  <si>
    <t>S4L</t>
  </si>
  <si>
    <t>S4M</t>
  </si>
  <si>
    <t>S4N</t>
  </si>
  <si>
    <t>S4P</t>
  </si>
  <si>
    <t>S4R</t>
  </si>
  <si>
    <t>S4S</t>
  </si>
  <si>
    <t>S4T</t>
  </si>
  <si>
    <t>S4V</t>
  </si>
  <si>
    <t>S4W</t>
  </si>
  <si>
    <t>S4X</t>
  </si>
  <si>
    <t>S4Y</t>
  </si>
  <si>
    <t>S4Z</t>
  </si>
  <si>
    <t>S6H</t>
  </si>
  <si>
    <t>S6J</t>
  </si>
  <si>
    <t>S6K</t>
  </si>
  <si>
    <t>S6V</t>
  </si>
  <si>
    <t>S6W</t>
  </si>
  <si>
    <t>S6X</t>
  </si>
  <si>
    <t>S7H</t>
  </si>
  <si>
    <t>S7J</t>
  </si>
  <si>
    <t>S7K</t>
  </si>
  <si>
    <t>S7L</t>
  </si>
  <si>
    <t>S7M</t>
  </si>
  <si>
    <t>S7N</t>
  </si>
  <si>
    <t>S7P</t>
  </si>
  <si>
    <t>S7R</t>
  </si>
  <si>
    <t>S7S</t>
  </si>
  <si>
    <t>S7T</t>
  </si>
  <si>
    <t>S7V</t>
  </si>
  <si>
    <t>S7W</t>
  </si>
  <si>
    <t>S9A</t>
  </si>
  <si>
    <t>S9H</t>
  </si>
  <si>
    <t>S9V</t>
  </si>
  <si>
    <t>S9X</t>
  </si>
  <si>
    <t>T0A</t>
  </si>
  <si>
    <t>T0B</t>
  </si>
  <si>
    <t>T0C</t>
  </si>
  <si>
    <t>T0E</t>
  </si>
  <si>
    <t>T0G</t>
  </si>
  <si>
    <t>WEST_E05</t>
  </si>
  <si>
    <t>T0H</t>
  </si>
  <si>
    <t>T0J</t>
  </si>
  <si>
    <t>T0K</t>
  </si>
  <si>
    <t>T0L</t>
  </si>
  <si>
    <t>T0M</t>
  </si>
  <si>
    <t>T0N</t>
  </si>
  <si>
    <t>T0P</t>
  </si>
  <si>
    <t>T0V</t>
  </si>
  <si>
    <t>T1A</t>
  </si>
  <si>
    <t>T1B</t>
  </si>
  <si>
    <t>T1C</t>
  </si>
  <si>
    <t>T1G</t>
  </si>
  <si>
    <t>T1H</t>
  </si>
  <si>
    <t>T1J</t>
  </si>
  <si>
    <t>T1K</t>
  </si>
  <si>
    <t>T1L</t>
  </si>
  <si>
    <t>T1M</t>
  </si>
  <si>
    <t>T1P</t>
  </si>
  <si>
    <t>T1R</t>
  </si>
  <si>
    <t>T1S</t>
  </si>
  <si>
    <t>T1V</t>
  </si>
  <si>
    <t>T1W</t>
  </si>
  <si>
    <t>T1X</t>
  </si>
  <si>
    <t>T1Y</t>
  </si>
  <si>
    <t>T1Z</t>
  </si>
  <si>
    <t>T2A</t>
  </si>
  <si>
    <t>T2B</t>
  </si>
  <si>
    <t>T2C</t>
  </si>
  <si>
    <t>T2E</t>
  </si>
  <si>
    <t>T2G</t>
  </si>
  <si>
    <t>T2H</t>
  </si>
  <si>
    <t>T2J</t>
  </si>
  <si>
    <t>T2K</t>
  </si>
  <si>
    <t>T2L</t>
  </si>
  <si>
    <t>T2M</t>
  </si>
  <si>
    <t>T2N</t>
  </si>
  <si>
    <t>T2P</t>
  </si>
  <si>
    <t>T2R</t>
  </si>
  <si>
    <t>T2S</t>
  </si>
  <si>
    <t>T2T</t>
  </si>
  <si>
    <t>T2V</t>
  </si>
  <si>
    <t>T2W</t>
  </si>
  <si>
    <t>T2X</t>
  </si>
  <si>
    <t>T2Y</t>
  </si>
  <si>
    <t>T2Z</t>
  </si>
  <si>
    <t>T3A</t>
  </si>
  <si>
    <t>T3B</t>
  </si>
  <si>
    <t>T3C</t>
  </si>
  <si>
    <t>T3E</t>
  </si>
  <si>
    <t>T3G</t>
  </si>
  <si>
    <t>T3H</t>
  </si>
  <si>
    <t>T3J</t>
  </si>
  <si>
    <t>T3K</t>
  </si>
  <si>
    <t>T3L</t>
  </si>
  <si>
    <t>T3M</t>
  </si>
  <si>
    <t>T3N</t>
  </si>
  <si>
    <t>T3P</t>
  </si>
  <si>
    <t>T3R</t>
  </si>
  <si>
    <t>T3S</t>
  </si>
  <si>
    <t>T3Z</t>
  </si>
  <si>
    <t>T4A</t>
  </si>
  <si>
    <t>T4B</t>
  </si>
  <si>
    <t>T4C</t>
  </si>
  <si>
    <t>T4E</t>
  </si>
  <si>
    <t>T4G</t>
  </si>
  <si>
    <t>T4H</t>
  </si>
  <si>
    <t>T4J</t>
  </si>
  <si>
    <t>T4L</t>
  </si>
  <si>
    <t>T4N</t>
  </si>
  <si>
    <t>T4P</t>
  </si>
  <si>
    <t>T4R</t>
  </si>
  <si>
    <t>T4S</t>
  </si>
  <si>
    <t>T4T</t>
  </si>
  <si>
    <t>T4V</t>
  </si>
  <si>
    <t>T4X</t>
  </si>
  <si>
    <t>T5A</t>
  </si>
  <si>
    <t>T5B</t>
  </si>
  <si>
    <t>T5C</t>
  </si>
  <si>
    <t>T5E</t>
  </si>
  <si>
    <t>T5G</t>
  </si>
  <si>
    <t>T5H</t>
  </si>
  <si>
    <t>T5J</t>
  </si>
  <si>
    <t>T5K</t>
  </si>
  <si>
    <t>T5L</t>
  </si>
  <si>
    <t>T5M</t>
  </si>
  <si>
    <t>T5N</t>
  </si>
  <si>
    <t>T5P</t>
  </si>
  <si>
    <t>T5R</t>
  </si>
  <si>
    <t>T5S</t>
  </si>
  <si>
    <t>T5T</t>
  </si>
  <si>
    <t>T5V</t>
  </si>
  <si>
    <t>T5W</t>
  </si>
  <si>
    <t>T5X</t>
  </si>
  <si>
    <t>T5Y</t>
  </si>
  <si>
    <t>T5Z</t>
  </si>
  <si>
    <t>T6A</t>
  </si>
  <si>
    <t>T6B</t>
  </si>
  <si>
    <t>T6C</t>
  </si>
  <si>
    <t>T6E</t>
  </si>
  <si>
    <t>T6G</t>
  </si>
  <si>
    <t>T6H</t>
  </si>
  <si>
    <t>T6J</t>
  </si>
  <si>
    <t>T6K</t>
  </si>
  <si>
    <t>T6L</t>
  </si>
  <si>
    <t>T6M</t>
  </si>
  <si>
    <t>T6N</t>
  </si>
  <si>
    <t>T6P</t>
  </si>
  <si>
    <t>T6R</t>
  </si>
  <si>
    <t>T6S</t>
  </si>
  <si>
    <t>T6T</t>
  </si>
  <si>
    <t>T6V</t>
  </si>
  <si>
    <t>T6W</t>
  </si>
  <si>
    <t>T6X</t>
  </si>
  <si>
    <t>T7A</t>
  </si>
  <si>
    <t>T7E</t>
  </si>
  <si>
    <t>T7N</t>
  </si>
  <si>
    <t>T7P</t>
  </si>
  <si>
    <t>T7S</t>
  </si>
  <si>
    <t>T7V</t>
  </si>
  <si>
    <t>T7X</t>
  </si>
  <si>
    <t>T7Y</t>
  </si>
  <si>
    <t>T7Z</t>
  </si>
  <si>
    <t>T8A</t>
  </si>
  <si>
    <t>T8B</t>
  </si>
  <si>
    <t>T8C</t>
  </si>
  <si>
    <t>T8E</t>
  </si>
  <si>
    <t>T8G</t>
  </si>
  <si>
    <t>T8H</t>
  </si>
  <si>
    <t>T8L</t>
  </si>
  <si>
    <t>T8N</t>
  </si>
  <si>
    <t>T8R</t>
  </si>
  <si>
    <t>T8S</t>
  </si>
  <si>
    <t>T8T</t>
  </si>
  <si>
    <t>T8V</t>
  </si>
  <si>
    <t>T8W</t>
  </si>
  <si>
    <t>T8X</t>
  </si>
  <si>
    <t>T9A</t>
  </si>
  <si>
    <t>T9C</t>
  </si>
  <si>
    <t>T9E</t>
  </si>
  <si>
    <t>T9G</t>
  </si>
  <si>
    <t>T9H</t>
  </si>
  <si>
    <t>T9J</t>
  </si>
  <si>
    <t>T9K</t>
  </si>
  <si>
    <t>T9M</t>
  </si>
  <si>
    <t>T9N</t>
  </si>
  <si>
    <t>T9S</t>
  </si>
  <si>
    <t>T9V</t>
  </si>
  <si>
    <t>T9W</t>
  </si>
  <si>
    <t>T9X</t>
  </si>
  <si>
    <t>V0A</t>
  </si>
  <si>
    <t>BC_E01</t>
  </si>
  <si>
    <t>Algorithm_BC</t>
  </si>
  <si>
    <t>Algorithm_West_2590</t>
  </si>
  <si>
    <t>Algorithm_BC_Eco</t>
  </si>
  <si>
    <t>V0B</t>
  </si>
  <si>
    <t>BC_E02</t>
  </si>
  <si>
    <t>V0C</t>
  </si>
  <si>
    <t>V0E</t>
  </si>
  <si>
    <t>V0G</t>
  </si>
  <si>
    <t>V0H</t>
  </si>
  <si>
    <t>V0J</t>
  </si>
  <si>
    <t>V0K</t>
  </si>
  <si>
    <t>V0L</t>
  </si>
  <si>
    <t>V0M</t>
  </si>
  <si>
    <t>BC_E04</t>
  </si>
  <si>
    <t>V0N</t>
  </si>
  <si>
    <t>BC_E07</t>
  </si>
  <si>
    <t>V0P</t>
  </si>
  <si>
    <t>BC_E08</t>
  </si>
  <si>
    <t>V0R</t>
  </si>
  <si>
    <t>BC_E10</t>
  </si>
  <si>
    <t>V0S</t>
  </si>
  <si>
    <t>V0T</t>
  </si>
  <si>
    <t>V0V</t>
  </si>
  <si>
    <t>V0W</t>
  </si>
  <si>
    <t>V0X</t>
  </si>
  <si>
    <t>BC_E05</t>
  </si>
  <si>
    <t>V1A</t>
  </si>
  <si>
    <t>V1B</t>
  </si>
  <si>
    <t>V1C</t>
  </si>
  <si>
    <t>V1E</t>
  </si>
  <si>
    <t>V1G</t>
  </si>
  <si>
    <t>V1H</t>
  </si>
  <si>
    <t>V1J</t>
  </si>
  <si>
    <t>V1K</t>
  </si>
  <si>
    <t>V1L</t>
  </si>
  <si>
    <t>V1M</t>
  </si>
  <si>
    <t>W3</t>
  </si>
  <si>
    <t>V1N</t>
  </si>
  <si>
    <t>V1P</t>
  </si>
  <si>
    <t>V1R</t>
  </si>
  <si>
    <t>V1S</t>
  </si>
  <si>
    <t>V1T</t>
  </si>
  <si>
    <t>V1V</t>
  </si>
  <si>
    <t>V1W</t>
  </si>
  <si>
    <t>V1X</t>
  </si>
  <si>
    <t>V1Y</t>
  </si>
  <si>
    <t>V1Z</t>
  </si>
  <si>
    <t>V2A</t>
  </si>
  <si>
    <t>V2B</t>
  </si>
  <si>
    <t>V2C</t>
  </si>
  <si>
    <t>V2E</t>
  </si>
  <si>
    <t>V2G</t>
  </si>
  <si>
    <t>V2H</t>
  </si>
  <si>
    <t>V2J</t>
  </si>
  <si>
    <t>V2K</t>
  </si>
  <si>
    <t>V2L</t>
  </si>
  <si>
    <t>V2M</t>
  </si>
  <si>
    <t>V2N</t>
  </si>
  <si>
    <t>V2P</t>
  </si>
  <si>
    <t>BC_E06</t>
  </si>
  <si>
    <t>V2R</t>
  </si>
  <si>
    <t>V2S</t>
  </si>
  <si>
    <t>W5</t>
  </si>
  <si>
    <t>V2T</t>
  </si>
  <si>
    <t>V2V</t>
  </si>
  <si>
    <t>V2W</t>
  </si>
  <si>
    <t>W4</t>
  </si>
  <si>
    <t>V2X</t>
  </si>
  <si>
    <t>V2Y</t>
  </si>
  <si>
    <t>V2Z</t>
  </si>
  <si>
    <t>V3A</t>
  </si>
  <si>
    <t>V3B</t>
  </si>
  <si>
    <t>V3C</t>
  </si>
  <si>
    <t>W2</t>
  </si>
  <si>
    <t>V3E</t>
  </si>
  <si>
    <t>V3G</t>
  </si>
  <si>
    <t>V3H</t>
  </si>
  <si>
    <t>V3J</t>
  </si>
  <si>
    <t>V3K</t>
  </si>
  <si>
    <t>V3L</t>
  </si>
  <si>
    <t>V3M</t>
  </si>
  <si>
    <t>V3N</t>
  </si>
  <si>
    <t>V3R</t>
  </si>
  <si>
    <t>W1</t>
  </si>
  <si>
    <t>V3S</t>
  </si>
  <si>
    <t>V3T</t>
  </si>
  <si>
    <t>V3V</t>
  </si>
  <si>
    <t>V3W</t>
  </si>
  <si>
    <t>V3X</t>
  </si>
  <si>
    <t>V3Y</t>
  </si>
  <si>
    <t>V4A</t>
  </si>
  <si>
    <t>V4B</t>
  </si>
  <si>
    <t>V4C</t>
  </si>
  <si>
    <t>V4E</t>
  </si>
  <si>
    <t>V4G</t>
  </si>
  <si>
    <t>V4K</t>
  </si>
  <si>
    <t>BC_E09</t>
  </si>
  <si>
    <t>V4L</t>
  </si>
  <si>
    <t>V4M</t>
  </si>
  <si>
    <t>V4N</t>
  </si>
  <si>
    <t>V4P</t>
  </si>
  <si>
    <t>V4R</t>
  </si>
  <si>
    <t>V4S</t>
  </si>
  <si>
    <t>V4T</t>
  </si>
  <si>
    <t>V4V</t>
  </si>
  <si>
    <t>V4W</t>
  </si>
  <si>
    <t>V4X</t>
  </si>
  <si>
    <t>V4Z</t>
  </si>
  <si>
    <t>V5A</t>
  </si>
  <si>
    <t>V5B</t>
  </si>
  <si>
    <t>V5C</t>
  </si>
  <si>
    <t>V5E</t>
  </si>
  <si>
    <t>V5G</t>
  </si>
  <si>
    <t>V5H</t>
  </si>
  <si>
    <t>V5J</t>
  </si>
  <si>
    <t>V5K</t>
  </si>
  <si>
    <t>V5L</t>
  </si>
  <si>
    <t>V5M</t>
  </si>
  <si>
    <t>V5N</t>
  </si>
  <si>
    <t>V5P</t>
  </si>
  <si>
    <t>V5R</t>
  </si>
  <si>
    <t>V5S</t>
  </si>
  <si>
    <t>V5T</t>
  </si>
  <si>
    <t>V5V</t>
  </si>
  <si>
    <t>V5W</t>
  </si>
  <si>
    <t>V5X</t>
  </si>
  <si>
    <t>V5Y</t>
  </si>
  <si>
    <t>V5Z</t>
  </si>
  <si>
    <t>V6A</t>
  </si>
  <si>
    <t>V6B</t>
  </si>
  <si>
    <t>V6C</t>
  </si>
  <si>
    <t>V6E</t>
  </si>
  <si>
    <t>V6G</t>
  </si>
  <si>
    <t>V6H</t>
  </si>
  <si>
    <t>V6J</t>
  </si>
  <si>
    <t>V6K</t>
  </si>
  <si>
    <t>V6L</t>
  </si>
  <si>
    <t>V6M</t>
  </si>
  <si>
    <t>V6N</t>
  </si>
  <si>
    <t>V6P</t>
  </si>
  <si>
    <t>V6R</t>
  </si>
  <si>
    <t>V6S</t>
  </si>
  <si>
    <t>V6T</t>
  </si>
  <si>
    <t>V6V</t>
  </si>
  <si>
    <t>V6W</t>
  </si>
  <si>
    <t>V6X</t>
  </si>
  <si>
    <t>V6Y</t>
  </si>
  <si>
    <t>V6Z</t>
  </si>
  <si>
    <t>V7A</t>
  </si>
  <si>
    <t>V7B</t>
  </si>
  <si>
    <t>V7C</t>
  </si>
  <si>
    <t>V7E</t>
  </si>
  <si>
    <t>V7G</t>
  </si>
  <si>
    <t>V7H</t>
  </si>
  <si>
    <t>V7J</t>
  </si>
  <si>
    <t>V7K</t>
  </si>
  <si>
    <t>V7L</t>
  </si>
  <si>
    <t>V7M</t>
  </si>
  <si>
    <t>V7N</t>
  </si>
  <si>
    <t>V7P</t>
  </si>
  <si>
    <t>V7R</t>
  </si>
  <si>
    <t>V7S</t>
  </si>
  <si>
    <t>V7T</t>
  </si>
  <si>
    <t>V7V</t>
  </si>
  <si>
    <t>V7W</t>
  </si>
  <si>
    <t>V7X</t>
  </si>
  <si>
    <t>V7Y</t>
  </si>
  <si>
    <t>V8A</t>
  </si>
  <si>
    <t>V8B</t>
  </si>
  <si>
    <t>BC_E03</t>
  </si>
  <si>
    <t>V8C</t>
  </si>
  <si>
    <t>V8G</t>
  </si>
  <si>
    <t>V8J</t>
  </si>
  <si>
    <t>V8K</t>
  </si>
  <si>
    <t>V8L</t>
  </si>
  <si>
    <t>V8M</t>
  </si>
  <si>
    <t>BC_E11</t>
  </si>
  <si>
    <t>V8N</t>
  </si>
  <si>
    <t>BC_E12</t>
  </si>
  <si>
    <t>V8P</t>
  </si>
  <si>
    <t>V8R</t>
  </si>
  <si>
    <t>V8S</t>
  </si>
  <si>
    <t>V8T</t>
  </si>
  <si>
    <t>V8V</t>
  </si>
  <si>
    <t>V8W</t>
  </si>
  <si>
    <t>V8X</t>
  </si>
  <si>
    <t>V8Y</t>
  </si>
  <si>
    <t>V8Z</t>
  </si>
  <si>
    <t>V9A</t>
  </si>
  <si>
    <t>V9B</t>
  </si>
  <si>
    <t>V9C</t>
  </si>
  <si>
    <t>V9E</t>
  </si>
  <si>
    <t>V9G</t>
  </si>
  <si>
    <t>V9H</t>
  </si>
  <si>
    <t>V9J</t>
  </si>
  <si>
    <t>V9K</t>
  </si>
  <si>
    <t>V9L</t>
  </si>
  <si>
    <t>V9M</t>
  </si>
  <si>
    <t>V9N</t>
  </si>
  <si>
    <t>V9P</t>
  </si>
  <si>
    <t>V9R</t>
  </si>
  <si>
    <t>V9S</t>
  </si>
  <si>
    <t>V9T</t>
  </si>
  <si>
    <t>V9V</t>
  </si>
  <si>
    <t>V9W</t>
  </si>
  <si>
    <t>V9X</t>
  </si>
  <si>
    <t>V9Y</t>
  </si>
  <si>
    <t>V9Z</t>
  </si>
  <si>
    <t>X0A</t>
  </si>
  <si>
    <t>X0B</t>
  </si>
  <si>
    <t>X0C</t>
  </si>
  <si>
    <t>X0E</t>
  </si>
  <si>
    <t>X0G</t>
  </si>
  <si>
    <t>X0H</t>
  </si>
  <si>
    <t>X1A</t>
  </si>
  <si>
    <t>Y0A</t>
  </si>
  <si>
    <t>Y0B</t>
  </si>
  <si>
    <t>Y1A</t>
  </si>
  <si>
    <t>Temple rates</t>
  </si>
  <si>
    <t>Simulated</t>
  </si>
  <si>
    <t xml:space="preserve"> Rate</t>
  </si>
  <si>
    <t>min deductible %</t>
  </si>
  <si>
    <t>min deductible $</t>
  </si>
  <si>
    <t>Postal code</t>
  </si>
  <si>
    <t>Cresta zone</t>
  </si>
  <si>
    <t>Total valuue</t>
  </si>
  <si>
    <t>H2I</t>
  </si>
  <si>
    <t>FTUSR036</t>
  </si>
  <si>
    <t>C1D</t>
  </si>
  <si>
    <t>E0A</t>
  </si>
  <si>
    <t>E0E</t>
  </si>
  <si>
    <t>E0J</t>
  </si>
  <si>
    <t>AVIVA rates</t>
  </si>
  <si>
    <t>Formulas</t>
  </si>
  <si>
    <t>Coulumn</t>
  </si>
  <si>
    <t>G0</t>
  </si>
  <si>
    <t>Column nb</t>
  </si>
  <si>
    <t>G2</t>
  </si>
  <si>
    <t>EQ Rates Before Applying Deductible Factors</t>
  </si>
  <si>
    <t>G3</t>
  </si>
  <si>
    <t>1st 2 digits of postal code</t>
  </si>
  <si>
    <t>G4</t>
  </si>
  <si>
    <t>Row nb</t>
  </si>
  <si>
    <t>Calulated field</t>
  </si>
  <si>
    <t>#Stories</t>
  </si>
  <si>
    <t>Yr Built</t>
  </si>
  <si>
    <t>G0,G2~G6,G8~G9
J0~J2, J8~J9</t>
  </si>
  <si>
    <t>G1,G7
H0~H9
J3~J7</t>
  </si>
  <si>
    <t>G5</t>
  </si>
  <si>
    <t>1_3</t>
  </si>
  <si>
    <t>1988+</t>
  </si>
  <si>
    <t>G6</t>
  </si>
  <si>
    <t>1987-</t>
  </si>
  <si>
    <t>G8</t>
  </si>
  <si>
    <t>4+</t>
  </si>
  <si>
    <t>G9</t>
  </si>
  <si>
    <t>J0</t>
  </si>
  <si>
    <t>Other Than 3</t>
  </si>
  <si>
    <t>Applied condition Rate</t>
  </si>
  <si>
    <t>J1</t>
  </si>
  <si>
    <t>J2</t>
  </si>
  <si>
    <t>Row line</t>
  </si>
  <si>
    <t>J8</t>
  </si>
  <si>
    <t>J9</t>
  </si>
  <si>
    <t>G1</t>
  </si>
  <si>
    <t>G7</t>
  </si>
  <si>
    <t>yearbuilt</t>
  </si>
  <si>
    <t>H0</t>
  </si>
  <si>
    <t>Prior to 1989</t>
  </si>
  <si>
    <t>H1</t>
  </si>
  <si>
    <t>1989+</t>
  </si>
  <si>
    <t>H2</t>
  </si>
  <si>
    <t>H3</t>
  </si>
  <si>
    <t>Nb of storeys</t>
  </si>
  <si>
    <t>H4</t>
  </si>
  <si>
    <t>1 to 3</t>
  </si>
  <si>
    <t>H5</t>
  </si>
  <si>
    <t>H7</t>
  </si>
  <si>
    <t>H8</t>
  </si>
  <si>
    <t>Quebec Deductible Factors</t>
  </si>
  <si>
    <t>H9</t>
  </si>
  <si>
    <t>Factors</t>
  </si>
  <si>
    <t>J3</t>
  </si>
  <si>
    <t>J4</t>
  </si>
  <si>
    <t>J5</t>
  </si>
  <si>
    <t>J6</t>
  </si>
  <si>
    <t>J7</t>
  </si>
  <si>
    <t>If condition</t>
  </si>
  <si>
    <t>Letter</t>
  </si>
  <si>
    <t>Column</t>
  </si>
  <si>
    <t>3 digit</t>
  </si>
  <si>
    <t>K7</t>
  </si>
  <si>
    <t>K8</t>
  </si>
  <si>
    <t>K9</t>
  </si>
  <si>
    <t>1st 1~3 Digits of Postal Code</t>
  </si>
  <si>
    <t>L0</t>
  </si>
  <si>
    <t>K0D</t>
  </si>
  <si>
    <t>Line</t>
  </si>
  <si>
    <t>Constuction</t>
  </si>
  <si>
    <t>YearBuilt</t>
  </si>
  <si>
    <t>L&amp;M&amp;N,K7,K8,K9,K0H-K0Z</t>
  </si>
  <si>
    <t>K1,K2,K4,K6,K0A-K0G</t>
  </si>
  <si>
    <t>L1</t>
  </si>
  <si>
    <t>Row column</t>
  </si>
  <si>
    <t>L2</t>
  </si>
  <si>
    <t>K0F</t>
  </si>
  <si>
    <t>L3</t>
  </si>
  <si>
    <t>L4</t>
  </si>
  <si>
    <t>L5</t>
  </si>
  <si>
    <t>L6</t>
  </si>
  <si>
    <t>K0I</t>
  </si>
  <si>
    <t>L7</t>
  </si>
  <si>
    <t>L8</t>
  </si>
  <si>
    <t>L9</t>
  </si>
  <si>
    <t>M1</t>
  </si>
  <si>
    <t>M2</t>
  </si>
  <si>
    <t>K0N</t>
  </si>
  <si>
    <t>M3</t>
  </si>
  <si>
    <t>K0O</t>
  </si>
  <si>
    <t>Prior to 1988</t>
  </si>
  <si>
    <t>M4</t>
  </si>
  <si>
    <t>K0P</t>
  </si>
  <si>
    <t>M5</t>
  </si>
  <si>
    <t>K0Q</t>
  </si>
  <si>
    <t>M6</t>
  </si>
  <si>
    <t>K0R</t>
  </si>
  <si>
    <t>M7</t>
  </si>
  <si>
    <t>K0S</t>
  </si>
  <si>
    <t>M8</t>
  </si>
  <si>
    <t>K0T</t>
  </si>
  <si>
    <t>ON deductible Factors</t>
  </si>
  <si>
    <t>M9</t>
  </si>
  <si>
    <t>K0U</t>
  </si>
  <si>
    <t>N0</t>
  </si>
  <si>
    <t>K0V</t>
  </si>
  <si>
    <t>N1</t>
  </si>
  <si>
    <t>K0W</t>
  </si>
  <si>
    <t>N2</t>
  </si>
  <si>
    <t>K0X</t>
  </si>
  <si>
    <t>N3</t>
  </si>
  <si>
    <t>K0Y</t>
  </si>
  <si>
    <t>10% and above</t>
  </si>
  <si>
    <t>N4</t>
  </si>
  <si>
    <t>K0Z</t>
  </si>
  <si>
    <t>N5</t>
  </si>
  <si>
    <t>N6</t>
  </si>
  <si>
    <t>N7</t>
  </si>
  <si>
    <t>N8</t>
  </si>
  <si>
    <t>N9</t>
  </si>
  <si>
    <t>P0</t>
  </si>
  <si>
    <t>P1</t>
  </si>
  <si>
    <t>P2</t>
  </si>
  <si>
    <t>P3</t>
  </si>
  <si>
    <t>P4</t>
  </si>
  <si>
    <t>P5</t>
  </si>
  <si>
    <t>P6</t>
  </si>
  <si>
    <t>P7</t>
  </si>
  <si>
    <t>P8</t>
  </si>
  <si>
    <t>P9</t>
  </si>
  <si>
    <t>K1</t>
  </si>
  <si>
    <t>K2</t>
  </si>
  <si>
    <t>K4</t>
  </si>
  <si>
    <t>K6</t>
  </si>
  <si>
    <t>Column  nb</t>
  </si>
  <si>
    <t>1st 2 Digits or FSA of Postal Code</t>
  </si>
  <si>
    <t>V0</t>
  </si>
  <si>
    <t>V2_V7</t>
  </si>
  <si>
    <t>V8 &amp; V9</t>
  </si>
  <si>
    <t>V0
V0A~V0L, V0V, V0X</t>
  </si>
  <si>
    <t>V0
Other</t>
  </si>
  <si>
    <t>V2A~V2N
V4T, V4V</t>
  </si>
  <si>
    <t>V2 Other,
V3, 
V4 Other,
 V5, V6, V7</t>
  </si>
  <si>
    <t>V8A~V8J</t>
  </si>
  <si>
    <t>V8 Other,
V9</t>
  </si>
  <si>
    <t>Nb</t>
  </si>
  <si>
    <t>Construction name</t>
  </si>
  <si>
    <t>Required Minimum Deductible</t>
  </si>
  <si>
    <t>15% if built before 1960</t>
  </si>
  <si>
    <t>Row NB</t>
  </si>
  <si>
    <t>Group1_1</t>
  </si>
  <si>
    <t>Group1_2</t>
  </si>
  <si>
    <t>Group2_1</t>
  </si>
  <si>
    <t>Group2_2</t>
  </si>
  <si>
    <t>Group3_1</t>
  </si>
  <si>
    <t>Group3_2</t>
  </si>
  <si>
    <t>Group4</t>
  </si>
  <si>
    <t>1_7</t>
  </si>
  <si>
    <t>1988-</t>
  </si>
  <si>
    <t>V0D</t>
  </si>
  <si>
    <t>V0F</t>
  </si>
  <si>
    <t>V0I</t>
  </si>
  <si>
    <t>8+</t>
  </si>
  <si>
    <t>V0Q</t>
  </si>
  <si>
    <t>V0U</t>
  </si>
  <si>
    <t>V0Y</t>
  </si>
  <si>
    <t>V0Z</t>
  </si>
  <si>
    <t>1 to 7</t>
  </si>
  <si>
    <t>V2D</t>
  </si>
  <si>
    <t>V2F</t>
  </si>
  <si>
    <t>BC Deductible Factors</t>
  </si>
  <si>
    <t>Factor</t>
  </si>
  <si>
    <t>V2I</t>
  </si>
  <si>
    <t>20% and above</t>
  </si>
  <si>
    <t>V2O</t>
  </si>
  <si>
    <t>V2Q</t>
  </si>
  <si>
    <t>V2U</t>
  </si>
  <si>
    <t>V8D</t>
  </si>
  <si>
    <t>V8E</t>
  </si>
  <si>
    <t>V8F</t>
  </si>
  <si>
    <t>V8H</t>
  </si>
  <si>
    <t>V8I</t>
  </si>
  <si>
    <t>V8O</t>
  </si>
  <si>
    <t>V8Q</t>
  </si>
  <si>
    <t>V8U</t>
  </si>
  <si>
    <t>V4D</t>
  </si>
  <si>
    <t>V4F</t>
  </si>
  <si>
    <t>V4H</t>
  </si>
  <si>
    <t>V4I</t>
  </si>
  <si>
    <t>V4J</t>
  </si>
  <si>
    <t>V4O</t>
  </si>
  <si>
    <t>V4Q</t>
  </si>
  <si>
    <t>V4U</t>
  </si>
  <si>
    <t>V4Y</t>
  </si>
  <si>
    <t>West (Excl. BC)</t>
  </si>
  <si>
    <t>Column Nb</t>
  </si>
  <si>
    <t>Algorithm_West</t>
  </si>
  <si>
    <t>Row Nb</t>
  </si>
  <si>
    <t>1,3,5,6</t>
  </si>
  <si>
    <t>1996+</t>
  </si>
  <si>
    <t>1995-</t>
  </si>
  <si>
    <t>2,4</t>
  </si>
  <si>
    <t>Prior to 1996</t>
  </si>
  <si>
    <t>West (Excl. BC) Deductible Factors</t>
  </si>
  <si>
    <t>3%</t>
  </si>
  <si>
    <t>5%</t>
  </si>
  <si>
    <t>8%</t>
  </si>
  <si>
    <t>PC code</t>
  </si>
  <si>
    <t>1st digit or 1st 2 digits of postal code</t>
  </si>
  <si>
    <t>E3,E6,E7,E9</t>
  </si>
  <si>
    <t>E-Other</t>
  </si>
  <si>
    <t>1&amp;3</t>
  </si>
  <si>
    <t>E6</t>
  </si>
  <si>
    <t>E7</t>
  </si>
  <si>
    <t>E9</t>
  </si>
  <si>
    <t>5&amp;6</t>
  </si>
  <si>
    <t>condition deductible</t>
  </si>
  <si>
    <t>E8</t>
  </si>
  <si>
    <t>E0</t>
  </si>
  <si>
    <t>Atlantic Deductible Factors</t>
  </si>
  <si>
    <t>Everest 2590 rates</t>
  </si>
  <si>
    <t>ALL</t>
  </si>
  <si>
    <t>West (BC)</t>
  </si>
  <si>
    <t>EQ Bands</t>
  </si>
  <si>
    <t>Prior to</t>
  </si>
  <si>
    <t>1940 - 1987</t>
  </si>
  <si>
    <t>Post 1987</t>
  </si>
  <si>
    <t>Type of construction</t>
  </si>
  <si>
    <t>Algotitm</t>
  </si>
  <si>
    <t>Prior to 1940</t>
  </si>
  <si>
    <t>Deductible %</t>
  </si>
  <si>
    <t>Other bands</t>
  </si>
  <si>
    <t xml:space="preserve">Min deductibe $ </t>
  </si>
  <si>
    <t>Min rate</t>
  </si>
  <si>
    <t>Min Rate</t>
  </si>
  <si>
    <t>Min ded $</t>
  </si>
  <si>
    <t>Alogrithm</t>
  </si>
  <si>
    <t>East</t>
  </si>
  <si>
    <t>Frame incl steel</t>
  </si>
  <si>
    <t>East (Deductible Factors</t>
  </si>
  <si>
    <t>East zones</t>
  </si>
  <si>
    <t>ECONOMICAL rates</t>
  </si>
  <si>
    <t>Code</t>
  </si>
  <si>
    <t xml:space="preserve">Eco </t>
  </si>
  <si>
    <t>1st 3 digits of postal code</t>
  </si>
  <si>
    <t>N/A</t>
  </si>
  <si>
    <t>deductible %</t>
  </si>
  <si>
    <t>deductilbe $</t>
  </si>
  <si>
    <t>H0A</t>
  </si>
  <si>
    <t>H6G</t>
  </si>
  <si>
    <t>Row</t>
  </si>
  <si>
    <t>All codes Rate</t>
  </si>
  <si>
    <t>Min deducible %</t>
  </si>
  <si>
    <t>Min deducible K6A %</t>
  </si>
  <si>
    <t>Min deductible $</t>
  </si>
  <si>
    <t>W6</t>
  </si>
  <si>
    <t>Cresta zone Temple</t>
  </si>
  <si>
    <t>type of construction</t>
  </si>
  <si>
    <t>Engagement formel de vérification avec Info travaux</t>
  </si>
  <si>
    <t xml:space="preserve"> Adresse 6</t>
  </si>
  <si>
    <t xml:space="preserve"> Adresse 7</t>
  </si>
  <si>
    <t xml:space="preserve"> Adresse 8</t>
  </si>
  <si>
    <t xml:space="preserve"> Adresse 9</t>
  </si>
  <si>
    <t xml:space="preserve"> Adresse 10</t>
  </si>
  <si>
    <t>Crédit  (+), surcharge (-) %</t>
  </si>
  <si>
    <t>Calculed</t>
  </si>
  <si>
    <t>Limite Bâtiment</t>
  </si>
  <si>
    <t>Limite Contenu</t>
  </si>
  <si>
    <t>taux min</t>
  </si>
  <si>
    <t>Province for rating</t>
  </si>
  <si>
    <t>CGL Markets ILF</t>
  </si>
  <si>
    <t>Limit rate</t>
  </si>
  <si>
    <t>Revenue</t>
  </si>
  <si>
    <t>&lt;250000</t>
  </si>
  <si>
    <t>250000-500000</t>
  </si>
  <si>
    <t>500001-1000000</t>
  </si>
  <si>
    <t>1000001-2000000</t>
  </si>
  <si>
    <t>2000000+</t>
  </si>
  <si>
    <t>Ici:</t>
  </si>
  <si>
    <t>Cocher le marché en RC ici:</t>
  </si>
  <si>
    <t>Bris de Machine</t>
  </si>
  <si>
    <t>Tremblement de terre</t>
  </si>
  <si>
    <t>With data</t>
  </si>
  <si>
    <t>Without data</t>
  </si>
  <si>
    <t>Bris de machine</t>
  </si>
  <si>
    <t>CGL Markets</t>
  </si>
  <si>
    <t>F200G</t>
  </si>
  <si>
    <t>Onglet d'impression pour le courtier</t>
  </si>
  <si>
    <t>Matériel</t>
  </si>
  <si>
    <t>Marchandise</t>
  </si>
  <si>
    <t>Limite Matériel</t>
  </si>
  <si>
    <t>Limite Marchandise</t>
  </si>
  <si>
    <t>Restaurants - Nettoyage de fourneaux et de hottes</t>
  </si>
  <si>
    <t>Ramonage des cheminées</t>
  </si>
  <si>
    <t>Fumigation, désinsectisation, dératisation à l'intérieur des immeubles ou des bateaux</t>
  </si>
  <si>
    <t>Concierge (Services de)</t>
  </si>
  <si>
    <t>Nettoyage de meubles, tentures, moquettes chez les clients</t>
  </si>
  <si>
    <t>Réparation (Ateliers de) - Autres que radios, téléviseurs, etc. et autres appareils électriques</t>
  </si>
  <si>
    <t>Décocher si ne pas offrir las packages d'Amlin</t>
  </si>
  <si>
    <t>Liab Haz</t>
  </si>
  <si>
    <t>Property Hazard</t>
  </si>
  <si>
    <t xml:space="preserve"> Write here other coverage en Price submit</t>
  </si>
  <si>
    <t>Flottante d'installation</t>
  </si>
  <si>
    <t>Mettez le code industrie</t>
  </si>
  <si>
    <t>Responsabilité civile produits limité au lieux</t>
  </si>
  <si>
    <t>EN</t>
  </si>
  <si>
    <t>FR</t>
  </si>
  <si>
    <t>Amlin Contract Eligibility Criteria:</t>
  </si>
  <si>
    <t>What is the% of exposure in the USA?</t>
  </si>
  <si>
    <t>What is the number of years in business?</t>
  </si>
  <si>
    <t>What is the number of years of experience?</t>
  </si>
  <si>
    <t>Loss ratio%</t>
  </si>
  <si>
    <t>Name Insured:</t>
  </si>
  <si>
    <t>What is the% of  work subcontracted</t>
  </si>
  <si>
    <t>Nb of years without claims</t>
  </si>
  <si>
    <t>Display the premium by coverage</t>
  </si>
  <si>
    <t>Submission tab for printing</t>
  </si>
  <si>
    <t>Comments to the file</t>
  </si>
  <si>
    <t>CGL Limit requested</t>
  </si>
  <si>
    <t>Choose the insurer for CGL</t>
  </si>
  <si>
    <t>CGL occupancy quoted</t>
  </si>
  <si>
    <t>CGL  HVAC : fill in here below:</t>
  </si>
  <si>
    <t>Welding and cutting</t>
  </si>
  <si>
    <t>sub-total ( 1-3)</t>
  </si>
  <si>
    <t>Insured's Business activity:</t>
  </si>
  <si>
    <t>Input answer here below:</t>
  </si>
  <si>
    <t>Uncheck if Amlin Pakage not offered</t>
  </si>
  <si>
    <t>IBC</t>
  </si>
  <si>
    <t>If Amlin fill in here below :</t>
  </si>
  <si>
    <t>Total CGL Premium with Amlin</t>
  </si>
  <si>
    <t>Other  Liability Coverages:</t>
  </si>
  <si>
    <t>Faulty workmanship</t>
  </si>
  <si>
    <t>Fungi and fungal derivatives</t>
  </si>
  <si>
    <t>Sudden and accidental pollution</t>
  </si>
  <si>
    <t>Care, custody and control</t>
  </si>
  <si>
    <t>Failure to perform</t>
  </si>
  <si>
    <t>Other coverages</t>
  </si>
  <si>
    <t xml:space="preserve">Legal - option full coverage </t>
  </si>
  <si>
    <t>Sub-total</t>
  </si>
  <si>
    <t>Quote conditions</t>
  </si>
  <si>
    <t>Building Insured value</t>
  </si>
  <si>
    <t>Contents Insured Value</t>
  </si>
  <si>
    <t>Stock Insured Value</t>
  </si>
  <si>
    <t>Address information</t>
  </si>
  <si>
    <t>Equipment Insured value</t>
  </si>
  <si>
    <t>Number of floors</t>
  </si>
  <si>
    <t>Square feet</t>
  </si>
  <si>
    <t>Year of construction</t>
  </si>
  <si>
    <t>Year heating</t>
  </si>
  <si>
    <t>Year Elecrticity</t>
  </si>
  <si>
    <t>Year Roof</t>
  </si>
  <si>
    <t>Age of the building</t>
  </si>
  <si>
    <t>% Oper on the premises</t>
  </si>
  <si>
    <t>Year Plumbing</t>
  </si>
  <si>
    <t xml:space="preserve">Property Base rate </t>
  </si>
  <si>
    <t xml:space="preserve">This information will enable us to obtain the property base rates </t>
  </si>
  <si>
    <t>All risks</t>
  </si>
  <si>
    <t>Adresse du Bâtiment</t>
  </si>
  <si>
    <t>Input Address no 2</t>
  </si>
  <si>
    <t>Input Address no 3</t>
  </si>
  <si>
    <t>Input Address no 4</t>
  </si>
  <si>
    <t>Input Address no 5</t>
  </si>
  <si>
    <t>Water Deductible</t>
  </si>
  <si>
    <t>Hot works Deductible</t>
  </si>
  <si>
    <t>HVAC conditions quoted</t>
  </si>
  <si>
    <t>Input IBC code in the green cell</t>
  </si>
  <si>
    <t>Verify. income eligibility</t>
  </si>
  <si>
    <t>Min premium calculated by the rate</t>
  </si>
  <si>
    <t>Form</t>
  </si>
  <si>
    <t>$ Revenues from the activity?</t>
  </si>
  <si>
    <t>Cat. Revenues</t>
  </si>
  <si>
    <t>Min CGL premium</t>
  </si>
  <si>
    <t>Min premium Amlin</t>
  </si>
  <si>
    <t>Premium quoted ( max 10%)</t>
  </si>
  <si>
    <t>Premium displayed</t>
  </si>
  <si>
    <t>Min Deductible</t>
  </si>
  <si>
    <t>Quoted Deductible</t>
  </si>
  <si>
    <t>Deductible displayed</t>
  </si>
  <si>
    <t>Verify&lt; 5 storeys</t>
  </si>
  <si>
    <t>Condition % years no claims</t>
  </si>
  <si>
    <t>Revenues category</t>
  </si>
  <si>
    <t>min rate</t>
  </si>
  <si>
    <t xml:space="preserve">Premium quoted </t>
  </si>
  <si>
    <t>Market premium</t>
  </si>
  <si>
    <t>min Policy</t>
  </si>
  <si>
    <t>Liability Medical Payments</t>
  </si>
  <si>
    <t>Products-Completed Operations</t>
  </si>
  <si>
    <t>Personal &amp; Advertising</t>
  </si>
  <si>
    <t>Tenants Legal Liability</t>
  </si>
  <si>
    <t>Non Owed Automobile</t>
  </si>
  <si>
    <t>Employers' Bodily Injury Liability Extension</t>
  </si>
  <si>
    <t>Employee Benefits Extension</t>
  </si>
  <si>
    <t>Ecrire ici les couverutres en Pirce submit</t>
  </si>
  <si>
    <t>Long Term Leased Vehicle Exclusion (SEF 99)</t>
  </si>
  <si>
    <t>Reduction of Coverage for Leased Vehicles Endorsement (OEF 98B)</t>
  </si>
  <si>
    <t>Contractual Liability Extension (SEF 96)</t>
  </si>
  <si>
    <t>Legal Liability for Damage to Hired Automobiles Extension (SEF 94)</t>
  </si>
  <si>
    <t>CGL ( dp/ no products)</t>
  </si>
  <si>
    <t>Installation Floater</t>
  </si>
  <si>
    <t>Rental Expenses ( min value $5000)</t>
  </si>
  <si>
    <t>Contents</t>
  </si>
  <si>
    <t>Stock</t>
  </si>
  <si>
    <t>Equipment</t>
  </si>
  <si>
    <t>Off Equip</t>
  </si>
  <si>
    <t>Transit</t>
  </si>
  <si>
    <t>GE - Merc</t>
  </si>
  <si>
    <t>GE - Man</t>
  </si>
  <si>
    <t>Prof Fees</t>
  </si>
  <si>
    <t>Rents</t>
  </si>
  <si>
    <t>Boiler</t>
  </si>
  <si>
    <t>Flood</t>
  </si>
  <si>
    <t xml:space="preserve">Earthquake </t>
  </si>
  <si>
    <t>Value Papers</t>
  </si>
  <si>
    <t>Loyers</t>
  </si>
  <si>
    <t>Ext expenses</t>
  </si>
  <si>
    <t>Installation floater</t>
  </si>
  <si>
    <t>EDP</t>
  </si>
  <si>
    <t xml:space="preserve">Sewer Back-up </t>
  </si>
  <si>
    <t>Total Property Section</t>
  </si>
  <si>
    <t>A. Property Section</t>
  </si>
  <si>
    <t>Total Liability Section</t>
  </si>
  <si>
    <t>Total Section Other coverages</t>
  </si>
  <si>
    <t>C. Other coverages</t>
  </si>
  <si>
    <t>Max Limit</t>
  </si>
  <si>
    <t>Max Premium</t>
  </si>
  <si>
    <t>Quoted premium</t>
  </si>
  <si>
    <t>Deductible Quoted</t>
  </si>
  <si>
    <t>min 5 ans pour HVAC /  min 5 years HVAC</t>
  </si>
  <si>
    <t>RBQ valide / Valid Contractors Licence</t>
  </si>
  <si>
    <t>Replacement cost</t>
  </si>
  <si>
    <t>Base rate</t>
  </si>
  <si>
    <t>Credit  (+), surcharge (-) %</t>
  </si>
  <si>
    <t>Com. Rate</t>
  </si>
  <si>
    <t>Premium quoted</t>
  </si>
  <si>
    <t>Deductible quoted</t>
  </si>
  <si>
    <t>Nb of pieces</t>
  </si>
  <si>
    <t>Contract rate</t>
  </si>
  <si>
    <t>Quoted rate</t>
  </si>
  <si>
    <t>Quote rate check</t>
  </si>
  <si>
    <t>Min contractual Premium</t>
  </si>
  <si>
    <t>Premium Quoted</t>
  </si>
  <si>
    <t>Premium Displayed</t>
  </si>
  <si>
    <t>Revenues</t>
  </si>
  <si>
    <t>Broker:</t>
  </si>
  <si>
    <t>Main IBC Code:</t>
  </si>
  <si>
    <t>Address:</t>
  </si>
  <si>
    <t>City:</t>
  </si>
  <si>
    <t>Effective date:</t>
  </si>
  <si>
    <t>Underwiter's name:</t>
  </si>
  <si>
    <t>Submission date:</t>
  </si>
  <si>
    <t>Information Insured</t>
  </si>
  <si>
    <t>Insured's Name:</t>
  </si>
  <si>
    <t>Postal code:</t>
  </si>
  <si>
    <t>Term:</t>
  </si>
  <si>
    <t>Quote ref:</t>
  </si>
  <si>
    <t>Specific conditions applied to this quote:</t>
  </si>
  <si>
    <t>Endorsements and Exclusions</t>
  </si>
  <si>
    <t>Information</t>
  </si>
  <si>
    <t>Underwriter's Comments:</t>
  </si>
  <si>
    <t>*Nb de jours de couverture:</t>
  </si>
  <si>
    <t>*Nb days of coverage:</t>
  </si>
  <si>
    <t>Contractor's tools</t>
  </si>
  <si>
    <t>Contractor's equipment</t>
  </si>
  <si>
    <t>Rental expenses</t>
  </si>
  <si>
    <t>Policy fees</t>
  </si>
  <si>
    <t>Total Policy Premium</t>
  </si>
  <si>
    <t>Policy Premium</t>
  </si>
  <si>
    <t>Commission</t>
  </si>
  <si>
    <t>Operations of the insured:</t>
  </si>
  <si>
    <t>Additionnal cost:</t>
  </si>
  <si>
    <t>How can we help?</t>
  </si>
  <si>
    <t>Quote template-2</t>
  </si>
  <si>
    <t>Quote template-1</t>
  </si>
  <si>
    <t>How well protected are you?</t>
  </si>
  <si>
    <t>And because the world is changing …</t>
  </si>
  <si>
    <t>Customize your quote:</t>
  </si>
  <si>
    <t>Add in coverages offered:</t>
  </si>
  <si>
    <t>Legal -Unlimited telephone advice</t>
  </si>
  <si>
    <t>Franchises applicables aux couvertures additionnelles:</t>
  </si>
  <si>
    <t>Deductible applied to add in coverages:</t>
  </si>
  <si>
    <t>$500 Tax Audit / $2,500 Unionized Employee Disputes</t>
  </si>
  <si>
    <t>All fees are non-refundable.Premium and policy fees are due and payable within 30 days of binding .</t>
  </si>
  <si>
    <t xml:space="preserve">Quoted Terms may not be as requested, please review this quote carefully. </t>
  </si>
  <si>
    <t>If binding companies to be used:</t>
  </si>
  <si>
    <t>Domestic Markets, Lloyd's of London</t>
  </si>
  <si>
    <t>1-855-745-1010</t>
  </si>
  <si>
    <t xml:space="preserve">Toutes les polices sont soumises à: </t>
  </si>
  <si>
    <t>All policies are subject to:</t>
  </si>
  <si>
    <t>Maximum security</t>
  </si>
  <si>
    <t>Well protected</t>
  </si>
  <si>
    <t>Package Gold</t>
  </si>
  <si>
    <t>Package Silver</t>
  </si>
  <si>
    <t>*Faulty workmanship</t>
  </si>
  <si>
    <t>*Fungi and fungal derivatives</t>
  </si>
  <si>
    <t>*Care, custody and control</t>
  </si>
  <si>
    <t>*Failure to perform</t>
  </si>
  <si>
    <t>* Guarantees: per insurance period - maximum annual amount per guarantee</t>
  </si>
  <si>
    <t>CW150F</t>
  </si>
  <si>
    <t>CW199</t>
  </si>
  <si>
    <t>CW200</t>
  </si>
  <si>
    <t>CW107F</t>
  </si>
  <si>
    <t xml:space="preserve">CW49 Warranted Rights of Recourse </t>
  </si>
  <si>
    <t xml:space="preserve">PX20 Theft Exclusion </t>
  </si>
  <si>
    <t xml:space="preserve">PX1 Vandalism Exclusion  </t>
  </si>
  <si>
    <t>PR14 Limit of Loss Clause</t>
  </si>
  <si>
    <t>PE48 Fees to Substantiate Loss Extension</t>
  </si>
  <si>
    <t>PE23 Unit Owners Condominium Extension</t>
  </si>
  <si>
    <t xml:space="preserve">O13 Land, Water and Air Exclusion </t>
  </si>
  <si>
    <t>LX7c Building Moving or Demolition Exclusion</t>
  </si>
  <si>
    <t>LX6 Blasting, Pile Driving, Weakness of Support Exclusion</t>
  </si>
  <si>
    <t>LX35 USA Sales and Operations Exclusion</t>
  </si>
  <si>
    <t xml:space="preserve">LX34 Water Ingress Exclusion </t>
  </si>
  <si>
    <t xml:space="preserve">LX28c Total Environmental Liability Exclusion </t>
  </si>
  <si>
    <t>LX26 Errors and Omissions Exclusion</t>
  </si>
  <si>
    <t>LX24 Inefficacy Exclusion</t>
  </si>
  <si>
    <t xml:space="preserve">LX15 Underground Damage Exclusion </t>
  </si>
  <si>
    <t>LX13 Health Hazard Exclusion</t>
  </si>
  <si>
    <t>LW5 Hot Tar Warranty</t>
  </si>
  <si>
    <t>LW4 Welding Away from Premises Restriction</t>
  </si>
  <si>
    <t>LE39a Broad Form Completed Operations</t>
  </si>
  <si>
    <t>CW60A Liquor Liability Exclusion</t>
  </si>
  <si>
    <t>CW149 Underground Cables and Pipes Clause</t>
  </si>
  <si>
    <t>CW18 Downhole Exclusion</t>
  </si>
  <si>
    <t>CW174R Foodborne Illness Exclusion</t>
  </si>
  <si>
    <t>CW166 Snow Removal Conditions</t>
  </si>
  <si>
    <t>CW109 Offshore Drilling Exclusion</t>
  </si>
  <si>
    <t>CW10 Specified Operation Exclusion</t>
  </si>
  <si>
    <t>CM28R Exclusion of Illegal Substances</t>
  </si>
  <si>
    <t xml:space="preserve">CM21 Wrap Up Exclusion </t>
  </si>
  <si>
    <t>CM16 Exluding Designated Activities</t>
  </si>
  <si>
    <t>CW119 Vacancy Permit</t>
  </si>
  <si>
    <t>CW14 North American Jurisdiction Extension (US Conditions) / CW22</t>
  </si>
  <si>
    <t>CW157 Legionellosis Exclusion</t>
  </si>
  <si>
    <t>CW158 - Roof Limitation Endorsement</t>
  </si>
  <si>
    <t xml:space="preserve">CW159 Sewer Back Up Warranty </t>
  </si>
  <si>
    <t xml:space="preserve">CW160 Water Damage Limitation </t>
  </si>
  <si>
    <t>CW168 Water Damage Deductible</t>
  </si>
  <si>
    <t>CW169 Wind Damage Limitation</t>
  </si>
  <si>
    <t>CW170 Duct Cleaning Warranty</t>
  </si>
  <si>
    <t>CW171 Dry Chemical or CO2 System Warranty</t>
  </si>
  <si>
    <t xml:space="preserve">CW172 Smoke Detector warranty </t>
  </si>
  <si>
    <t>CW185 Commercial Cooking Exclusion</t>
  </si>
  <si>
    <t>CW188 Participants Waiver Warranty</t>
  </si>
  <si>
    <t>CW191 Alcohol Health Risk Exclusion</t>
  </si>
  <si>
    <t>CW192 Roof Exclusion</t>
  </si>
  <si>
    <t>CW193 Cigarette and Tobacco Products Limitation</t>
  </si>
  <si>
    <t>CW194 Cigarette and Tobacco Products Exclusion</t>
  </si>
  <si>
    <t>CW195 Dust Collection System Warranty</t>
  </si>
  <si>
    <t>CW196 Building Heating Warranty</t>
  </si>
  <si>
    <t>CW22 Jurisdiction Endorsement</t>
  </si>
  <si>
    <t>CW49 Warranted Rights of Recourse</t>
  </si>
  <si>
    <t>LE3a/b Limited Pollution Extension</t>
  </si>
  <si>
    <t>LE44 - Limited Pollution Endorsement</t>
  </si>
  <si>
    <t>PE30 Permission to Complete Renovation  Extension</t>
  </si>
  <si>
    <t>PW2 Building Supervisory Warranty</t>
  </si>
  <si>
    <t>PW2 Sprinkler Warranty</t>
  </si>
  <si>
    <t>PW3 Alarm Warranty</t>
  </si>
  <si>
    <t xml:space="preserve">PX1 Vandalism Exclusion </t>
  </si>
  <si>
    <t>PE48</t>
  </si>
  <si>
    <t>CW158</t>
  </si>
  <si>
    <t>CW160</t>
  </si>
  <si>
    <t>CW168</t>
  </si>
  <si>
    <t>PW5</t>
  </si>
  <si>
    <t>LX16</t>
  </si>
  <si>
    <t>CW158F</t>
  </si>
  <si>
    <t>L14</t>
  </si>
  <si>
    <t>LE26</t>
  </si>
  <si>
    <t>CW198</t>
  </si>
  <si>
    <t>CM25 USA Conditions (updated)</t>
  </si>
  <si>
    <t>LE25 Contractual Liability Extension (SEF96)</t>
  </si>
  <si>
    <t>LE26 Legal Liability for Damage to Hired Auto (SEF94)</t>
  </si>
  <si>
    <t>PX3 Cooking in Room Exclusion</t>
  </si>
  <si>
    <t xml:space="preserve">PX4 Vandalism by Tenants Exclusion </t>
  </si>
  <si>
    <t>max 55%(hors HVAC) / (HVAC exluded)</t>
  </si>
  <si>
    <t>CM19 Conditions de soudage et coupage à la chaleur-obligatoire</t>
  </si>
  <si>
    <t>CW182F Matériel des Entrepreneurs- Formule de remboursement pour les locations</t>
  </si>
  <si>
    <t>PW1 -Verrouillage des véhicules - engagement formel</t>
  </si>
  <si>
    <t>CW182</t>
  </si>
  <si>
    <t>CW182F</t>
  </si>
  <si>
    <t>CW149 -Conditions relatives aux travaux sousterrains -dans la présence d'excavation</t>
  </si>
  <si>
    <t>Formulaie</t>
  </si>
  <si>
    <t>CM99 Condition bâtiment vacant giclé</t>
  </si>
  <si>
    <t>Section</t>
  </si>
  <si>
    <t>Formal engagement Ontario One Call (ON1Call)</t>
  </si>
  <si>
    <t>CW149 Underground Work Conditions – if Excavation</t>
  </si>
  <si>
    <t xml:space="preserve">CW182 – Rental Equipment Reimbursement </t>
  </si>
  <si>
    <t xml:space="preserve">PW1 – Locked Vehicle Warranty </t>
  </si>
  <si>
    <t>PE24 – Replacement Cost Extension (Contractors Equipment)</t>
  </si>
  <si>
    <t>CM19/CW151 Burn &amp; Weld Conditions -  mandatory</t>
  </si>
  <si>
    <t>Is there a valid Licence when required</t>
  </si>
  <si>
    <t>Verify. eligibility IBC</t>
  </si>
  <si>
    <t>Inspection fees</t>
  </si>
  <si>
    <t>Frais d'inspection</t>
  </si>
  <si>
    <t>C1</t>
  </si>
  <si>
    <t>CYB001</t>
  </si>
  <si>
    <t>CM16QF Exclusion des activités désignées: Travaux de plomberie, électricité, toiture faits par l'assuré lui-même</t>
  </si>
  <si>
    <t>CM16Q Specified Operation Exclusion:Plumbing, electricity, roofing work done by the insured himself</t>
  </si>
  <si>
    <t>Check the Liability market selected :</t>
  </si>
  <si>
    <t>L1A,CW180</t>
  </si>
  <si>
    <t>CM25  USA Conditions – if any US Sales</t>
  </si>
  <si>
    <t>Premium</t>
  </si>
  <si>
    <t>RC</t>
  </si>
  <si>
    <t>PA11</t>
  </si>
  <si>
    <t xml:space="preserve">Contractors Professional Liability </t>
  </si>
  <si>
    <t>*Contractors Professional Liability (retro date)</t>
  </si>
  <si>
    <t>Chantier</t>
  </si>
  <si>
    <t>Builder's risk</t>
  </si>
  <si>
    <t>CGL:</t>
  </si>
  <si>
    <t>Min prem</t>
  </si>
  <si>
    <t>Full  CGL</t>
  </si>
  <si>
    <t xml:space="preserve">Commercial General Liability  </t>
  </si>
  <si>
    <t>Input Contractor's IBC code</t>
  </si>
  <si>
    <t>Mettez le code industrie Entrepreneur</t>
  </si>
  <si>
    <t>PR14 Clause relative au montant de la garantie</t>
  </si>
  <si>
    <t>c</t>
  </si>
  <si>
    <t>LX46 Exclusion des travaux de soudure hors des lieux assurés</t>
  </si>
  <si>
    <t>Type of coverage Building</t>
  </si>
  <si>
    <t>ACV</t>
  </si>
  <si>
    <t>VAN</t>
  </si>
  <si>
    <t>VJS</t>
  </si>
  <si>
    <t>Responsabilité civile Propriétaires, bailleurs et locataires</t>
  </si>
  <si>
    <t>Mettez le montant de revnues</t>
  </si>
  <si>
    <t>Input Revenues from activity</t>
  </si>
  <si>
    <t>furmula=&gt;</t>
  </si>
  <si>
    <t>L17</t>
  </si>
  <si>
    <t>LR1b Limitation de la garantie aux lieux désignés</t>
  </si>
  <si>
    <t>LR1bLimitation to Designated Premises Restriction</t>
  </si>
  <si>
    <t>General Policy Exclusions GE001,Additional Terms &amp; Conditions LL001, PR001 Notice concerning Personal Information, CW86 Nuclear Incident Exclusion Clause, R7 Short Rate Cancellation Table, R1 Additional Agreements and conditions (mandatory for all other than AB,MB,BC)</t>
  </si>
  <si>
    <t>Exclusions générales GE001/ LL001 Termes et conditions additionnelles - Québec / PR001 Avis concernant les renseignements personnels/ CW86 Exclusion concernant l'énergie nucléaire, R7 Tableau de résiliation avec calcul de la  prime acquise selon le taux à court terme, R1 Garanties subsidiaires</t>
  </si>
  <si>
    <t>Min base rate</t>
  </si>
  <si>
    <t>Min com.rate</t>
  </si>
  <si>
    <t>CFC / Open Market</t>
  </si>
  <si>
    <t>Amlin Market Approved</t>
  </si>
  <si>
    <t>List Liability</t>
  </si>
  <si>
    <t>choose from list:</t>
  </si>
  <si>
    <t>LX26 Exclusion des erreurs et omissions</t>
  </si>
  <si>
    <t xml:space="preserve">This quotation expires 30 days from the Quote Date </t>
  </si>
  <si>
    <t>Cette soumission expire dans 30 Jours</t>
  </si>
  <si>
    <t>BA12</t>
  </si>
  <si>
    <t>BA14</t>
  </si>
  <si>
    <t>PA3</t>
  </si>
  <si>
    <t>PA2</t>
  </si>
  <si>
    <t>PA18</t>
  </si>
  <si>
    <t>PA4</t>
  </si>
  <si>
    <t>Calculated</t>
  </si>
  <si>
    <t xml:space="preserve">Prime package </t>
  </si>
  <si>
    <t>Add in Package</t>
  </si>
  <si>
    <t>CW154 Exclusion pour morsure de chien</t>
  </si>
  <si>
    <t>CW198 Exclusion dommages occasionnés par l’eau</t>
  </si>
  <si>
    <t>Dossier criminel</t>
  </si>
  <si>
    <t>Faillite</t>
  </si>
  <si>
    <t>Criminal Record</t>
  </si>
  <si>
    <t>Bankruptcy</t>
  </si>
  <si>
    <t>&lt; Important</t>
  </si>
  <si>
    <t>Il y a-t-il Un équipement d'une valeur 60K$ et plus ?</t>
  </si>
  <si>
    <t>Any single equipment  of 60K$  and over?</t>
  </si>
  <si>
    <t>Limitation des dommages par l'eau</t>
  </si>
  <si>
    <t>Water Damage Limitation</t>
  </si>
  <si>
    <t>Franchise dommage par l'eau</t>
  </si>
  <si>
    <t>Water Damage Deductible</t>
  </si>
  <si>
    <t>Exclusion dommages par l'eau</t>
  </si>
  <si>
    <t>Water Damage Exclusion</t>
  </si>
  <si>
    <t>Les franchises ou exclusions ci-dessous sont applicables aux couvertures suivantes: Bâtiment, Contenu, Matériel, Marchandise.</t>
  </si>
  <si>
    <t>Deducbitbles and Exclusions here below are applied to the following coverages: Building, Contents, Stock, Equipment</t>
  </si>
  <si>
    <t xml:space="preserve">Limites relatives au toit </t>
  </si>
  <si>
    <t>Roof Limitation Endorsement</t>
  </si>
  <si>
    <t xml:space="preserve">PW3 </t>
  </si>
  <si>
    <t>Engagement formel: Gicleur</t>
  </si>
  <si>
    <t>Sprinkler Systems Warranty</t>
  </si>
  <si>
    <t>Engagement formel: Alarme</t>
  </si>
  <si>
    <t>Alarm Warranty</t>
  </si>
  <si>
    <t>Endorsements :</t>
  </si>
  <si>
    <t>Avenants</t>
  </si>
  <si>
    <t>NB / Renewal / Endorsement</t>
  </si>
  <si>
    <t>NB / Renou / Avenant</t>
  </si>
  <si>
    <t>Renouvellement</t>
  </si>
  <si>
    <t>New Business</t>
  </si>
  <si>
    <t>Endorsement</t>
  </si>
  <si>
    <t>Renewal</t>
  </si>
  <si>
    <t>Avenant</t>
  </si>
  <si>
    <t>RENOUVELLEMENT ENTREPRENEUR</t>
  </si>
  <si>
    <t>AVENANT ENTREPRENEUR</t>
  </si>
  <si>
    <t>Contractor's Quote</t>
  </si>
  <si>
    <t>Contractor's Renewal</t>
  </si>
  <si>
    <t>Contractor's Endorsement</t>
  </si>
  <si>
    <t>Numero Police:</t>
  </si>
  <si>
    <t>Policy Number:</t>
  </si>
  <si>
    <t>Nouvelle Affaire</t>
  </si>
  <si>
    <t>$ Package</t>
  </si>
  <si>
    <t>Bound package</t>
  </si>
  <si>
    <t>Extension de la garantie au régime d’avantages sociaux</t>
  </si>
  <si>
    <t>Extension de la garantie aux dommages corporels subis par le personnel</t>
  </si>
  <si>
    <t>Confirmez Intact n'est pas l'assureur sur la poice expirante</t>
  </si>
  <si>
    <t>Building rates</t>
  </si>
  <si>
    <t>Protected 
1 to 4</t>
  </si>
  <si>
    <t>Semi Protected 5 to 7</t>
  </si>
  <si>
    <t xml:space="preserve">Unprotected 8 to 10
</t>
  </si>
  <si>
    <t>2,3</t>
  </si>
  <si>
    <t>5,6</t>
  </si>
  <si>
    <t>Rates proposed</t>
  </si>
  <si>
    <t>Stock  / Contents</t>
  </si>
  <si>
    <t>Taux de base en contenu</t>
  </si>
  <si>
    <t>Taux de base en bâtimen</t>
  </si>
  <si>
    <t xml:space="preserve">Contents Base rate </t>
  </si>
  <si>
    <t>INTACT rates</t>
  </si>
  <si>
    <t>April / Other market Rates</t>
  </si>
  <si>
    <t>Résidentiel</t>
  </si>
  <si>
    <t>Agricole</t>
  </si>
  <si>
    <t>Industriel</t>
  </si>
  <si>
    <t>Mettez le % des activités</t>
  </si>
  <si>
    <t>Input activity %</t>
  </si>
  <si>
    <t>Residential</t>
  </si>
  <si>
    <t>Industrial</t>
  </si>
  <si>
    <t>Agricul.</t>
  </si>
  <si>
    <t>Institut.</t>
  </si>
  <si>
    <t>If welder ,confirm the insured has a welder training / certification</t>
  </si>
  <si>
    <t>Si soudeur, confirmez  l'assuré a une formation/dimplôme soudeur</t>
  </si>
  <si>
    <t>Yes</t>
  </si>
  <si>
    <t xml:space="preserve">New </t>
  </si>
  <si>
    <t>Excellent</t>
  </si>
  <si>
    <t>Good</t>
  </si>
  <si>
    <t>Average</t>
  </si>
  <si>
    <t>Below Average</t>
  </si>
  <si>
    <t>Partial Updates</t>
  </si>
  <si>
    <t>No Updates</t>
  </si>
  <si>
    <t>Answer</t>
  </si>
  <si>
    <t>Caution- select here (crimital record / bankruptcy):</t>
  </si>
  <si>
    <t>Attention particulière - sélectionner (criminel, faillite):</t>
  </si>
  <si>
    <t>Property Grader</t>
  </si>
  <si>
    <t>Property grader</t>
  </si>
  <si>
    <t xml:space="preserve">Score </t>
  </si>
  <si>
    <t>Rate increase</t>
  </si>
  <si>
    <t>2. Claims history</t>
  </si>
  <si>
    <t>No</t>
  </si>
  <si>
    <t>Central / Electric</t>
  </si>
  <si>
    <t>Senior UW</t>
  </si>
  <si>
    <t>Inspection not received yet</t>
  </si>
  <si>
    <t>Inspection not necessary (TIV under 100K)</t>
  </si>
  <si>
    <t>max TIV</t>
  </si>
  <si>
    <t>Gas</t>
  </si>
  <si>
    <t>Poor / Recommendations not followed</t>
  </si>
  <si>
    <t>Output</t>
  </si>
  <si>
    <t>Final decision :</t>
  </si>
  <si>
    <t>Check</t>
  </si>
  <si>
    <t>Fire Only</t>
  </si>
  <si>
    <t>Burglar Only</t>
  </si>
  <si>
    <t>Fire and Burglar</t>
  </si>
  <si>
    <t>2. Historique de sinistre</t>
  </si>
  <si>
    <t>Nouveau</t>
  </si>
  <si>
    <t>Partiellement rénové</t>
  </si>
  <si>
    <t>Sans rénovation</t>
  </si>
  <si>
    <t>Moyenne</t>
  </si>
  <si>
    <t>Excellente</t>
  </si>
  <si>
    <t>Bonne</t>
  </si>
  <si>
    <t>Inspection non nécessaire ( TIV &lt; 100K)</t>
  </si>
  <si>
    <t>En bas de la moyenne</t>
  </si>
  <si>
    <t>Feu et Cambriolage</t>
  </si>
  <si>
    <t>Cambriolage seulement</t>
  </si>
  <si>
    <t>Feu seulement</t>
  </si>
  <si>
    <t xml:space="preserve">Oui </t>
  </si>
  <si>
    <t>Décision finale:</t>
  </si>
  <si>
    <t>Central / Électrique</t>
  </si>
  <si>
    <t>Inspection non reçue</t>
  </si>
  <si>
    <t>Mauvaise / Recommandations non appliquées</t>
  </si>
  <si>
    <t>Gaz</t>
  </si>
  <si>
    <t>Actions</t>
  </si>
  <si>
    <t>Age bâtiment</t>
  </si>
  <si>
    <t>Réno</t>
  </si>
  <si>
    <t>1 Claim in 5 years  less than 50 K$</t>
  </si>
  <si>
    <t>1 sinistre  en 5 an, moins de 50 K$</t>
  </si>
  <si>
    <t>2 Or more Claims in 5 years /Or any one claim max $50K</t>
  </si>
  <si>
    <t>2 ou plus sinistres en 5 ans /Ou 1 sinistre de plus de max  $50K</t>
  </si>
  <si>
    <t>sinistre plus de 50K$</t>
  </si>
  <si>
    <t>Claim over 50K$</t>
  </si>
  <si>
    <t>Year built</t>
  </si>
  <si>
    <t>The main heating system is :</t>
  </si>
  <si>
    <t>Le système de chauffage :</t>
  </si>
  <si>
    <t>Updates / Renovations</t>
  </si>
  <si>
    <t>Rénovations</t>
  </si>
  <si>
    <t>Location</t>
  </si>
  <si>
    <t>Emplacement</t>
  </si>
  <si>
    <t xml:space="preserve">Inspection </t>
  </si>
  <si>
    <t>Faillite / Plumitif / Résiliation</t>
  </si>
  <si>
    <t>Bankruptcy / Criminal record</t>
  </si>
  <si>
    <t>Alarm</t>
  </si>
  <si>
    <t>Alarme</t>
  </si>
  <si>
    <t>Année de construction :</t>
  </si>
  <si>
    <t xml:space="preserve">55+ </t>
  </si>
  <si>
    <t>Age</t>
  </si>
  <si>
    <t>Year:</t>
  </si>
  <si>
    <t>Cat:</t>
  </si>
  <si>
    <t xml:space="preserve">Age: </t>
  </si>
  <si>
    <t>Ren&lt; 12</t>
  </si>
  <si>
    <t>Full</t>
  </si>
  <si>
    <t>Criteria</t>
  </si>
  <si>
    <t>Sans année considéré Non Rénové = NR</t>
  </si>
  <si>
    <t>No year input considered Not Renovated=NR</t>
  </si>
  <si>
    <t>New Building</t>
  </si>
  <si>
    <t>Nouveau Bâtiment</t>
  </si>
  <si>
    <t>Scenario</t>
  </si>
  <si>
    <t xml:space="preserve">Renovations </t>
  </si>
  <si>
    <t>Partial</t>
  </si>
  <si>
    <t>3. Année de construction : (équipement ?)</t>
  </si>
  <si>
    <r>
      <t xml:space="preserve">3. Year Built : </t>
    </r>
    <r>
      <rPr>
        <b/>
        <u/>
        <sz val="12"/>
        <color theme="5" tint="-0.249977111117893"/>
        <rFont val="Century Gothic"/>
        <family val="2"/>
      </rPr>
      <t xml:space="preserve"> </t>
    </r>
  </si>
  <si>
    <t>4. The main heating system is :</t>
  </si>
  <si>
    <t>4. Le système de chauffage :</t>
  </si>
  <si>
    <t>5. Updates / Renovations : all property except tools</t>
  </si>
  <si>
    <t>5. Rénovations : tout bien sauf outils</t>
  </si>
  <si>
    <t>6. Location</t>
  </si>
  <si>
    <t>6. Emplacement</t>
  </si>
  <si>
    <t xml:space="preserve">7. Inspection </t>
  </si>
  <si>
    <t>8. Bankruptcy / Criminal record</t>
  </si>
  <si>
    <t>9. Alarm</t>
  </si>
  <si>
    <t>9. Alarme</t>
  </si>
  <si>
    <t>Aucun Sinistre en 5 Ans</t>
  </si>
  <si>
    <t>Ren &lt;</t>
  </si>
  <si>
    <t>Principal aux bois*</t>
  </si>
  <si>
    <t>Main wood heating*</t>
  </si>
  <si>
    <t>Main Electric  and wood auxiliary</t>
  </si>
  <si>
    <t>Principal Electrique et Auxiliaire aux bois</t>
  </si>
  <si>
    <t>Principal Gaz et Auxiliaire aux bois</t>
  </si>
  <si>
    <t>main Gaz and  Wood Auxiliary</t>
  </si>
  <si>
    <t>Maison avec garage</t>
  </si>
  <si>
    <t>Fully updated in last 25 years</t>
  </si>
  <si>
    <t>Complètement rénové dans les 25 ans</t>
  </si>
  <si>
    <t>primes de base min Intact</t>
  </si>
  <si>
    <t>1. Type de bâtimet</t>
  </si>
  <si>
    <t>1. Type of building</t>
  </si>
  <si>
    <t>Local loué</t>
  </si>
  <si>
    <t>Rented storage</t>
  </si>
  <si>
    <t>Type of Building</t>
  </si>
  <si>
    <t>Type de bâtiment</t>
  </si>
  <si>
    <t>Ren&lt; 25</t>
  </si>
  <si>
    <t>Renovations</t>
  </si>
  <si>
    <t>NR</t>
  </si>
  <si>
    <t>Endorsements</t>
  </si>
  <si>
    <t>Internal Rate increase :</t>
  </si>
  <si>
    <t>Base building rate</t>
  </si>
  <si>
    <t>0-25</t>
  </si>
  <si>
    <t>41-54</t>
  </si>
  <si>
    <t>annulé pour non paiement par l’assureur</t>
  </si>
  <si>
    <t>cancelled by previous Insurer for non- payment</t>
  </si>
  <si>
    <t>Clear area min 50 '</t>
  </si>
  <si>
    <t>Location in congested area, low risk nearby</t>
  </si>
  <si>
    <t>Location with a nearby risk lower than the insured risk</t>
  </si>
  <si>
    <t>Location with nearby risk  higher than the insured risk (ex: cabinetmaking, restaurant)</t>
  </si>
  <si>
    <t xml:space="preserve">Location in  congested area with nearby risk higher that the main risk (ex: cabinetmaking, restaurant) </t>
  </si>
  <si>
    <t>Empl. dégagé min 50’</t>
  </si>
  <si>
    <r>
      <t xml:space="preserve">Empl. situé en secteur congestionné, </t>
    </r>
    <r>
      <rPr>
        <b/>
        <sz val="11"/>
        <color rgb="FF1F497D"/>
        <rFont val="Century Gothic"/>
        <family val="2"/>
      </rPr>
      <t>risque avoisinant faible</t>
    </r>
  </si>
  <si>
    <t xml:space="preserve">Empl. avec risque avoisinant, mais moins élevé que le risque principal </t>
  </si>
  <si>
    <t>Empl. avec risque avoisinant + élevé que le risque principal (ex : ébénisterie, resto)</t>
  </si>
  <si>
    <t>En secteur congestionné avec risque avoisinant + élevé que le risque principal (ex : ébénisterie, resto)</t>
  </si>
  <si>
    <t>8. Faillite / Plumitif / Résiliation</t>
  </si>
  <si>
    <t>2+</t>
  </si>
  <si>
    <t>26-40</t>
  </si>
  <si>
    <t>Water  Deductible</t>
  </si>
  <si>
    <t>Il y a-t-il plus de 2 créanciers ou créanciers non standard</t>
  </si>
  <si>
    <t>Are there more than 2 mortgagees or Non-standard morgagee</t>
  </si>
  <si>
    <t>3</t>
  </si>
  <si>
    <t>5</t>
  </si>
  <si>
    <t>1</t>
  </si>
  <si>
    <t>2</t>
  </si>
  <si>
    <t>4</t>
  </si>
  <si>
    <t>6</t>
  </si>
  <si>
    <t>7</t>
  </si>
  <si>
    <t>8</t>
  </si>
  <si>
    <t>9</t>
  </si>
  <si>
    <t>10</t>
  </si>
  <si>
    <t>Low risk rating</t>
  </si>
  <si>
    <t>Descpription</t>
  </si>
  <si>
    <t>Low Risque Eligible</t>
  </si>
  <si>
    <t>100% Résidentiel</t>
  </si>
  <si>
    <t>Revenus &lt;500k$</t>
  </si>
  <si>
    <t>Increase</t>
  </si>
  <si>
    <t>Window Cleaning</t>
  </si>
  <si>
    <t>Nettoyage fenêtres</t>
  </si>
  <si>
    <t>Low risk eligible</t>
  </si>
  <si>
    <t>Condition description</t>
  </si>
  <si>
    <t>Condition in Value</t>
  </si>
  <si>
    <t>Dont change column order / dont add columns</t>
  </si>
  <si>
    <t>Formulas in Yellow</t>
  </si>
  <si>
    <t>75% prime welder</t>
  </si>
  <si>
    <t>Low Risk Prem</t>
  </si>
  <si>
    <t>Low risk prem</t>
  </si>
  <si>
    <t>Standard rating (Medium risk )</t>
  </si>
  <si>
    <t>Intermediary Calculation</t>
  </si>
  <si>
    <t>Water deductible change ( Yes /No)</t>
  </si>
  <si>
    <t>Deductible change ( Yes /No )</t>
  </si>
  <si>
    <t>Updated</t>
  </si>
  <si>
    <t>Total Prime</t>
  </si>
  <si>
    <t>Not offered</t>
  </si>
  <si>
    <t>Prix</t>
  </si>
  <si>
    <t>*Pollution soudaine et accidentelle  (120H)</t>
  </si>
  <si>
    <t>*Sudden and accidental pollution(120H)</t>
  </si>
  <si>
    <t>Cost per coverage</t>
  </si>
  <si>
    <t>Coût par couverture supplémentaire</t>
  </si>
  <si>
    <t>Coût additionnel Package:</t>
  </si>
  <si>
    <t>Additional cost per package:</t>
  </si>
  <si>
    <t>La sécurité est importante pour vous? Ci-dessous nos options disponibles avec ou sans les packages:</t>
  </si>
  <si>
    <t>Uncheck to remove free Amlin package frils</t>
  </si>
  <si>
    <t>Décocher pour ne pas offrir le package Essentiel Amlin gratuit</t>
  </si>
  <si>
    <t xml:space="preserve">Limit </t>
  </si>
  <si>
    <t>Price flottante</t>
  </si>
  <si>
    <t>Package Gold ,Silver</t>
  </si>
  <si>
    <t>Gold</t>
  </si>
  <si>
    <t>Silver</t>
  </si>
  <si>
    <t>Confirm Intact is not on the exiring policy</t>
  </si>
  <si>
    <t>Property Claims history</t>
  </si>
  <si>
    <t>Historique de sinistre en biens</t>
  </si>
  <si>
    <t>% d'activité sur les lieux (max 10% Intact)</t>
  </si>
  <si>
    <t>% on-site work ( Intact max 10%)</t>
  </si>
  <si>
    <t>1531,1532, 1533, 1536, 1537, 1712, 1719, 1741, 1742, 1751, 1752, 1761,1762, 1763, 1764, 1765, 7395, 7693</t>
  </si>
  <si>
    <r>
      <t xml:space="preserve">*une alerte qui pose la question </t>
    </r>
    <r>
      <rPr>
        <b/>
        <sz val="11"/>
        <color rgb="FF1F497D"/>
        <rFont val="Calibri"/>
        <family val="2"/>
        <scheme val="minor"/>
      </rPr>
      <t>si plus de 25,000$</t>
    </r>
    <r>
      <rPr>
        <sz val="11"/>
        <color rgb="FF1F497D"/>
        <rFont val="Calibri"/>
        <family val="2"/>
        <scheme val="minor"/>
      </rPr>
      <t xml:space="preserve"> de contenu sur les lieux serait encore plus approprié</t>
    </r>
  </si>
  <si>
    <t>%</t>
  </si>
  <si>
    <t>&gt;0</t>
  </si>
  <si>
    <t>Rate over 400 K</t>
  </si>
  <si>
    <t>Intermediary Calculation Revenues</t>
  </si>
  <si>
    <t>Intermediary Calculation Premium</t>
  </si>
  <si>
    <t xml:space="preserve"> rate classes 1531,1536,1537</t>
  </si>
  <si>
    <t xml:space="preserve"> Add any of the coverage below to a package or stand alone:</t>
  </si>
  <si>
    <t>Garage / Entrepot / Atelier</t>
  </si>
  <si>
    <t>Garage / Storage / Shop</t>
  </si>
  <si>
    <t>Office</t>
  </si>
  <si>
    <t>No Claims up to 5 Years</t>
  </si>
  <si>
    <t>Premium : min 100$</t>
  </si>
  <si>
    <t xml:space="preserve"> max Limite = 30% * Rev</t>
  </si>
  <si>
    <t xml:space="preserve">Prime offerte </t>
  </si>
  <si>
    <t>Engagement formel Exclusion de déneigement</t>
  </si>
  <si>
    <t xml:space="preserve">Outils - Toute pièce d'équipement d'une valeur inférieure à 1 500 $ a besoin d'être détaillé </t>
  </si>
  <si>
    <t>Tools</t>
  </si>
  <si>
    <t>option:</t>
  </si>
  <si>
    <t xml:space="preserve">&gt;=3 </t>
  </si>
  <si>
    <t>% Institutionnel</t>
  </si>
  <si>
    <t>Formal engagement Exclusion of Snowremoval activities</t>
  </si>
  <si>
    <t>CM16Qa Specified Operation Exclusion:Plumbing, roofing work done by the insured himself</t>
  </si>
  <si>
    <t>La présente soumission est valide uniquement si l’assuré désigné n’a fait l’objet d’aucun acte pénal/criminel et/ou faillite</t>
  </si>
  <si>
    <t>ok</t>
  </si>
  <si>
    <t>Franchise par réclamant</t>
  </si>
  <si>
    <t>Deductible by claimant</t>
  </si>
  <si>
    <t>Conditions % Industriel</t>
  </si>
  <si>
    <t xml:space="preserve">5 years and more in business: </t>
  </si>
  <si>
    <t xml:space="preserve">3 to 5 years and more in business: </t>
  </si>
  <si>
    <r>
      <t xml:space="preserve">Less of 3 years in business: </t>
    </r>
    <r>
      <rPr>
        <b/>
        <sz val="11"/>
        <color rgb="FF1F497D"/>
        <rFont val="Calibri"/>
        <family val="2"/>
        <scheme val="minor"/>
      </rPr>
      <t/>
    </r>
  </si>
  <si>
    <t>Référer en Interne car moins de 5 ans en affires</t>
  </si>
  <si>
    <t>Refer internally due to less than 5 years in business</t>
  </si>
  <si>
    <t>CM16A Exclusion des activités désignées: Travaux de plomberie, toiture faits par l'assuré lui-même</t>
  </si>
  <si>
    <t>PA13A</t>
  </si>
  <si>
    <t>refer/ prior submit to Amlin</t>
  </si>
  <si>
    <t>referer/ prior submit to Amlin</t>
  </si>
  <si>
    <t>frais $</t>
  </si>
  <si>
    <t>Montant de Prime</t>
  </si>
  <si>
    <t>PE24 Extension de la garantie "valeur à neuf" matériel des entrepreneurs -obligatoire</t>
  </si>
  <si>
    <t>FAQ99</t>
  </si>
  <si>
    <t>Condition: permis valide d'utilisation de pesticides</t>
  </si>
  <si>
    <t xml:space="preserve">Conditionned to valid licence for use and application of pesticide </t>
  </si>
  <si>
    <t>Flex New Business Only</t>
  </si>
  <si>
    <t>Building operations:</t>
  </si>
  <si>
    <t>Affectation Bâtiment</t>
  </si>
  <si>
    <t>Nombre d'adresses</t>
  </si>
  <si>
    <t>Nb of locations</t>
  </si>
  <si>
    <t>1 . Preselection CGL</t>
  </si>
  <si>
    <t>1. Présélection CGL</t>
  </si>
  <si>
    <t>Market CGL</t>
  </si>
  <si>
    <t>Amlin (2049 /BC)</t>
  </si>
  <si>
    <t>Contract / Section</t>
  </si>
  <si>
    <t>CFC/ Open maket</t>
  </si>
  <si>
    <t>Endudance</t>
  </si>
  <si>
    <t>Date approved</t>
  </si>
  <si>
    <t>% CGL</t>
  </si>
  <si>
    <t>Total Revenues</t>
  </si>
  <si>
    <t>Total Chiffre d'affaires</t>
  </si>
  <si>
    <t xml:space="preserve"> CGL Eligible</t>
  </si>
  <si>
    <t xml:space="preserve"> Gold frills Package add in</t>
  </si>
  <si>
    <t>2 .Property Preselection</t>
  </si>
  <si>
    <t>2. Préselection en Biens</t>
  </si>
  <si>
    <t>IBC eligible</t>
  </si>
  <si>
    <t>Amlin conditions :</t>
  </si>
  <si>
    <t>Criteria Full</t>
  </si>
  <si>
    <t>Criteria Partial</t>
  </si>
  <si>
    <t>xx</t>
  </si>
  <si>
    <t>Extention of coverage</t>
  </si>
  <si>
    <t>Other property coverage</t>
  </si>
  <si>
    <t xml:space="preserve">Building </t>
  </si>
  <si>
    <t>Input TIV by coverage (location 1) :</t>
  </si>
  <si>
    <t>Outils</t>
  </si>
  <si>
    <t>Coverage:</t>
  </si>
  <si>
    <t>Couverture</t>
  </si>
  <si>
    <t xml:space="preserve">Extension of Coverage </t>
  </si>
  <si>
    <t xml:space="preserve">Extension de garanties </t>
  </si>
  <si>
    <t>Equipement</t>
  </si>
  <si>
    <t>Autres couvertures en Bien</t>
  </si>
  <si>
    <t>Renseignez la TIV (adresse 1)</t>
  </si>
  <si>
    <t>CGL Rating</t>
  </si>
  <si>
    <t>Tarification CGL</t>
  </si>
  <si>
    <t>CGL Rating outside of Contractor's framework</t>
  </si>
  <si>
    <t>Tarification CGL en dehors de April Contractors Amlin</t>
  </si>
  <si>
    <t>Other Liability Coverage</t>
  </si>
  <si>
    <t>Autres couvertures en civile</t>
  </si>
  <si>
    <t>Endorsments</t>
  </si>
  <si>
    <t>CW180F Engagement formel - attestation d'assurance des sous-traitants- min $2,000,000</t>
  </si>
  <si>
    <t>CW180 -SubContractors Warranty- min $1,000,000</t>
  </si>
  <si>
    <t>sub-total :</t>
  </si>
  <si>
    <t>Tracteurs, excavatrices, chargeuses frontales, chariots élévateurs, bétonnières, lampes, pompes, groupes électrogènes, échafaudages, convoyeurs, remorques de chantier. Pas de grues. Tous les éléments à lister.</t>
  </si>
  <si>
    <t>Nb de j. de couvert.</t>
  </si>
  <si>
    <t>Nb days of cov.</t>
  </si>
  <si>
    <t>Co -ins</t>
  </si>
  <si>
    <t>Taux quoté</t>
  </si>
  <si>
    <t>B. Section Responsabilité Civile</t>
  </si>
  <si>
    <t>B. Section General Liability</t>
  </si>
  <si>
    <t>Amlin Prior submit</t>
  </si>
  <si>
    <t>CW208</t>
  </si>
  <si>
    <t>CW208F</t>
  </si>
  <si>
    <t>check</t>
  </si>
  <si>
    <t>Amlin Contractor's binding authority: min premium applied</t>
  </si>
  <si>
    <t>589 binding authority: min premium applied</t>
  </si>
  <si>
    <t xml:space="preserve">589 Prior submit </t>
  </si>
  <si>
    <t>NB equip:</t>
  </si>
  <si>
    <t>Biggest Item Value:</t>
  </si>
  <si>
    <t>Contract Limit:</t>
  </si>
  <si>
    <t>max limit (max 30% revenues)</t>
  </si>
  <si>
    <t>Per item :</t>
  </si>
  <si>
    <t>max limit</t>
  </si>
  <si>
    <t>Franchise responsabilité civile</t>
  </si>
  <si>
    <t xml:space="preserve">CW205 AIRCRAFT PRODUCTS EXCLUSION </t>
  </si>
  <si>
    <t xml:space="preserve">CW205F EXCLUSION DES PRODUITS AÉRONEFS </t>
  </si>
  <si>
    <t xml:space="preserve">LX7b  Building Moving or Demolition Exclusion </t>
  </si>
  <si>
    <t xml:space="preserve">PRO002F AVENANT RELATIF À L’AMIANTE </t>
  </si>
  <si>
    <t xml:space="preserve">CW204F  EXCLUSION DE DOMMAGES AUX AÉRONEFS </t>
  </si>
  <si>
    <t xml:space="preserve">CW204 AIRCRAFT DAMAGE EXCLUSION  </t>
  </si>
  <si>
    <t>DR2-24 Exclusion d’enlèvement et réparation de produits</t>
  </si>
  <si>
    <t xml:space="preserve">Exclusion of removal and repair of products  DR2-24 </t>
  </si>
  <si>
    <t>Avenants :</t>
  </si>
  <si>
    <t xml:space="preserve"> mettre un chiffre 1 à 5 </t>
  </si>
  <si>
    <t>Put a number (1 to 5)</t>
  </si>
  <si>
    <t>Market:</t>
  </si>
  <si>
    <t>Contractor's equipment Rented(max 45 days per year)</t>
  </si>
  <si>
    <t>Equipement Entrepreneur Loué(max 45 jours par an)</t>
  </si>
  <si>
    <t>Requirement for  filling additional information below :</t>
  </si>
  <si>
    <t>Market summary</t>
  </si>
  <si>
    <t>Does the insured uses open flame for membrane application?</t>
  </si>
  <si>
    <t>L’assuré utilise l’application de chaleur pour l'installation de la membrane?</t>
  </si>
  <si>
    <t>DR2-17 Exclusion d’application de chaleur, soudure et découpage</t>
  </si>
  <si>
    <t>LE41 Assurances des assurés additionnels</t>
  </si>
  <si>
    <t>Amlin (2049)  /BC)</t>
  </si>
  <si>
    <t>589(CGL)</t>
  </si>
  <si>
    <t>Endurance</t>
  </si>
  <si>
    <t>Approval date:</t>
  </si>
  <si>
    <t>Insurer</t>
  </si>
  <si>
    <t>Max Participation %</t>
  </si>
  <si>
    <t>Remplir Capacity Calculator</t>
  </si>
  <si>
    <t>Input Capacity split</t>
  </si>
  <si>
    <t>Date d'approbation</t>
  </si>
  <si>
    <t>AK48</t>
  </si>
  <si>
    <t>DR2-17 Use of Heat exclusion</t>
  </si>
  <si>
    <t>LE41 Additional Insured</t>
  </si>
  <si>
    <t>https://www.renorun.ca/</t>
  </si>
  <si>
    <t>Renorun offre la livraison de matériaux de construction sur votre chantier en 2 heures ou moins.</t>
  </si>
  <si>
    <t>Avec chaque nouvelle police d’assurances April, Renorun vous offre la 1ère livraison gratuitement* !</t>
  </si>
  <si>
    <t>* Territoire desservie : Montreal, Laval, Toronto metropolitain, des conditions peuvent s’appliquer</t>
  </si>
  <si>
    <t xml:space="preserve">
Renorun offers the delivery of construction materials to your jobsite in 2 hours or less.</t>
  </si>
  <si>
    <t>With each new April insurance policy, Renorun offers you the first delivery for FREE*!</t>
  </si>
  <si>
    <t xml:space="preserve">
* Territory served: Montreal, Laval, Metropolitan Toronto, conditions may apply</t>
  </si>
  <si>
    <t>* Territory served: Metropolitan Toronto, Montreal, Laval, conditions may apply</t>
  </si>
  <si>
    <t>Per Contract</t>
  </si>
  <si>
    <t>CM16A Exclusion des activités de déneigement</t>
  </si>
  <si>
    <t>CM16A  Exclusion of Snowremoval activities</t>
  </si>
  <si>
    <t>Subject to: Regular maintenance of Equipment</t>
  </si>
  <si>
    <t>Subject to: Equipment fitted with anti-theft device</t>
  </si>
  <si>
    <t>Subject to: Equipment maintenance log kept</t>
  </si>
  <si>
    <t>Subject to: Fire protection equipment attached to the equipment</t>
  </si>
  <si>
    <t>Mention: Registre d'entretien tenu à jour</t>
  </si>
  <si>
    <t>Mention: Entretien régulier</t>
  </si>
  <si>
    <t>Mention: Equipement équipé d'un dispositif antivol</t>
  </si>
  <si>
    <t xml:space="preserve">Mention: Equipement de protection contre l'incendie attaché à l'équipement </t>
  </si>
  <si>
    <t>Crime**</t>
  </si>
  <si>
    <t>Crime ** couvre: détournement, argent de valeur (sur les lieux assurés/ hors les lieux assurrés),contrefaçon de mandat de billets de banque,contrefaçon préjudiciable aux déposants</t>
  </si>
  <si>
    <t>Crime ** covers: Employee dishonesty, Money and securities (inside loss / outside loss),  money orders counterfeit paper currency, depositors forgery</t>
  </si>
  <si>
    <t>0$-300,000$ : ok (850$)</t>
  </si>
  <si>
    <t>300K-400K : 1,000$</t>
  </si>
  <si>
    <t>400K 500K : 1,125$</t>
  </si>
  <si>
    <t>500K- 600K 1,250$</t>
  </si>
  <si>
    <t>600K 700K : 1,375$</t>
  </si>
  <si>
    <t>700K-800K: 1,500$</t>
  </si>
  <si>
    <t>900K-1M: 1,750$</t>
  </si>
  <si>
    <t>1M-1,100M: 2,000$</t>
  </si>
  <si>
    <t>Prime min 2 M</t>
  </si>
  <si>
    <t>Prime Min</t>
  </si>
  <si>
    <t>Increase :</t>
  </si>
  <si>
    <t>3 ans en affaires</t>
  </si>
  <si>
    <t>Nouveau en affaire</t>
  </si>
  <si>
    <t>Insti + industriel:</t>
  </si>
  <si>
    <t>Increase applied:</t>
  </si>
  <si>
    <t>Electrician</t>
  </si>
  <si>
    <t>Type</t>
  </si>
  <si>
    <t>1 M CGL</t>
  </si>
  <si>
    <t>Category</t>
  </si>
  <si>
    <t>Increased premium</t>
  </si>
  <si>
    <t>Equipement Loué</t>
  </si>
  <si>
    <t>Rented Equipment</t>
  </si>
  <si>
    <t xml:space="preserve">CW202F Exclusion relative aux dispositifs antivol - obligatoire pour tout équipement d'une valeur de $60,000 et plus </t>
  </si>
  <si>
    <t>CW202 Anti-Theft Exclusion - mandatory for any item with value of  $60,000 and over</t>
  </si>
  <si>
    <t>Code utilisé pour la tarification</t>
  </si>
  <si>
    <t>Code used for rating</t>
  </si>
  <si>
    <t>Code IBC de Nova</t>
  </si>
  <si>
    <t>Main code IBC in Nova</t>
  </si>
  <si>
    <t>LX6 Exclusion de l'abattage à l'explosif, du battage de pieux et de l'affaiblissement d'un support</t>
  </si>
  <si>
    <t>LR5 Restriction territoriale (limitée au Canada)</t>
  </si>
  <si>
    <t>LX8 Exclusion de la responsabilité civile liée à la participation à des activités sportives</t>
  </si>
  <si>
    <t xml:space="preserve">LX9 Exclusion des risques d'affaissement du sol  </t>
  </si>
  <si>
    <t xml:space="preserve">LX15 Exclusion des dommages souterrains  </t>
  </si>
  <si>
    <t xml:space="preserve">LX17a Exclusion de l’épandage de pesticides ou de désherbants </t>
  </si>
  <si>
    <t>LX18a Exclusion de la responsabilité civile imputable aux produits aéronautiques</t>
  </si>
  <si>
    <t xml:space="preserve">LX24 Exclusion de l’inefficacité des produits   </t>
  </si>
  <si>
    <t xml:space="preserve">LX29 Exclusion des produits et travaux terminés </t>
  </si>
  <si>
    <t>LX43 Exclusion des opérations de brûlage et des frais de lutte contre les incendies</t>
  </si>
  <si>
    <t>LX45a Exclusion totale de la responsabilité civile imputable à la pollution</t>
  </si>
  <si>
    <t xml:space="preserve">LX8 Sports Participant's Liability Exclusion </t>
  </si>
  <si>
    <t xml:space="preserve">LX9 Subsidence Exclusion  </t>
  </si>
  <si>
    <t xml:space="preserve">LX15 Underground Damage Exclusion   </t>
  </si>
  <si>
    <t xml:space="preserve">LX17a Pesticide/Weed Spraying Exclusion   </t>
  </si>
  <si>
    <t xml:space="preserve">LX18a Aircraft Products Liability Exclusion  </t>
  </si>
  <si>
    <t xml:space="preserve">LX24 Inefficacy Exclusion  </t>
  </si>
  <si>
    <t xml:space="preserve">LX29 Products-Completed Operations Exclusion </t>
  </si>
  <si>
    <t>LX43Burning Operations and Fire Fighting Expenses Exclusion</t>
  </si>
  <si>
    <t xml:space="preserve">LX45 Total Pollution Exclusion </t>
  </si>
  <si>
    <t>LR5 Territory Restriction (Canada Only)</t>
  </si>
  <si>
    <t xml:space="preserve">LX28C Exclusion totale de la responsabilité environnementale </t>
  </si>
  <si>
    <t xml:space="preserve">LX28c  Total Environmental Liability Exclusion </t>
  </si>
  <si>
    <t>Put nb  (1 to 10)</t>
  </si>
  <si>
    <t xml:space="preserve"> mettre un chiffre 1 à 10</t>
  </si>
  <si>
    <t>CONTRACTOR'S QUOTE</t>
  </si>
  <si>
    <t>Eligible Commission 17,5%</t>
  </si>
  <si>
    <t>Low risk commission</t>
  </si>
  <si>
    <t>Non low risk comission</t>
  </si>
  <si>
    <t>Low risk</t>
  </si>
  <si>
    <t>Fees impact</t>
  </si>
  <si>
    <t>Theoretical</t>
  </si>
  <si>
    <t xml:space="preserve">Theoretical </t>
  </si>
  <si>
    <t>Total premium</t>
  </si>
  <si>
    <t>Uncheck if low risk commission not offered</t>
  </si>
  <si>
    <t>offered comission</t>
  </si>
  <si>
    <t>fee impact</t>
  </si>
  <si>
    <t>Exclusion of builging over 4 storeys</t>
  </si>
  <si>
    <t>Exclusion of builging over 3 storeys</t>
  </si>
  <si>
    <t>Valid Welding licence</t>
  </si>
  <si>
    <t>Maximum 2 person operations</t>
  </si>
  <si>
    <t xml:space="preserve">LX46R OFF PREMISES WELDING EXCLUSION </t>
  </si>
  <si>
    <t xml:space="preserve">DR2-24 Exclusion of removal and repair of products </t>
  </si>
  <si>
    <t>Exclusion of work on agricultural zones</t>
  </si>
  <si>
    <t>Exclusion of drilling for gas or oil. Well for water only</t>
  </si>
  <si>
    <t>Package</t>
  </si>
  <si>
    <t>Exclusion Mafacon</t>
  </si>
  <si>
    <t>Exclusion E&amp;O</t>
  </si>
  <si>
    <t>Endorsements / Exclusions 4</t>
  </si>
  <si>
    <t>Endorsements / Exclusions 3</t>
  </si>
  <si>
    <t>Endorsements / Exclusions 2</t>
  </si>
  <si>
    <t>Endorsements / Exclusions 1</t>
  </si>
  <si>
    <t>Increased Deductible</t>
  </si>
  <si>
    <t>Pricing</t>
  </si>
  <si>
    <t>CW180 -SubContractors Warranty- min $2,000,000</t>
  </si>
  <si>
    <t>Endorsements / Exclusions 6</t>
  </si>
  <si>
    <t>DR2-53 Exclusion of pyrite</t>
  </si>
  <si>
    <t>DR2-24 Exclusion of removal and repair of products</t>
  </si>
  <si>
    <t>DR2-17 Exclusion of applying heat, welding and cutting</t>
  </si>
  <si>
    <t>COC</t>
  </si>
  <si>
    <t>LE24a Forest Fire Fighting extension</t>
  </si>
  <si>
    <t>LE24a Extension de la garantie aux frais de lutte contre les incendies de fôret.</t>
  </si>
  <si>
    <t>CW202 Anti-Theft Exclusion - mandatory</t>
  </si>
  <si>
    <t>CW202F Exclusion relative aux dispositifs antivol - obligatoire</t>
  </si>
  <si>
    <t>PR14 Clause relative au montant de garantie</t>
  </si>
  <si>
    <t xml:space="preserve">PE48 Fees to Substantiate Loss Extension </t>
  </si>
  <si>
    <t>PE48 Assurance des honoraires encourus pour justifier un sinistre</t>
  </si>
  <si>
    <t>PX1 Exclusion du vandalisme</t>
  </si>
  <si>
    <t>PX20b Exclusion Vol</t>
  </si>
  <si>
    <t>Water Damage Deductible on Liability</t>
  </si>
  <si>
    <t>Franchise des dommages par eau en responsabilité civile</t>
  </si>
  <si>
    <t xml:space="preserve">LX46RF  EXCLUSION  DES  TRAVAUX  DE  SOUDURE  HORS  DES LIEUX ASSURÉS </t>
  </si>
  <si>
    <t xml:space="preserve">DR2-24 Exclusion d’enlèvement et réparation de produits </t>
  </si>
  <si>
    <t>Exclusion  tous travaux en territoire agricole</t>
  </si>
  <si>
    <t>Exclusion bâtiment de plus de 3 étages</t>
  </si>
  <si>
    <t>Exclusion forage pour gaz ou petrolier. Puit pour l'eau seulement</t>
  </si>
  <si>
    <t>Maximum 2 personnes employées</t>
  </si>
  <si>
    <t>Licence de soudeur valide</t>
  </si>
  <si>
    <t>Exclusion bâtiment de plus de 4 étages</t>
  </si>
  <si>
    <t>DR2 -24 Exclusion d’enlèvement et réparation de produits</t>
  </si>
  <si>
    <t>Franchise par reclamant</t>
  </si>
  <si>
    <t>*Amendment to PA11 coverage:  amends new acquisitions</t>
  </si>
  <si>
    <t>CW216</t>
  </si>
  <si>
    <t>UW guidelines Max Authorized % activity</t>
  </si>
  <si>
    <t>Critères éligibilité : max % authorisé par activité</t>
  </si>
  <si>
    <t>Exclusion malfacon</t>
  </si>
  <si>
    <t>Exclusion faulty workmanship</t>
  </si>
  <si>
    <t>Package offered</t>
  </si>
  <si>
    <t>Package offert</t>
  </si>
  <si>
    <t>CW214 Exclusion des activités ou travaux antèrieurs à la date effective de la nouvelle affaire</t>
  </si>
  <si>
    <t>CW214 Exclusion of activities or work performed prior to the  risk effective date of the current policy</t>
  </si>
  <si>
    <t xml:space="preserve">LX6  Blasting, Pile Driving,Weakness of Support Exclusion </t>
  </si>
  <si>
    <t xml:space="preserve">LX6 Exclusion de l'abattage à l'explosif, du battage de pieux et de l'affaiblissement d'un support </t>
  </si>
  <si>
    <t>LX35 Exclusion des ventes et activités aux États-Unis</t>
  </si>
  <si>
    <t>LX 35 Exclusion des ventes et activités aux États-Unis</t>
  </si>
  <si>
    <t>Eligible Package</t>
  </si>
  <si>
    <t>Out of Quebec</t>
  </si>
  <si>
    <t>General contractor</t>
  </si>
  <si>
    <t>Order</t>
  </si>
  <si>
    <t>order</t>
  </si>
  <si>
    <t>Augmentation</t>
  </si>
  <si>
    <t>Risk type</t>
  </si>
  <si>
    <t>group</t>
  </si>
  <si>
    <t>Match</t>
  </si>
  <si>
    <t>taux avec augmentation</t>
  </si>
  <si>
    <t>rate with increase</t>
  </si>
  <si>
    <t>max</t>
  </si>
  <si>
    <t>CW187F GARANTIE RELATIVE AUX TRAVAUX DE SOUDURE LOIN DES LIEUX ASSURÉS</t>
  </si>
  <si>
    <t xml:space="preserve">LX7c  Exclusion des risques liés au déplacement  ou à la démolition d'un bâtiment </t>
  </si>
  <si>
    <t>Min prime CGL</t>
  </si>
  <si>
    <t>CW217 LMA5391 Coronavirus Exclusion</t>
  </si>
  <si>
    <t xml:space="preserve">Modifications à la couverture du formulaire PA11 : modifications apportées aux nouvelles </t>
  </si>
  <si>
    <t>Min prem Contractors</t>
  </si>
  <si>
    <t>UW add Rate inc%</t>
  </si>
  <si>
    <t xml:space="preserve"> Augm taux  % par UW</t>
  </si>
  <si>
    <t>Aucune Limite Equipement entreperneur authorisée</t>
  </si>
  <si>
    <t>CW218 LMA5393 Coronavirus Exclusion</t>
  </si>
  <si>
    <t>CW217 LMA5391 Exclusion Coronavirus</t>
  </si>
  <si>
    <t>CW218 - LMA5393 - Communicable Disease Endorsement EN</t>
  </si>
  <si>
    <t>CW218 - LMA5393 - Avenant relatif aux maladies transmissibles</t>
  </si>
  <si>
    <t>rate increase</t>
  </si>
  <si>
    <t xml:space="preserve">&gt;3 </t>
  </si>
  <si>
    <t>3 Y in Business</t>
  </si>
  <si>
    <t>3 Y Experience, New in Business</t>
  </si>
  <si>
    <t>500k</t>
  </si>
  <si>
    <t>Standard risk rating</t>
  </si>
  <si>
    <t>&gt;500 K</t>
  </si>
  <si>
    <t>Welders rating</t>
  </si>
  <si>
    <t>Under 400 K</t>
  </si>
  <si>
    <t>Demolition</t>
  </si>
  <si>
    <t>Premium before increase</t>
  </si>
  <si>
    <t>Flex</t>
  </si>
  <si>
    <t>Final premium</t>
  </si>
  <si>
    <t>Min prem 1M CGL</t>
  </si>
  <si>
    <t>Premium before flex</t>
  </si>
  <si>
    <t>flex applied</t>
  </si>
  <si>
    <t>Generaux</t>
  </si>
  <si>
    <t>NEW_LOW_RISK</t>
  </si>
  <si>
    <t>New low risk</t>
  </si>
  <si>
    <t xml:space="preserve">500k&gt;3 </t>
  </si>
  <si>
    <t xml:space="preserve">500k&lt;3 </t>
  </si>
  <si>
    <t xml:space="preserve">&gt;500,001$+&gt;3 </t>
  </si>
  <si>
    <t xml:space="preserve">&gt;500,001$+&lt;3 </t>
  </si>
  <si>
    <t xml:space="preserve">Subcontracting % </t>
  </si>
  <si>
    <t>Applied Rate increase Premium multiplier</t>
  </si>
  <si>
    <t>Threshold for increase</t>
  </si>
  <si>
    <t>CGL Deductible</t>
  </si>
  <si>
    <t>Deductible if Sub &gt; 69%</t>
  </si>
  <si>
    <t>Final CGL Decuctible</t>
  </si>
  <si>
    <t>Applied deductible</t>
  </si>
  <si>
    <t>Années en affaires</t>
  </si>
  <si>
    <t>Années expérience</t>
  </si>
  <si>
    <t>Catégorie tarification</t>
  </si>
  <si>
    <t>Catégorie Chiffre d'affaires:</t>
  </si>
  <si>
    <t xml:space="preserve">Model </t>
  </si>
  <si>
    <t>Franchise de base : 2,500$</t>
  </si>
  <si>
    <t>Min Prem</t>
  </si>
  <si>
    <t>NEW_LOW_RISK-2000000</t>
  </si>
  <si>
    <t>Basic</t>
  </si>
  <si>
    <t>NEW_LOW_RISK-1000000</t>
  </si>
  <si>
    <t>Platinum</t>
  </si>
  <si>
    <t>Plus</t>
  </si>
  <si>
    <t>NEW_LOW_RISK-5000000</t>
  </si>
  <si>
    <t>Package CGL</t>
  </si>
  <si>
    <t>Rating type</t>
  </si>
  <si>
    <t>Low risk-1000000</t>
  </si>
  <si>
    <t>Low risk-2000000</t>
  </si>
  <si>
    <t>Low risk-3000000</t>
  </si>
  <si>
    <t>Low risk-4000000</t>
  </si>
  <si>
    <t>Low risk-5000000</t>
  </si>
  <si>
    <t>Welders-1000000</t>
  </si>
  <si>
    <t>Welders-2000000</t>
  </si>
  <si>
    <t>Welders-3000000</t>
  </si>
  <si>
    <t>Welders-4000000</t>
  </si>
  <si>
    <t>Welders-5000000</t>
  </si>
  <si>
    <t>Demolition-1000000</t>
  </si>
  <si>
    <t>Demolition-2000000</t>
  </si>
  <si>
    <t>Demolition-3000000</t>
  </si>
  <si>
    <t>Demolition-4000000</t>
  </si>
  <si>
    <t>Demolition-5000000</t>
  </si>
  <si>
    <t>Electrician-1000000</t>
  </si>
  <si>
    <t>Electrician-2000000</t>
  </si>
  <si>
    <t>Electrician-3000000</t>
  </si>
  <si>
    <t>Electrician-4000000</t>
  </si>
  <si>
    <t>Electrician-5000000</t>
  </si>
  <si>
    <t>NEW_LOW_RISK-3000000</t>
  </si>
  <si>
    <t>NEW_LOW_RISK-4000000</t>
  </si>
  <si>
    <t>Généraux</t>
  </si>
  <si>
    <t>Généraux-1000000</t>
  </si>
  <si>
    <t>Généraux-2000000</t>
  </si>
  <si>
    <t>Généraux-3000000</t>
  </si>
  <si>
    <t>Généraux-4000000</t>
  </si>
  <si>
    <t>Généraux-5000000</t>
  </si>
  <si>
    <t>Province flex</t>
  </si>
  <si>
    <t>New_standard</t>
  </si>
  <si>
    <t>TLL</t>
  </si>
  <si>
    <t>$125 (increase vs now)</t>
  </si>
  <si>
    <t>$150 (increase vs now)</t>
  </si>
  <si>
    <t>$175 (increase vs now)</t>
  </si>
  <si>
    <t>$200 (increase vs now)</t>
  </si>
  <si>
    <t>Intact max: 125K</t>
  </si>
  <si>
    <t xml:space="preserve">Amlin max : </t>
  </si>
  <si>
    <t>Valeur limite par equipement 50,000$ et maximale 50,000$</t>
  </si>
  <si>
    <t>Max  value per equipment $50,000  / aggregate limit $50,000</t>
  </si>
  <si>
    <t xml:space="preserve">Intact max: </t>
  </si>
  <si>
    <t>Amlin max :</t>
  </si>
  <si>
    <t>Prendre règles Welders contrat 2049</t>
  </si>
  <si>
    <t>Increase required</t>
  </si>
  <si>
    <t>Apply Welder's Underwriting  2049</t>
  </si>
  <si>
    <t>Date</t>
  </si>
  <si>
    <t xml:space="preserve">For all IBC if Subcontracting &gt; 0%, </t>
  </si>
  <si>
    <t xml:space="preserve">Acceptability </t>
  </si>
  <si>
    <t>% Sub-contracting</t>
  </si>
  <si>
    <t>% Résidentiel</t>
  </si>
  <si>
    <t>%  Commercial</t>
  </si>
  <si>
    <t>% Industriel</t>
  </si>
  <si>
    <t>%  Institutionnel</t>
  </si>
  <si>
    <t>% Agricole</t>
  </si>
  <si>
    <t>QC rate increase</t>
  </si>
  <si>
    <t>ON flex</t>
  </si>
  <si>
    <t>QC flex</t>
  </si>
  <si>
    <t>Min Deductible increase ( Yes /No )</t>
  </si>
  <si>
    <t>Other Liability deductible</t>
  </si>
  <si>
    <t>Special Deductible amount</t>
  </si>
  <si>
    <t>Lmitation revenues</t>
  </si>
  <si>
    <t>Endorsements / Exclusions 5</t>
  </si>
  <si>
    <t>Exclude increase Ind /Inst</t>
  </si>
  <si>
    <t>decline si % residen &lt;100%</t>
  </si>
  <si>
    <t>Liability : Water deductible</t>
  </si>
  <si>
    <t>Institutionnel &lt; 10%</t>
  </si>
  <si>
    <t>Instit + Indust &lt; 25%</t>
  </si>
  <si>
    <t xml:space="preserve"> Yes</t>
  </si>
  <si>
    <t>Deductible 5000 if &gt;7500</t>
  </si>
  <si>
    <t>maximum if less than 3 Y in business</t>
  </si>
  <si>
    <t>max before increase</t>
  </si>
  <si>
    <t>rate increase based on IBC</t>
  </si>
  <si>
    <t>rate increase based on % ind/Inst</t>
  </si>
  <si>
    <t>Total increase</t>
  </si>
  <si>
    <t>Applied Rate inc% (IBC/% ind.)</t>
  </si>
  <si>
    <t xml:space="preserve"> Augm appliquée (IBC / %ind.)</t>
  </si>
  <si>
    <t>New business</t>
  </si>
  <si>
    <t>Renewals</t>
  </si>
  <si>
    <t>version Quote sheet</t>
  </si>
  <si>
    <t>At  Nov 2020</t>
  </si>
  <si>
    <t>At  Dec 2020</t>
  </si>
  <si>
    <t>Ref</t>
  </si>
  <si>
    <t xml:space="preserve">Scope </t>
  </si>
  <si>
    <t>Ontario Only</t>
  </si>
  <si>
    <t>Out ouf Ontario</t>
  </si>
  <si>
    <t>Current must be next to coverage</t>
  </si>
  <si>
    <t>flex tools</t>
  </si>
  <si>
    <t>property</t>
  </si>
  <si>
    <t>Limits  per item</t>
  </si>
  <si>
    <t>Limits  total</t>
  </si>
  <si>
    <t>Limits  per item for excavator</t>
  </si>
  <si>
    <t>Property rates</t>
  </si>
  <si>
    <t>Used flex</t>
  </si>
  <si>
    <t>max flex</t>
  </si>
  <si>
    <t xml:space="preserve">links to cell </t>
  </si>
  <si>
    <t>CGL coverage'!AB12</t>
  </si>
  <si>
    <t>Input '!J59</t>
  </si>
  <si>
    <t>Input '!K59</t>
  </si>
  <si>
    <t>Property!M6</t>
  </si>
  <si>
    <t>Comment</t>
  </si>
  <si>
    <t>Validation of flex</t>
  </si>
  <si>
    <t>automatic flex</t>
  </si>
  <si>
    <t>Flexed premium</t>
  </si>
  <si>
    <t>catégory for min premium contract</t>
  </si>
  <si>
    <t>Iimplied increase</t>
  </si>
  <si>
    <t>min premium of contract</t>
  </si>
  <si>
    <t>automatic max flex as per UW guidelines</t>
  </si>
  <si>
    <t>Non flexed premium as per UW guidelines</t>
  </si>
  <si>
    <t>Authorized premium</t>
  </si>
  <si>
    <t>Liability  max flex  (LOW risk and Regular risk)</t>
  </si>
  <si>
    <t>Liability  automatic flex  (LOW risk and Regular risk)</t>
  </si>
  <si>
    <t>available flex</t>
  </si>
  <si>
    <t>final max flex as per UW</t>
  </si>
  <si>
    <t>if additional increase based on IBC &gt;= 50% , flex can be up to 30%</t>
  </si>
  <si>
    <t>IF</t>
  </si>
  <si>
    <t>If renewal : put expiring information</t>
  </si>
  <si>
    <t>revenues</t>
  </si>
  <si>
    <t>Expiring premium</t>
  </si>
  <si>
    <t xml:space="preserve">Liability  renewal increase </t>
  </si>
  <si>
    <t>expected ren increase</t>
  </si>
  <si>
    <t>expiring rate</t>
  </si>
  <si>
    <t>min REN rate</t>
  </si>
  <si>
    <t>Expected min REN premium</t>
  </si>
  <si>
    <t>Additional rules for WELDERS may be applied, refer to UW guideline</t>
  </si>
  <si>
    <t>Se référer au guide souscripteur pour SOUDEURS</t>
  </si>
  <si>
    <t>No Excavator machine  TIV Limit available</t>
  </si>
  <si>
    <t>Chiffre d'affaires déclaré:</t>
  </si>
  <si>
    <t>Total revenues declared:</t>
  </si>
  <si>
    <t>Max subcontracting</t>
  </si>
  <si>
    <t>max  contract</t>
  </si>
  <si>
    <t>Increase Applied RC 2021 10%</t>
  </si>
  <si>
    <t>Nous fournir la liste des équipements d’entrepreneurs incluant l’année, le modèle, et le no de série pour l’émission de la police.</t>
  </si>
  <si>
    <t xml:space="preserve"> For the issuance of the policy, provide us list of contractors' equipment including year, model, and serial number.</t>
  </si>
  <si>
    <t>Exclusion du forage pour le gaz ou le pétrole. Eh bien pour l'eau seulement</t>
  </si>
  <si>
    <t>Deductible par réclamant</t>
  </si>
  <si>
    <t>Maximum 2 personnes</t>
  </si>
  <si>
    <t>not offered</t>
  </si>
  <si>
    <t>L'entrepreneur fais-t-il des piscines creusées?</t>
  </si>
  <si>
    <t>Does the contractor fabricate inground pool</t>
  </si>
  <si>
    <t>rate increase based on % ind/Inst and IBC</t>
  </si>
  <si>
    <t>IBC pisiniste</t>
  </si>
  <si>
    <t>Piscine creusée</t>
  </si>
  <si>
    <t>augmentation pisine creusée</t>
  </si>
  <si>
    <t>CW241 Exclusion of applying heat, welding and cutting</t>
  </si>
  <si>
    <t xml:space="preserve">CW241 Exclusion d’application de chaleur, soudure et découpage </t>
  </si>
  <si>
    <t>Minimum retained premium: 25% or $350 MRP, whichever is higher</t>
  </si>
  <si>
    <t>1,000,001 – 2,500,000</t>
  </si>
  <si>
    <t>2,500,001 – 5,000,000</t>
  </si>
  <si>
    <t>5,000,001 – 7,500,000</t>
  </si>
  <si>
    <t>7,500,001 – 10,000,000</t>
  </si>
  <si>
    <t>10,000,001 – 12,500,000</t>
  </si>
  <si>
    <t>12,500,001 – 15,000,000</t>
  </si>
  <si>
    <t>Above 20,000,000</t>
  </si>
  <si>
    <t>15,000,001 – 20,000,000</t>
  </si>
  <si>
    <t>CWW225 Exclusion relative aux virus et aux bactéries</t>
  </si>
  <si>
    <t>CWW225 Virus Bacteria Exclusion Endorsement</t>
  </si>
  <si>
    <t>LMA5468 Avenant d’exclusion totale des événements cybernétiques et de donnée</t>
  </si>
  <si>
    <t>LMA5468 Cyber and Data Total Exclusion Endorsement</t>
  </si>
  <si>
    <t>Contractor Equipment</t>
  </si>
  <si>
    <t>ARAG-TAT</t>
  </si>
  <si>
    <t>ARAG-COM</t>
  </si>
  <si>
    <t>Prime de 1000$ et moins: 135$</t>
  </si>
  <si>
    <t>Prime de 1000$ a 2000$: 160$</t>
  </si>
  <si>
    <t>Prime de 1501 à 2000$ et plus: 185$</t>
  </si>
  <si>
    <t>Prime de 2001 à 2500: 225$</t>
  </si>
  <si>
    <t>Prime de plus de 4000: 270$</t>
  </si>
  <si>
    <t>Prime de 2501 à 3000: 240$</t>
  </si>
  <si>
    <t>Prime de 3001 à 4000: 250$</t>
  </si>
  <si>
    <t>Les outils de plus de $2500 doivent être détaillés</t>
  </si>
  <si>
    <t>Tool value over $2500 must be on schedule</t>
  </si>
  <si>
    <t>Equipement de plus de 2500$ doivent être détaillés. Valeur limite par equipement 75,000$ et maximale 125,000$</t>
  </si>
  <si>
    <t>Equipement over $2500 must be on schedule. Max  value per equipment $75,000  / aggregate limit $125,000</t>
  </si>
  <si>
    <t>PA12 - PA11</t>
  </si>
  <si>
    <t>Tenant Legal Liability</t>
  </si>
  <si>
    <t>Responsabilité locative</t>
  </si>
  <si>
    <t>Soumission conditionnelle à recevoir confirmation d’un no licence RBQ en vigueur lors de l’émission</t>
  </si>
  <si>
    <t>QUOTEY INPUTS</t>
  </si>
  <si>
    <t>INSURER QUALIFYING RULES</t>
  </si>
  <si>
    <t>MAPPING</t>
  </si>
  <si>
    <t>FINAL ALGORITHM INPUTS</t>
  </si>
  <si>
    <t>OUTPUTS</t>
  </si>
  <si>
    <t>OUTPUT BACK TO QUOTEY</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</si>
  <si>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</si>
  <si>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</si>
  <si>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</si>
  <si>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</si>
  <si>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This final section links back from the inurer's algorithm to feed back into Quotey</t>
  </si>
  <si>
    <t xml:space="preserve">This is what Quotey should pick up </t>
  </si>
  <si>
    <t>Autoquote test result (0=Quote)</t>
  </si>
  <si>
    <t>Outcome:</t>
  </si>
  <si>
    <t>Input</t>
  </si>
  <si>
    <t>Result</t>
  </si>
  <si>
    <t>Refer test result (0 = refer if no quote offered)</t>
  </si>
  <si>
    <t>No Quote Reason:</t>
  </si>
  <si>
    <t>APRIL Code</t>
  </si>
  <si>
    <t>APRIL Description</t>
  </si>
  <si>
    <t>coverID</t>
  </si>
  <si>
    <t>coverName</t>
  </si>
  <si>
    <t>Response</t>
  </si>
  <si>
    <t>Flag Notes</t>
  </si>
  <si>
    <t>10505_postalcode</t>
  </si>
  <si>
    <t>Insured address postal code</t>
  </si>
  <si>
    <t>L1M1E5</t>
  </si>
  <si>
    <t>Reason for Refer</t>
  </si>
  <si>
    <t>Referral Reason:</t>
  </si>
  <si>
    <t>Carpentry, framing, trimming, cabinets - Away from Shop</t>
  </si>
  <si>
    <t>Product</t>
  </si>
  <si>
    <t>Are you aware of any claims</t>
  </si>
  <si>
    <t>Insurer Response</t>
  </si>
  <si>
    <t>Other known losses</t>
  </si>
  <si>
    <t>Rule #</t>
  </si>
  <si>
    <t>Referral phrase</t>
  </si>
  <si>
    <t>Quotey Mapped Input</t>
  </si>
  <si>
    <t>Client value</t>
  </si>
  <si>
    <t>Target</t>
  </si>
  <si>
    <t>Test result</t>
  </si>
  <si>
    <t>Refer if Fail?</t>
  </si>
  <si>
    <t>Refer Result</t>
  </si>
  <si>
    <t>Fail Reason</t>
  </si>
  <si>
    <t>Refer Reason</t>
  </si>
  <si>
    <t>Risk Address:</t>
  </si>
  <si>
    <t>Response Reason</t>
  </si>
  <si>
    <t>% subcontracted</t>
  </si>
  <si>
    <t>No previous claims</t>
  </si>
  <si>
    <t>Previous claims</t>
  </si>
  <si>
    <t>Number of claims</t>
  </si>
  <si>
    <t>n</t>
  </si>
  <si>
    <t>Price quoted (Premium + fees)</t>
  </si>
  <si>
    <t>Subcontractor Certificates</t>
  </si>
  <si>
    <t>No other known / pending losses</t>
  </si>
  <si>
    <t>Other known or pending losses</t>
  </si>
  <si>
    <t>fees</t>
  </si>
  <si>
    <t>In what year did your business start</t>
  </si>
  <si>
    <t>No exposure in the USA</t>
  </si>
  <si>
    <t>USA exposure</t>
  </si>
  <si>
    <t>Canada Only Exposure</t>
  </si>
  <si>
    <t>Total payable</t>
  </si>
  <si>
    <t>Covermatch</t>
  </si>
  <si>
    <t>Years relevant experience</t>
  </si>
  <si>
    <t>Subcontract above limit</t>
  </si>
  <si>
    <t>Contractors Tools Limit</t>
  </si>
  <si>
    <t>Tools aggregate limit</t>
  </si>
  <si>
    <t>Quotey Value Score</t>
  </si>
  <si>
    <t>Licensed</t>
  </si>
  <si>
    <t>Subcontractors are insured with certificates checked</t>
  </si>
  <si>
    <t>No subcontractor insurance checks</t>
  </si>
  <si>
    <t>Fumigation, Exterminating Operations - Inside Building or Vessel</t>
  </si>
  <si>
    <t>% subcontracted works</t>
  </si>
  <si>
    <t>Tools deductible</t>
  </si>
  <si>
    <t>Accounts receivable</t>
  </si>
  <si>
    <t>Previous Refusals</t>
  </si>
  <si>
    <t>Operation 1 fit "auto quote" rule</t>
  </si>
  <si>
    <t>Operation 1 not permitted</t>
  </si>
  <si>
    <t>Operation 1</t>
  </si>
  <si>
    <t>Number of years in business</t>
  </si>
  <si>
    <t>Contractors Equipment Limit</t>
  </si>
  <si>
    <t>Arson reward</t>
  </si>
  <si>
    <t>Do you or your staff perform design, inspection or consulting services?</t>
  </si>
  <si>
    <t>Operation 2 fit "auto quote" rule</t>
  </si>
  <si>
    <t>Operation 2 not permitted</t>
  </si>
  <si>
    <t>Operation 2</t>
  </si>
  <si>
    <t>Number of years experience</t>
  </si>
  <si>
    <t>Equipment deductible</t>
  </si>
  <si>
    <t>Bailees customer form</t>
  </si>
  <si>
    <t>% revenues from consulting / design services</t>
  </si>
  <si>
    <t>Operation 3 fit "auto quote" rule</t>
  </si>
  <si>
    <t>Operation 3 not permitted</t>
  </si>
  <si>
    <t>Operation 3</t>
  </si>
  <si>
    <t>Number of claims in the last 5 years</t>
  </si>
  <si>
    <t>Rented Equipment Limit</t>
  </si>
  <si>
    <t>Does your business provide engineering services?</t>
  </si>
  <si>
    <t>Operation 4 fit "auto quote" rule</t>
  </si>
  <si>
    <t>Operation 4 not permitted</t>
  </si>
  <si>
    <t>Operation 4</t>
  </si>
  <si>
    <t>Glazier Operations - glass, window, skylight, storefront installation</t>
  </si>
  <si>
    <t>Does the insured hold a valid license when required</t>
  </si>
  <si>
    <t>Contents Limit</t>
  </si>
  <si>
    <t>Business Contents</t>
  </si>
  <si>
    <t>Brands and labels</t>
  </si>
  <si>
    <t>operation_1</t>
  </si>
  <si>
    <t>Operation 1 Industry Code</t>
  </si>
  <si>
    <t>Operation 5 fit "auto quote" rule</t>
  </si>
  <si>
    <t>Operation 5 not permitted</t>
  </si>
  <si>
    <t>Operation 5</t>
  </si>
  <si>
    <t>Max 10% of revenues from consulting, 0% from engineering</t>
  </si>
  <si>
    <t>Installation Floater Limit</t>
  </si>
  <si>
    <t>Installation form / floater</t>
  </si>
  <si>
    <t>operation_1_405</t>
  </si>
  <si>
    <t xml:space="preserve">  - Op 1 Revenues</t>
  </si>
  <si>
    <t>Operation 6 fit "auto quote" rule</t>
  </si>
  <si>
    <t>Operation  cannot be quoted</t>
  </si>
  <si>
    <t>Operation 6</t>
  </si>
  <si>
    <t>Acoustic Ceiling Installation</t>
  </si>
  <si>
    <t>Total revenues</t>
  </si>
  <si>
    <t>Extension of Coverage Limit</t>
  </si>
  <si>
    <t>Broadform Building coverage</t>
  </si>
  <si>
    <t>operation_1_430</t>
  </si>
  <si>
    <t xml:space="preserve">  - Op 1 % Residential</t>
  </si>
  <si>
    <t>Operation 7 fit "auto quote" rule</t>
  </si>
  <si>
    <t>Operation 7</t>
  </si>
  <si>
    <t>Blinds and Curtains Installation</t>
  </si>
  <si>
    <t>CGL Limit</t>
  </si>
  <si>
    <t>Building damage by theft</t>
  </si>
  <si>
    <t>operation_1_435</t>
  </si>
  <si>
    <t xml:space="preserve">  - Op 1 % Commercial</t>
  </si>
  <si>
    <t>Operation 8 fit "auto quote" rule</t>
  </si>
  <si>
    <t>Operation 8</t>
  </si>
  <si>
    <t>operation_1_440</t>
  </si>
  <si>
    <t xml:space="preserve">  - Op 1 % Ind</t>
  </si>
  <si>
    <t>Operation 9 fit "auto quote" rule</t>
  </si>
  <si>
    <t>Operation 9</t>
  </si>
  <si>
    <t>Faulty Workmanship Lmit</t>
  </si>
  <si>
    <t>operation_1_450</t>
  </si>
  <si>
    <t xml:space="preserve">  - Op 1 % Agricultural</t>
  </si>
  <si>
    <t>Operation 10 fit "auto quote" rule</t>
  </si>
  <si>
    <t>Operation 10</t>
  </si>
  <si>
    <t>Professional Liability Limit</t>
  </si>
  <si>
    <t>Catch-all Clause</t>
  </si>
  <si>
    <t>operation_1_410</t>
  </si>
  <si>
    <t xml:space="preserve">  - Op 1 % will revenue be generated from Canada?</t>
  </si>
  <si>
    <t>% industrial operations</t>
  </si>
  <si>
    <t>Industrial operations permitted within limit</t>
  </si>
  <si>
    <t>% Industrial operations</t>
  </si>
  <si>
    <t>Fungi and fungal derivatives limit</t>
  </si>
  <si>
    <t>operation_2</t>
  </si>
  <si>
    <t>Operation 2 Industry Code</t>
  </si>
  <si>
    <t>Minimum 3 years experience</t>
  </si>
  <si>
    <t>Not enough experience</t>
  </si>
  <si>
    <t>Years Experience</t>
  </si>
  <si>
    <t>Duct cleaning</t>
  </si>
  <si>
    <t>Sudden and accidential pollution limit</t>
  </si>
  <si>
    <t>Limited Pollution Liability</t>
  </si>
  <si>
    <t>operation_2_405</t>
  </si>
  <si>
    <t xml:space="preserve">  - Op 2 Revenues</t>
  </si>
  <si>
    <t>Licensed for their trade if necessary</t>
  </si>
  <si>
    <t>Not licensed for trade</t>
  </si>
  <si>
    <t>Care, custody and control limit</t>
  </si>
  <si>
    <t>Condominium contingent</t>
  </si>
  <si>
    <t>operation_2_430</t>
  </si>
  <si>
    <t xml:space="preserve">  - Op 2 % Residential</t>
  </si>
  <si>
    <t>No previous insurance refusals / cancellations</t>
  </si>
  <si>
    <t>Previous insurance refusal / cancellation</t>
  </si>
  <si>
    <t>Masonry - incl. Bricklaying, Stonework, Tile, Marble, Mosaic, Stuccoing</t>
  </si>
  <si>
    <t>Tenants legal liability limit</t>
  </si>
  <si>
    <t>Tenant's legal liability</t>
  </si>
  <si>
    <t>Condominium loss assessment</t>
  </si>
  <si>
    <t>operation_2_435</t>
  </si>
  <si>
    <t xml:space="preserve">  - Op 2 % Commercial</t>
  </si>
  <si>
    <t>Metal Doors, Windows, Awnings, Vinyl siding, Eavestrough installation</t>
  </si>
  <si>
    <t>Consequential loss</t>
  </si>
  <si>
    <t>operation_2_440</t>
  </si>
  <si>
    <t xml:space="preserve">  - Op 2 % Ind</t>
  </si>
  <si>
    <t>Maximum 10% of revenues from consulting activities</t>
  </si>
  <si>
    <t>Consulting activites</t>
  </si>
  <si>
    <t>% revenues from consulting activities</t>
  </si>
  <si>
    <t>Contents at newly acquired locations</t>
  </si>
  <si>
    <t>operation_2_450</t>
  </si>
  <si>
    <t xml:space="preserve">  - Op 2 % Agricultural</t>
  </si>
  <si>
    <t>No revenues from engineering activities</t>
  </si>
  <si>
    <t>Engineering activities</t>
  </si>
  <si>
    <t>% revenues from engineering activities</t>
  </si>
  <si>
    <t>Contents at unnamed locations</t>
  </si>
  <si>
    <t>operation_2_410</t>
  </si>
  <si>
    <t xml:space="preserve">  - Op 2 % will revenue be generated from Canada?</t>
  </si>
  <si>
    <t>Total revenues &lt; $2,000,000</t>
  </si>
  <si>
    <t>Total revenues above limit</t>
  </si>
  <si>
    <t>Contents broadform coverage</t>
  </si>
  <si>
    <t>operation_3</t>
  </si>
  <si>
    <t>Operation 3 Industry Code</t>
  </si>
  <si>
    <t>No physical property</t>
  </si>
  <si>
    <t>Unable to insure buildings</t>
  </si>
  <si>
    <t>Building Limit</t>
  </si>
  <si>
    <t>Painting, Wallpapering, Decorating - excl. Spray Paint</t>
  </si>
  <si>
    <t>Blanket by laws</t>
  </si>
  <si>
    <t>Contents of others</t>
  </si>
  <si>
    <t>operation_3_405</t>
  </si>
  <si>
    <t xml:space="preserve">  - Op 3 Revenues</t>
  </si>
  <si>
    <t>% Agricultural</t>
  </si>
  <si>
    <t xml:space="preserve">No agricultural </t>
  </si>
  <si>
    <t>% agricultural</t>
  </si>
  <si>
    <t>Painting, Wallpapering, Decorating - incl. Spray Paint</t>
  </si>
  <si>
    <t>Contract penalty coverage</t>
  </si>
  <si>
    <t>operation_3_430</t>
  </si>
  <si>
    <t xml:space="preserve">  - Op 3 % Residential</t>
  </si>
  <si>
    <t>operation_3_435</t>
  </si>
  <si>
    <t xml:space="preserve">  - Op 3 % Commercial</t>
  </si>
  <si>
    <t>Repair Shops - Other Than Home Entertainment and Other Electrical Appliances</t>
  </si>
  <si>
    <t>Contractor's equipment - co-insurance</t>
  </si>
  <si>
    <t>operation_3_440</t>
  </si>
  <si>
    <t xml:space="preserve">  - Op 3 % Ind</t>
  </si>
  <si>
    <t>Mapping Rules</t>
  </si>
  <si>
    <t>Sheet Metal, tinsmith (HVAC, refridgeration, duct work) - Away from Shop</t>
  </si>
  <si>
    <t>Contractors equipment - fire department charges</t>
  </si>
  <si>
    <t>operation_3_450</t>
  </si>
  <si>
    <t xml:space="preserve">  - Op 3 % Agricultural</t>
  </si>
  <si>
    <t>Impacted trade</t>
  </si>
  <si>
    <t>Does trade qualify</t>
  </si>
  <si>
    <t>Question</t>
  </si>
  <si>
    <t>Sheet Metal, tinsmith (HVAC, refridgeration, duct work) - Shop Only</t>
  </si>
  <si>
    <t>Contractors equipment - loss of use</t>
  </si>
  <si>
    <t>operation_3_410</t>
  </si>
  <si>
    <t xml:space="preserve">  - Op 3 % will revenue be generated from Canada?</t>
  </si>
  <si>
    <t>Roofing operations not permitted</t>
  </si>
  <si>
    <t>Sidewalk construction</t>
  </si>
  <si>
    <t>Contractor's equipment - single item maximum</t>
  </si>
  <si>
    <t>operation_4</t>
  </si>
  <si>
    <t>Operation 4 Industry Code</t>
  </si>
  <si>
    <t>Sign installation</t>
  </si>
  <si>
    <t>Contractors equipment - sinking into muskeg or ice</t>
  </si>
  <si>
    <t>operation_4_405</t>
  </si>
  <si>
    <t xml:space="preserve">  - Op 4 Revenues</t>
  </si>
  <si>
    <t>Swimming Pool installation, servicing, cleaning, opening and closing</t>
  </si>
  <si>
    <t>Contractor's equipment replacement cost</t>
  </si>
  <si>
    <t>operation_4_430</t>
  </si>
  <si>
    <t xml:space="preserve">  - Op 4 % Residential</t>
  </si>
  <si>
    <t>Welding operations not permitted</t>
  </si>
  <si>
    <t>Conviction reward</t>
  </si>
  <si>
    <t>operation_4_435</t>
  </si>
  <si>
    <t xml:space="preserve">  - Op 4 % Commercial</t>
  </si>
  <si>
    <t>Hot works not permitted</t>
  </si>
  <si>
    <t>Tent Erection, Removal, Repair (Off Premises)</t>
  </si>
  <si>
    <t>Data coverage</t>
  </si>
  <si>
    <t>operation_4_440</t>
  </si>
  <si>
    <t xml:space="preserve">  - Op 4 % Ind</t>
  </si>
  <si>
    <t>Debris Removal</t>
  </si>
  <si>
    <t>operation_4_450</t>
  </si>
  <si>
    <t xml:space="preserve">  - Op 4 % Agricultural</t>
  </si>
  <si>
    <t>Work on chimneys, wood fireplaces not permitted</t>
  </si>
  <si>
    <t>operation_4_410</t>
  </si>
  <si>
    <t xml:space="preserve">  - Op 4 % will revenue be generated from Canada?</t>
  </si>
  <si>
    <t>Electrical activities not permitted</t>
  </si>
  <si>
    <t>Earthquake</t>
  </si>
  <si>
    <t>operation_5</t>
  </si>
  <si>
    <t>Operation 5 Industry Code</t>
  </si>
  <si>
    <t>Electrical connection works not permitted</t>
  </si>
  <si>
    <t>Eco-friendly coverage enhancement</t>
  </si>
  <si>
    <t>operation_5_405</t>
  </si>
  <si>
    <t xml:space="preserve">  - Op 5 Revenues</t>
  </si>
  <si>
    <t>Plumbing operations not permitted</t>
  </si>
  <si>
    <t>Cable Television &amp; Data Cable Installation - Residential</t>
  </si>
  <si>
    <t>Exhibition insurance</t>
  </si>
  <si>
    <t>operation_5_430</t>
  </si>
  <si>
    <t xml:space="preserve">  - Op 5 % Residential</t>
  </si>
  <si>
    <t>Construction, installation and modification works not permitted</t>
  </si>
  <si>
    <t>Cable Television &amp; Data Cable Installation - Commerical</t>
  </si>
  <si>
    <t>Exterior glass</t>
  </si>
  <si>
    <t>operation_5_435</t>
  </si>
  <si>
    <t xml:space="preserve">  - Op 5 % Commercial</t>
  </si>
  <si>
    <t>Exterior signs</t>
  </si>
  <si>
    <t>Equipment breakdown</t>
  </si>
  <si>
    <t>operation_5_440</t>
  </si>
  <si>
    <t xml:space="preserve">  - Op 5 % Ind</t>
  </si>
  <si>
    <t>Snow removal activities not permitted</t>
  </si>
  <si>
    <t>Fine arts</t>
  </si>
  <si>
    <t>operation_5_450</t>
  </si>
  <si>
    <t xml:space="preserve">  - Op 5 % Agricultural</t>
  </si>
  <si>
    <t>Fire department charges</t>
  </si>
  <si>
    <t>Expediting expenses</t>
  </si>
  <si>
    <t>operation_5_410</t>
  </si>
  <si>
    <t xml:space="preserve">  - Op 5 % will revenue be generated from Canada?</t>
  </si>
  <si>
    <t>Unable to accept work on public roads</t>
  </si>
  <si>
    <t>Fire suppression recharge</t>
  </si>
  <si>
    <t>operation_6</t>
  </si>
  <si>
    <t>Operation 6 Industry Code</t>
  </si>
  <si>
    <t>Unable to accept highway operations</t>
  </si>
  <si>
    <t>Inflation protection</t>
  </si>
  <si>
    <t>operation_6_405</t>
  </si>
  <si>
    <t xml:space="preserve">  - Op 6 Revenues</t>
  </si>
  <si>
    <t>Unable to accept work above 3 storeys</t>
  </si>
  <si>
    <t>Master key coverage</t>
  </si>
  <si>
    <t>Extinguishing System warranty</t>
  </si>
  <si>
    <t>operation_6_430</t>
  </si>
  <si>
    <t xml:space="preserve">  - Op 6 % Residential</t>
  </si>
  <si>
    <t>Unable to accept work above 4 storeys</t>
  </si>
  <si>
    <t>Newly acquired buildings</t>
  </si>
  <si>
    <t>operation_6_435</t>
  </si>
  <si>
    <t xml:space="preserve">  - Op 6 % Commercial</t>
  </si>
  <si>
    <t>Newly acquired business contents</t>
  </si>
  <si>
    <t>operation_6_440</t>
  </si>
  <si>
    <t xml:space="preserve">  - Op 6 % Ind</t>
  </si>
  <si>
    <t>Newly acquired equipment</t>
  </si>
  <si>
    <t>operation_6_450</t>
  </si>
  <si>
    <t xml:space="preserve">  - Op 6 % Agricultural</t>
  </si>
  <si>
    <t xml:space="preserve">Consequential Loss, Electrical Injury and Off-Premises Services: </t>
  </si>
  <si>
    <t>Off-premises service interruption</t>
  </si>
  <si>
    <t>operation_6_410</t>
  </si>
  <si>
    <t xml:space="preserve">  - Op 6 % will revenue be generated from Canada?</t>
  </si>
  <si>
    <t>Parcel post</t>
  </si>
  <si>
    <t>Flood deductible</t>
  </si>
  <si>
    <t>operation_7</t>
  </si>
  <si>
    <t>Operation 7 Industry Code</t>
  </si>
  <si>
    <t>Pollution clean-up and removal (insured premises)</t>
  </si>
  <si>
    <t>Growing plants, trees, shrubs (per item)</t>
  </si>
  <si>
    <t>operation_7_405</t>
  </si>
  <si>
    <t xml:space="preserve">  - Op 7 Revenues</t>
  </si>
  <si>
    <t>Professional fees for proving a loss</t>
  </si>
  <si>
    <t>Home office extension</t>
  </si>
  <si>
    <t>operation_7_430</t>
  </si>
  <si>
    <t xml:space="preserve">  - Op 7 % Residential</t>
  </si>
  <si>
    <t>Unable to accept work above 5 storeys</t>
  </si>
  <si>
    <t>Property off premises and in transit</t>
  </si>
  <si>
    <t>operation_7_435</t>
  </si>
  <si>
    <t xml:space="preserve">  - Op 7 % Commercial</t>
  </si>
  <si>
    <t>Unable to accept painting that is not building related</t>
  </si>
  <si>
    <t>Replacement cost - tools</t>
  </si>
  <si>
    <t>operation_7_440</t>
  </si>
  <si>
    <t xml:space="preserve">  - Op 7 % Ind</t>
  </si>
  <si>
    <t>Sales representative samples</t>
  </si>
  <si>
    <t>Leased, rented or borrowed equipment</t>
  </si>
  <si>
    <t>operation_7_450</t>
  </si>
  <si>
    <t xml:space="preserve">  - Op 7 % Agricultural</t>
  </si>
  <si>
    <t>Unable to accept &gt; 30% spray operations</t>
  </si>
  <si>
    <t>Seasonal increase to business contents limit</t>
  </si>
  <si>
    <t>Leasehold interest - rents</t>
  </si>
  <si>
    <t>operation_7_410</t>
  </si>
  <si>
    <t xml:space="preserve">  - Op 7 % will revenue be generated from Canada?</t>
  </si>
  <si>
    <t>Maximum 1,500 ft tent installations permitted</t>
  </si>
  <si>
    <t>Stock spoilage</t>
  </si>
  <si>
    <t>operation_8</t>
  </si>
  <si>
    <t>Operation 8 Industry Code</t>
  </si>
  <si>
    <t>Maximum 30% of exterior painting permitted</t>
  </si>
  <si>
    <t>Tools single item limit</t>
  </si>
  <si>
    <t>Mortgage rate guarantee</t>
  </si>
  <si>
    <t>operation_8_405</t>
  </si>
  <si>
    <t xml:space="preserve">  - Op 8 Revenues</t>
  </si>
  <si>
    <t>Tools co-insurance</t>
  </si>
  <si>
    <t>operation_8_430</t>
  </si>
  <si>
    <t xml:space="preserve">  - Op 8 % Residential</t>
  </si>
  <si>
    <t>Use of insecticides / herbicides not permitted</t>
  </si>
  <si>
    <t>Valuable papers and records</t>
  </si>
  <si>
    <t>operation_8_435</t>
  </si>
  <si>
    <t xml:space="preserve">  - Op 8 % Commercial</t>
  </si>
  <si>
    <t>operation_8_440</t>
  </si>
  <si>
    <t xml:space="preserve">  - Op 8 % Ind</t>
  </si>
  <si>
    <t>Newly acquired locations</t>
  </si>
  <si>
    <t>operation_8_450</t>
  </si>
  <si>
    <t xml:space="preserve">  - Op 8 % Agricultural</t>
  </si>
  <si>
    <t>Employee benefits liability</t>
  </si>
  <si>
    <t>operation_8_410</t>
  </si>
  <si>
    <t xml:space="preserve">  - Op 8 % will revenue be generated from Canada?</t>
  </si>
  <si>
    <t>Employer's liability</t>
  </si>
  <si>
    <t>operation_9</t>
  </si>
  <si>
    <t>Operation 9 Industry Code</t>
  </si>
  <si>
    <t>Total Operations</t>
  </si>
  <si>
    <t>% Res</t>
  </si>
  <si>
    <t>% Comm</t>
  </si>
  <si>
    <t>% Ind</t>
  </si>
  <si>
    <t>% Agg</t>
  </si>
  <si>
    <t>Pavement, Sidewalk and Driveways</t>
  </si>
  <si>
    <t>operation_9_405</t>
  </si>
  <si>
    <t xml:space="preserve">  - Op 9 Revenues</t>
  </si>
  <si>
    <t>Op1</t>
  </si>
  <si>
    <t>General aggregate of liability</t>
  </si>
  <si>
    <t>Personal effects and property of employees and others</t>
  </si>
  <si>
    <t>operation_9_430</t>
  </si>
  <si>
    <t xml:space="preserve">  - Op 9 % Residential</t>
  </si>
  <si>
    <t>Op2</t>
  </si>
  <si>
    <t>Medical expense per person</t>
  </si>
  <si>
    <t>operation_9_435</t>
  </si>
  <si>
    <t xml:space="preserve">  - Op 9 % Commercial</t>
  </si>
  <si>
    <t>Op3</t>
  </si>
  <si>
    <t>Preservation of property</t>
  </si>
  <si>
    <t>operation_9_440</t>
  </si>
  <si>
    <t xml:space="preserve">  - Op 9 % Ind</t>
  </si>
  <si>
    <t>Op4</t>
  </si>
  <si>
    <t>operation_9_450</t>
  </si>
  <si>
    <t xml:space="preserve">  - Op 9 % Agricultural</t>
  </si>
  <si>
    <t>Op5</t>
  </si>
  <si>
    <t>Non-Owned Auto - OEF 98B</t>
  </si>
  <si>
    <t>operation_9_410</t>
  </si>
  <si>
    <t xml:space="preserve">  - Op 9 % will revenue be generated from Canada?</t>
  </si>
  <si>
    <t>Op6</t>
  </si>
  <si>
    <t>Non-Owned Auto - SEF 96 - Contractual liability</t>
  </si>
  <si>
    <t>Rental reimbursement</t>
  </si>
  <si>
    <t>operation_10</t>
  </si>
  <si>
    <t>Operation 10 Industry Code</t>
  </si>
  <si>
    <t>Op7</t>
  </si>
  <si>
    <t>Non-Owned Auto - SEF 99 - Excluding long term leased vehicles</t>
  </si>
  <si>
    <t>Replacement cost - property of every description</t>
  </si>
  <si>
    <t>operation_10_405</t>
  </si>
  <si>
    <t xml:space="preserve">  - Op 10 Revenues</t>
  </si>
  <si>
    <t>Op8</t>
  </si>
  <si>
    <t>Personal &amp; Advertising injury</t>
  </si>
  <si>
    <t>operation_10_430</t>
  </si>
  <si>
    <t xml:space="preserve">  - Op 10 % Residential</t>
  </si>
  <si>
    <t>Op9</t>
  </si>
  <si>
    <t>Extra expense</t>
  </si>
  <si>
    <t>Retailers product impairment</t>
  </si>
  <si>
    <t>operation_10_435</t>
  </si>
  <si>
    <t xml:space="preserve">  - Op 10 % Commercial</t>
  </si>
  <si>
    <t>Op10</t>
  </si>
  <si>
    <t>operation_10_440</t>
  </si>
  <si>
    <t xml:space="preserve">  - Op 10 % Ind</t>
  </si>
  <si>
    <t>Total</t>
  </si>
  <si>
    <t>operation_10_450</t>
  </si>
  <si>
    <t xml:space="preserve">  - Op 10 % Agricultural</t>
  </si>
  <si>
    <t>Sewer Backup</t>
  </si>
  <si>
    <t>operation_10_410</t>
  </si>
  <si>
    <t xml:space="preserve">  - Op 10 % will revenue be generated from Canada?</t>
  </si>
  <si>
    <t>Contractors Tools Coverage &amp; Limit Required</t>
  </si>
  <si>
    <t>location_1_504100</t>
  </si>
  <si>
    <t>Building insured value</t>
  </si>
  <si>
    <t>Input from Quotey</t>
  </si>
  <si>
    <t>Quotey Selection</t>
  </si>
  <si>
    <t>Options</t>
  </si>
  <si>
    <t>Mapped Output</t>
  </si>
  <si>
    <t>Send to Algorithm</t>
  </si>
  <si>
    <t>Tools Limit Required</t>
  </si>
  <si>
    <t>Tools Limit</t>
  </si>
  <si>
    <t>Not required</t>
  </si>
  <si>
    <t>Tenants damage by vandalism exclusion</t>
  </si>
  <si>
    <t>Contractors Equipment Limit Required</t>
  </si>
  <si>
    <t>location_1_504170</t>
  </si>
  <si>
    <t>Contents Limit Required</t>
  </si>
  <si>
    <t>location_1_504180</t>
  </si>
  <si>
    <t>EDP systems limit</t>
  </si>
  <si>
    <t>If no exact match - then soft index</t>
  </si>
  <si>
    <t>location_1_504190</t>
  </si>
  <si>
    <t>Stock limit</t>
  </si>
  <si>
    <t>if no exact match - then next higher limit</t>
  </si>
  <si>
    <t>location_1_504200</t>
  </si>
  <si>
    <t>Business equipment limit</t>
  </si>
  <si>
    <t>Target match limit</t>
  </si>
  <si>
    <t>Water damage deductible</t>
  </si>
  <si>
    <t>Installation Floater Limit Required</t>
  </si>
  <si>
    <t>Work damage to stock</t>
  </si>
  <si>
    <t>location_1_504310</t>
  </si>
  <si>
    <t>Absolute pollution exclusion endorsement</t>
  </si>
  <si>
    <t>CGL Limit required</t>
  </si>
  <si>
    <t>Declined</t>
  </si>
  <si>
    <t>1000100_1</t>
  </si>
  <si>
    <t>CGL other limit required</t>
  </si>
  <si>
    <t>Pandemic exclusion</t>
  </si>
  <si>
    <t>Faulty workmanship limit required</t>
  </si>
  <si>
    <t>Contractors Equipment Coverage &amp; Limit Required</t>
  </si>
  <si>
    <t>Professional liability limit required</t>
  </si>
  <si>
    <t>Condominium special assessment</t>
  </si>
  <si>
    <t>1000190_1</t>
  </si>
  <si>
    <t>Professional liabilit other limit</t>
  </si>
  <si>
    <t>Equipment Limit</t>
  </si>
  <si>
    <t>Contingent wrap-up liability including diff in conditions</t>
  </si>
  <si>
    <t>Fungi and fungal derivatives limit required</t>
  </si>
  <si>
    <t>Contingent wrap-up liability including diff in deductibles</t>
  </si>
  <si>
    <t>Sudden and accidental pollution limit required</t>
  </si>
  <si>
    <t>1000210_1</t>
  </si>
  <si>
    <t>Pollution other limit</t>
  </si>
  <si>
    <t>Excess liability</t>
  </si>
  <si>
    <t>Care, custody and control limit required</t>
  </si>
  <si>
    <t>Damage from Blasting, Pile Driving, Removal or Weakening of Support</t>
  </si>
  <si>
    <t>Tenants legal liablity limit required</t>
  </si>
  <si>
    <t>Elevator and Hoist collision</t>
  </si>
  <si>
    <t>1000180_1</t>
  </si>
  <si>
    <t>TLL other limit</t>
  </si>
  <si>
    <t>Legal Expense Limit</t>
  </si>
  <si>
    <t>1000310_1</t>
  </si>
  <si>
    <t>Legal Expense Limit Other</t>
  </si>
  <si>
    <t>Is there roofing (Yes / No)</t>
  </si>
  <si>
    <t>Forest and Prairie Fire Fighting Expense</t>
  </si>
  <si>
    <t>Is there welding (Yes / No)</t>
  </si>
  <si>
    <t>Do you undertake any other"hot works", e.g. work that could produce a source of ignition such as cutting, grinding or the use of non-explosion proof electrical equipment?</t>
  </si>
  <si>
    <t>Does work on chimney, wood fireplace? (Yes / No)</t>
  </si>
  <si>
    <t>Rented Equipment Coverage &amp; Limit Required</t>
  </si>
  <si>
    <t>Does any work require license, e.g. electrical plumbing, hvac (yes / no)</t>
  </si>
  <si>
    <t>Wrap-up liability</t>
  </si>
  <si>
    <t>Does your work including connecting to main electrical supply lines? (Yes/No)</t>
  </si>
  <si>
    <t>Limitation of coverages to designated premises</t>
  </si>
  <si>
    <t>Do you undertake any construction, installation or alteration work? (Yes/NO)</t>
  </si>
  <si>
    <t>Do you undertake any form of snow removal? (Yes/No)</t>
  </si>
  <si>
    <t>Do you undertake work on any public roads? (Yes/No)</t>
  </si>
  <si>
    <t>Do you undertake any work on highways? (Yes/No)</t>
  </si>
  <si>
    <t>Maximum storeys worked (#)</t>
  </si>
  <si>
    <t>Does all of your work involve painting buildings (interior or exterior)? (Yes/No)</t>
  </si>
  <si>
    <t>What percent of your exterior work relates to spraying? (number)</t>
  </si>
  <si>
    <t>What percentage of your painting relates to exterior work? (number)</t>
  </si>
  <si>
    <t>Contents Coverage &amp; Limit Required</t>
  </si>
  <si>
    <t>Do you work on tents over 1,500 square feet (Yes/No)</t>
  </si>
  <si>
    <t>Does your business perform weed spraying services? (Yes / No)</t>
  </si>
  <si>
    <t>Does your business spray insecticides / pesticides? (Yes / No)</t>
  </si>
  <si>
    <t>Rip and Tear</t>
  </si>
  <si>
    <t>Business Equipment</t>
  </si>
  <si>
    <t>Voluntary property damage</t>
  </si>
  <si>
    <t>Additional property damage exclusion</t>
  </si>
  <si>
    <t>Contingent loss of income</t>
  </si>
  <si>
    <t>Basic Rental income</t>
  </si>
  <si>
    <t>Gross rents</t>
  </si>
  <si>
    <t>Installation Floater Coverage &amp; Limit Required</t>
  </si>
  <si>
    <t>Loss of earnings</t>
  </si>
  <si>
    <t>Actual Loss Sustained</t>
  </si>
  <si>
    <t>Computer fraud</t>
  </si>
  <si>
    <t>Credit Card Forgery</t>
  </si>
  <si>
    <t>Depositors forgery</t>
  </si>
  <si>
    <t>Employee dishonesty</t>
  </si>
  <si>
    <t>Funds Transfer Fraud</t>
  </si>
  <si>
    <t>Identity Theft</t>
  </si>
  <si>
    <t>Incoming cheque forgery</t>
  </si>
  <si>
    <t>Extension of Coverage Required</t>
  </si>
  <si>
    <t>Kidnap and ransom</t>
  </si>
  <si>
    <t>Loss inside the premises</t>
  </si>
  <si>
    <t>Cover Quality</t>
  </si>
  <si>
    <t>Loss outside the premises</t>
  </si>
  <si>
    <t>Essential</t>
  </si>
  <si>
    <t>Medical expense from robbery</t>
  </si>
  <si>
    <t>Better</t>
  </si>
  <si>
    <t>Money &amp; Securities</t>
  </si>
  <si>
    <t>Ultimate</t>
  </si>
  <si>
    <t>Money orders &amp; counterfeit currency</t>
  </si>
  <si>
    <t>Theft from custodian's home</t>
  </si>
  <si>
    <t>Third Party Bond</t>
  </si>
  <si>
    <t>Incident response costs</t>
  </si>
  <si>
    <t>Legal and regulatory costs</t>
  </si>
  <si>
    <t>IT Security and Forensic Costs</t>
  </si>
  <si>
    <t>Crisis communication costs</t>
  </si>
  <si>
    <t>CGL Coverage &amp; Limit Required</t>
  </si>
  <si>
    <t>Privacy breach management costs</t>
  </si>
  <si>
    <t>Third party privacy breach management costs</t>
  </si>
  <si>
    <t>Post breach remediation costs</t>
  </si>
  <si>
    <t>CGL Other limit</t>
  </si>
  <si>
    <t>Funds transfer fraud &amp; Social Engineering</t>
  </si>
  <si>
    <t>Theft of funds held in escrow</t>
  </si>
  <si>
    <t>Theft of personal funds</t>
  </si>
  <si>
    <t>Cyber extortion</t>
  </si>
  <si>
    <t>Corporate Identity theft</t>
  </si>
  <si>
    <t>Other limit</t>
  </si>
  <si>
    <t>Telephone hacking</t>
  </si>
  <si>
    <t>Push payment fraud</t>
  </si>
  <si>
    <t>Faulty Workmanship Coverage Required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</si>
  <si>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</si>
  <si>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</si>
  <si>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</si>
  <si>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</si>
  <si>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</si>
  <si>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</si>
  <si>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</si>
  <si>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</si>
  <si>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Network security liability</t>
  </si>
  <si>
    <t>Management liability</t>
  </si>
  <si>
    <t>Professional Liability Coverage Required</t>
  </si>
  <si>
    <t>Regulatory fines</t>
  </si>
  <si>
    <t>PCI Fines, penalties and assessments</t>
  </si>
  <si>
    <t>E&amp;O Limit Required</t>
  </si>
  <si>
    <t>Defamation</t>
  </si>
  <si>
    <t>E&amp;O Other limit</t>
  </si>
  <si>
    <t>Intellectual property rights infringement</t>
  </si>
  <si>
    <t>Court attendance costs</t>
  </si>
  <si>
    <t>Bodily injury</t>
  </si>
  <si>
    <t>Contract disputes and debt recovery</t>
  </si>
  <si>
    <t>Employment disputes</t>
  </si>
  <si>
    <t>Legal defence</t>
  </si>
  <si>
    <t>Property protection</t>
  </si>
  <si>
    <t>Statutory license protection</t>
  </si>
  <si>
    <t>Tax protection</t>
  </si>
  <si>
    <t>Unlimited legal assistance (helpline)</t>
  </si>
  <si>
    <t>Free antivirus software</t>
  </si>
  <si>
    <t>Fungi &amp; Fungal Derivatives Cover Required</t>
  </si>
  <si>
    <t>Defence costs in addition to limit</t>
  </si>
  <si>
    <t>Fungi &amp; Spores Limit Required</t>
  </si>
  <si>
    <t>Tenant's Improvements</t>
  </si>
  <si>
    <t>Sudden &amp; Accidential Pollution Cover Required</t>
  </si>
  <si>
    <t>Pollution Liability Limit</t>
  </si>
  <si>
    <t>Polution Other Limit</t>
  </si>
  <si>
    <t>Care, Custody &amp; Control Cover Required</t>
  </si>
  <si>
    <t>Care Custody and Control Limit</t>
  </si>
  <si>
    <t>Tenants Legal Liability Cover Required</t>
  </si>
  <si>
    <t>TLL Limit</t>
  </si>
  <si>
    <t>TLL Limit Other</t>
  </si>
  <si>
    <t>Legal Helpline Cover Required</t>
  </si>
  <si>
    <t>Legal Limit Required</t>
  </si>
  <si>
    <t>Legal Limit other</t>
  </si>
  <si>
    <t>Cyber Cover Required</t>
  </si>
  <si>
    <t>Quotey Code</t>
  </si>
  <si>
    <t>April Code</t>
  </si>
  <si>
    <t>Gardening for Others (Landscaper)</t>
  </si>
  <si>
    <t>Wrecking and Demolition conractor</t>
  </si>
  <si>
    <t>Driveways, Parking Area construction and sealing</t>
  </si>
  <si>
    <t>Fence and deck construction</t>
  </si>
  <si>
    <t>Irrigation or Drainage Systems</t>
  </si>
  <si>
    <t>Street Cleaning and sweeping</t>
  </si>
  <si>
    <t>Television Antennae and satellites</t>
  </si>
  <si>
    <t>Millwright - Industrial Machinery</t>
  </si>
  <si>
    <t>Sharpening of Tools, Scissors and Skates</t>
  </si>
  <si>
    <t>Highway, Street, Road - incl. Paving, Resurfacing</t>
  </si>
  <si>
    <t>Electrical, power or phone line construction</t>
  </si>
  <si>
    <t>Underground Cable or Conduit - incl. Incidental Excavation</t>
  </si>
  <si>
    <t>Underground Cable or Conduit - excl. Excavation</t>
  </si>
  <si>
    <t>Electrical Apparatus installation</t>
  </si>
  <si>
    <t>Cement, Concrete contractors</t>
  </si>
  <si>
    <t>Drywalling, Plastering, Lathing</t>
  </si>
  <si>
    <t>Tile and terrazzo contractors</t>
  </si>
  <si>
    <t>Carpentry, woodworking, cabinets - Shop Operations</t>
  </si>
  <si>
    <t>Home Furnishing Installation</t>
  </si>
  <si>
    <t>Floor Coverage, carpet, wood, vinyl Installation</t>
  </si>
  <si>
    <t>Interior Decorators and Home Organizers</t>
  </si>
  <si>
    <t>Construction - residential home builder</t>
  </si>
  <si>
    <t>Construction - Residential alterations, renovations or repairs</t>
  </si>
  <si>
    <t>General contractor - Residential Construction</t>
  </si>
  <si>
    <t>Mapping Quotey Trade Codes to APRIL Qualifying Trade Codes</t>
  </si>
  <si>
    <t>Quotey Description</t>
  </si>
  <si>
    <t>In Canada?</t>
  </si>
  <si>
    <t>Percentage</t>
  </si>
  <si>
    <t>Previous cancellations</t>
  </si>
  <si>
    <t>Number of ops</t>
  </si>
  <si>
    <t>Max Op</t>
  </si>
  <si>
    <t>% Max op of total</t>
  </si>
  <si>
    <t>Max</t>
  </si>
  <si>
    <t>Min</t>
  </si>
  <si>
    <t>location_1_504240</t>
  </si>
  <si>
    <t>Equipment breakdown (Include, Not required)</t>
  </si>
  <si>
    <t>Equipment Breakdown cover required</t>
  </si>
  <si>
    <t>Quality of coverage (Essential, Better, Ultimate)</t>
  </si>
  <si>
    <t>location_1_503500</t>
  </si>
  <si>
    <t>Is property within 250 m of a fire hydrant (Yes / No)</t>
  </si>
  <si>
    <t>location_1_503510</t>
  </si>
  <si>
    <t>Approximate KM to nearest firestation</t>
  </si>
  <si>
    <t>location_1_503520</t>
  </si>
  <si>
    <t>Is property fitted with a fire extinguishing / sprinkler system (Yes/No)</t>
  </si>
  <si>
    <t>location_1_503560</t>
  </si>
  <si>
    <t>Does property have a fire alarm? (Yes/No)</t>
  </si>
  <si>
    <t>location_1_500770</t>
  </si>
  <si>
    <t>What is the fire resistive nature of overall building construction?</t>
  </si>
  <si>
    <t>1. Fire Resistive</t>
  </si>
  <si>
    <t>Type of Construction</t>
  </si>
  <si>
    <t>2. Modified Fire Resistive</t>
  </si>
  <si>
    <t>3. Masonry Non Combustible</t>
  </si>
  <si>
    <t>4. Non Combustible</t>
  </si>
  <si>
    <t>5. Masonry</t>
  </si>
  <si>
    <t>6. Brick Veneer</t>
  </si>
  <si>
    <t>7. Frame &amp; Other</t>
  </si>
  <si>
    <t>Sprinkler &amp; Alarm</t>
  </si>
  <si>
    <t>Sprinklers?</t>
  </si>
  <si>
    <t>Fire Alarm?</t>
  </si>
  <si>
    <t>Yes Yes</t>
  </si>
  <si>
    <t>Yes No</t>
  </si>
  <si>
    <t>No Yes</t>
  </si>
  <si>
    <t>No No</t>
  </si>
  <si>
    <t>Join</t>
  </si>
  <si>
    <t>Final CGL Limit Required</t>
  </si>
  <si>
    <t>Exact match</t>
  </si>
  <si>
    <t>Failure to Perform</t>
  </si>
  <si>
    <t>Failure to Perform Limit</t>
  </si>
  <si>
    <t>Faulty workmanship limit</t>
  </si>
  <si>
    <t>Final E&amp;O Limit Required</t>
  </si>
  <si>
    <t>Final Pollution limit</t>
  </si>
  <si>
    <t>Failure to perform limit required</t>
  </si>
  <si>
    <t>TLL Final Imit</t>
  </si>
  <si>
    <t>Helpline only</t>
  </si>
  <si>
    <t>Legal Final Limit</t>
  </si>
  <si>
    <t>Helpline Only</t>
  </si>
  <si>
    <t>Full LEI</t>
  </si>
  <si>
    <t>Cyber limit</t>
  </si>
  <si>
    <t>1000300_1</t>
  </si>
  <si>
    <t>Specific cyber limit</t>
  </si>
  <si>
    <t>Cyber limit requested</t>
  </si>
  <si>
    <t>Cyber limit other</t>
  </si>
  <si>
    <t>Cyber Limit Final</t>
  </si>
  <si>
    <t>Crime Coverage Type</t>
  </si>
  <si>
    <t>Crime Coverage</t>
  </si>
  <si>
    <t>Broadform Money &amp; Securities limit</t>
  </si>
  <si>
    <t>Employee dishonesty limit</t>
  </si>
  <si>
    <t>3D crime limit</t>
  </si>
  <si>
    <t>Inside / outside robbery limit</t>
  </si>
  <si>
    <t>Limits Requested</t>
  </si>
  <si>
    <t>Crime Coverage Type (3D Comprehensive Crime Coverage, Inside / Outside Robbery, Broadform Money &amp; Securities, Employee Dishonesty, Declined)</t>
  </si>
  <si>
    <t>APRIL Contractors</t>
  </si>
  <si>
    <t>Commission rate</t>
  </si>
  <si>
    <t>Min retained premium</t>
  </si>
  <si>
    <t>Quote expiry date</t>
  </si>
  <si>
    <t>Non-Owned Auto (Damage to hired auto 94)</t>
  </si>
  <si>
    <t>Forgery or Alteration</t>
  </si>
  <si>
    <t>Privacy Liability</t>
  </si>
  <si>
    <t>Depositors forgery - Crime</t>
  </si>
  <si>
    <t>Employee dishonesty - Crime</t>
  </si>
  <si>
    <t>Loss inside the premises - Crime</t>
  </si>
  <si>
    <t>Loss outside the premises - Crime</t>
  </si>
  <si>
    <t>Medical expense from robbery - Crime</t>
  </si>
  <si>
    <t>Money &amp; Securities - Crime</t>
  </si>
  <si>
    <t>Money orders &amp; counterfeit currency - Crime</t>
  </si>
  <si>
    <t>Theft from custodian's home - Crime</t>
  </si>
  <si>
    <t>Third Party Bond - Crime</t>
  </si>
  <si>
    <t>Bodily injury - Legal</t>
  </si>
  <si>
    <t>Contract disputes and debt recovery - Legal</t>
  </si>
  <si>
    <t>Employment disputes - Legal</t>
  </si>
  <si>
    <t>Legal defence - Legal</t>
  </si>
  <si>
    <t>Property protection - Legal</t>
  </si>
  <si>
    <t>Statutory license protection - Legal</t>
  </si>
  <si>
    <t>Tax protection - Legal</t>
  </si>
  <si>
    <t>Unlimited legal assistance (helpline) - Legal</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</si>
  <si>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</si>
  <si>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</si>
  <si>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</si>
  <si>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</si>
  <si>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</si>
  <si>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</si>
  <si>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</si>
  <si>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</si>
  <si>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</si>
  <si>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</si>
  <si>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</si>
  <si>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</si>
  <si>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</si>
  <si>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</si>
  <si>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</si>
  <si>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</si>
  <si>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</si>
  <si>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</si>
  <si>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</si>
  <si>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</si>
  <si>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</si>
  <si>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</si>
  <si>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</si>
  <si>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</si>
  <si>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</si>
  <si>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</si>
  <si>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</si>
  <si>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</si>
  <si>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</si>
  <si>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</si>
  <si>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</si>
  <si>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</si>
  <si>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Broker fees</t>
  </si>
  <si>
    <t>Minimum retained premium</t>
  </si>
  <si>
    <t>Quote reference</t>
  </si>
  <si>
    <t>Contents Replacement Cost</t>
  </si>
  <si>
    <t>Contractor's Equipment Schedule Required</t>
  </si>
  <si>
    <t>Locked Vehicle Warranty</t>
  </si>
  <si>
    <t>Include</t>
  </si>
  <si>
    <t>Equipment Schedule required</t>
  </si>
  <si>
    <t>Subcontractors Warranty</t>
  </si>
  <si>
    <t>USA Sales and Operations Exclusion</t>
  </si>
  <si>
    <t>Exclusion of Snow Removal activities</t>
  </si>
  <si>
    <t>location_2_58300</t>
  </si>
  <si>
    <t>Is there a 2nd location?</t>
  </si>
  <si>
    <t>2nd location</t>
  </si>
  <si>
    <t>Cannot instantly quote multi-locations</t>
  </si>
  <si>
    <t>Location 2 type</t>
  </si>
  <si>
    <t>EB limit required</t>
  </si>
  <si>
    <t>In 250 m of Fire hydrant</t>
  </si>
  <si>
    <t>Yes 1-5</t>
  </si>
  <si>
    <t>KM to fire station</t>
  </si>
  <si>
    <t>Firestation convergence</t>
  </si>
  <si>
    <t>Search value</t>
  </si>
  <si>
    <t>No 1-5</t>
  </si>
  <si>
    <t>Business interruption (cyber)</t>
  </si>
  <si>
    <t>Digital asset destruction (cyber)</t>
  </si>
  <si>
    <t>Incident response expenses (cyber)</t>
  </si>
  <si>
    <t>Cyber extortion (cyber)</t>
  </si>
  <si>
    <t>Regulatory defence &amp; penalties (cyber)</t>
  </si>
  <si>
    <t>PCI Fines and Expenses (cyber)</t>
  </si>
  <si>
    <t>Security &amp; Privacy Liability (cyber)</t>
  </si>
  <si>
    <t>Multimedia Liability (cyber)</t>
  </si>
  <si>
    <t>Cyber deductible</t>
  </si>
  <si>
    <t>Waiting period</t>
  </si>
  <si>
    <t>General property deductible</t>
  </si>
  <si>
    <t>Regulatory fines &amp; penalties</t>
  </si>
  <si>
    <t>Water damage</t>
  </si>
  <si>
    <t>Sewer Backup Deductible</t>
  </si>
  <si>
    <t>Vandalism by Tenants</t>
  </si>
  <si>
    <t>Vandalism by Tenants Deductible</t>
  </si>
  <si>
    <t>Cooking in rooms exclusion</t>
  </si>
  <si>
    <t>Smoke Detector Warranty</t>
  </si>
  <si>
    <t>Property deductible</t>
  </si>
  <si>
    <t>Yes 6-8</t>
  </si>
  <si>
    <t>Yes 9+</t>
  </si>
  <si>
    <t>No 6-8</t>
  </si>
  <si>
    <t>No 9+</t>
  </si>
  <si>
    <t>3D Comprehensive</t>
  </si>
  <si>
    <t>If value of equipment &gt; $60K then add this into subjectivities</t>
  </si>
  <si>
    <t>Acceptable subcontracting</t>
  </si>
  <si>
    <t>Presence of High Hazard?</t>
  </si>
  <si>
    <t>Is High Hazard</t>
  </si>
  <si>
    <t>High Hazard Code List</t>
  </si>
  <si>
    <t>(Any present ops rated in full on high haz)</t>
  </si>
  <si>
    <t>Is GC?</t>
  </si>
  <si>
    <t>Exclusion of activities or work performed prior to the risk effective date of the policy</t>
  </si>
  <si>
    <t>Specified Operation Exclusion:Plumbing, electricity, roofing work done by the insured themselves</t>
  </si>
  <si>
    <t>Specified Operation Exclusion:Plumbing, roofing work done by the insured themselves</t>
  </si>
  <si>
    <t>Blasting, Pile Driving, Weakness of Support exclusion</t>
  </si>
  <si>
    <t>Underground Working conditions</t>
  </si>
  <si>
    <t>Removal and repair of products exclusion</t>
  </si>
  <si>
    <t>License required for application of pesticides</t>
  </si>
  <si>
    <t>Anti-theft precautions</t>
  </si>
  <si>
    <t>Pesticide / Weed Spraying exclusion</t>
  </si>
  <si>
    <t>Reno-Run</t>
  </si>
  <si>
    <t>Renorun</t>
  </si>
  <si>
    <t>Liability water damage deductible</t>
  </si>
  <si>
    <t>Liability for water damage deductible</t>
  </si>
  <si>
    <t>Final OP Selected</t>
  </si>
  <si>
    <t>Risk Postalcode &amp; Province</t>
  </si>
  <si>
    <t>Province Options</t>
  </si>
  <si>
    <t>Correspondence address postcode</t>
  </si>
  <si>
    <t>Accept</t>
  </si>
  <si>
    <t>Postalcode</t>
  </si>
  <si>
    <t>Correspondence address province</t>
  </si>
  <si>
    <t>Property 1 postalcode</t>
  </si>
  <si>
    <t>Property 1 province</t>
  </si>
  <si>
    <t>Is risk address same as correspondnce?</t>
  </si>
  <si>
    <t>Prince Edward Island</t>
  </si>
  <si>
    <t>NFLD</t>
  </si>
  <si>
    <t>10505_province</t>
  </si>
  <si>
    <t>location_1_500110_postalcode</t>
  </si>
  <si>
    <t>Risk address postalcode</t>
  </si>
  <si>
    <t>location_1_500110_province</t>
  </si>
  <si>
    <t>Risk address province</t>
  </si>
  <si>
    <t>location_1_500100</t>
  </si>
  <si>
    <t>Is property address same as correspondence address?</t>
  </si>
  <si>
    <t>Acceptable province</t>
  </si>
  <si>
    <t>Unable to quote in required province</t>
  </si>
  <si>
    <t>Sample String that Works</t>
  </si>
  <si>
    <t>Rating Update Log</t>
  </si>
  <si>
    <t>Action</t>
  </si>
  <si>
    <t>Insure Config updated?</t>
  </si>
  <si>
    <t>Sent to Darshan to upload?</t>
  </si>
  <si>
    <t xml:space="preserve">* Deleted several tabs that seemed irrelevant (if needed, roll back to April New Contractors 20220607.xls)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</si>
</sst>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4" formatCode="_-&quot;$&quot;* #,##0.00_-;\-&quot;$&quot;* #,##0.00_-;_-&quot;$&quot;* &quot;-&quot;??_-;_-@_-"/>
    <numFmt numFmtId="43" formatCode="_-* #,##0.00_-;\-* #,##0.00_-;_-* &quot;-&quot;??_-;_-@_-"/>
    <numFmt numFmtId="164" formatCode="&quot;$&quot;#,##0_);\(&quot;$&quot;#,##0\)"/>
    <numFmt numFmtId="165" formatCode="&quot;$&quot;#,##0_);[Red]\(&quot;$&quot;#,##0\)"/>
    <numFmt numFmtId="166" formatCode="&quot;$&quot;#,##0.00_);[Red]\(&quot;$&quot;#,##0.00\)"/>
    <numFmt numFmtId="167" formatCode="_(* #,##0_);_(* \(#,##0\);_(* &quot;-&quot;_);_(@_)"/>
    <numFmt numFmtId="168" formatCode="_(&quot;$&quot;* #,##0.00_);_(&quot;$&quot;* \(#,##0.00\);_(&quot;$&quot;* &quot;-&quot;??_);_(@_)"/>
    <numFmt numFmtId="169" formatCode="_(* #,##0.00_);_(* \(#,##0.00\);_(* &quot;-&quot;??_);_(@_)"/>
    <numFmt numFmtId="170" formatCode="_ * #,##0.00_)\ _$_ ;_ * \(#,##0.00\)\ _$_ ;_ * &quot;-&quot;??_)\ _$_ ;_ @_ "/>
    <numFmt numFmtId="171" formatCode="&quot;$&quot;#,##0"/>
    <numFmt numFmtId="172" formatCode="&quot;$&quot;#,##0;[Red]&quot;$&quot;#,##0"/>
    <numFmt numFmtId="173" formatCode="_([$€-2]* #,##0.00_);_([$€-2]* \(#,##0.00\);_([$€-2]* &quot;-&quot;??_)"/>
    <numFmt numFmtId="174" formatCode="_-* #,##0.00\ _$_-;_-* #,##0.00\ _$\-;_-* &quot;-&quot;??\ _$_-;_-@_-"/>
    <numFmt numFmtId="175" formatCode="_-* #,##0.00\ &quot;$&quot;_-;_-* #,##0.00\ &quot;$&quot;\-;_-* &quot;-&quot;??\ &quot;$&quot;_-;_-@_-"/>
    <numFmt numFmtId="176" formatCode="0.000"/>
    <numFmt numFmtId="177" formatCode="&quot;$&quot;#,##0.00"/>
    <numFmt numFmtId="178" formatCode="_(&quot;$&quot;* #,##0_);_(&quot;$&quot;* \(#,##0\);_(&quot;$&quot;* &quot;-&quot;??_);_(@_)"/>
    <numFmt numFmtId="179" formatCode="0.0"/>
    <numFmt numFmtId="180" formatCode="&quot;$&quot;#,##0.0"/>
    <numFmt numFmtId="181" formatCode="_-&quot;$&quot;* #,##0_-;\-&quot;$&quot;* #,##0_-;_-&quot;$&quot;* &quot;-&quot;??_-;_-@_-"/>
    <numFmt numFmtId="182" formatCode="0.0%"/>
    <numFmt numFmtId="184" formatCode="0.00000"/>
    <numFmt numFmtId="185" formatCode="&quot;$&quot;#,##0.0000"/>
    <numFmt numFmtId="186" formatCode="&quot;$&quot;#,##0.000"/>
    <numFmt numFmtId="187" formatCode="_(&quot;$&quot;* #,##0.000_);_(&quot;$&quot;* \(#,##0.000\);_(&quot;$&quot;* &quot;-&quot;??_);_(@_)"/>
    <numFmt numFmtId="188" formatCode="#,##0.00000"/>
    <numFmt numFmtId="189" formatCode="&quot;$&quot;#,##0.00000"/>
    <numFmt numFmtId="190" formatCode="#,##0.0000"/>
    <numFmt numFmtId="191" formatCode="0.0000"/>
    <numFmt numFmtId="192" formatCode="_(* #,##0.0000_);_(* \(#,##0.0000\);_(* &quot;-&quot;??_);_(@_)"/>
    <numFmt numFmtId="193" formatCode="_(* #,##0.00000_);_(* \(#,##0.00000\);_(* &quot;-&quot;??_);_(@_)"/>
    <numFmt numFmtId="194" formatCode="_([$$-409]* #,##0_);_([$$-409]* \(#,##0\);_([$$-409]* &quot;-&quot;??_);_(@_)"/>
    <numFmt numFmtId="196" formatCode="&quot;$&quot;#,##0.0_);[Red]\(&quot;$&quot;#,##0.0\)"/>
    <numFmt numFmtId="197" formatCode="_(* #,##0_);_(* \(#,##0\);_(* &quot;-&quot;??_);_(@_)"/>
    <numFmt numFmtId="198" formatCode="d/mmm/yyyy"/>
    <numFmt numFmtId="199" formatCode="0;[Red]0"/>
  </numFmts>
  <fonts count="333">
    <font>
      <sz val="11"/>
      <color theme="1"/>
      <name val="Calibri"/>
      <family val="2"/>
      <scheme val="minor"/>
    </font>
    <font>
      <sz val="11"/>
      <color theme="1"/>
      <name val="Calibri"/>
      <family val="2"/>
      <scheme val="minor"/>
    </font>
    <font>
      <b/>
      <sz val="11"/>
      <color theme="1"/>
      <name val="Calibri"/>
      <family val="2"/>
      <scheme val="minor"/>
    </font>
    <font>
      <sz val="11"/>
      <color theme="1" tint="0.249977111117893"/>
      <name val="Century Gothic"/>
      <family val="2"/>
    </font>
    <font>
      <b/>
      <sz val="11"/>
      <color theme="1" tint="0.249977111117893"/>
      <name val="Century Gothic"/>
      <family val="2"/>
    </font>
    <font>
      <sz val="12"/>
      <color theme="1" tint="0.249977111117893"/>
      <name val="Century Gothic"/>
      <family val="2"/>
    </font>
    <font>
      <sz val="14"/>
      <color theme="1" tint="0.249977111117893"/>
      <name val="Century Gothic"/>
      <family val="2"/>
    </font>
    <font>
      <sz val="10"/>
      <name val="Arial"/>
      <family val="2"/>
    </font>
    <font>
      <b/>
      <sz val="12"/>
      <name val="Arial"/>
      <family val="2"/>
    </font>
    <font>
      <sz val="8"/>
      <name val="Times New Roman"/>
      <family val="1"/>
    </font>
    <font>
      <sz val="12"/>
      <name val="Arial"/>
      <family val="2"/>
    </font>
    <font>
      <u/>
      <sz val="10"/>
      <color theme="10"/>
      <name val="Arial"/>
      <family val="2"/>
    </font>
    <font>
      <sz val="10"/>
      <color rgb="FF000000"/>
      <name val="Arial"/>
      <family val="2"/>
    </font>
    <font>
      <sz val="18"/>
      <color theme="1" tint="0.249977111117893"/>
      <name val="Century Gothic"/>
      <family val="2"/>
    </font>
    <font>
      <sz val="11"/>
      <color theme="0" tint="-0.499984740745262"/>
      <name val="Century Gothic"/>
      <family val="2"/>
    </font>
    <font>
      <sz val="12"/>
      <color theme="0" tint="-0.499984740745262"/>
      <name val="Century Gothic"/>
      <family val="2"/>
    </font>
    <font>
      <b/>
      <sz val="14"/>
      <color rgb="FF99CC00"/>
      <name val="Century Gothic"/>
      <family val="2"/>
    </font>
    <font>
      <sz val="12"/>
      <color rgb="FF99CC00"/>
      <name val="Century Gothic"/>
      <family val="2"/>
    </font>
    <font>
      <b/>
      <sz val="16"/>
      <color rgb="FF99CC00"/>
      <name val="Century Gothic"/>
      <family val="2"/>
    </font>
    <font>
      <b/>
      <sz val="16"/>
      <color theme="1" tint="0.34998626667073579"/>
      <name val="Century Gothic"/>
      <family val="2"/>
    </font>
    <font>
      <b/>
      <sz val="12"/>
      <color theme="0"/>
      <name val="Arial"/>
      <family val="2"/>
    </font>
    <font>
      <sz val="10"/>
      <color indexed="8"/>
      <name val="Arial"/>
      <family val="2"/>
    </font>
    <font>
      <sz val="4"/>
      <color indexed="8"/>
      <name val="Arial"/>
      <family val="2"/>
    </font>
    <font>
      <u/>
      <sz val="10"/>
      <color indexed="12"/>
      <name val="Arial"/>
      <family val="2"/>
    </font>
    <font>
      <sz val="10"/>
      <color indexed="8"/>
      <name val="Sans"/>
    </font>
    <font>
      <sz val="12"/>
      <color rgb="FFFF0000"/>
      <name val="Arial"/>
      <family val="2"/>
    </font>
    <font>
      <b/>
      <sz val="14"/>
      <color theme="0"/>
      <name val="Arial"/>
      <family val="2"/>
    </font>
    <font>
      <sz val="14"/>
      <color theme="1"/>
      <name val="Arial"/>
      <family val="2"/>
    </font>
    <font>
      <sz val="11"/>
      <color theme="0"/>
      <name val="Century Gothic"/>
      <family val="2"/>
    </font>
    <font>
      <sz val="11"/>
      <color theme="2" tint="-0.749992370372631"/>
      <name val="Century Gothic"/>
      <family val="2"/>
    </font>
    <font>
      <sz val="12"/>
      <name val="Times New Roman"/>
      <family val="1"/>
    </font>
    <font>
      <sz val="14"/>
      <name val="Arial"/>
      <family val="2"/>
    </font>
    <font>
      <b/>
      <sz val="14"/>
      <name val="Arial"/>
      <family val="2"/>
    </font>
    <font>
      <b/>
      <u/>
      <sz val="11"/>
      <color theme="1" tint="0.249977111117893"/>
      <name val="Century Gothic"/>
      <family val="2"/>
    </font>
    <font>
      <sz val="13"/>
      <color theme="1" tint="0.249977111117893"/>
      <name val="Century Gothic"/>
      <family val="2"/>
    </font>
    <font>
      <sz val="13"/>
      <color theme="0" tint="-0.499984740745262"/>
      <name val="Century Gothic"/>
      <family val="2"/>
    </font>
    <font>
      <b/>
      <sz val="13"/>
      <color theme="1" tint="0.249977111117893"/>
      <name val="Century Gothic"/>
      <family val="2"/>
    </font>
    <font>
      <b/>
      <sz val="13"/>
      <color theme="9" tint="-0.249977111117893"/>
      <name val="Century Gothic"/>
      <family val="2"/>
    </font>
    <font>
      <sz val="11"/>
      <color theme="1"/>
      <name val="Century Gothic"/>
      <family val="2"/>
    </font>
    <font>
      <sz val="12"/>
      <color theme="0"/>
      <name val="Arial"/>
      <family val="2"/>
    </font>
    <font>
      <u/>
      <sz val="11"/>
      <color theme="1" tint="0.249977111117893"/>
      <name val="Century Gothic"/>
      <family val="2"/>
    </font>
    <font>
      <b/>
      <sz val="11"/>
      <color theme="1"/>
      <name val="Century Gothic"/>
      <family val="2"/>
    </font>
    <font>
      <b/>
      <sz val="11"/>
      <color theme="0" tint="-0.499984740745262"/>
      <name val="Century Gothic"/>
      <family val="2"/>
    </font>
    <font>
      <sz val="11"/>
      <color theme="1" tint="0.499984740745262"/>
      <name val="Century Gothic"/>
      <family val="2"/>
    </font>
    <font>
      <b/>
      <sz val="11"/>
      <color theme="2" tint="-0.749992370372631"/>
      <name val="Century Gothic"/>
      <family val="2"/>
    </font>
    <font>
      <sz val="11"/>
      <name val="Century Gothic"/>
      <family val="2"/>
    </font>
    <font>
      <b/>
      <u/>
      <sz val="12"/>
      <color theme="1" tint="0.249977111117893"/>
      <name val="Century Gothic"/>
      <family val="2"/>
    </font>
    <font>
      <b/>
      <sz val="11"/>
      <color theme="9" tint="-0.249977111117893"/>
      <name val="Century Gothic"/>
      <family val="2"/>
    </font>
    <font>
      <b/>
      <u/>
      <sz val="18"/>
      <color theme="1" tint="0.249977111117893"/>
      <name val="Century Gothic"/>
      <family val="2"/>
    </font>
    <font>
      <u/>
      <sz val="18"/>
      <color theme="1" tint="0.249977111117893"/>
      <name val="Century Gothic"/>
      <family val="2"/>
    </font>
    <font>
      <u/>
      <sz val="14"/>
      <color theme="1" tint="0.249977111117893"/>
      <name val="Century Gothic"/>
      <family val="2"/>
    </font>
    <font>
      <u/>
      <sz val="12"/>
      <color theme="1" tint="0.249977111117893"/>
      <name val="Century Gothic"/>
      <family val="2"/>
    </font>
    <font>
      <b/>
      <sz val="14"/>
      <color theme="9" tint="-0.249977111117893"/>
      <name val="Century Gothic"/>
      <family val="2"/>
    </font>
    <font>
      <b/>
      <sz val="11"/>
      <name val="Century Gothic"/>
      <family val="2"/>
    </font>
    <font>
      <b/>
      <sz val="11"/>
      <color theme="0"/>
      <name val="Century Gothic"/>
      <family val="2"/>
    </font>
    <font>
      <u/>
      <sz val="11"/>
      <color theme="1"/>
      <name val="Century Gothic"/>
      <family val="2"/>
    </font>
    <font>
      <b/>
      <u/>
      <sz val="11"/>
      <color theme="1"/>
      <name val="Century Gothic"/>
      <family val="2"/>
    </font>
    <font>
      <sz val="10"/>
      <color theme="1"/>
      <name val="Century Gothic"/>
      <family val="2"/>
    </font>
    <font>
      <sz val="9"/>
      <name val="Century Gothic"/>
      <family val="2"/>
    </font>
    <font>
      <sz val="18"/>
      <color theme="0"/>
      <name val="Century Gothic"/>
      <family val="2"/>
    </font>
    <font>
      <sz val="8"/>
      <color theme="1"/>
      <name val="Century Gothic"/>
      <family val="2"/>
    </font>
    <font>
      <b/>
      <sz val="10"/>
      <color theme="9" tint="-0.249977111117893"/>
      <name val="Century Gothic"/>
      <family val="2"/>
    </font>
    <font>
      <b/>
      <sz val="11"/>
      <color theme="0"/>
      <name val="Calibri"/>
      <family val="2"/>
      <scheme val="minor"/>
    </font>
    <font>
      <sz val="11"/>
      <color theme="0"/>
      <name val="Calibri"/>
      <family val="2"/>
      <scheme val="minor"/>
    </font>
    <font>
      <sz val="13"/>
      <color theme="9" tint="-0.249977111117893"/>
      <name val="Century Gothic"/>
      <family val="2"/>
    </font>
    <font>
      <b/>
      <sz val="22"/>
      <color rgb="FF99CC00"/>
      <name val="Calibri"/>
      <family val="2"/>
      <scheme val="minor"/>
    </font>
    <font>
      <sz val="11"/>
      <color theme="0" tint="-0.34998626667073579"/>
      <name val="Calibri"/>
      <family val="2"/>
      <scheme val="minor"/>
    </font>
    <font>
      <sz val="14"/>
      <color theme="1" tint="0.34998626667073579"/>
      <name val="Century Gothic"/>
      <family val="2"/>
    </font>
    <font>
      <sz val="12"/>
      <color theme="1" tint="0.34998626667073579"/>
      <name val="Century Gothic"/>
      <family val="2"/>
    </font>
    <font>
      <sz val="14"/>
      <color theme="1"/>
      <name val="Century Gothic"/>
      <family val="2"/>
    </font>
    <font>
      <sz val="12"/>
      <name val="Century Gothic"/>
      <family val="2"/>
    </font>
    <font>
      <sz val="11"/>
      <name val="Calibri"/>
      <family val="2"/>
      <scheme val="minor"/>
    </font>
    <font>
      <b/>
      <sz val="11"/>
      <color rgb="FF99CC00"/>
      <name val="Century Gothic"/>
      <family val="2"/>
    </font>
    <font>
      <b/>
      <sz val="14"/>
      <color theme="0"/>
      <name val="Century Gothic"/>
      <family val="2"/>
    </font>
    <font>
      <b/>
      <sz val="10"/>
      <color theme="0"/>
      <name val="Century Gothic"/>
      <family val="2"/>
    </font>
    <font>
      <sz val="11"/>
      <color rgb="FF99CC00"/>
      <name val="Century Gothic"/>
      <family val="2"/>
    </font>
    <font>
      <b/>
      <sz val="16"/>
      <color theme="1" tint="0.249977111117893"/>
      <name val="Century Gothic"/>
      <family val="2"/>
    </font>
    <font>
      <sz val="14"/>
      <color theme="9" tint="-0.249977111117893"/>
      <name val="Century Gothic"/>
      <family val="2"/>
    </font>
    <font>
      <sz val="9"/>
      <color theme="1"/>
      <name val="Century Gothic"/>
      <family val="2"/>
    </font>
    <font>
      <b/>
      <sz val="16"/>
      <color theme="2" tint="-0.499984740745262"/>
      <name val="Century Gothic"/>
      <family val="2"/>
    </font>
    <font>
      <b/>
      <u/>
      <sz val="14"/>
      <color theme="1" tint="0.249977111117893"/>
      <name val="Century Gothic"/>
      <family val="2"/>
    </font>
    <font>
      <sz val="10"/>
      <color theme="1" tint="0.249977111117893"/>
      <name val="Century Gothic"/>
      <family val="2"/>
    </font>
    <font>
      <sz val="16"/>
      <color theme="1" tint="0.249977111117893"/>
      <name val="Century Gothic"/>
      <family val="2"/>
    </font>
    <font>
      <sz val="11"/>
      <color theme="0" tint="-0.14999847407452621"/>
      <name val="Century Gothic"/>
      <family val="2"/>
    </font>
    <font>
      <b/>
      <sz val="8"/>
      <color theme="1"/>
      <name val="Century Gothic"/>
      <family val="2"/>
    </font>
    <font>
      <sz val="11"/>
      <color theme="2" tint="-0.499984740745262"/>
      <name val="Century Gothic"/>
      <family val="2"/>
    </font>
    <font>
      <b/>
      <sz val="11"/>
      <color theme="2" tint="-0.499984740745262"/>
      <name val="Century Gothic"/>
      <family val="2"/>
    </font>
    <font>
      <sz val="11"/>
      <color theme="9" tint="-0.249977111117893"/>
      <name val="Century Gothic"/>
      <family val="2"/>
    </font>
    <font>
      <sz val="11"/>
      <color rgb="FFFF0000"/>
      <name val="Calibri"/>
      <family val="2"/>
      <scheme val="minor"/>
    </font>
    <font>
      <b/>
      <sz val="11"/>
      <name val="Calibri"/>
      <family val="2"/>
      <scheme val="minor"/>
    </font>
    <font>
      <b/>
      <u/>
      <sz val="11"/>
      <color theme="1"/>
      <name val="Calibri"/>
      <family val="2"/>
      <scheme val="minor"/>
    </font>
    <font>
      <sz val="9"/>
      <color theme="1"/>
      <name val="Arial"/>
      <family val="2"/>
    </font>
    <font>
      <sz val="9"/>
      <name val="Arial"/>
      <family val="2"/>
    </font>
    <font>
      <b/>
      <u/>
      <sz val="9"/>
      <color theme="1"/>
      <name val="Arial"/>
      <family val="2"/>
    </font>
    <font>
      <sz val="12"/>
      <color theme="1" tint="0.499984740745262"/>
      <name val="Century Gothic"/>
      <family val="2"/>
    </font>
    <font>
      <b/>
      <sz val="12"/>
      <color theme="1" tint="0.249977111117893"/>
      <name val="Century Gothic"/>
      <family val="2"/>
    </font>
    <font>
      <sz val="12"/>
      <color theme="9" tint="-0.249977111117893"/>
      <name val="Century Gothic"/>
      <family val="2"/>
    </font>
    <font>
      <sz val="13"/>
      <color theme="0"/>
      <name val="Century Gothic"/>
      <family val="2"/>
    </font>
    <font>
      <sz val="14"/>
      <name val="Calibri"/>
      <family val="2"/>
      <scheme val="minor"/>
    </font>
    <font>
      <b/>
      <sz val="12"/>
      <color theme="1" tint="0.499984740745262"/>
      <name val="Century Gothic"/>
      <family val="2"/>
    </font>
    <font>
      <b/>
      <sz val="10"/>
      <color indexed="8"/>
      <name val="Arial"/>
      <family val="2"/>
    </font>
    <font>
      <b/>
      <sz val="12"/>
      <color theme="0"/>
      <name val="Calibri"/>
      <family val="2"/>
      <scheme val="minor"/>
    </font>
    <font>
      <b/>
      <sz val="10"/>
      <color theme="1"/>
      <name val="Century Gothic"/>
      <family val="2"/>
    </font>
    <font>
      <sz val="11"/>
      <color theme="0" tint="-0.499984740745262"/>
      <name val="Calibri"/>
      <family val="2"/>
      <scheme val="minor"/>
    </font>
    <font>
      <sz val="14"/>
      <name val="Century Gothic"/>
      <family val="2"/>
    </font>
    <font>
      <b/>
      <sz val="12"/>
      <color theme="0"/>
      <name val="Century Gothic"/>
      <family val="2"/>
    </font>
    <font>
      <sz val="8"/>
      <name val="Calibri"/>
      <family val="2"/>
      <scheme val="minor"/>
    </font>
    <font>
      <sz val="8"/>
      <color theme="1" tint="0.249977111117893"/>
      <name val="Century Gothic"/>
      <family val="2"/>
    </font>
    <font>
      <b/>
      <sz val="8"/>
      <color rgb="FF99CC00"/>
      <name val="Century Gothic"/>
      <family val="2"/>
    </font>
    <font>
      <b/>
      <sz val="12"/>
      <color rgb="FF99CC00"/>
      <name val="Century Gothic"/>
      <family val="2"/>
    </font>
    <font>
      <sz val="11"/>
      <color theme="1" tint="0.34998626667073579"/>
      <name val="Century Gothic"/>
      <family val="2"/>
    </font>
    <font>
      <sz val="9"/>
      <color theme="1"/>
      <name val="Calibri"/>
      <family val="2"/>
      <scheme val="minor"/>
    </font>
    <font>
      <sz val="9"/>
      <color theme="1" tint="0.249977111117893"/>
      <name val="Century Gothic"/>
      <family val="2"/>
    </font>
    <font>
      <sz val="10"/>
      <color theme="1" tint="0.34998626667073579"/>
      <name val="Century Gothic"/>
      <family val="2"/>
    </font>
    <font>
      <b/>
      <sz val="20"/>
      <color theme="1" tint="0.249977111117893"/>
      <name val="Century Gothic"/>
      <family val="2"/>
    </font>
    <font>
      <b/>
      <sz val="10"/>
      <color theme="1" tint="0.34998626667073579"/>
      <name val="Century Gothic"/>
      <family val="2"/>
    </font>
    <font>
      <b/>
      <sz val="11"/>
      <color theme="1" tint="0.34998626667073579"/>
      <name val="Century Gothic"/>
      <family val="2"/>
    </font>
    <font>
      <b/>
      <sz val="10"/>
      <color rgb="FF99CC00"/>
      <name val="Century Gothic"/>
      <family val="2"/>
    </font>
    <font>
      <b/>
      <sz val="8"/>
      <color theme="0"/>
      <name val="Century Gothic"/>
      <family val="2"/>
    </font>
    <font>
      <sz val="8"/>
      <color theme="0"/>
      <name val="Century Gothic"/>
      <family val="2"/>
    </font>
    <font>
      <sz val="12"/>
      <color theme="1"/>
      <name val="Century Gothic"/>
      <family val="2"/>
    </font>
    <font>
      <sz val="12"/>
      <color theme="1"/>
      <name val="Calibri"/>
      <family val="2"/>
      <scheme val="minor"/>
    </font>
    <font>
      <u/>
      <sz val="12"/>
      <color theme="1"/>
      <name val="Century Gothic"/>
      <family val="2"/>
    </font>
    <font>
      <sz val="16"/>
      <name val="Calibri"/>
      <family val="2"/>
      <scheme val="minor"/>
    </font>
    <font>
      <b/>
      <sz val="16"/>
      <color theme="0" tint="-0.499984740745262"/>
      <name val="Century Gothic"/>
      <family val="2"/>
    </font>
    <font>
      <b/>
      <sz val="20"/>
      <color rgb="FF99CC00"/>
      <name val="Century Gothic"/>
      <family val="2"/>
    </font>
    <font>
      <u/>
      <sz val="11"/>
      <color theme="1" tint="0.34998626667073579"/>
      <name val="Century Gothic"/>
      <family val="2"/>
    </font>
    <font>
      <b/>
      <u/>
      <sz val="16"/>
      <color theme="1" tint="0.249977111117893"/>
      <name val="Century Gothic"/>
      <family val="2"/>
    </font>
    <font>
      <u/>
      <sz val="16"/>
      <color theme="1" tint="0.249977111117893"/>
      <name val="Century Gothic"/>
      <family val="2"/>
    </font>
    <font>
      <sz val="14"/>
      <color theme="0" tint="-0.499984740745262"/>
      <name val="Century Gothic"/>
      <family val="2"/>
    </font>
    <font>
      <b/>
      <sz val="10"/>
      <color theme="1" tint="0.14999847407452621"/>
      <name val="Century Gothic"/>
      <family val="2"/>
    </font>
    <font>
      <b/>
      <sz val="11"/>
      <color theme="1" tint="0.14999847407452621"/>
      <name val="Century Gothic"/>
      <family val="2"/>
    </font>
    <font>
      <b/>
      <sz val="14"/>
      <color theme="1" tint="0.249977111117893"/>
      <name val="Century Gothic"/>
      <family val="2"/>
    </font>
    <font>
      <b/>
      <sz val="11"/>
      <color theme="1"/>
      <name val="Arial"/>
      <family val="2"/>
    </font>
    <font>
      <sz val="11"/>
      <color theme="1"/>
      <name val="Arial"/>
      <family val="2"/>
    </font>
    <font>
      <sz val="11"/>
      <color theme="5" tint="-0.249977111117893"/>
      <name val="Arial"/>
      <family val="2"/>
    </font>
    <font>
      <b/>
      <sz val="11"/>
      <color theme="0"/>
      <name val="Arial"/>
      <family val="2"/>
    </font>
    <font>
      <sz val="11"/>
      <color theme="1" tint="0.249977111117893"/>
      <name val="Arial"/>
      <family val="2"/>
    </font>
    <font>
      <b/>
      <sz val="11"/>
      <color theme="2" tint="-0.499984740745262"/>
      <name val="Arial"/>
      <family val="2"/>
    </font>
    <font>
      <b/>
      <sz val="11"/>
      <name val="Arial"/>
      <family val="2"/>
    </font>
    <font>
      <sz val="11"/>
      <name val="Arial"/>
      <family val="2"/>
    </font>
    <font>
      <sz val="11"/>
      <color theme="2" tint="-0.499984740745262"/>
      <name val="Arial"/>
      <family val="2"/>
    </font>
    <font>
      <sz val="11"/>
      <color rgb="FFFF0000"/>
      <name val="Arial"/>
      <family val="2"/>
    </font>
    <font>
      <b/>
      <sz val="11"/>
      <color rgb="FFFF0000"/>
      <name val="Arial"/>
      <family val="2"/>
    </font>
    <font>
      <b/>
      <sz val="11"/>
      <color theme="1" tint="4.9989318521683403E-2"/>
      <name val="Arial"/>
      <family val="2"/>
    </font>
    <font>
      <sz val="11"/>
      <color theme="1" tint="4.9989318521683403E-2"/>
      <name val="Arial"/>
      <family val="2"/>
    </font>
    <font>
      <b/>
      <sz val="11"/>
      <color rgb="FF0070C0"/>
      <name val="Calibri"/>
      <family val="2"/>
      <scheme val="minor"/>
    </font>
    <font>
      <b/>
      <sz val="11"/>
      <color rgb="FFFFC000"/>
      <name val="Calibri"/>
      <family val="2"/>
      <scheme val="minor"/>
    </font>
    <font>
      <sz val="11"/>
      <color theme="1" tint="0.34998626667073579"/>
      <name val="Calibri"/>
      <family val="2"/>
      <scheme val="minor"/>
    </font>
    <font>
      <sz val="11"/>
      <color rgb="FFFFC000"/>
      <name val="Calibri"/>
      <family val="2"/>
      <scheme val="minor"/>
    </font>
    <font>
      <sz val="11"/>
      <color rgb="FF000000"/>
      <name val="Calibri"/>
      <family val="2"/>
      <scheme val="minor"/>
    </font>
    <font>
      <sz val="11"/>
      <color rgb="FF1F497D"/>
      <name val="Calibri"/>
      <family val="2"/>
      <scheme val="minor"/>
    </font>
    <font>
      <b/>
      <sz val="11"/>
      <color theme="1" tint="0.34998626667073579"/>
      <name val="Calibri"/>
      <family val="2"/>
      <scheme val="minor"/>
    </font>
    <font>
      <b/>
      <sz val="11"/>
      <color theme="0" tint="-0.499984740745262"/>
      <name val="Calibri"/>
      <family val="2"/>
      <scheme val="minor"/>
    </font>
    <font>
      <sz val="11"/>
      <color rgb="FFFFC000"/>
      <name val="Andalus"/>
      <family val="1"/>
    </font>
    <font>
      <sz val="11"/>
      <color theme="1" tint="0.249977111117893"/>
      <name val="Calibri"/>
      <family val="2"/>
      <scheme val="minor"/>
    </font>
    <font>
      <sz val="11"/>
      <color theme="1" tint="0.499984740745262"/>
      <name val="Calibri"/>
      <family val="2"/>
      <scheme val="minor"/>
    </font>
    <font>
      <sz val="11"/>
      <color theme="9" tint="-0.249977111117893"/>
      <name val="Calibri"/>
      <family val="2"/>
      <scheme val="minor"/>
    </font>
    <font>
      <b/>
      <sz val="11"/>
      <color theme="9" tint="-0.249977111117893"/>
      <name val="Arial"/>
      <family val="2"/>
    </font>
    <font>
      <sz val="11"/>
      <color theme="9" tint="-0.249977111117893"/>
      <name val="Arial"/>
      <family val="2"/>
    </font>
    <font>
      <b/>
      <sz val="9"/>
      <name val="Arial"/>
      <family val="2"/>
    </font>
    <font>
      <b/>
      <sz val="9"/>
      <name val="Century Gothic"/>
      <family val="2"/>
    </font>
    <font>
      <sz val="14"/>
      <color theme="0"/>
      <name val="Century Gothic"/>
      <family val="2"/>
    </font>
    <font>
      <b/>
      <sz val="16"/>
      <color theme="9" tint="-0.249977111117893"/>
      <name val="Century Gothic"/>
      <family val="2"/>
    </font>
    <font>
      <sz val="14"/>
      <color theme="2" tint="-0.499984740745262"/>
      <name val="Century Gothic"/>
      <family val="2"/>
    </font>
    <font>
      <sz val="10"/>
      <name val="Century Gothic"/>
      <family val="2"/>
    </font>
    <font>
      <b/>
      <sz val="10"/>
      <color theme="1" tint="0.249977111117893"/>
      <name val="Century Gothic"/>
      <family val="2"/>
    </font>
    <font>
      <sz val="10"/>
      <color theme="0" tint="-0.499984740745262"/>
      <name val="Century Gothic"/>
      <family val="2"/>
    </font>
    <font>
      <u/>
      <sz val="10"/>
      <color theme="1" tint="0.249977111117893"/>
      <name val="Century Gothic"/>
      <family val="2"/>
    </font>
    <font>
      <u/>
      <sz val="10"/>
      <color theme="1"/>
      <name val="Century Gothic"/>
      <family val="2"/>
    </font>
    <font>
      <b/>
      <sz val="18"/>
      <color theme="1"/>
      <name val="Century Gothic"/>
      <family val="2"/>
    </font>
    <font>
      <b/>
      <sz val="18"/>
      <color theme="0"/>
      <name val="Century Gothic"/>
      <family val="2"/>
    </font>
    <font>
      <sz val="12"/>
      <color theme="1"/>
      <name val="Arial"/>
      <family val="2"/>
    </font>
    <font>
      <sz val="10"/>
      <name val="Calibri"/>
      <family val="2"/>
      <scheme val="minor"/>
    </font>
    <font>
      <u/>
      <sz val="10"/>
      <color theme="0" tint="-0.499984740745262"/>
      <name val="Century Gothic"/>
      <family val="2"/>
    </font>
    <font>
      <sz val="11"/>
      <color theme="0"/>
      <name val="Arial"/>
      <family val="2"/>
    </font>
    <font>
      <sz val="11"/>
      <color theme="1" tint="0.14999847407452621"/>
      <name val="Arial"/>
      <family val="2"/>
    </font>
    <font>
      <sz val="12"/>
      <color theme="1" tint="0.14999847407452621"/>
      <name val="Arial"/>
      <family val="2"/>
    </font>
    <font>
      <b/>
      <sz val="9"/>
      <color indexed="81"/>
      <name val="Tahoma"/>
      <family val="2"/>
    </font>
    <font>
      <sz val="9"/>
      <color indexed="81"/>
      <name val="Tahoma"/>
      <family val="2"/>
    </font>
    <font>
      <b/>
      <sz val="10"/>
      <color rgb="FFFF0000"/>
      <name val="Century Gothic"/>
      <family val="2"/>
    </font>
    <font>
      <b/>
      <sz val="22"/>
      <color theme="1"/>
      <name val="Century Gothic"/>
      <family val="2"/>
    </font>
    <font>
      <sz val="12"/>
      <name val="Calibri"/>
      <family val="2"/>
      <scheme val="minor"/>
    </font>
    <font>
      <b/>
      <sz val="11"/>
      <color theme="1" tint="0.499984740745262"/>
      <name val="Century Gothic"/>
      <family val="2"/>
    </font>
    <font>
      <b/>
      <sz val="11"/>
      <color theme="1" tint="0.14999847407452621"/>
      <name val="Arial"/>
      <family val="2"/>
    </font>
    <font>
      <sz val="12"/>
      <color theme="0"/>
      <name val="Century Gothic"/>
      <family val="2"/>
    </font>
    <font>
      <sz val="16"/>
      <color theme="0"/>
      <name val="Century Gothic"/>
      <family val="2"/>
    </font>
    <font>
      <u/>
      <sz val="11"/>
      <color theme="0" tint="-0.499984740745262"/>
      <name val="Century Gothic"/>
      <family val="2"/>
    </font>
    <font>
      <sz val="10"/>
      <color rgb="FF99CC00"/>
      <name val="Century Gothic"/>
      <family val="2"/>
    </font>
    <font>
      <u/>
      <sz val="11"/>
      <color theme="1"/>
      <name val="Calibri"/>
      <family val="2"/>
      <scheme val="minor"/>
    </font>
    <font>
      <sz val="10"/>
      <color theme="9" tint="-0.249977111117893"/>
      <name val="Century Gothic"/>
      <family val="2"/>
    </font>
    <font>
      <b/>
      <sz val="12"/>
      <color theme="1"/>
      <name val="Century Gothic"/>
      <family val="2"/>
    </font>
    <font>
      <b/>
      <u/>
      <sz val="12"/>
      <color rgb="FF99CC00"/>
      <name val="Century Gothic"/>
      <family val="2"/>
    </font>
    <font>
      <b/>
      <sz val="12"/>
      <color theme="5" tint="-0.249977111117893"/>
      <name val="Century Gothic"/>
      <family val="2"/>
    </font>
    <font>
      <b/>
      <u/>
      <sz val="12"/>
      <color theme="5" tint="-0.249977111117893"/>
      <name val="Century Gothic"/>
      <family val="2"/>
    </font>
    <font>
      <b/>
      <sz val="12"/>
      <color theme="6" tint="-0.249977111117893"/>
      <name val="Century Gothic"/>
      <family val="2"/>
    </font>
    <font>
      <sz val="12"/>
      <color rgb="FFFF0000"/>
      <name val="Century Gothic"/>
      <family val="2"/>
    </font>
    <font>
      <b/>
      <sz val="12"/>
      <name val="Century Gothic"/>
      <family val="2"/>
    </font>
    <font>
      <sz val="12"/>
      <color theme="1" tint="0.14999847407452621"/>
      <name val="Century Gothic"/>
      <family val="2"/>
    </font>
    <font>
      <b/>
      <sz val="12"/>
      <color theme="2" tint="-0.499984740745262"/>
      <name val="Century Gothic"/>
      <family val="2"/>
    </font>
    <font>
      <sz val="12"/>
      <color theme="0" tint="-0.14999847407452621"/>
      <name val="Century Gothic"/>
      <family val="2"/>
    </font>
    <font>
      <b/>
      <sz val="11"/>
      <color theme="0" tint="-4.9989318521683403E-2"/>
      <name val="Century Gothic"/>
      <family val="2"/>
    </font>
    <font>
      <u/>
      <sz val="12"/>
      <color rgb="FF99CC00"/>
      <name val="Century Gothic"/>
      <family val="2"/>
    </font>
    <font>
      <b/>
      <u/>
      <sz val="11"/>
      <color theme="2" tint="-0.749992370372631"/>
      <name val="Century Gothic"/>
      <family val="2"/>
    </font>
    <font>
      <sz val="11"/>
      <color rgb="FF669900"/>
      <name val="Century Gothic"/>
      <family val="2"/>
    </font>
    <font>
      <b/>
      <sz val="11"/>
      <color rgb="FF1F497D"/>
      <name val="Century Gothic"/>
      <family val="2"/>
    </font>
    <font>
      <b/>
      <sz val="14"/>
      <color theme="2" tint="-0.749992370372631"/>
      <name val="Century Gothic"/>
      <family val="2"/>
    </font>
    <font>
      <sz val="11"/>
      <color theme="2" tint="-0.74999237037263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u/>
      <sz val="8.5"/>
      <color indexed="12"/>
      <name val="Arial"/>
      <family val="2"/>
    </font>
    <font>
      <b/>
      <sz val="9"/>
      <color theme="1"/>
      <name val="Arial"/>
      <family val="2"/>
    </font>
    <font>
      <b/>
      <sz val="11"/>
      <color rgb="FFFF0000"/>
      <name val="Calibri"/>
      <family val="2"/>
      <scheme val="minor"/>
    </font>
    <font>
      <sz val="10"/>
      <color theme="0"/>
      <name val="Century Gothic"/>
      <family val="2"/>
    </font>
    <font>
      <b/>
      <sz val="14"/>
      <color rgb="FFFF0000"/>
      <name val="Century Gothic"/>
      <family val="2"/>
    </font>
    <font>
      <sz val="8"/>
      <color rgb="FF99CC00"/>
      <name val="Century Gothic"/>
      <family val="2"/>
    </font>
    <font>
      <b/>
      <sz val="11"/>
      <color rgb="FF1F497D"/>
      <name val="Calibri"/>
      <family val="2"/>
      <scheme val="minor"/>
    </font>
    <font>
      <sz val="12"/>
      <color theme="1"/>
      <name val="Times New Roman"/>
      <family val="1"/>
    </font>
    <font>
      <b/>
      <sz val="11"/>
      <color theme="3"/>
      <name val="Century Gothic"/>
      <family val="2"/>
    </font>
    <font>
      <sz val="11"/>
      <color theme="1" tint="0.14999847407452621"/>
      <name val="Century Gothic"/>
      <family val="2"/>
    </font>
    <font>
      <sz val="18"/>
      <color theme="1" tint="0.14999847407452621"/>
      <name val="Century Gothic"/>
      <family val="2"/>
    </font>
    <font>
      <b/>
      <sz val="18"/>
      <color theme="1" tint="0.14999847407452621"/>
      <name val="Century Gothic"/>
      <family val="2"/>
    </font>
    <font>
      <sz val="14"/>
      <color theme="1" tint="0.14999847407452621"/>
      <name val="Century Gothic"/>
      <family val="2"/>
    </font>
    <font>
      <sz val="13"/>
      <color theme="1" tint="0.14999847407452621"/>
      <name val="Century Gothic"/>
      <family val="2"/>
    </font>
    <font>
      <b/>
      <sz val="12"/>
      <color theme="1" tint="0.14999847407452621"/>
      <name val="Century Gothic"/>
      <family val="2"/>
    </font>
    <font>
      <b/>
      <sz val="16"/>
      <color theme="1" tint="0.14999847407452621"/>
      <name val="Century Gothic"/>
      <family val="2"/>
    </font>
    <font>
      <sz val="11"/>
      <color theme="1" tint="0.14999847407452621"/>
      <name val="Calibri"/>
      <family val="2"/>
      <scheme val="minor"/>
    </font>
    <font>
      <b/>
      <u/>
      <sz val="18"/>
      <color theme="1" tint="0.14999847407452621"/>
      <name val="Century Gothic"/>
      <family val="2"/>
    </font>
    <font>
      <b/>
      <u/>
      <sz val="14"/>
      <color theme="1" tint="0.14999847407452621"/>
      <name val="Century Gothic"/>
      <family val="2"/>
    </font>
    <font>
      <b/>
      <u/>
      <sz val="12"/>
      <color theme="1" tint="0.14999847407452621"/>
      <name val="Century Gothic"/>
      <family val="2"/>
    </font>
    <font>
      <u/>
      <sz val="18"/>
      <color theme="1" tint="0.14999847407452621"/>
      <name val="Century Gothic"/>
      <family val="2"/>
    </font>
    <font>
      <sz val="10"/>
      <color theme="1" tint="0.14999847407452621"/>
      <name val="Century Gothic"/>
      <family val="2"/>
    </font>
    <font>
      <vertAlign val="superscript"/>
      <sz val="10"/>
      <color theme="1" tint="0.14999847407452621"/>
      <name val="Century Gothic"/>
      <family val="2"/>
    </font>
    <font>
      <i/>
      <sz val="11"/>
      <color theme="1" tint="0.14999847407452621"/>
      <name val="Century Gothic"/>
      <family val="2"/>
    </font>
    <font>
      <sz val="8"/>
      <color theme="1" tint="0.14999847407452621"/>
      <name val="Century Gothic"/>
      <family val="2"/>
    </font>
    <font>
      <i/>
      <sz val="10"/>
      <color theme="1" tint="0.14999847407452621"/>
      <name val="Century Gothic"/>
      <family val="2"/>
    </font>
    <font>
      <u/>
      <sz val="11"/>
      <color theme="1" tint="0.14999847407452621"/>
      <name val="Century Gothic"/>
      <family val="2"/>
    </font>
    <font>
      <vertAlign val="superscript"/>
      <sz val="11"/>
      <color theme="1" tint="0.14999847407452621"/>
      <name val="Century Gothic"/>
      <family val="2"/>
    </font>
    <font>
      <b/>
      <u/>
      <sz val="10"/>
      <color theme="1" tint="0.14999847407452621"/>
      <name val="Century Gothic"/>
      <family val="2"/>
    </font>
    <font>
      <u/>
      <sz val="14"/>
      <color theme="1" tint="0.14999847407452621"/>
      <name val="Century Gothic"/>
      <family val="2"/>
    </font>
    <font>
      <u/>
      <sz val="10"/>
      <color theme="1" tint="0.14999847407452621"/>
      <name val="Century Gothic"/>
      <family val="2"/>
    </font>
    <font>
      <u/>
      <sz val="12"/>
      <color theme="1" tint="0.14999847407452621"/>
      <name val="Century Gothic"/>
      <family val="2"/>
    </font>
    <font>
      <b/>
      <sz val="13"/>
      <color theme="1" tint="0.14999847407452621"/>
      <name val="Century Gothic"/>
      <family val="2"/>
    </font>
    <font>
      <sz val="11"/>
      <color theme="2" tint="-9.9978637043366805E-2"/>
      <name val="Century Gothic"/>
      <family val="2"/>
    </font>
    <font>
      <sz val="11"/>
      <color theme="2" tint="-0.249977111117893"/>
      <name val="Century Gothic"/>
      <family val="2"/>
    </font>
    <font>
      <b/>
      <sz val="11"/>
      <color theme="2" tint="-0.249977111117893"/>
      <name val="Century Gothic"/>
      <family val="2"/>
    </font>
    <font>
      <b/>
      <sz val="14"/>
      <color theme="3"/>
      <name val="Century Gothic"/>
      <family val="2"/>
    </font>
    <font>
      <b/>
      <sz val="11"/>
      <color rgb="FF669900"/>
      <name val="Century Gothic"/>
      <family val="2"/>
    </font>
    <font>
      <b/>
      <sz val="12"/>
      <color rgb="FF669900"/>
      <name val="Century Gothic"/>
      <family val="2"/>
    </font>
    <font>
      <b/>
      <sz val="10"/>
      <color rgb="FF669900"/>
      <name val="Century Gothic"/>
      <family val="2"/>
    </font>
    <font>
      <b/>
      <sz val="18"/>
      <color theme="1" tint="0.249977111117893"/>
      <name val="Century Gothic"/>
      <family val="2"/>
    </font>
    <font>
      <b/>
      <sz val="22"/>
      <color rgb="FF669900"/>
      <name val="Century Gothic"/>
      <family val="2"/>
    </font>
    <font>
      <sz val="18"/>
      <color indexed="81"/>
      <name val="Tahoma"/>
      <family val="2"/>
    </font>
    <font>
      <b/>
      <sz val="14"/>
      <color theme="5" tint="-0.249977111117893"/>
      <name val="Century Gothic"/>
      <family val="2"/>
    </font>
    <font>
      <b/>
      <sz val="14"/>
      <color theme="6" tint="-0.499984740745262"/>
      <name val="Century Gothic"/>
      <family val="2"/>
    </font>
    <font>
      <b/>
      <sz val="22"/>
      <color theme="9" tint="-0.249977111117893"/>
      <name val="Century Gothic"/>
      <family val="2"/>
    </font>
    <font>
      <b/>
      <sz val="12"/>
      <color theme="9" tint="-0.249977111117893"/>
      <name val="Century Gothic"/>
      <family val="2"/>
    </font>
    <font>
      <sz val="18"/>
      <color theme="1"/>
      <name val="Century Gothic"/>
      <family val="2"/>
    </font>
    <font>
      <sz val="14"/>
      <color theme="1" tint="0.499984740745262"/>
      <name val="Century Gothic"/>
      <family val="2"/>
    </font>
    <font>
      <sz val="14"/>
      <color theme="3"/>
      <name val="Century Gothic"/>
      <family val="2"/>
    </font>
    <font>
      <b/>
      <sz val="14"/>
      <color theme="0" tint="-0.499984740745262"/>
      <name val="Century Gothic"/>
      <family val="2"/>
    </font>
    <font>
      <b/>
      <sz val="14"/>
      <color theme="2" tint="-0.249977111117893"/>
      <name val="Century Gothic"/>
      <family val="2"/>
    </font>
    <font>
      <b/>
      <u/>
      <sz val="14"/>
      <name val="Century Gothic"/>
      <family val="2"/>
    </font>
    <font>
      <b/>
      <u/>
      <sz val="14"/>
      <color rgb="FFFF0000"/>
      <name val="Century Gothic"/>
      <family val="2"/>
    </font>
    <font>
      <sz val="14"/>
      <color rgb="FF99CC00"/>
      <name val="Century Gothic"/>
      <family val="2"/>
    </font>
    <font>
      <sz val="14"/>
      <color theme="2" tint="-9.9978637043366805E-2"/>
      <name val="Century Gothic"/>
      <family val="2"/>
    </font>
    <font>
      <b/>
      <sz val="14"/>
      <name val="Century Gothic"/>
      <family val="2"/>
    </font>
    <font>
      <b/>
      <sz val="14"/>
      <color theme="1"/>
      <name val="Century Gothic"/>
      <family val="2"/>
    </font>
    <font>
      <sz val="14"/>
      <color theme="6" tint="-0.499984740745262"/>
      <name val="Century Gothic"/>
      <family val="2"/>
    </font>
    <font>
      <sz val="14"/>
      <color rgb="FF669900"/>
      <name val="Century Gothic"/>
      <family val="2"/>
    </font>
    <font>
      <sz val="14"/>
      <color theme="2" tint="-0.749992370372631"/>
      <name val="Century Gothic"/>
      <family val="2"/>
    </font>
    <font>
      <b/>
      <sz val="18"/>
      <color rgb="FF669900"/>
      <name val="Century Gothic"/>
      <family val="2"/>
    </font>
    <font>
      <sz val="12"/>
      <color theme="2" tint="-0.749992370372631"/>
      <name val="Century Gothic"/>
      <family val="2"/>
    </font>
    <font>
      <b/>
      <sz val="12"/>
      <color theme="2" tint="-0.749992370372631"/>
      <name val="Century Gothic"/>
      <family val="2"/>
    </font>
    <font>
      <b/>
      <sz val="16"/>
      <color theme="0"/>
      <name val="Century Gothic"/>
      <family val="2"/>
    </font>
    <font>
      <b/>
      <sz val="20"/>
      <color rgb="FF669900"/>
      <name val="Century Gothic"/>
      <family val="2"/>
    </font>
    <font>
      <sz val="14"/>
      <color theme="1" tint="0.14999847407452621"/>
      <name val="Calibri"/>
      <family val="2"/>
      <scheme val="minor"/>
    </font>
    <font>
      <sz val="11"/>
      <color rgb="FFFF0000"/>
      <name val="Century Gothic"/>
      <family val="2"/>
    </font>
    <font>
      <sz val="13"/>
      <color theme="1"/>
      <name val="Century Gothic"/>
      <family val="2"/>
    </font>
    <font>
      <sz val="13"/>
      <name val="Century Gothic"/>
      <family val="2"/>
    </font>
    <font>
      <b/>
      <sz val="13"/>
      <name val="Century Gothic"/>
      <family val="2"/>
    </font>
    <font>
      <b/>
      <sz val="13"/>
      <color theme="1"/>
      <name val="Century Gothic"/>
      <family val="2"/>
    </font>
    <font>
      <b/>
      <sz val="12"/>
      <color theme="2" tint="-0.249977111117893"/>
      <name val="Century Gothic"/>
      <family val="2"/>
    </font>
    <font>
      <b/>
      <sz val="12"/>
      <color theme="0" tint="-0.499984740745262"/>
      <name val="Century Gothic"/>
      <family val="2"/>
    </font>
    <font>
      <b/>
      <sz val="13"/>
      <color rgb="FF669900"/>
      <name val="Century Gothic"/>
      <family val="2"/>
    </font>
    <font>
      <b/>
      <sz val="13"/>
      <color theme="0"/>
      <name val="Century Gothic"/>
      <family val="2"/>
    </font>
    <font>
      <u/>
      <sz val="11"/>
      <color theme="0"/>
      <name val="Century Gothic"/>
      <family val="2"/>
    </font>
    <font>
      <sz val="16"/>
      <color theme="1"/>
      <name val="Century Gothic"/>
      <family val="2"/>
    </font>
    <font>
      <b/>
      <sz val="20"/>
      <name val="Century Gothic"/>
      <family val="2"/>
    </font>
    <font>
      <sz val="13"/>
      <color theme="2" tint="-0.749992370372631"/>
      <name val="Century Gothic"/>
      <family val="2"/>
    </font>
    <font>
      <b/>
      <sz val="12"/>
      <color theme="1"/>
      <name val="Calibri"/>
      <family val="2"/>
      <scheme val="minor"/>
    </font>
    <font>
      <sz val="14"/>
      <color rgb="FFFF0000"/>
      <name val="Century Gothic"/>
      <family val="2"/>
    </font>
    <font>
      <sz val="14"/>
      <color theme="1"/>
      <name val="Calibri"/>
      <family val="2"/>
      <scheme val="minor"/>
    </font>
    <font>
      <b/>
      <sz val="16"/>
      <color theme="1"/>
      <name val="Century Gothic"/>
      <family val="2"/>
    </font>
    <font>
      <sz val="11"/>
      <color theme="3"/>
      <name val="Century Gothic"/>
      <family val="2"/>
    </font>
    <font>
      <sz val="16.5"/>
      <color theme="1" tint="0.249977111117893"/>
      <name val="Calibri"/>
      <family val="2"/>
      <scheme val="minor"/>
    </font>
    <font>
      <sz val="12"/>
      <color rgb="FF222222"/>
      <name val="Arial"/>
      <family val="2"/>
    </font>
    <font>
      <b/>
      <sz val="9"/>
      <color theme="0"/>
      <name val="Century Gothic"/>
      <family val="2"/>
    </font>
    <font>
      <b/>
      <u/>
      <sz val="18"/>
      <color theme="0"/>
      <name val="Century Gothic"/>
      <family val="2"/>
    </font>
    <font>
      <u/>
      <sz val="14"/>
      <color theme="0"/>
      <name val="Century Gothic"/>
      <family val="2"/>
    </font>
    <font>
      <u val="singleAccounting"/>
      <sz val="10"/>
      <color theme="0"/>
      <name val="Century Gothic"/>
      <family val="2"/>
    </font>
    <font>
      <u/>
      <sz val="10"/>
      <color theme="0"/>
      <name val="Century Gothic"/>
      <family val="2"/>
    </font>
    <font>
      <b/>
      <sz val="11"/>
      <color theme="9" tint="-0.249977111117893"/>
      <name val="Calibri"/>
      <family val="2"/>
      <scheme val="minor"/>
    </font>
    <font>
      <b/>
      <sz val="14"/>
      <color theme="1"/>
      <name val="Arial"/>
      <family val="2"/>
    </font>
    <font>
      <sz val="12"/>
      <color theme="2" tint="-9.9978637043366805E-2"/>
      <name val="Century Gothic"/>
      <family val="2"/>
    </font>
    <font>
      <b/>
      <sz val="11"/>
      <color theme="2" tint="-9.9978637043366805E-2"/>
      <name val="Century Gothic"/>
      <family val="2"/>
    </font>
    <font>
      <b/>
      <sz val="12"/>
      <color theme="2" tint="-9.9978637043366805E-2"/>
      <name val="Century Gothic"/>
      <family val="2"/>
    </font>
    <font>
      <b/>
      <sz val="14"/>
      <color theme="2" tint="-9.9978637043366805E-2"/>
      <name val="Century Gothic"/>
      <family val="2"/>
    </font>
    <font>
      <sz val="14"/>
      <color theme="0" tint="-0.249977111117893"/>
      <name val="Century Gothic"/>
      <family val="2"/>
    </font>
    <font>
      <sz val="11"/>
      <color indexed="8"/>
      <name val="Calibri"/>
      <family val="2"/>
    </font>
    <font>
      <b/>
      <sz val="11"/>
      <color rgb="FFFF0000"/>
      <name val="Century Gothic"/>
      <family val="2"/>
    </font>
    <font>
      <b/>
      <sz val="14"/>
      <name val="Calibri"/>
      <family val="2"/>
      <scheme val="minor"/>
    </font>
    <font>
      <sz val="14"/>
      <color theme="1" tint="0.14999847407452621"/>
      <name val="Arial"/>
      <family val="2"/>
    </font>
    <font>
      <sz val="13"/>
      <color rgb="FF0070C0"/>
      <name val="Century Gothic"/>
      <family val="2"/>
    </font>
    <font>
      <sz val="13"/>
      <color rgb="FF7030A0"/>
      <name val="Century Gothic"/>
      <family val="2"/>
    </font>
    <font>
      <sz val="11"/>
      <color rgb="FF0070C0"/>
      <name val="Calibri"/>
      <family val="2"/>
      <scheme val="minor"/>
    </font>
    <font>
      <sz val="11"/>
      <color rgb="FF7030A0"/>
      <name val="Calibri"/>
      <family val="2"/>
      <scheme val="minor"/>
    </font>
    <font>
      <sz val="13"/>
      <color theme="7"/>
      <name val="Century Gothic"/>
      <family val="2"/>
    </font>
    <font>
      <sz val="20"/>
      <color theme="1"/>
      <name val="Calibri"/>
      <family val="2"/>
      <scheme val="minor"/>
    </font>
    <font>
      <b/>
      <sz val="18"/>
      <color theme="1"/>
      <name val="Calibri"/>
      <family val="2"/>
      <scheme val="minor"/>
    </font>
    <font>
      <sz val="11"/>
      <color rgb="FF000000"/>
      <name val="Calibri"/>
      <family val="2"/>
    </font>
    <font>
      <sz val="11"/>
      <color rgb="FF333333"/>
      <name val="Open Sans"/>
      <family val="2"/>
    </font>
    <font>
      <b/>
      <sz val="16"/>
      <color theme="1"/>
      <name val="Calibri"/>
      <family val="2"/>
      <scheme val="minor"/>
    </font>
  </fonts>
  <fills count="79">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FFFF00"/>
        <bgColor indexed="64"/>
      </patternFill>
    </fill>
    <fill>
      <patternFill patternType="solid">
        <fgColor theme="4" tint="-0.249977111117893"/>
        <bgColor indexed="64"/>
      </patternFill>
    </fill>
    <fill>
      <patternFill patternType="solid">
        <fgColor indexed="22"/>
        <bgColor indexed="64"/>
      </patternFill>
    </fill>
    <fill>
      <patternFill patternType="solid">
        <fgColor indexed="44"/>
        <bgColor indexed="64"/>
      </patternFill>
    </fill>
    <fill>
      <patternFill patternType="solid">
        <fgColor rgb="FFFFC000"/>
        <bgColor indexed="64"/>
      </patternFill>
    </fill>
    <fill>
      <patternFill patternType="solid">
        <fgColor theme="6" tint="0.79998168889431442"/>
        <bgColor indexed="64"/>
      </patternFill>
    </fill>
    <fill>
      <patternFill patternType="solid">
        <fgColor theme="2" tint="-0.749992370372631"/>
        <bgColor indexed="64"/>
      </patternFill>
    </fill>
    <fill>
      <patternFill patternType="solid">
        <fgColor rgb="FF99CC00"/>
        <bgColor indexed="64"/>
      </patternFill>
    </fill>
    <fill>
      <patternFill patternType="solid">
        <fgColor theme="9" tint="-0.249977111117893"/>
        <bgColor indexed="64"/>
      </patternFill>
    </fill>
    <fill>
      <patternFill patternType="solid">
        <fgColor rgb="FFFFFF99"/>
        <bgColor indexed="64"/>
      </patternFill>
    </fill>
    <fill>
      <patternFill patternType="solid">
        <fgColor rgb="FFD9D9D9"/>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1" tint="0.14999847407452621"/>
        <bgColor indexed="64"/>
      </patternFill>
    </fill>
    <fill>
      <patternFill patternType="solid">
        <fgColor rgb="FF0070C0"/>
        <bgColor indexed="64"/>
      </patternFill>
    </fill>
    <fill>
      <patternFill patternType="solid">
        <fgColor rgb="FFA5C400"/>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bgColor indexed="64"/>
      </patternFill>
    </fill>
    <fill>
      <patternFill patternType="solid">
        <fgColor theme="2"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FF0000"/>
        <bgColor indexed="64"/>
      </patternFill>
    </fill>
    <fill>
      <patternFill patternType="solid">
        <fgColor rgb="FF669900"/>
        <bgColor indexed="64"/>
      </patternFill>
    </fill>
    <fill>
      <patternFill patternType="solid">
        <fgColor theme="2"/>
        <bgColor indexed="64"/>
      </patternFill>
    </fill>
    <fill>
      <patternFill patternType="solid">
        <fgColor theme="7" tint="0.39997558519241921"/>
        <bgColor indexed="64"/>
      </patternFill>
    </fill>
    <fill>
      <patternFill patternType="solid">
        <fgColor rgb="FFE46D0A"/>
        <bgColor indexed="64"/>
      </patternFill>
    </fill>
    <fill>
      <patternFill patternType="solid">
        <fgColor rgb="FFFCD5B4"/>
        <bgColor indexed="64"/>
      </patternFill>
    </fill>
    <fill>
      <patternFill patternType="solid">
        <fgColor rgb="FFDDD9C3"/>
        <bgColor indexed="64"/>
      </patternFill>
    </fill>
    <fill>
      <patternFill patternType="solid">
        <fgColor rgb="FF00B0F0"/>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indexed="43"/>
        <bgColor indexed="64"/>
      </patternFill>
    </fill>
    <fill>
      <patternFill patternType="solid">
        <fgColor theme="8"/>
        <bgColor indexed="64"/>
      </patternFill>
    </fill>
    <fill>
      <patternFill patternType="solid">
        <fgColor rgb="FFEC14B3"/>
        <bgColor indexed="64"/>
      </patternFill>
    </fill>
  </fills>
  <borders count="328">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hair">
        <color auto="1"/>
      </right>
      <top style="dashed">
        <color rgb="FF99CC00"/>
      </top>
      <bottom style="dashed">
        <color rgb="FF99CC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auto="1"/>
      </left>
      <right/>
      <top style="hair">
        <color auto="1"/>
      </top>
      <bottom style="dashed">
        <color rgb="FF99CC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theme="0" tint="-0.34998626667073579"/>
      </left>
      <right/>
      <top style="thin">
        <color theme="0" tint="-0.34998626667073579"/>
      </top>
      <bottom style="dotted">
        <color theme="0" tint="-0.34998626667073579"/>
      </bottom>
      <diagonal/>
    </border>
    <border>
      <left/>
      <right/>
      <top style="thin">
        <color theme="0" tint="-0.34998626667073579"/>
      </top>
      <bottom style="dotted">
        <color theme="0" tint="-0.34998626667073579"/>
      </bottom>
      <diagonal/>
    </border>
    <border>
      <left style="thin">
        <color theme="0" tint="-0.34998626667073579"/>
      </left>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right style="thin">
        <color theme="0" tint="-0.34998626667073579"/>
      </right>
      <top style="dotted">
        <color theme="0" tint="-0.34998626667073579"/>
      </top>
      <bottom style="dotted">
        <color theme="0" tint="-0.34998626667073579"/>
      </bottom>
      <diagonal/>
    </border>
    <border>
      <left style="thin">
        <color theme="0" tint="-0.34998626667073579"/>
      </left>
      <right/>
      <top style="dotted">
        <color theme="0" tint="-0.34998626667073579"/>
      </top>
      <bottom style="thin">
        <color theme="0" tint="-0.34998626667073579"/>
      </bottom>
      <diagonal/>
    </border>
    <border>
      <left style="medium">
        <color theme="0" tint="-0.34998626667073579"/>
      </left>
      <right style="medium">
        <color theme="0" tint="-0.34998626667073579"/>
      </right>
      <top style="dotted">
        <color theme="0" tint="-0.34998626667073579"/>
      </top>
      <bottom style="dotted">
        <color theme="0" tint="-0.34998626667073579"/>
      </bottom>
      <diagonal/>
    </border>
    <border>
      <left/>
      <right style="hair">
        <color auto="1"/>
      </right>
      <top style="dotted">
        <color theme="0" tint="-0.34998626667073579"/>
      </top>
      <bottom style="dotted">
        <color theme="0" tint="-0.34998626667073579"/>
      </bottom>
      <diagonal/>
    </border>
    <border>
      <left/>
      <right style="hair">
        <color auto="1"/>
      </right>
      <top style="dotted">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hair">
        <color auto="1"/>
      </right>
      <top style="dotted">
        <color theme="0" tint="-0.14993743705557422"/>
      </top>
      <bottom style="dotted">
        <color theme="0" tint="-0.14993743705557422"/>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theme="0" tint="-0.34998626667073579"/>
      </bottom>
      <diagonal/>
    </border>
    <border>
      <left style="thin">
        <color theme="0" tint="-0.34998626667073579"/>
      </left>
      <right/>
      <top/>
      <bottom style="dotted">
        <color theme="0" tint="-0.34998626667073579"/>
      </bottom>
      <diagonal/>
    </border>
    <border>
      <left style="hair">
        <color auto="1"/>
      </left>
      <right/>
      <top/>
      <bottom style="dashed">
        <color rgb="FF99CC00"/>
      </bottom>
      <diagonal/>
    </border>
    <border>
      <left style="medium">
        <color indexed="64"/>
      </left>
      <right style="medium">
        <color indexed="64"/>
      </right>
      <top style="medium">
        <color indexed="64"/>
      </top>
      <bottom style="medium">
        <color indexed="64"/>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dotted">
        <color theme="0" tint="-0.34998626667073579"/>
      </top>
      <bottom style="dotted">
        <color theme="0" tint="-0.34998626667073579"/>
      </bottom>
      <diagonal/>
    </border>
    <border>
      <left style="hair">
        <color theme="0" tint="-0.34998626667073579"/>
      </left>
      <right/>
      <top style="dotted">
        <color theme="0" tint="-0.34998626667073579"/>
      </top>
      <bottom style="dotted">
        <color theme="0" tint="-0.34998626667073579"/>
      </bottom>
      <diagonal/>
    </border>
    <border>
      <left/>
      <right/>
      <top style="double">
        <color rgb="FFFFC000"/>
      </top>
      <bottom/>
      <diagonal/>
    </border>
    <border>
      <left style="hair">
        <color theme="0" tint="-0.34998626667073579"/>
      </left>
      <right style="hair">
        <color theme="0" tint="-0.34998626667073579"/>
      </right>
      <top style="hair">
        <color theme="0" tint="-0.34998626667073579"/>
      </top>
      <bottom/>
      <diagonal/>
    </border>
    <border>
      <left/>
      <right style="thin">
        <color theme="0" tint="-0.34998626667073579"/>
      </right>
      <top/>
      <bottom style="dotted">
        <color theme="0" tint="-0.34998626667073579"/>
      </bottom>
      <diagonal/>
    </border>
    <border>
      <left style="dotted">
        <color theme="0" tint="-0.24994659260841701"/>
      </left>
      <right style="hair">
        <color auto="1"/>
      </right>
      <top style="dotted">
        <color theme="0" tint="-0.34998626667073579"/>
      </top>
      <bottom style="dotted">
        <color theme="0" tint="-0.34998626667073579"/>
      </bottom>
      <diagonal/>
    </border>
    <border>
      <left/>
      <right style="dotted">
        <color theme="0" tint="-0.34998626667073579"/>
      </right>
      <top style="dotted">
        <color theme="0" tint="-0.34998626667073579"/>
      </top>
      <bottom style="dotted">
        <color theme="0" tint="-0.34998626667073579"/>
      </bottom>
      <diagonal/>
    </border>
    <border>
      <left style="dotted">
        <color theme="0" tint="-0.24994659260841701"/>
      </left>
      <right style="hair">
        <color auto="1"/>
      </right>
      <top/>
      <bottom style="dotted">
        <color theme="0" tint="-0.34998626667073579"/>
      </bottom>
      <diagonal/>
    </border>
    <border>
      <left/>
      <right style="dotted">
        <color theme="0" tint="-0.34998626667073579"/>
      </right>
      <top/>
      <bottom style="dotted">
        <color theme="0" tint="-0.34998626667073579"/>
      </bottom>
      <diagonal/>
    </border>
    <border>
      <left style="thin">
        <color rgb="FF99CC00"/>
      </left>
      <right/>
      <top style="thin">
        <color rgb="FF99CC00"/>
      </top>
      <bottom style="thin">
        <color theme="0" tint="-0.24994659260841701"/>
      </bottom>
      <diagonal/>
    </border>
    <border>
      <left style="dotted">
        <color theme="0" tint="-0.24994659260841701"/>
      </left>
      <right/>
      <top style="thin">
        <color rgb="FF99CC00"/>
      </top>
      <bottom style="thin">
        <color theme="0" tint="-0.24994659260841701"/>
      </bottom>
      <diagonal/>
    </border>
    <border>
      <left/>
      <right/>
      <top style="thin">
        <color rgb="FF99CC00"/>
      </top>
      <bottom style="thin">
        <color theme="0" tint="-0.24994659260841701"/>
      </bottom>
      <diagonal/>
    </border>
    <border>
      <left style="thin">
        <color rgb="FF99CC00"/>
      </left>
      <right style="hair">
        <color theme="0" tint="-0.34998626667073579"/>
      </right>
      <top style="dotted">
        <color theme="0" tint="-0.34998626667073579"/>
      </top>
      <bottom style="dotted">
        <color theme="0" tint="-0.34998626667073579"/>
      </bottom>
      <diagonal/>
    </border>
    <border>
      <left style="thin">
        <color rgb="FF99CC00"/>
      </left>
      <right style="hair">
        <color theme="0" tint="-0.34998626667073579"/>
      </right>
      <top style="dotted">
        <color theme="0" tint="-0.34998626667073579"/>
      </top>
      <bottom style="thin">
        <color rgb="FF99CC00"/>
      </bottom>
      <diagonal/>
    </border>
    <border>
      <left style="hair">
        <color theme="0" tint="-0.34998626667073579"/>
      </left>
      <right style="hair">
        <color theme="0" tint="-0.34998626667073579"/>
      </right>
      <top style="dotted">
        <color theme="0" tint="-0.34998626667073579"/>
      </top>
      <bottom style="thin">
        <color rgb="FF99CC00"/>
      </bottom>
      <diagonal/>
    </border>
    <border>
      <left style="hair">
        <color theme="0" tint="-0.34998626667073579"/>
      </left>
      <right/>
      <top style="dotted">
        <color theme="0" tint="-0.34998626667073579"/>
      </top>
      <bottom style="thin">
        <color rgb="FF99CC00"/>
      </bottom>
      <diagonal/>
    </border>
    <border>
      <left/>
      <right style="dotted">
        <color theme="0" tint="-0.34998626667073579"/>
      </right>
      <top style="dotted">
        <color theme="0" tint="-0.34998626667073579"/>
      </top>
      <bottom style="thin">
        <color rgb="FF99CC00"/>
      </bottom>
      <diagonal/>
    </border>
    <border>
      <left/>
      <right style="thin">
        <color theme="0" tint="-0.34998626667073579"/>
      </right>
      <top style="dotted">
        <color theme="0" tint="-0.34998626667073579"/>
      </top>
      <bottom style="thin">
        <color rgb="FF99CC00"/>
      </bottom>
      <diagonal/>
    </border>
    <border>
      <left/>
      <right/>
      <top style="dotted">
        <color theme="0" tint="-0.34998626667073579"/>
      </top>
      <bottom style="thin">
        <color rgb="FF99CC00"/>
      </bottom>
      <diagonal/>
    </border>
    <border>
      <left style="thin">
        <color rgb="FF99CC00"/>
      </left>
      <right/>
      <top style="dotted">
        <color theme="0" tint="-0.14993743705557422"/>
      </top>
      <bottom style="thin">
        <color rgb="FF99CC00"/>
      </bottom>
      <diagonal/>
    </border>
    <border>
      <left style="dotted">
        <color theme="0" tint="-0.24994659260841701"/>
      </left>
      <right style="hair">
        <color auto="1"/>
      </right>
      <top style="dotted">
        <color theme="0" tint="-0.34998626667073579"/>
      </top>
      <bottom style="thin">
        <color rgb="FF99CC00"/>
      </bottom>
      <diagonal/>
    </border>
    <border>
      <left/>
      <right style="hair">
        <color auto="1"/>
      </right>
      <top style="dotted">
        <color theme="0" tint="-0.34998626667073579"/>
      </top>
      <bottom style="thin">
        <color rgb="FF99CC00"/>
      </bottom>
      <diagonal/>
    </border>
    <border>
      <left style="hair">
        <color theme="0" tint="-0.24994659260841701"/>
      </left>
      <right style="hair">
        <color theme="0" tint="-0.24994659260841701"/>
      </right>
      <top style="dotted">
        <color theme="0" tint="-0.34998626667073579"/>
      </top>
      <bottom style="thin">
        <color rgb="FF99CC00"/>
      </bottom>
      <diagonal/>
    </border>
    <border>
      <left style="thin">
        <color theme="0" tint="-0.34998626667073579"/>
      </left>
      <right/>
      <top style="dotted">
        <color theme="0" tint="-0.34998626667073579"/>
      </top>
      <bottom style="thin">
        <color rgb="FF99CC00"/>
      </bottom>
      <diagonal/>
    </border>
    <border>
      <left/>
      <right style="hair">
        <color auto="1"/>
      </right>
      <top style="dotted">
        <color theme="0" tint="-0.14993743705557422"/>
      </top>
      <bottom style="thin">
        <color rgb="FF99CC00"/>
      </bottom>
      <diagonal/>
    </border>
    <border>
      <left/>
      <right/>
      <top style="thin">
        <color theme="0" tint="-0.34998626667073579"/>
      </top>
      <bottom style="thin">
        <color rgb="FF99CC00"/>
      </bottom>
      <diagonal/>
    </border>
    <border>
      <left style="thin">
        <color theme="0" tint="-0.34998626667073579"/>
      </left>
      <right/>
      <top style="thin">
        <color theme="0" tint="-0.34998626667073579"/>
      </top>
      <bottom style="thin">
        <color rgb="FF99CC00"/>
      </bottom>
      <diagonal/>
    </border>
    <border>
      <left/>
      <right/>
      <top/>
      <bottom style="thin">
        <color rgb="FF99CC00"/>
      </bottom>
      <diagonal/>
    </border>
    <border>
      <left/>
      <right/>
      <top style="dashed">
        <color rgb="FF99CC00"/>
      </top>
      <bottom style="dashed">
        <color rgb="FF99CC00"/>
      </bottom>
      <diagonal/>
    </border>
    <border>
      <left/>
      <right style="hair">
        <color theme="0" tint="-0.34998626667073579"/>
      </right>
      <top style="dotted">
        <color theme="0" tint="-0.34998626667073579"/>
      </top>
      <bottom style="dotted">
        <color theme="0" tint="-0.34998626667073579"/>
      </bottom>
      <diagonal/>
    </border>
    <border>
      <left/>
      <right style="hair">
        <color theme="0" tint="-0.34998626667073579"/>
      </right>
      <top style="dotted">
        <color theme="0" tint="-0.34998626667073579"/>
      </top>
      <bottom style="thin">
        <color rgb="FF99CC00"/>
      </bottom>
      <diagonal/>
    </border>
    <border>
      <left style="thin">
        <color rgb="FF99CC00"/>
      </left>
      <right/>
      <top style="dashed">
        <color rgb="FF99CC00"/>
      </top>
      <bottom style="thin">
        <color rgb="FF99CC00"/>
      </bottom>
      <diagonal/>
    </border>
    <border>
      <left style="thin">
        <color theme="0" tint="-0.34998626667073579"/>
      </left>
      <right/>
      <top style="thin">
        <color theme="0" tint="-0.24994659260841701"/>
      </top>
      <bottom style="dotted">
        <color theme="0" tint="-0.34998626667073579"/>
      </bottom>
      <diagonal/>
    </border>
    <border>
      <left/>
      <right style="thin">
        <color theme="0" tint="-0.34998626667073579"/>
      </right>
      <top style="thin">
        <color theme="0" tint="-0.34998626667073579"/>
      </top>
      <bottom style="thin">
        <color rgb="FF99CC00"/>
      </bottom>
      <diagonal/>
    </border>
    <border>
      <left/>
      <right style="dotted">
        <color theme="0" tint="-0.24994659260841701"/>
      </right>
      <top style="thin">
        <color rgb="FF99CC00"/>
      </top>
      <bottom style="thin">
        <color theme="0" tint="-0.24994659260841701"/>
      </bottom>
      <diagonal/>
    </border>
    <border>
      <left style="hair">
        <color theme="0" tint="-0.24994659260841701"/>
      </left>
      <right/>
      <top style="dotted">
        <color theme="0" tint="-0.34998626667073579"/>
      </top>
      <bottom style="thin">
        <color rgb="FF99CC00"/>
      </bottom>
      <diagonal/>
    </border>
    <border>
      <left/>
      <right style="dotted">
        <color theme="0" tint="-0.24994659260841701"/>
      </right>
      <top style="dotted">
        <color theme="0" tint="-0.34998626667073579"/>
      </top>
      <bottom style="dotted">
        <color theme="0" tint="-0.34998626667073579"/>
      </bottom>
      <diagonal/>
    </border>
    <border>
      <left style="thin">
        <color rgb="FF99CC00"/>
      </left>
      <right/>
      <top style="dotted">
        <color theme="0" tint="-0.34998626667073579"/>
      </top>
      <bottom style="dotted">
        <color theme="0" tint="-0.34998626667073579"/>
      </bottom>
      <diagonal/>
    </border>
    <border>
      <left/>
      <right style="dotted">
        <color theme="0" tint="-0.24994659260841701"/>
      </right>
      <top style="thin">
        <color theme="0" tint="-0.24994659260841701"/>
      </top>
      <bottom style="dotted">
        <color theme="0" tint="-0.34998626667073579"/>
      </bottom>
      <diagonal/>
    </border>
    <border>
      <left style="thin">
        <color rgb="FF99CC00"/>
      </left>
      <right/>
      <top/>
      <bottom style="dotted">
        <color theme="0" tint="-0.34998626667073579"/>
      </bottom>
      <diagonal/>
    </border>
    <border>
      <left style="thin">
        <color indexed="64"/>
      </left>
      <right style="thin">
        <color indexed="64"/>
      </right>
      <top style="thin">
        <color indexed="64"/>
      </top>
      <bottom/>
      <diagonal/>
    </border>
    <border>
      <left style="thin">
        <color rgb="FF99CC00"/>
      </left>
      <right/>
      <top style="thin">
        <color rgb="FF99CC00"/>
      </top>
      <bottom/>
      <diagonal/>
    </border>
    <border>
      <left/>
      <right/>
      <top style="thin">
        <color rgb="FF99CC00"/>
      </top>
      <bottom/>
      <diagonal/>
    </border>
    <border>
      <left/>
      <right style="thin">
        <color rgb="FF99CC00"/>
      </right>
      <top style="thin">
        <color rgb="FF99CC00"/>
      </top>
      <bottom/>
      <diagonal/>
    </border>
    <border>
      <left style="thin">
        <color rgb="FF99CC00"/>
      </left>
      <right/>
      <top/>
      <bottom/>
      <diagonal/>
    </border>
    <border>
      <left/>
      <right style="thin">
        <color rgb="FF99CC00"/>
      </right>
      <top/>
      <bottom/>
      <diagonal/>
    </border>
    <border>
      <left style="thin">
        <color rgb="FF99CC00"/>
      </left>
      <right/>
      <top/>
      <bottom style="thin">
        <color rgb="FF99CC00"/>
      </bottom>
      <diagonal/>
    </border>
    <border>
      <left/>
      <right style="thin">
        <color rgb="FF99CC00"/>
      </right>
      <top/>
      <bottom style="thin">
        <color rgb="FF99CC00"/>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hair">
        <color theme="0" tint="-0.24994659260841701"/>
      </right>
      <top style="dotted">
        <color theme="0" tint="-0.34998626667073579"/>
      </top>
      <bottom style="dotted">
        <color theme="0" tint="-0.34998626667073579"/>
      </bottom>
      <diagonal/>
    </border>
    <border>
      <left style="hair">
        <color theme="0" tint="-0.24994659260841701"/>
      </left>
      <right/>
      <top style="thin">
        <color theme="0" tint="-0.24994659260841701"/>
      </top>
      <bottom style="dotted">
        <color theme="0" tint="-0.34998626667073579"/>
      </bottom>
      <diagonal/>
    </border>
    <border>
      <left style="hair">
        <color theme="0" tint="-0.24994659260841701"/>
      </left>
      <right/>
      <top style="dotted">
        <color theme="0" tint="-0.34998626667073579"/>
      </top>
      <bottom style="dotted">
        <color theme="0" tint="-0.34998626667073579"/>
      </bottom>
      <diagonal/>
    </border>
    <border>
      <left style="thin">
        <color indexed="64"/>
      </left>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top style="dotted">
        <color theme="0" tint="-0.34998626667073579"/>
      </top>
      <bottom style="dotted">
        <color theme="0" tint="-0.34998626667073579"/>
      </bottom>
      <diagonal/>
    </border>
    <border>
      <left style="hair">
        <color theme="0" tint="-0.34998626667073579"/>
      </left>
      <right style="thin">
        <color indexed="64"/>
      </right>
      <top style="dotted">
        <color theme="0" tint="-0.34998626667073579"/>
      </top>
      <bottom style="dotted">
        <color theme="0" tint="-0.34998626667073579"/>
      </bottom>
      <diagonal/>
    </border>
    <border>
      <left style="thin">
        <color indexed="64"/>
      </left>
      <right/>
      <top style="dotted">
        <color theme="0" tint="-0.34998626667073579"/>
      </top>
      <bottom style="thin">
        <color indexed="64"/>
      </bottom>
      <diagonal/>
    </border>
    <border>
      <left/>
      <right style="thin">
        <color indexed="64"/>
      </right>
      <top style="thin">
        <color indexed="64"/>
      </top>
      <bottom style="thin">
        <color theme="0" tint="-0.2499465926084170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theme="0" tint="-0.2499465926084170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0" tint="-0.34998626667073579"/>
      </right>
      <top style="thin">
        <color theme="0" tint="-0.34998626667073579"/>
      </top>
      <bottom/>
      <diagonal/>
    </border>
    <border>
      <left/>
      <right/>
      <top style="thin">
        <color theme="0" tint="-0.34998626667073579"/>
      </top>
      <bottom/>
      <diagonal/>
    </border>
    <border>
      <left/>
      <right style="hair">
        <color auto="1"/>
      </right>
      <top style="dotted">
        <color theme="0" tint="-0.14993743705557422"/>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thin">
        <color theme="0" tint="-0.34998626667073579"/>
      </left>
      <right/>
      <top/>
      <bottom style="thin">
        <color rgb="FF99CC00"/>
      </bottom>
      <diagonal/>
    </border>
    <border>
      <left/>
      <right style="thin">
        <color rgb="FF99CC00"/>
      </right>
      <top style="thin">
        <color rgb="FF99CC00"/>
      </top>
      <bottom style="thin">
        <color theme="0" tint="-0.24994659260841701"/>
      </bottom>
      <diagonal/>
    </border>
    <border>
      <left/>
      <right style="thin">
        <color rgb="FF99CC00"/>
      </right>
      <top style="thin">
        <color theme="0" tint="-0.34998626667073579"/>
      </top>
      <bottom style="dotted">
        <color theme="0" tint="-0.34998626667073579"/>
      </bottom>
      <diagonal/>
    </border>
    <border>
      <left/>
      <right style="thin">
        <color rgb="FF99CC00"/>
      </right>
      <top style="dotted">
        <color theme="0" tint="-0.34998626667073579"/>
      </top>
      <bottom style="thin">
        <color theme="0" tint="-0.34998626667073579"/>
      </bottom>
      <diagonal/>
    </border>
    <border>
      <left/>
      <right style="thin">
        <color rgb="FF99CC00"/>
      </right>
      <top style="thin">
        <color theme="0" tint="-0.34998626667073579"/>
      </top>
      <bottom style="thin">
        <color rgb="FF99CC00"/>
      </bottom>
      <diagonal/>
    </border>
    <border>
      <left/>
      <right style="thin">
        <color rgb="FF99CC00"/>
      </right>
      <top style="thin">
        <color theme="0" tint="-0.34998626667073579"/>
      </top>
      <bottom/>
      <diagonal/>
    </border>
    <border>
      <left/>
      <right/>
      <top style="thin">
        <color rgb="FF99CC00"/>
      </top>
      <bottom style="thin">
        <color theme="0" tint="-0.34998626667073579"/>
      </bottom>
      <diagonal/>
    </border>
    <border>
      <left style="dotted">
        <color theme="0" tint="-0.24994659260841701"/>
      </left>
      <right/>
      <top style="thin">
        <color rgb="FF99CC00"/>
      </top>
      <bottom style="thin">
        <color theme="0" tint="-0.34998626667073579"/>
      </bottom>
      <diagonal/>
    </border>
    <border>
      <left/>
      <right style="thin">
        <color rgb="FF99CC00"/>
      </right>
      <top style="thin">
        <color rgb="FF99CC00"/>
      </top>
      <bottom style="thin">
        <color theme="0" tint="-0.34998626667073579"/>
      </bottom>
      <diagonal/>
    </border>
    <border>
      <left style="thin">
        <color rgb="FF99CC00"/>
      </left>
      <right/>
      <top style="thin">
        <color theme="0" tint="-0.24994659260841701"/>
      </top>
      <bottom style="dotted">
        <color theme="0" tint="-0.34998626667073579"/>
      </bottom>
      <diagonal/>
    </border>
    <border>
      <left/>
      <right style="thin">
        <color rgb="FF99CC00"/>
      </right>
      <top/>
      <bottom style="dotted">
        <color theme="0" tint="-0.34998626667073579"/>
      </bottom>
      <diagonal/>
    </border>
    <border>
      <left/>
      <right style="thin">
        <color rgb="FF99CC00"/>
      </right>
      <top style="dotted">
        <color theme="0" tint="-0.34998626667073579"/>
      </top>
      <bottom style="dotted">
        <color theme="0" tint="-0.34998626667073579"/>
      </bottom>
      <diagonal/>
    </border>
    <border>
      <left/>
      <right style="thin">
        <color rgb="FF99CC00"/>
      </right>
      <top style="dotted">
        <color theme="0" tint="-0.34998626667073579"/>
      </top>
      <bottom style="thin">
        <color rgb="FF99CC00"/>
      </bottom>
      <diagonal/>
    </border>
    <border>
      <left/>
      <right style="thin">
        <color rgb="FF99CC00"/>
      </right>
      <top style="thin">
        <color theme="0" tint="-0.34998626667073579"/>
      </top>
      <bottom style="thin">
        <color theme="0" tint="-0.34998626667073579"/>
      </bottom>
      <diagonal/>
    </border>
    <border>
      <left style="thin">
        <color theme="0"/>
      </left>
      <right style="thin">
        <color theme="0"/>
      </right>
      <top style="thin">
        <color theme="0"/>
      </top>
      <bottom style="thin">
        <color theme="0"/>
      </bottom>
      <diagonal/>
    </border>
    <border>
      <left style="medium">
        <color theme="0"/>
      </left>
      <right style="medium">
        <color theme="0"/>
      </right>
      <top/>
      <bottom/>
      <diagonal/>
    </border>
    <border>
      <left/>
      <right/>
      <top/>
      <bottom style="double">
        <color indexed="64"/>
      </bottom>
      <diagonal/>
    </border>
    <border>
      <left style="medium">
        <color theme="0"/>
      </left>
      <right style="medium">
        <color theme="0"/>
      </right>
      <top/>
      <bottom style="double">
        <color indexed="64"/>
      </bottom>
      <diagonal/>
    </border>
    <border>
      <left style="medium">
        <color rgb="FF92D050"/>
      </left>
      <right/>
      <top style="medium">
        <color rgb="FF92D050"/>
      </top>
      <bottom style="medium">
        <color rgb="FF92D050"/>
      </bottom>
      <diagonal/>
    </border>
    <border>
      <left/>
      <right/>
      <top style="medium">
        <color rgb="FF92D050"/>
      </top>
      <bottom style="medium">
        <color rgb="FF92D050"/>
      </bottom>
      <diagonal/>
    </border>
    <border>
      <left/>
      <right style="medium">
        <color rgb="FF92D050"/>
      </right>
      <top style="medium">
        <color rgb="FF92D050"/>
      </top>
      <bottom style="medium">
        <color rgb="FF92D050"/>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rgb="FF99CC00"/>
      </left>
      <right/>
      <top style="medium">
        <color rgb="FF99CC00"/>
      </top>
      <bottom style="medium">
        <color rgb="FF99CC00"/>
      </bottom>
      <diagonal/>
    </border>
    <border>
      <left/>
      <right/>
      <top style="medium">
        <color rgb="FF99CC00"/>
      </top>
      <bottom style="medium">
        <color rgb="FF99CC00"/>
      </bottom>
      <diagonal/>
    </border>
    <border>
      <left/>
      <right style="medium">
        <color rgb="FF99CC00"/>
      </right>
      <top style="medium">
        <color rgb="FF99CC00"/>
      </top>
      <bottom style="medium">
        <color rgb="FF99CC00"/>
      </bottom>
      <diagonal/>
    </border>
    <border>
      <left/>
      <right style="thin">
        <color indexed="64"/>
      </right>
      <top style="medium">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ck">
        <color rgb="FF99CC00"/>
      </left>
      <right/>
      <top style="thick">
        <color rgb="FF99CC00"/>
      </top>
      <bottom style="thick">
        <color rgb="FF99CC00"/>
      </bottom>
      <diagonal/>
    </border>
    <border>
      <left/>
      <right/>
      <top style="thick">
        <color rgb="FF99CC00"/>
      </top>
      <bottom style="thick">
        <color rgb="FF99CC00"/>
      </bottom>
      <diagonal/>
    </border>
    <border>
      <left/>
      <right style="thick">
        <color rgb="FF99CC00"/>
      </right>
      <top style="thick">
        <color rgb="FF99CC00"/>
      </top>
      <bottom style="thick">
        <color rgb="FF99CC00"/>
      </bottom>
      <diagonal/>
    </border>
    <border>
      <left style="thin">
        <color indexed="64"/>
      </left>
      <right style="thin">
        <color indexed="64"/>
      </right>
      <top style="medium">
        <color indexed="64"/>
      </top>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diagonal/>
    </border>
    <border>
      <left style="medium">
        <color theme="0"/>
      </left>
      <right style="medium">
        <color theme="0"/>
      </right>
      <top style="thin">
        <color rgb="FF99CC00"/>
      </top>
      <bottom style="thin">
        <color theme="0" tint="-0.34998626667073579"/>
      </bottom>
      <diagonal/>
    </border>
    <border>
      <left style="medium">
        <color theme="0"/>
      </left>
      <right style="medium">
        <color theme="0"/>
      </right>
      <top style="thin">
        <color theme="0" tint="-0.34998626667073579"/>
      </top>
      <bottom style="thin">
        <color rgb="FF99CC0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9" tint="-0.24994659260841701"/>
      </left>
      <right style="medium">
        <color theme="9" tint="-0.24994659260841701"/>
      </right>
      <top style="medium">
        <color theme="9" tint="-0.24994659260841701"/>
      </top>
      <bottom style="dashed">
        <color theme="9" tint="-0.24994659260841701"/>
      </bottom>
      <diagonal/>
    </border>
    <border>
      <left/>
      <right/>
      <top style="dotted">
        <color theme="0" tint="-0.34998626667073579"/>
      </top>
      <bottom/>
      <diagonal/>
    </border>
    <border>
      <left style="thin">
        <color theme="0" tint="-0.34998626667073579"/>
      </left>
      <right/>
      <top style="dotted">
        <color theme="0" tint="-0.34998626667073579"/>
      </top>
      <bottom/>
      <diagonal/>
    </border>
    <border>
      <left/>
      <right/>
      <top/>
      <bottom style="thin">
        <color theme="0" tint="-0.24994659260841701"/>
      </bottom>
      <diagonal/>
    </border>
    <border>
      <left/>
      <right/>
      <top style="thin">
        <color indexed="64"/>
      </top>
      <bottom style="thin">
        <color rgb="FF99CC00"/>
      </bottom>
      <diagonal/>
    </border>
    <border>
      <left/>
      <right/>
      <top style="hair">
        <color theme="9" tint="0.79998168889431442"/>
      </top>
      <bottom style="hair">
        <color theme="9" tint="0.79998168889431442"/>
      </bottom>
      <diagonal/>
    </border>
    <border>
      <left/>
      <right/>
      <top style="thin">
        <color theme="9" tint="0.79998168889431442"/>
      </top>
      <bottom style="thin">
        <color theme="9" tint="0.79998168889431442"/>
      </bottom>
      <diagonal/>
    </border>
    <border>
      <left style="thin">
        <color theme="0" tint="-0.34998626667073579"/>
      </left>
      <right/>
      <top style="hair">
        <color theme="0" tint="-0.34998626667073579"/>
      </top>
      <bottom style="hair">
        <color theme="0" tint="-0.34998626667073579"/>
      </bottom>
      <diagonal/>
    </border>
    <border>
      <left/>
      <right/>
      <top style="hair">
        <color theme="0" tint="-0.34998626667073579"/>
      </top>
      <bottom style="hair">
        <color theme="0" tint="-0.34998626667073579"/>
      </bottom>
      <diagonal/>
    </border>
    <border>
      <left/>
      <right style="hair">
        <color auto="1"/>
      </right>
      <top style="hair">
        <color theme="0" tint="-0.34998626667073579"/>
      </top>
      <bottom style="hair">
        <color theme="0" tint="-0.34998626667073579"/>
      </bottom>
      <diagonal/>
    </border>
    <border>
      <left style="thin">
        <color rgb="FF99CC00"/>
      </left>
      <right/>
      <top style="thin">
        <color theme="0" tint="-0.24994659260841701"/>
      </top>
      <bottom style="thin">
        <color rgb="FF99CC00"/>
      </bottom>
      <diagonal/>
    </border>
    <border>
      <left/>
      <right/>
      <top style="thin">
        <color theme="0" tint="-0.24994659260841701"/>
      </top>
      <bottom style="thin">
        <color rgb="FF99CC00"/>
      </bottom>
      <diagonal/>
    </border>
    <border>
      <left/>
      <right style="hair">
        <color auto="1"/>
      </right>
      <top style="thin">
        <color theme="0" tint="-0.24994659260841701"/>
      </top>
      <bottom style="thin">
        <color rgb="FF99CC00"/>
      </bottom>
      <diagonal/>
    </border>
    <border>
      <left style="thin">
        <color theme="0" tint="-0.34998626667073579"/>
      </left>
      <right/>
      <top/>
      <bottom style="hair">
        <color theme="0" tint="-0.34998626667073579"/>
      </bottom>
      <diagonal/>
    </border>
    <border>
      <left/>
      <right/>
      <top/>
      <bottom style="hair">
        <color theme="0" tint="-0.34998626667073579"/>
      </bottom>
      <diagonal/>
    </border>
    <border>
      <left style="thin">
        <color indexed="64"/>
      </left>
      <right/>
      <top style="thin">
        <color indexed="64"/>
      </top>
      <bottom style="hair">
        <color theme="0" tint="-0.34998626667073579"/>
      </bottom>
      <diagonal/>
    </border>
    <border>
      <left/>
      <right/>
      <top style="thin">
        <color indexed="64"/>
      </top>
      <bottom style="hair">
        <color theme="0" tint="-0.34998626667073579"/>
      </bottom>
      <diagonal/>
    </border>
    <border>
      <left/>
      <right style="hair">
        <color auto="1"/>
      </right>
      <top style="thin">
        <color indexed="64"/>
      </top>
      <bottom style="hair">
        <color theme="0" tint="-0.34998626667073579"/>
      </bottom>
      <diagonal/>
    </border>
    <border>
      <left/>
      <right style="thin">
        <color rgb="FF99CC00"/>
      </right>
      <top style="thin">
        <color indexed="64"/>
      </top>
      <bottom style="thin">
        <color rgb="FF99CC00"/>
      </bottom>
      <diagonal/>
    </border>
    <border>
      <left style="hair">
        <color theme="0" tint="-0.34998626667073579"/>
      </left>
      <right style="thin">
        <color rgb="FF99CC00"/>
      </right>
      <top style="thin">
        <color theme="0" tint="-0.24994659260841701"/>
      </top>
      <bottom style="thin">
        <color rgb="FF99CC00"/>
      </bottom>
      <diagonal/>
    </border>
    <border>
      <left style="thin">
        <color indexed="64"/>
      </left>
      <right/>
      <top style="hair">
        <color theme="0" tint="-0.34998626667073579"/>
      </top>
      <bottom/>
      <diagonal/>
    </border>
    <border>
      <left/>
      <right/>
      <top style="hair">
        <color theme="0" tint="-0.34998626667073579"/>
      </top>
      <bottom/>
      <diagonal/>
    </border>
    <border>
      <left/>
      <right/>
      <top style="thin">
        <color theme="0" tint="-0.24994659260841701"/>
      </top>
      <bottom/>
      <diagonal/>
    </border>
    <border>
      <left/>
      <right style="dotted">
        <color theme="0" tint="-0.34998626667073579"/>
      </right>
      <top style="thin">
        <color theme="0" tint="-0.24994659260841701"/>
      </top>
      <bottom/>
      <diagonal/>
    </border>
    <border>
      <left/>
      <right style="hair">
        <color auto="1"/>
      </right>
      <top style="thin">
        <color theme="0" tint="-0.24994659260841701"/>
      </top>
      <bottom/>
      <diagonal/>
    </border>
    <border>
      <left style="thin">
        <color theme="0" tint="-0.34998626667073579"/>
      </left>
      <right/>
      <top/>
      <bottom/>
      <diagonal/>
    </border>
    <border>
      <left style="thin">
        <color theme="0" tint="-0.34998626667073579"/>
      </left>
      <right/>
      <top style="hair">
        <color theme="0" tint="-0.34998626667073579"/>
      </top>
      <bottom style="dotted">
        <color theme="0" tint="-0.34998626667073579"/>
      </bottom>
      <diagonal/>
    </border>
    <border>
      <left/>
      <right/>
      <top style="dotted">
        <color rgb="FFFFC000"/>
      </top>
      <bottom style="dotted">
        <color rgb="FFFFC000"/>
      </bottom>
      <diagonal/>
    </border>
    <border>
      <left/>
      <right/>
      <top style="hair">
        <color rgb="FFFFC000"/>
      </top>
      <bottom style="hair">
        <color rgb="FFFFC000"/>
      </bottom>
      <diagonal/>
    </border>
    <border>
      <left/>
      <right style="hair">
        <color auto="1"/>
      </right>
      <top/>
      <bottom style="dashed">
        <color rgb="FF99CC00"/>
      </bottom>
      <diagonal/>
    </border>
    <border>
      <left style="thick">
        <color theme="0"/>
      </left>
      <right style="thick">
        <color theme="0"/>
      </right>
      <top style="hair">
        <color rgb="FFFFC000"/>
      </top>
      <bottom style="hair">
        <color rgb="FFFFC000"/>
      </bottom>
      <diagonal/>
    </border>
    <border>
      <left style="dashDotDot">
        <color theme="9" tint="-0.24994659260841701"/>
      </left>
      <right style="dashDotDot">
        <color theme="9" tint="-0.24994659260841701"/>
      </right>
      <top style="dashDotDot">
        <color theme="9" tint="-0.24994659260841701"/>
      </top>
      <bottom style="dashDotDot">
        <color theme="9" tint="-0.24994659260841701"/>
      </bottom>
      <diagonal/>
    </border>
    <border>
      <left style="dashDot">
        <color theme="1" tint="0.24994659260841701"/>
      </left>
      <right/>
      <top style="dashDot">
        <color theme="1" tint="0.24994659260841701"/>
      </top>
      <bottom style="dashDot">
        <color theme="1" tint="0.24994659260841701"/>
      </bottom>
      <diagonal/>
    </border>
    <border>
      <left/>
      <right/>
      <top style="dashDot">
        <color theme="1" tint="0.24994659260841701"/>
      </top>
      <bottom style="dashDot">
        <color theme="1" tint="0.24994659260841701"/>
      </bottom>
      <diagonal/>
    </border>
    <border>
      <left/>
      <right style="dashDot">
        <color theme="1" tint="0.24994659260841701"/>
      </right>
      <top style="dashDot">
        <color theme="1" tint="0.24994659260841701"/>
      </top>
      <bottom style="dashDot">
        <color theme="1" tint="0.24994659260841701"/>
      </bottom>
      <diagonal/>
    </border>
    <border>
      <left/>
      <right/>
      <top/>
      <bottom style="dashed">
        <color rgb="FF99CC00"/>
      </bottom>
      <diagonal/>
    </border>
    <border>
      <left/>
      <right/>
      <top style="hair">
        <color rgb="FF99CC00"/>
      </top>
      <bottom style="hair">
        <color rgb="FF99CC00"/>
      </bottom>
      <diagonal/>
    </border>
    <border>
      <left/>
      <right style="hair">
        <color rgb="FF99CC00"/>
      </right>
      <top style="hair">
        <color rgb="FF99CC00"/>
      </top>
      <bottom style="hair">
        <color rgb="FF99CC00"/>
      </bottom>
      <diagonal/>
    </border>
    <border>
      <left style="hair">
        <color rgb="FF99CC00"/>
      </left>
      <right/>
      <top style="hair">
        <color rgb="FF99CC00"/>
      </top>
      <bottom style="hair">
        <color rgb="FF99CC00"/>
      </bottom>
      <diagonal/>
    </border>
    <border>
      <left style="medium">
        <color rgb="FF669900"/>
      </left>
      <right/>
      <top style="medium">
        <color rgb="FF669900"/>
      </top>
      <bottom/>
      <diagonal/>
    </border>
    <border>
      <left/>
      <right/>
      <top style="medium">
        <color rgb="FF669900"/>
      </top>
      <bottom/>
      <diagonal/>
    </border>
    <border>
      <left/>
      <right style="medium">
        <color rgb="FF669900"/>
      </right>
      <top style="medium">
        <color rgb="FF669900"/>
      </top>
      <bottom/>
      <diagonal/>
    </border>
    <border>
      <left style="medium">
        <color rgb="FF669900"/>
      </left>
      <right/>
      <top/>
      <bottom/>
      <diagonal/>
    </border>
    <border>
      <left/>
      <right style="medium">
        <color rgb="FF669900"/>
      </right>
      <top/>
      <bottom/>
      <diagonal/>
    </border>
    <border>
      <left style="medium">
        <color rgb="FF669900"/>
      </left>
      <right/>
      <top style="thin">
        <color indexed="64"/>
      </top>
      <bottom style="thin">
        <color indexed="64"/>
      </bottom>
      <diagonal/>
    </border>
    <border>
      <left/>
      <right style="medium">
        <color rgb="FF669900"/>
      </right>
      <top style="thin">
        <color indexed="64"/>
      </top>
      <bottom/>
      <diagonal/>
    </border>
    <border>
      <left/>
      <right style="medium">
        <color rgb="FF669900"/>
      </right>
      <top/>
      <bottom style="thin">
        <color indexed="64"/>
      </bottom>
      <diagonal/>
    </border>
    <border>
      <left/>
      <right style="medium">
        <color rgb="FF669900"/>
      </right>
      <top style="thin">
        <color indexed="64"/>
      </top>
      <bottom style="thin">
        <color indexed="64"/>
      </bottom>
      <diagonal/>
    </border>
    <border>
      <left style="medium">
        <color rgb="FF669900"/>
      </left>
      <right/>
      <top style="thin">
        <color indexed="64"/>
      </top>
      <bottom style="medium">
        <color rgb="FF669900"/>
      </bottom>
      <diagonal/>
    </border>
    <border>
      <left/>
      <right/>
      <top style="thin">
        <color indexed="64"/>
      </top>
      <bottom style="medium">
        <color rgb="FF669900"/>
      </bottom>
      <diagonal/>
    </border>
    <border>
      <left/>
      <right style="medium">
        <color rgb="FF669900"/>
      </right>
      <top style="thin">
        <color indexed="64"/>
      </top>
      <bottom style="medium">
        <color rgb="FF669900"/>
      </bottom>
      <diagonal/>
    </border>
    <border>
      <left/>
      <right/>
      <top style="dashed">
        <color rgb="FF99CC00"/>
      </top>
      <bottom/>
      <diagonal/>
    </border>
    <border>
      <left style="dashDotDot">
        <color theme="9" tint="-0.24994659260841701"/>
      </left>
      <right/>
      <top style="dashDotDot">
        <color theme="9" tint="-0.24994659260841701"/>
      </top>
      <bottom style="dashDotDot">
        <color theme="9" tint="-0.24994659260841701"/>
      </bottom>
      <diagonal/>
    </border>
    <border>
      <left/>
      <right style="dashDotDot">
        <color theme="9" tint="-0.24994659260841701"/>
      </right>
      <top style="dashDotDot">
        <color theme="9" tint="-0.24994659260841701"/>
      </top>
      <bottom style="dashDotDot">
        <color theme="9" tint="-0.24994659260841701"/>
      </bottom>
      <diagonal/>
    </border>
    <border>
      <left style="dashDotDot">
        <color theme="9" tint="-0.24994659260841701"/>
      </left>
      <right/>
      <top style="hair">
        <color rgb="FF99CC00"/>
      </top>
      <bottom style="hair">
        <color rgb="FF99CC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tted">
        <color rgb="FFFFC000"/>
      </bottom>
      <diagonal/>
    </border>
    <border>
      <left style="hair">
        <color theme="0" tint="-0.34998626667073579"/>
      </left>
      <right/>
      <top/>
      <bottom/>
      <diagonal/>
    </border>
    <border>
      <left/>
      <right/>
      <top style="thin">
        <color theme="6" tint="-0.24994659260841701"/>
      </top>
      <bottom style="thin">
        <color theme="6" tint="-0.24994659260841701"/>
      </bottom>
      <diagonal/>
    </border>
    <border>
      <left/>
      <right/>
      <top style="hair">
        <color rgb="FF669900"/>
      </top>
      <bottom style="hair">
        <color rgb="FF669900"/>
      </bottom>
      <diagonal/>
    </border>
    <border>
      <left/>
      <right/>
      <top/>
      <bottom style="hair">
        <color rgb="FF669900"/>
      </bottom>
      <diagonal/>
    </border>
    <border>
      <left/>
      <right/>
      <top style="hair">
        <color rgb="FF669900"/>
      </top>
      <bottom/>
      <diagonal/>
    </border>
    <border>
      <left/>
      <right/>
      <top style="hair">
        <color theme="6" tint="-0.24994659260841701"/>
      </top>
      <bottom style="hair">
        <color theme="6" tint="-0.24994659260841701"/>
      </bottom>
      <diagonal/>
    </border>
    <border>
      <left style="thick">
        <color theme="0"/>
      </left>
      <right style="thick">
        <color theme="0"/>
      </right>
      <top/>
      <bottom/>
      <diagonal/>
    </border>
    <border>
      <left/>
      <right style="hair">
        <color auto="1"/>
      </right>
      <top style="dashed">
        <color rgb="FF99CC00"/>
      </top>
      <bottom/>
      <diagonal/>
    </border>
    <border>
      <left/>
      <right/>
      <top/>
      <bottom style="dotted">
        <color rgb="FF669900"/>
      </bottom>
      <diagonal/>
    </border>
    <border>
      <left style="hair">
        <color theme="9"/>
      </left>
      <right/>
      <top style="hair">
        <color theme="9"/>
      </top>
      <bottom/>
      <diagonal/>
    </border>
    <border>
      <left/>
      <right/>
      <top style="hair">
        <color theme="9"/>
      </top>
      <bottom/>
      <diagonal/>
    </border>
    <border>
      <left/>
      <right style="hair">
        <color theme="9"/>
      </right>
      <top style="hair">
        <color theme="9"/>
      </top>
      <bottom/>
      <diagonal/>
    </border>
    <border>
      <left style="hair">
        <color theme="9"/>
      </left>
      <right/>
      <top/>
      <bottom/>
      <diagonal/>
    </border>
    <border>
      <left/>
      <right style="hair">
        <color theme="9"/>
      </right>
      <top/>
      <bottom/>
      <diagonal/>
    </border>
    <border>
      <left style="hair">
        <color theme="9"/>
      </left>
      <right/>
      <top/>
      <bottom style="hair">
        <color theme="9"/>
      </bottom>
      <diagonal/>
    </border>
    <border>
      <left/>
      <right/>
      <top/>
      <bottom style="hair">
        <color theme="9"/>
      </bottom>
      <diagonal/>
    </border>
    <border>
      <left/>
      <right style="hair">
        <color theme="9"/>
      </right>
      <top/>
      <bottom style="hair">
        <color theme="9"/>
      </bottom>
      <diagonal/>
    </border>
    <border>
      <left/>
      <right style="hair">
        <color auto="1"/>
      </right>
      <top style="dashed">
        <color rgb="FF99CC00"/>
      </top>
      <bottom style="hair">
        <color theme="9"/>
      </bottom>
      <diagonal/>
    </border>
    <border>
      <left/>
      <right/>
      <top style="dashed">
        <color rgb="FF99CC00"/>
      </top>
      <bottom style="hair">
        <color theme="9"/>
      </bottom>
      <diagonal/>
    </border>
    <border>
      <left/>
      <right/>
      <top style="dashDotDot">
        <color theme="9" tint="-0.24994659260841701"/>
      </top>
      <bottom style="dashDotDot">
        <color theme="9" tint="-0.24994659260841701"/>
      </bottom>
      <diagonal/>
    </border>
    <border>
      <left style="hair">
        <color rgb="FF669900"/>
      </left>
      <right/>
      <top style="hair">
        <color rgb="FF669900"/>
      </top>
      <bottom/>
      <diagonal/>
    </border>
    <border>
      <left/>
      <right style="hair">
        <color rgb="FF669900"/>
      </right>
      <top style="hair">
        <color rgb="FF669900"/>
      </top>
      <bottom/>
      <diagonal/>
    </border>
    <border>
      <left style="hair">
        <color rgb="FF669900"/>
      </left>
      <right/>
      <top/>
      <bottom/>
      <diagonal/>
    </border>
    <border>
      <left/>
      <right style="hair">
        <color rgb="FF669900"/>
      </right>
      <top/>
      <bottom/>
      <diagonal/>
    </border>
    <border>
      <left style="hair">
        <color rgb="FF669900"/>
      </left>
      <right/>
      <top/>
      <bottom style="hair">
        <color rgb="FF669900"/>
      </bottom>
      <diagonal/>
    </border>
    <border>
      <left/>
      <right/>
      <top style="dashed">
        <color rgb="FF99CC00"/>
      </top>
      <bottom style="hair">
        <color rgb="FF669900"/>
      </bottom>
      <diagonal/>
    </border>
    <border>
      <left style="thick">
        <color theme="0"/>
      </left>
      <right style="thick">
        <color theme="0"/>
      </right>
      <top style="dotted">
        <color rgb="FF99CC00"/>
      </top>
      <bottom style="hair">
        <color rgb="FF669900"/>
      </bottom>
      <diagonal/>
    </border>
    <border>
      <left/>
      <right style="hair">
        <color rgb="FF669900"/>
      </right>
      <top/>
      <bottom style="hair">
        <color rgb="FF669900"/>
      </bottom>
      <diagonal/>
    </border>
    <border>
      <left/>
      <right style="thin">
        <color theme="0" tint="-0.34998626667073579"/>
      </right>
      <top/>
      <bottom style="thin">
        <color rgb="FF99CC00"/>
      </bottom>
      <diagonal/>
    </border>
    <border>
      <left style="thin">
        <color theme="0" tint="-0.34998626667073579"/>
      </left>
      <right style="thin">
        <color theme="0" tint="-0.34998626667073579"/>
      </right>
      <top style="thin">
        <color theme="0" tint="-0.34998626667073579"/>
      </top>
      <bottom style="thin">
        <color rgb="FF99CC0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rgb="FF99CC00"/>
      </right>
      <top/>
      <bottom style="thin">
        <color theme="0" tint="-0.24994659260841701"/>
      </bottom>
      <diagonal/>
    </border>
    <border>
      <left/>
      <right style="hair">
        <color auto="1"/>
      </right>
      <top/>
      <bottom style="thin">
        <color rgb="FF99CC00"/>
      </bottom>
      <diagonal/>
    </border>
    <border>
      <left/>
      <right/>
      <top style="thin">
        <color theme="0" tint="-0.34998626667073579"/>
      </top>
      <bottom style="thin">
        <color theme="0" tint="-0.24994659260841701"/>
      </bottom>
      <diagonal/>
    </border>
    <border>
      <left/>
      <right style="hair">
        <color auto="1"/>
      </right>
      <top style="thin">
        <color theme="0" tint="-0.34998626667073579"/>
      </top>
      <bottom style="thin">
        <color theme="0" tint="-0.24994659260841701"/>
      </bottom>
      <diagonal/>
    </border>
    <border>
      <left/>
      <right style="hair">
        <color auto="1"/>
      </right>
      <top style="dotted">
        <color theme="0" tint="-0.14993743705557422"/>
      </top>
      <bottom style="thin">
        <color theme="0" tint="-0.24994659260841701"/>
      </bottom>
      <diagonal/>
    </border>
    <border>
      <left/>
      <right/>
      <top style="dotted">
        <color theme="0" tint="-0.34998626667073579"/>
      </top>
      <bottom style="thin">
        <color theme="0" tint="-0.24994659260841701"/>
      </bottom>
      <diagonal/>
    </border>
    <border>
      <left/>
      <right style="thin">
        <color rgb="FF99CC00"/>
      </right>
      <top style="thin">
        <color theme="0" tint="-0.34998626667073579"/>
      </top>
      <bottom style="thin">
        <color theme="0" tint="-0.24994659260841701"/>
      </bottom>
      <diagonal/>
    </border>
    <border>
      <left/>
      <right/>
      <top style="thin">
        <color theme="0" tint="-0.24994659260841701"/>
      </top>
      <bottom style="thin">
        <color theme="0" tint="-0.24994659260841701"/>
      </bottom>
      <diagonal/>
    </border>
    <border>
      <left/>
      <right style="hair">
        <color auto="1"/>
      </right>
      <top style="thin">
        <color theme="0" tint="-0.24994659260841701"/>
      </top>
      <bottom style="thin">
        <color theme="0" tint="-0.24994659260841701"/>
      </bottom>
      <diagonal/>
    </border>
    <border>
      <left/>
      <right style="thin">
        <color rgb="FF99CC00"/>
      </right>
      <top style="thin">
        <color theme="0" tint="-0.24994659260841701"/>
      </top>
      <bottom style="thin">
        <color theme="0" tint="-0.24994659260841701"/>
      </bottom>
      <diagonal/>
    </border>
    <border>
      <left/>
      <right style="hair">
        <color auto="1"/>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dotted">
        <color theme="0" tint="-0.24994659260841701"/>
      </left>
      <right/>
      <top/>
      <bottom style="thin">
        <color theme="0" tint="-0.34998626667073579"/>
      </bottom>
      <diagonal/>
    </border>
    <border>
      <left style="thin">
        <color rgb="FF99CC00"/>
      </left>
      <right/>
      <top/>
      <bottom style="thin">
        <color theme="0" tint="-0.24994659260841701"/>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hair">
        <color auto="1"/>
      </left>
      <right/>
      <top style="dotted">
        <color rgb="FF669900"/>
      </top>
      <bottom style="dashed">
        <color rgb="FF99CC00"/>
      </bottom>
      <diagonal/>
    </border>
    <border>
      <left style="hair">
        <color auto="1"/>
      </left>
      <right/>
      <top style="dashed">
        <color rgb="FF99CC00"/>
      </top>
      <bottom style="dashed">
        <color rgb="FF99CC00"/>
      </bottom>
      <diagonal/>
    </border>
    <border>
      <left style="dotted">
        <color theme="0" tint="-0.14996795556505021"/>
      </left>
      <right style="dotted">
        <color theme="0" tint="-0.14996795556505021"/>
      </right>
      <top style="dotted">
        <color theme="0" tint="-0.14996795556505021"/>
      </top>
      <bottom style="dotted">
        <color theme="0" tint="-0.14996795556505021"/>
      </bottom>
      <diagonal/>
    </border>
    <border>
      <left style="thin">
        <color theme="1" tint="0.34998626667073579"/>
      </left>
      <right/>
      <top style="thin">
        <color theme="1" tint="0.34998626667073579"/>
      </top>
      <bottom style="thin">
        <color theme="1" tint="0.34998626667073579"/>
      </bottom>
      <diagonal/>
    </border>
    <border>
      <left style="dotted">
        <color theme="0"/>
      </left>
      <right style="dotted">
        <color theme="0"/>
      </right>
      <top/>
      <bottom/>
      <diagonal/>
    </border>
    <border>
      <left style="dotted">
        <color theme="0"/>
      </left>
      <right style="dotted">
        <color theme="0"/>
      </right>
      <top style="thin">
        <color theme="0" tint="-0.34998626667073579"/>
      </top>
      <bottom/>
      <diagonal/>
    </border>
    <border>
      <left/>
      <right/>
      <top style="thin">
        <color theme="1" tint="0.34998626667073579"/>
      </top>
      <bottom style="thin">
        <color theme="1" tint="0.34998626667073579"/>
      </bottom>
      <diagonal/>
    </border>
    <border>
      <left style="thin">
        <color indexed="64"/>
      </left>
      <right/>
      <top style="thin">
        <color theme="1" tint="0.34998626667073579"/>
      </top>
      <bottom style="thin">
        <color theme="1" tint="0.34998626667073579"/>
      </bottom>
      <diagonal/>
    </border>
    <border>
      <left style="thin">
        <color indexed="64"/>
      </left>
      <right/>
      <top style="dotted">
        <color theme="0" tint="-0.34998626667073579"/>
      </top>
      <bottom/>
      <diagonal/>
    </border>
    <border>
      <left/>
      <right style="thick">
        <color auto="1"/>
      </right>
      <top/>
      <bottom/>
      <diagonal/>
    </border>
    <border>
      <left style="thick">
        <color auto="1"/>
      </left>
      <right/>
      <top/>
      <bottom/>
      <diagonal/>
    </border>
    <border>
      <left style="thick">
        <color auto="1"/>
      </left>
      <right/>
      <top/>
      <bottom style="medium">
        <color auto="1"/>
      </bottom>
      <diagonal/>
    </border>
    <border>
      <left/>
      <right style="thick">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style="thick">
        <color auto="1"/>
      </left>
      <right/>
      <top/>
      <bottom style="thick">
        <color auto="1"/>
      </bottom>
      <diagonal/>
    </border>
    <border>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right style="thick">
        <color auto="1"/>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style="thick">
        <color auto="1"/>
      </left>
      <right/>
      <top style="thin">
        <color auto="1"/>
      </top>
      <bottom/>
      <diagonal/>
    </border>
    <border>
      <left/>
      <right style="thick">
        <color auto="1"/>
      </right>
      <top style="thin">
        <color auto="1"/>
      </top>
      <bottom/>
      <diagonal/>
    </border>
    <border>
      <left style="thick">
        <color auto="1"/>
      </left>
      <right/>
      <top style="hair">
        <color auto="1"/>
      </top>
      <bottom/>
      <diagonal/>
    </border>
    <border>
      <left/>
      <right style="thick">
        <color auto="1"/>
      </right>
      <top style="hair">
        <color auto="1"/>
      </top>
      <bottom/>
      <diagonal/>
    </border>
    <border>
      <left style="thick">
        <color auto="1"/>
      </left>
      <right/>
      <top style="double">
        <color auto="1"/>
      </top>
      <bottom/>
      <diagonal/>
    </border>
    <border>
      <left/>
      <right/>
      <top style="double">
        <color auto="1"/>
      </top>
      <bottom/>
      <diagonal/>
    </border>
    <border>
      <left/>
      <right/>
      <top/>
      <bottom style="hair">
        <color auto="1"/>
      </bottom>
      <diagonal/>
    </border>
    <border>
      <left/>
      <right style="thick">
        <color auto="1"/>
      </right>
      <top/>
      <bottom style="hair">
        <color auto="1"/>
      </bottom>
      <diagonal/>
    </border>
    <border>
      <left/>
      <right/>
      <top style="hair">
        <color auto="1"/>
      </top>
      <bottom/>
      <diagonal/>
    </border>
  </borders>
  <cellStyleXfs count="3251">
    <xf numFmtId="0" fontId="0" fillId="0" borderId="0"/>
    <xf numFmtId="0" fontId="7" fillId="0" borderId="0"/>
    <xf numFmtId="168" fontId="7" fillId="0" borderId="0" applyFont="0" applyFill="0" applyBorder="0" applyAlignment="0" applyProtection="0"/>
    <xf numFmtId="0" fontId="7" fillId="0" borderId="0"/>
    <xf numFmtId="168" fontId="7" fillId="0" borderId="0" applyFont="0" applyFill="0" applyBorder="0" applyAlignment="0" applyProtection="0"/>
    <xf numFmtId="0" fontId="1" fillId="0" borderId="0"/>
    <xf numFmtId="168" fontId="1" fillId="0" borderId="0" applyFont="0" applyFill="0" applyBorder="0" applyAlignment="0" applyProtection="0"/>
    <xf numFmtId="0" fontId="9" fillId="0" borderId="0"/>
    <xf numFmtId="9" fontId="7" fillId="0" borderId="0" applyFont="0" applyFill="0" applyBorder="0" applyAlignment="0" applyProtection="0"/>
    <xf numFmtId="0" fontId="11" fillId="0" borderId="0" applyNumberFormat="0" applyFill="0" applyBorder="0" applyAlignment="0" applyProtection="0">
      <alignment vertical="top"/>
      <protection locked="0"/>
    </xf>
    <xf numFmtId="0" fontId="7" fillId="0" borderId="0"/>
    <xf numFmtId="9" fontId="7" fillId="0" borderId="0" applyFont="0" applyFill="0" applyBorder="0" applyAlignment="0" applyProtection="0"/>
    <xf numFmtId="0" fontId="1" fillId="0" borderId="0"/>
    <xf numFmtId="0" fontId="7" fillId="0" borderId="0"/>
    <xf numFmtId="0" fontId="1" fillId="0" borderId="0"/>
    <xf numFmtId="9" fontId="7" fillId="0" borderId="0" applyFont="0" applyFill="0" applyBorder="0" applyAlignment="0" applyProtection="0"/>
    <xf numFmtId="168" fontId="7" fillId="0" borderId="0" applyFont="0" applyFill="0" applyBorder="0" applyAlignment="0" applyProtection="0"/>
    <xf numFmtId="169" fontId="7" fillId="0" borderId="0" applyFont="0" applyFill="0" applyBorder="0" applyAlignment="0" applyProtection="0"/>
    <xf numFmtId="0" fontId="7" fillId="0" borderId="0"/>
    <xf numFmtId="0" fontId="1" fillId="0" borderId="0"/>
    <xf numFmtId="9" fontId="1" fillId="0" borderId="0" applyFont="0" applyFill="0" applyBorder="0" applyAlignment="0" applyProtection="0"/>
    <xf numFmtId="168" fontId="1" fillId="0" borderId="0" applyFont="0" applyFill="0" applyBorder="0" applyAlignment="0" applyProtection="0"/>
    <xf numFmtId="0" fontId="1" fillId="0" borderId="0"/>
    <xf numFmtId="0" fontId="21" fillId="0" borderId="0"/>
    <xf numFmtId="168" fontId="1" fillId="0" borderId="0" applyFont="0" applyFill="0" applyBorder="0" applyAlignment="0" applyProtection="0"/>
    <xf numFmtId="168" fontId="7" fillId="0" borderId="0" applyFont="0" applyFill="0" applyBorder="0" applyAlignment="0" applyProtection="0"/>
    <xf numFmtId="43" fontId="7"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7" fillId="0" borderId="0" applyFont="0" applyFill="0" applyBorder="0" applyAlignment="0" applyProtection="0"/>
    <xf numFmtId="169"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9" fontId="7"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2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11" fillId="0" borderId="0" applyNumberFormat="0" applyFill="0" applyBorder="0" applyAlignment="0" applyProtection="0">
      <alignment vertical="top"/>
      <protection locked="0"/>
    </xf>
    <xf numFmtId="0" fontId="23" fillId="0" borderId="0" applyNumberFormat="0" applyFill="0" applyBorder="0" applyAlignment="0" applyProtection="0">
      <alignment vertical="top"/>
      <protection locked="0"/>
    </xf>
    <xf numFmtId="174" fontId="7" fillId="0" borderId="0" applyFont="0" applyFill="0" applyBorder="0" applyAlignment="0" applyProtection="0"/>
    <xf numFmtId="174" fontId="7"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7"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5" fontId="7" fillId="0" borderId="0" applyFont="0" applyFill="0" applyBorder="0" applyAlignment="0" applyProtection="0"/>
    <xf numFmtId="44"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5"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0" fontId="7" fillId="0" borderId="0"/>
    <xf numFmtId="0"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7" fillId="0" borderId="0"/>
    <xf numFmtId="0" fontId="12" fillId="0" borderId="0"/>
    <xf numFmtId="0" fontId="7" fillId="0" borderId="0"/>
    <xf numFmtId="0" fontId="12" fillId="0" borderId="0"/>
    <xf numFmtId="0" fontId="7" fillId="0" borderId="0"/>
    <xf numFmtId="0" fontId="7" fillId="0" borderId="0"/>
    <xf numFmtId="0" fontId="1" fillId="0" borderId="0"/>
    <xf numFmtId="0" fontId="1" fillId="0" borderId="0"/>
    <xf numFmtId="0" fontId="1" fillId="0" borderId="0"/>
    <xf numFmtId="0" fontId="7" fillId="0" borderId="0"/>
    <xf numFmtId="0" fontId="21"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 fillId="0" borderId="0"/>
    <xf numFmtId="0" fontId="12" fillId="0" borderId="0"/>
    <xf numFmtId="0" fontId="2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1" fillId="0" borderId="0"/>
    <xf numFmtId="0" fontId="1" fillId="0" borderId="0"/>
    <xf numFmtId="0" fontId="1" fillId="0" borderId="0"/>
    <xf numFmtId="0" fontId="7" fillId="0" borderId="0"/>
    <xf numFmtId="0" fontId="9" fillId="0" borderId="0"/>
    <xf numFmtId="0" fontId="24" fillId="0" borderId="0"/>
    <xf numFmtId="0" fontId="12" fillId="0" borderId="0"/>
    <xf numFmtId="0" fontId="12" fillId="0" borderId="0"/>
    <xf numFmtId="0" fontId="12" fillId="0" borderId="0"/>
    <xf numFmtId="0" fontId="12"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24" fillId="0" borderId="0"/>
    <xf numFmtId="0" fontId="24" fillId="0" borderId="0"/>
    <xf numFmtId="0" fontId="12" fillId="0" borderId="0"/>
    <xf numFmtId="0" fontId="7" fillId="0" borderId="0"/>
    <xf numFmtId="0" fontId="7" fillId="0" borderId="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2" fillId="0" borderId="0" applyFont="0" applyFill="0" applyBorder="0" applyAlignment="0" applyProtection="0"/>
    <xf numFmtId="9" fontId="2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168" fontId="1" fillId="0" borderId="0" applyFont="0" applyFill="0" applyBorder="0" applyAlignment="0" applyProtection="0"/>
    <xf numFmtId="0" fontId="1" fillId="0" borderId="0"/>
    <xf numFmtId="0" fontId="30" fillId="0" borderId="0"/>
    <xf numFmtId="168" fontId="1" fillId="0" borderId="0" applyFont="0" applyFill="0" applyBorder="0" applyAlignment="0" applyProtection="0"/>
    <xf numFmtId="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44" fontId="1" fillId="0" borderId="0" applyFont="0" applyFill="0" applyBorder="0" applyAlignment="0" applyProtection="0"/>
    <xf numFmtId="0" fontId="23" fillId="0" borderId="0" applyNumberFormat="0" applyFill="0" applyBorder="0" applyAlignment="0" applyProtection="0">
      <alignment vertical="top"/>
      <protection locked="0"/>
    </xf>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169"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7"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7" fillId="0" borderId="0" applyFont="0" applyFill="0" applyBorder="0" applyAlignment="0" applyProtection="0"/>
    <xf numFmtId="169"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7"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4" fontId="7"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7"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5"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5" fontId="7" fillId="0" borderId="0" applyFont="0" applyFill="0" applyBorder="0" applyAlignment="0" applyProtection="0"/>
    <xf numFmtId="168" fontId="1" fillId="0" borderId="0" applyFont="0" applyFill="0" applyBorder="0" applyAlignment="0" applyProtection="0"/>
    <xf numFmtId="44" fontId="7" fillId="0" borderId="0" applyFont="0" applyFill="0" applyBorder="0" applyAlignment="0" applyProtection="0"/>
    <xf numFmtId="168"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0" fontId="7" fillId="0" borderId="0"/>
    <xf numFmtId="0" fontId="1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7"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 fillId="0" borderId="0"/>
    <xf numFmtId="0" fontId="7" fillId="0" borderId="0"/>
    <xf numFmtId="0" fontId="1" fillId="0" borderId="0"/>
    <xf numFmtId="0" fontId="1" fillId="0" borderId="0"/>
    <xf numFmtId="0" fontId="7" fillId="0" borderId="0"/>
    <xf numFmtId="0" fontId="12" fillId="0" borderId="0"/>
    <xf numFmtId="0" fontId="7" fillId="0" borderId="0"/>
    <xf numFmtId="0" fontId="1" fillId="0" borderId="0"/>
    <xf numFmtId="0" fontId="1" fillId="0" borderId="0"/>
    <xf numFmtId="0" fontId="1" fillId="0" borderId="0"/>
    <xf numFmtId="0" fontId="7" fillId="0" borderId="0"/>
    <xf numFmtId="0" fontId="1" fillId="0" borderId="0"/>
    <xf numFmtId="0" fontId="1" fillId="0" borderId="0"/>
    <xf numFmtId="0" fontId="7"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7" fillId="0" borderId="0"/>
    <xf numFmtId="9" fontId="7" fillId="0" borderId="0" applyFont="0" applyFill="0" applyBorder="0" applyAlignment="0" applyProtection="0"/>
    <xf numFmtId="9" fontId="7" fillId="0" borderId="0" applyFont="0" applyFill="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63" fillId="60" borderId="0" applyNumberFormat="0" applyBorder="0" applyAlignment="0" applyProtection="0"/>
    <xf numFmtId="0" fontId="63" fillId="61" borderId="0" applyNumberFormat="0" applyBorder="0" applyAlignment="0" applyProtection="0"/>
    <xf numFmtId="0" fontId="63" fillId="62" borderId="0" applyNumberFormat="0" applyBorder="0" applyAlignment="0" applyProtection="0"/>
    <xf numFmtId="0" fontId="63" fillId="63" borderId="0" applyNumberFormat="0" applyBorder="0" applyAlignment="0" applyProtection="0"/>
    <xf numFmtId="0" fontId="63" fillId="64" borderId="0" applyNumberFormat="0" applyBorder="0" applyAlignment="0" applyProtection="0"/>
    <xf numFmtId="0" fontId="63" fillId="65" borderId="0" applyNumberFormat="0" applyBorder="0" applyAlignment="0" applyProtection="0"/>
    <xf numFmtId="0" fontId="213" fillId="55" borderId="0" applyNumberFormat="0" applyBorder="0" applyAlignment="0" applyProtection="0"/>
    <xf numFmtId="0" fontId="217" fillId="58" borderId="240" applyNumberFormat="0" applyAlignment="0" applyProtection="0"/>
    <xf numFmtId="0" fontId="62" fillId="59" borderId="243" applyNumberFormat="0" applyAlignment="0" applyProtection="0"/>
    <xf numFmtId="0" fontId="219" fillId="0" borderId="0" applyNumberFormat="0" applyFill="0" applyBorder="0" applyAlignment="0" applyProtection="0"/>
    <xf numFmtId="0" fontId="212" fillId="54" borderId="0" applyNumberFormat="0" applyBorder="0" applyAlignment="0" applyProtection="0"/>
    <xf numFmtId="0" fontId="209" fillId="0" borderId="237" applyNumberFormat="0" applyFill="0" applyAlignment="0" applyProtection="0"/>
    <xf numFmtId="0" fontId="210" fillId="0" borderId="238" applyNumberFormat="0" applyFill="0" applyAlignment="0" applyProtection="0"/>
    <xf numFmtId="0" fontId="211" fillId="0" borderId="239" applyNumberFormat="0" applyFill="0" applyAlignment="0" applyProtection="0"/>
    <xf numFmtId="0" fontId="211" fillId="0" borderId="0" applyNumberFormat="0" applyFill="0" applyBorder="0" applyAlignment="0" applyProtection="0"/>
    <xf numFmtId="0" fontId="215" fillId="57" borderId="240" applyNumberFormat="0" applyAlignment="0" applyProtection="0"/>
    <xf numFmtId="0" fontId="218" fillId="0" borderId="242" applyNumberFormat="0" applyFill="0" applyAlignment="0" applyProtection="0"/>
    <xf numFmtId="0" fontId="214" fillId="56" borderId="0" applyNumberFormat="0" applyBorder="0" applyAlignment="0" applyProtection="0"/>
    <xf numFmtId="0" fontId="7" fillId="2" borderId="1" applyNumberFormat="0" applyFont="0" applyAlignment="0" applyProtection="0"/>
    <xf numFmtId="0" fontId="216" fillId="58" borderId="241" applyNumberFormat="0" applyAlignment="0" applyProtection="0"/>
    <xf numFmtId="0" fontId="208" fillId="0" borderId="0" applyNumberFormat="0" applyFill="0" applyBorder="0" applyAlignment="0" applyProtection="0"/>
    <xf numFmtId="0" fontId="88" fillId="0" borderId="0" applyNumberFormat="0" applyFill="0" applyBorder="0" applyAlignment="0" applyProtection="0"/>
    <xf numFmtId="9" fontId="7" fillId="0" borderId="0" applyFont="0" applyFill="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9" fontId="7" fillId="0" borderId="0" applyFont="0" applyFill="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170" fontId="7" fillId="0" borderId="0" applyFont="0" applyFill="0" applyBorder="0" applyAlignment="0" applyProtection="0"/>
    <xf numFmtId="0" fontId="220" fillId="0" borderId="0" applyNumberFormat="0" applyFill="0" applyBorder="0" applyAlignment="0" applyProtection="0">
      <alignment vertical="top"/>
      <protection locked="0"/>
    </xf>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170" fontId="7" fillId="0" borderId="0" applyFont="0" applyFill="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175" fontId="7" fillId="0" borderId="0" applyFont="0" applyFill="0" applyBorder="0" applyAlignment="0" applyProtection="0"/>
    <xf numFmtId="44" fontId="7" fillId="0" borderId="0" applyFont="0" applyFill="0" applyBorder="0" applyAlignment="0" applyProtection="0"/>
    <xf numFmtId="175" fontId="7" fillId="0" borderId="0" applyFont="0" applyFill="0" applyBorder="0" applyAlignment="0" applyProtection="0"/>
    <xf numFmtId="175" fontId="7"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0" fontId="7" fillId="0" borderId="0" applyFont="0" applyFill="0" applyBorder="0" applyAlignment="0" applyProtection="0"/>
    <xf numFmtId="168" fontId="1" fillId="0" borderId="0" applyFont="0" applyFill="0" applyBorder="0" applyAlignment="0" applyProtection="0"/>
    <xf numFmtId="0" fontId="7"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170" fontId="7" fillId="0" borderId="0" applyFont="0" applyFill="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63" fillId="60" borderId="0" applyNumberFormat="0" applyBorder="0" applyAlignment="0" applyProtection="0"/>
    <xf numFmtId="0" fontId="63" fillId="61" borderId="0" applyNumberFormat="0" applyBorder="0" applyAlignment="0" applyProtection="0"/>
    <xf numFmtId="0" fontId="63" fillId="62" borderId="0" applyNumberFormat="0" applyBorder="0" applyAlignment="0" applyProtection="0"/>
    <xf numFmtId="0" fontId="63" fillId="63" borderId="0" applyNumberFormat="0" applyBorder="0" applyAlignment="0" applyProtection="0"/>
    <xf numFmtId="0" fontId="63" fillId="64" borderId="0" applyNumberFormat="0" applyBorder="0" applyAlignment="0" applyProtection="0"/>
    <xf numFmtId="0" fontId="63" fillId="65" borderId="0" applyNumberFormat="0" applyBorder="0" applyAlignment="0" applyProtection="0"/>
    <xf numFmtId="0" fontId="88" fillId="0" borderId="0" applyNumberFormat="0" applyFill="0" applyBorder="0" applyAlignment="0" applyProtection="0"/>
    <xf numFmtId="0" fontId="217" fillId="58" borderId="240" applyNumberFormat="0" applyAlignment="0" applyProtection="0"/>
    <xf numFmtId="0" fontId="218" fillId="0" borderId="242" applyNumberFormat="0" applyFill="0" applyAlignment="0" applyProtection="0"/>
    <xf numFmtId="0" fontId="7" fillId="2" borderId="1" applyNumberFormat="0" applyFont="0" applyAlignment="0" applyProtection="0"/>
    <xf numFmtId="0" fontId="215" fillId="57" borderId="240" applyNumberFormat="0" applyAlignment="0" applyProtection="0"/>
    <xf numFmtId="0" fontId="213" fillId="55" borderId="0" applyNumberFormat="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0" fontId="214"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7" fillId="0" borderId="0"/>
    <xf numFmtId="0" fontId="212" fillId="54" borderId="0" applyNumberFormat="0" applyBorder="0" applyAlignment="0" applyProtection="0"/>
    <xf numFmtId="0" fontId="216" fillId="58" borderId="241" applyNumberFormat="0" applyAlignment="0" applyProtection="0"/>
    <xf numFmtId="0" fontId="219" fillId="0" borderId="0" applyNumberFormat="0" applyFill="0" applyBorder="0" applyAlignment="0" applyProtection="0"/>
    <xf numFmtId="0" fontId="208" fillId="0" borderId="0" applyNumberFormat="0" applyFill="0" applyBorder="0" applyAlignment="0" applyProtection="0"/>
    <xf numFmtId="0" fontId="210" fillId="0" borderId="238" applyNumberFormat="0" applyFill="0" applyAlignment="0" applyProtection="0"/>
    <xf numFmtId="0" fontId="211" fillId="0" borderId="239" applyNumberFormat="0" applyFill="0" applyAlignment="0" applyProtection="0"/>
    <xf numFmtId="0" fontId="211" fillId="0" borderId="0" applyNumberFormat="0" applyFill="0" applyBorder="0" applyAlignment="0" applyProtection="0"/>
    <xf numFmtId="0" fontId="62" fillId="59" borderId="243" applyNumberFormat="0" applyAlignment="0" applyProtection="0"/>
    <xf numFmtId="0" fontId="7" fillId="0" borderId="0"/>
    <xf numFmtId="0" fontId="7" fillId="0" borderId="0"/>
    <xf numFmtId="0" fontId="319" fillId="0" borderId="0"/>
  </cellStyleXfs>
  <cellXfs count="3642">
    <xf numFmtId="0" fontId="0" fillId="0" borderId="0" xfId="0"/>
    <xf numFmtId="0" fontId="3" fillId="0" borderId="0" xfId="0" applyFont="1" applyBorder="1"/>
    <xf numFmtId="0" fontId="3" fillId="0" borderId="0" xfId="0" applyFont="1" applyBorder="1" applyAlignment="1">
      <alignment vertical="center"/>
    </xf>
    <xf numFmtId="0" fontId="5" fillId="0" borderId="0" xfId="0" applyFont="1" applyBorder="1"/>
    <xf numFmtId="171" fontId="5" fillId="0" borderId="0" xfId="0" applyNumberFormat="1" applyFont="1" applyBorder="1" applyAlignment="1">
      <alignment horizontal="center"/>
    </xf>
    <xf numFmtId="0" fontId="19" fillId="0" borderId="0" xfId="0" applyFont="1" applyBorder="1" applyAlignment="1">
      <alignment horizontal="center" vertical="center"/>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10" fillId="0" borderId="2" xfId="10" applyFont="1" applyBorder="1" applyAlignment="1" applyProtection="1">
      <alignment vertical="center"/>
    </xf>
    <xf numFmtId="0" fontId="10" fillId="0" borderId="2" xfId="10" applyNumberFormat="1" applyFont="1" applyBorder="1" applyAlignment="1" applyProtection="1">
      <alignment vertical="center"/>
    </xf>
    <xf numFmtId="0" fontId="20" fillId="16" borderId="2" xfId="5" applyFont="1" applyFill="1" applyBorder="1" applyAlignment="1" applyProtection="1">
      <alignment horizontal="center" vertical="center"/>
    </xf>
    <xf numFmtId="0" fontId="20" fillId="16" borderId="2" xfId="5" applyNumberFormat="1" applyFont="1" applyFill="1" applyBorder="1" applyAlignment="1" applyProtection="1">
      <alignment horizontal="center" vertical="center"/>
    </xf>
    <xf numFmtId="0" fontId="10" fillId="0" borderId="2" xfId="10" applyFont="1" applyBorder="1" applyProtection="1"/>
    <xf numFmtId="0" fontId="10" fillId="0" borderId="2" xfId="10" applyNumberFormat="1" applyFont="1" applyBorder="1" applyProtection="1"/>
    <xf numFmtId="0" fontId="25" fillId="0" borderId="2" xfId="10" applyFont="1" applyBorder="1" applyProtection="1"/>
    <xf numFmtId="0" fontId="25" fillId="0" borderId="2" xfId="10" applyNumberFormat="1" applyFont="1" applyBorder="1" applyProtection="1"/>
    <xf numFmtId="0" fontId="26" fillId="16" borderId="2" xfId="5" applyFont="1" applyFill="1" applyBorder="1" applyAlignment="1" applyProtection="1">
      <alignment horizontal="center" vertical="center"/>
    </xf>
    <xf numFmtId="0" fontId="27" fillId="0" borderId="0" xfId="10" applyFont="1" applyProtection="1"/>
    <xf numFmtId="0" fontId="3" fillId="0" borderId="4" xfId="0" applyFont="1" applyBorder="1" applyAlignment="1">
      <alignment wrapText="1"/>
    </xf>
    <xf numFmtId="0" fontId="33" fillId="0" borderId="0" xfId="0" applyFont="1" applyBorder="1" applyAlignment="1">
      <alignment vertical="center" wrapText="1"/>
    </xf>
    <xf numFmtId="0" fontId="10" fillId="18" borderId="0" xfId="980" applyFont="1" applyFill="1" applyProtection="1"/>
    <xf numFmtId="165" fontId="10" fillId="0" borderId="0" xfId="0" applyNumberFormat="1" applyFont="1" applyProtection="1"/>
    <xf numFmtId="171" fontId="10" fillId="0" borderId="0" xfId="16" applyNumberFormat="1" applyFont="1" applyFill="1" applyProtection="1"/>
    <xf numFmtId="0" fontId="34" fillId="0" borderId="0" xfId="0" applyFont="1" applyBorder="1"/>
    <xf numFmtId="0" fontId="36" fillId="0" borderId="0" xfId="0" applyFont="1" applyBorder="1"/>
    <xf numFmtId="171" fontId="34" fillId="0" borderId="0" xfId="0" applyNumberFormat="1" applyFont="1" applyBorder="1" applyAlignment="1">
      <alignment horizontal="center"/>
    </xf>
    <xf numFmtId="0" fontId="37" fillId="0" borderId="0" xfId="0" applyFont="1" applyBorder="1"/>
    <xf numFmtId="0" fontId="3" fillId="0" borderId="0" xfId="0" applyFont="1" applyBorder="1" applyAlignment="1">
      <alignment horizontal="center" vertical="center" wrapText="1"/>
    </xf>
    <xf numFmtId="165" fontId="8" fillId="0" borderId="6" xfId="0" applyNumberFormat="1" applyFont="1" applyBorder="1" applyProtection="1"/>
    <xf numFmtId="165" fontId="8" fillId="0" borderId="7" xfId="0" applyNumberFormat="1" applyFont="1" applyBorder="1" applyProtection="1"/>
    <xf numFmtId="0" fontId="0" fillId="0" borderId="0" xfId="0" applyAlignment="1">
      <alignment horizontal="center" vertical="center"/>
    </xf>
    <xf numFmtId="0" fontId="38" fillId="0" borderId="0" xfId="0" applyFont="1" applyFill="1" applyBorder="1"/>
    <xf numFmtId="0" fontId="38" fillId="0" borderId="0" xfId="0" applyFont="1" applyFill="1" applyBorder="1" applyAlignment="1">
      <alignment horizontal="center" vertical="center"/>
    </xf>
    <xf numFmtId="0" fontId="38" fillId="0" borderId="0" xfId="0" applyFont="1" applyFill="1" applyBorder="1" applyAlignment="1">
      <alignment vertical="center"/>
    </xf>
    <xf numFmtId="0" fontId="41" fillId="0" borderId="0" xfId="0" applyFont="1" applyFill="1" applyBorder="1" applyAlignment="1">
      <alignment vertical="center" wrapText="1"/>
    </xf>
    <xf numFmtId="0" fontId="38" fillId="0" borderId="0" xfId="0" applyFont="1" applyFill="1" applyBorder="1" applyAlignment="1">
      <alignment vertical="center" wrapText="1"/>
    </xf>
    <xf numFmtId="0" fontId="42" fillId="0" borderId="0" xfId="0" applyFont="1" applyFill="1" applyBorder="1"/>
    <xf numFmtId="0" fontId="41" fillId="0" borderId="0" xfId="0" applyFont="1" applyFill="1" applyBorder="1" applyAlignment="1">
      <alignment vertical="center"/>
    </xf>
    <xf numFmtId="171" fontId="3" fillId="0" borderId="0" xfId="0" applyNumberFormat="1" applyFont="1" applyFill="1" applyBorder="1" applyAlignment="1">
      <alignment horizontal="center" vertical="center" wrapText="1"/>
    </xf>
    <xf numFmtId="0" fontId="47" fillId="0" borderId="0" xfId="0" applyFont="1" applyBorder="1" applyAlignment="1">
      <alignment vertical="center"/>
    </xf>
    <xf numFmtId="0" fontId="38" fillId="0" borderId="0" xfId="0" applyFont="1" applyFill="1" applyBorder="1" applyAlignment="1">
      <alignment horizontal="center"/>
    </xf>
    <xf numFmtId="0" fontId="41" fillId="0" borderId="0" xfId="0" applyFont="1" applyFill="1" applyBorder="1" applyAlignment="1">
      <alignment horizontal="center" vertical="center"/>
    </xf>
    <xf numFmtId="0" fontId="38" fillId="0" borderId="17" xfId="0" applyFont="1" applyFill="1" applyBorder="1" applyAlignment="1">
      <alignment horizontal="left" vertical="center"/>
    </xf>
    <xf numFmtId="0" fontId="3" fillId="0" borderId="16" xfId="0" applyFont="1" applyBorder="1" applyAlignment="1">
      <alignment horizontal="left" vertical="center" wrapText="1"/>
    </xf>
    <xf numFmtId="0" fontId="44" fillId="0" borderId="14" xfId="0" applyFont="1" applyBorder="1" applyAlignment="1">
      <alignment wrapText="1"/>
    </xf>
    <xf numFmtId="0" fontId="38" fillId="0" borderId="17" xfId="0" applyFont="1" applyFill="1" applyBorder="1"/>
    <xf numFmtId="171" fontId="3" fillId="0" borderId="17" xfId="0" applyNumberFormat="1" applyFont="1" applyBorder="1" applyAlignment="1">
      <alignment horizontal="center"/>
    </xf>
    <xf numFmtId="0" fontId="38" fillId="0" borderId="17" xfId="0" applyFont="1" applyFill="1" applyBorder="1" applyAlignment="1">
      <alignment horizontal="center"/>
    </xf>
    <xf numFmtId="0" fontId="29" fillId="0" borderId="19" xfId="0" applyFont="1" applyBorder="1" applyAlignment="1">
      <alignment wrapText="1"/>
    </xf>
    <xf numFmtId="0" fontId="3" fillId="0" borderId="0" xfId="0" applyFont="1" applyBorder="1" applyAlignment="1">
      <alignment horizontal="right"/>
    </xf>
    <xf numFmtId="0" fontId="3" fillId="0" borderId="0" xfId="0" applyFont="1" applyBorder="1" applyAlignment="1"/>
    <xf numFmtId="165" fontId="8" fillId="0" borderId="2" xfId="0" applyNumberFormat="1" applyFont="1" applyBorder="1" applyProtection="1"/>
    <xf numFmtId="165" fontId="10" fillId="0" borderId="0" xfId="0" applyNumberFormat="1" applyFont="1" applyAlignment="1" applyProtection="1">
      <alignment horizontal="center"/>
    </xf>
    <xf numFmtId="165" fontId="0" fillId="0" borderId="0" xfId="0" applyNumberFormat="1"/>
    <xf numFmtId="0" fontId="40" fillId="0" borderId="0" xfId="0" applyFont="1" applyBorder="1"/>
    <xf numFmtId="0" fontId="2" fillId="0" borderId="0" xfId="0" applyFont="1" applyBorder="1" applyAlignment="1">
      <alignment horizontal="center"/>
    </xf>
    <xf numFmtId="178" fontId="0" fillId="0" borderId="0" xfId="982" applyNumberFormat="1" applyFont="1" applyAlignment="1">
      <alignment horizontal="center" vertical="center"/>
    </xf>
    <xf numFmtId="0" fontId="41" fillId="0" borderId="0" xfId="0" applyFont="1" applyFill="1" applyBorder="1" applyAlignment="1">
      <alignment horizontal="center" vertical="center" wrapText="1"/>
    </xf>
    <xf numFmtId="0" fontId="38" fillId="0" borderId="17" xfId="0" applyFont="1" applyFill="1" applyBorder="1" applyAlignment="1">
      <alignment horizontal="center" vertical="center"/>
    </xf>
    <xf numFmtId="0" fontId="0" fillId="0" borderId="25" xfId="0" applyBorder="1"/>
    <xf numFmtId="0" fontId="0" fillId="0" borderId="0" xfId="0" applyBorder="1" applyAlignment="1">
      <alignment horizontal="center" vertical="center"/>
    </xf>
    <xf numFmtId="0" fontId="0" fillId="0" borderId="26" xfId="0" applyBorder="1" applyAlignment="1">
      <alignment horizontal="center" vertical="center"/>
    </xf>
    <xf numFmtId="165" fontId="10" fillId="0" borderId="25" xfId="0" applyNumberFormat="1" applyFont="1" applyBorder="1" applyProtection="1"/>
    <xf numFmtId="171" fontId="10" fillId="0" borderId="25" xfId="16" applyNumberFormat="1" applyFont="1" applyFill="1" applyBorder="1" applyProtection="1"/>
    <xf numFmtId="171" fontId="10" fillId="0" borderId="11" xfId="16" applyNumberFormat="1" applyFont="1" applyFill="1" applyBorder="1" applyProtection="1"/>
    <xf numFmtId="0" fontId="0" fillId="0" borderId="3" xfId="0" applyBorder="1" applyAlignment="1">
      <alignment horizontal="center" vertical="center"/>
    </xf>
    <xf numFmtId="0" fontId="0" fillId="0" borderId="9" xfId="0" applyBorder="1" applyAlignment="1"/>
    <xf numFmtId="0" fontId="0" fillId="0" borderId="25" xfId="0" applyBorder="1" applyAlignment="1">
      <alignment horizontal="center" vertical="center"/>
    </xf>
    <xf numFmtId="0" fontId="0" fillId="0" borderId="11"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29" fillId="0" borderId="16" xfId="0" applyFont="1" applyBorder="1" applyAlignment="1">
      <alignment wrapText="1"/>
    </xf>
    <xf numFmtId="0" fontId="3" fillId="0" borderId="14" xfId="0" applyFont="1" applyBorder="1" applyAlignment="1">
      <alignment horizontal="left" vertical="center" wrapText="1"/>
    </xf>
    <xf numFmtId="171" fontId="3" fillId="0" borderId="29" xfId="0" applyNumberFormat="1" applyFont="1" applyBorder="1" applyAlignment="1">
      <alignment horizontal="center" vertical="center"/>
    </xf>
    <xf numFmtId="0" fontId="52" fillId="0" borderId="0" xfId="0" applyFont="1" applyBorder="1" applyAlignment="1">
      <alignment vertical="center"/>
    </xf>
    <xf numFmtId="0" fontId="53" fillId="19" borderId="0" xfId="0" applyFont="1" applyFill="1" applyBorder="1"/>
    <xf numFmtId="0" fontId="53" fillId="0" borderId="0" xfId="0" applyFont="1" applyFill="1" applyBorder="1" applyAlignment="1">
      <alignment vertical="center"/>
    </xf>
    <xf numFmtId="0" fontId="53" fillId="0" borderId="0" xfId="0" applyFont="1" applyFill="1" applyBorder="1"/>
    <xf numFmtId="0" fontId="45" fillId="0" borderId="0" xfId="0" applyFont="1" applyFill="1" applyBorder="1"/>
    <xf numFmtId="0" fontId="45" fillId="0" borderId="0" xfId="0" applyFont="1" applyFill="1" applyBorder="1" applyAlignment="1">
      <alignment horizontal="center" vertical="center"/>
    </xf>
    <xf numFmtId="0" fontId="45" fillId="0" borderId="0" xfId="0" applyFont="1" applyFill="1" applyBorder="1" applyAlignment="1">
      <alignment horizontal="center"/>
    </xf>
    <xf numFmtId="0" fontId="55" fillId="0" borderId="0" xfId="0" applyFont="1" applyFill="1" applyBorder="1" applyAlignment="1">
      <alignment horizontal="center" vertical="center"/>
    </xf>
    <xf numFmtId="0" fontId="42" fillId="0" borderId="0" xfId="10" applyFont="1" applyFill="1" applyBorder="1" applyAlignment="1">
      <alignment horizontal="left" vertical="center"/>
    </xf>
    <xf numFmtId="0" fontId="42" fillId="0" borderId="0" xfId="0" applyFont="1" applyFill="1" applyBorder="1" applyAlignment="1">
      <alignment vertical="center"/>
    </xf>
    <xf numFmtId="0" fontId="41" fillId="0" borderId="0" xfId="0" applyFont="1" applyFill="1" applyBorder="1"/>
    <xf numFmtId="171" fontId="4" fillId="0" borderId="0" xfId="0" applyNumberFormat="1" applyFont="1" applyBorder="1" applyAlignment="1">
      <alignment horizontal="center" vertical="center"/>
    </xf>
    <xf numFmtId="0" fontId="10" fillId="0" borderId="0" xfId="980" applyFont="1" applyFill="1" applyProtection="1"/>
    <xf numFmtId="0" fontId="2" fillId="0" borderId="0" xfId="0" applyFont="1" applyBorder="1" applyAlignment="1">
      <alignment horizontal="center" wrapText="1"/>
    </xf>
    <xf numFmtId="171" fontId="38" fillId="0" borderId="0" xfId="0" applyNumberFormat="1" applyFont="1" applyFill="1" applyBorder="1" applyAlignment="1">
      <alignment horizontal="center" vertical="center"/>
    </xf>
    <xf numFmtId="0" fontId="38" fillId="0" borderId="29" xfId="0" applyFont="1" applyFill="1" applyBorder="1" applyAlignment="1">
      <alignment horizontal="center" vertical="center"/>
    </xf>
    <xf numFmtId="0" fontId="38" fillId="0" borderId="29" xfId="0" applyFont="1" applyFill="1" applyBorder="1" applyAlignment="1">
      <alignment horizontal="left" vertical="center"/>
    </xf>
    <xf numFmtId="171" fontId="38" fillId="0" borderId="21" xfId="0" applyNumberFormat="1" applyFont="1" applyFill="1" applyBorder="1" applyAlignment="1">
      <alignment horizontal="center" vertical="center" wrapText="1"/>
    </xf>
    <xf numFmtId="0" fontId="0" fillId="0" borderId="9" xfId="0" applyBorder="1"/>
    <xf numFmtId="0" fontId="0" fillId="0" borderId="10" xfId="0" applyBorder="1"/>
    <xf numFmtId="178" fontId="10" fillId="0" borderId="25" xfId="982" applyNumberFormat="1" applyFont="1" applyBorder="1" applyProtection="1"/>
    <xf numFmtId="0" fontId="0" fillId="0" borderId="26" xfId="0" quotePrefix="1" applyBorder="1"/>
    <xf numFmtId="0" fontId="0" fillId="0" borderId="26" xfId="0" applyBorder="1"/>
    <xf numFmtId="178" fontId="10" fillId="0" borderId="11" xfId="982" applyNumberFormat="1" applyFont="1" applyBorder="1" applyProtection="1"/>
    <xf numFmtId="0" fontId="0" fillId="0" borderId="12" xfId="0" applyBorder="1"/>
    <xf numFmtId="0" fontId="2" fillId="0" borderId="2" xfId="0" applyFont="1" applyBorder="1" applyAlignment="1">
      <alignment horizontal="center"/>
    </xf>
    <xf numFmtId="0" fontId="0" fillId="0" borderId="2" xfId="0" applyBorder="1"/>
    <xf numFmtId="0" fontId="0" fillId="0" borderId="28" xfId="0" applyBorder="1"/>
    <xf numFmtId="0" fontId="0" fillId="0" borderId="5" xfId="0" applyBorder="1"/>
    <xf numFmtId="0" fontId="0" fillId="0" borderId="6" xfId="0" applyBorder="1"/>
    <xf numFmtId="0" fontId="38" fillId="0" borderId="0" xfId="0" applyFont="1" applyFill="1" applyBorder="1" applyAlignment="1">
      <alignment horizontal="center" vertical="center" wrapText="1"/>
    </xf>
    <xf numFmtId="0" fontId="2" fillId="0" borderId="28" xfId="0" applyFont="1" applyBorder="1" applyAlignment="1">
      <alignment horizontal="center"/>
    </xf>
    <xf numFmtId="0" fontId="2" fillId="0" borderId="28" xfId="0" quotePrefix="1" applyFont="1" applyBorder="1" applyAlignment="1">
      <alignment horizontal="center"/>
    </xf>
    <xf numFmtId="171" fontId="4" fillId="0" borderId="0" xfId="0" applyNumberFormat="1" applyFont="1" applyBorder="1" applyAlignment="1">
      <alignment horizontal="center"/>
    </xf>
    <xf numFmtId="0" fontId="42" fillId="0" borderId="0" xfId="10" applyFont="1" applyFill="1" applyBorder="1" applyAlignment="1">
      <alignment horizontal="left"/>
    </xf>
    <xf numFmtId="0" fontId="41" fillId="0" borderId="0" xfId="10" applyFont="1" applyFill="1" applyBorder="1" applyAlignment="1">
      <alignment horizontal="center" vertical="center" wrapText="1"/>
    </xf>
    <xf numFmtId="0" fontId="14" fillId="0" borderId="0" xfId="10" applyFont="1" applyFill="1" applyBorder="1" applyAlignment="1">
      <alignment horizontal="left"/>
    </xf>
    <xf numFmtId="9" fontId="14" fillId="0" borderId="0" xfId="10" applyNumberFormat="1" applyFont="1" applyFill="1" applyBorder="1" applyAlignment="1">
      <alignment horizontal="right"/>
    </xf>
    <xf numFmtId="0" fontId="3" fillId="0" borderId="34" xfId="0" applyFont="1" applyBorder="1" applyAlignment="1">
      <alignment horizontal="center" vertical="center" wrapText="1"/>
    </xf>
    <xf numFmtId="171" fontId="3" fillId="0" borderId="34" xfId="0" applyNumberFormat="1" applyFont="1" applyBorder="1" applyAlignment="1">
      <alignment horizontal="center" vertical="center" wrapText="1"/>
    </xf>
    <xf numFmtId="178" fontId="2" fillId="0" borderId="2" xfId="982" applyNumberFormat="1" applyFont="1" applyBorder="1" applyAlignment="1">
      <alignment horizontal="center"/>
    </xf>
    <xf numFmtId="171" fontId="38" fillId="0" borderId="33" xfId="0" applyNumberFormat="1" applyFont="1" applyFill="1" applyBorder="1" applyAlignment="1">
      <alignment horizontal="center" vertical="center" wrapText="1"/>
    </xf>
    <xf numFmtId="171" fontId="3" fillId="0" borderId="0" xfId="0" applyNumberFormat="1" applyFont="1" applyBorder="1" applyAlignment="1">
      <alignment horizontal="center"/>
    </xf>
    <xf numFmtId="0" fontId="14" fillId="0" borderId="36" xfId="10" applyFont="1" applyFill="1" applyBorder="1" applyAlignment="1">
      <alignment horizontal="left"/>
    </xf>
    <xf numFmtId="9" fontId="14" fillId="0" borderId="36" xfId="10" applyNumberFormat="1" applyFont="1" applyFill="1" applyBorder="1" applyAlignment="1">
      <alignment horizontal="right"/>
    </xf>
    <xf numFmtId="171" fontId="14" fillId="0" borderId="36" xfId="10" applyNumberFormat="1" applyFont="1" applyFill="1" applyBorder="1" applyAlignment="1">
      <alignment horizontal="center" vertical="center"/>
    </xf>
    <xf numFmtId="0" fontId="38" fillId="0" borderId="0" xfId="0" applyFont="1" applyFill="1" applyBorder="1" applyAlignment="1">
      <alignment horizontal="left" vertical="center"/>
    </xf>
    <xf numFmtId="0" fontId="60" fillId="0" borderId="0" xfId="0" applyFont="1" applyFill="1" applyBorder="1" applyAlignment="1">
      <alignment horizontal="center" vertical="center" shrinkToFit="1"/>
    </xf>
    <xf numFmtId="0" fontId="54" fillId="23" borderId="0" xfId="0" applyFont="1" applyFill="1" applyBorder="1" applyAlignment="1">
      <alignment vertical="center"/>
    </xf>
    <xf numFmtId="0" fontId="54" fillId="23" borderId="0" xfId="0" applyFont="1" applyFill="1" applyBorder="1"/>
    <xf numFmtId="0" fontId="3" fillId="0" borderId="30" xfId="0" applyFont="1" applyBorder="1" applyAlignment="1">
      <alignment horizontal="left" vertical="center" wrapText="1"/>
    </xf>
    <xf numFmtId="0" fontId="38" fillId="0" borderId="29" xfId="0" applyFont="1" applyFill="1" applyBorder="1" applyAlignment="1">
      <alignment horizontal="center"/>
    </xf>
    <xf numFmtId="171" fontId="38" fillId="0" borderId="0" xfId="0" applyNumberFormat="1" applyFont="1" applyFill="1" applyBorder="1" applyAlignment="1">
      <alignment horizontal="center" vertical="center" wrapText="1"/>
    </xf>
    <xf numFmtId="0" fontId="41" fillId="0" borderId="0" xfId="10" applyFont="1" applyFill="1" applyBorder="1" applyAlignment="1">
      <alignment horizontal="center" vertical="center" shrinkToFit="1"/>
    </xf>
    <xf numFmtId="0" fontId="54" fillId="0" borderId="0" xfId="0" applyFont="1" applyFill="1" applyBorder="1"/>
    <xf numFmtId="0" fontId="54" fillId="0" borderId="0" xfId="0" applyFont="1" applyFill="1" applyBorder="1" applyAlignment="1">
      <alignment horizontal="center"/>
    </xf>
    <xf numFmtId="0" fontId="3" fillId="0" borderId="41" xfId="0" applyFont="1" applyBorder="1" applyAlignment="1">
      <alignment vertical="center" wrapText="1"/>
    </xf>
    <xf numFmtId="0" fontId="38" fillId="0" borderId="29" xfId="10" applyFont="1" applyFill="1" applyBorder="1" applyAlignment="1">
      <alignment horizontal="center" vertical="center" wrapText="1"/>
    </xf>
    <xf numFmtId="0" fontId="38" fillId="0" borderId="29" xfId="0" applyFont="1" applyFill="1" applyBorder="1" applyAlignment="1">
      <alignment vertical="center" wrapText="1"/>
    </xf>
    <xf numFmtId="171" fontId="3" fillId="0" borderId="38" xfId="0" applyNumberFormat="1" applyFont="1" applyBorder="1" applyAlignment="1">
      <alignment horizontal="center" vertical="center" wrapText="1"/>
    </xf>
    <xf numFmtId="0" fontId="14" fillId="0" borderId="36" xfId="10" applyFont="1" applyFill="1" applyBorder="1" applyAlignment="1">
      <alignment horizontal="right"/>
    </xf>
    <xf numFmtId="0" fontId="54" fillId="21" borderId="0" xfId="0" applyFont="1" applyFill="1" applyBorder="1" applyAlignment="1">
      <alignment vertical="center"/>
    </xf>
    <xf numFmtId="0" fontId="54" fillId="21" borderId="0" xfId="0" applyFont="1" applyFill="1" applyBorder="1"/>
    <xf numFmtId="171" fontId="54" fillId="21" borderId="0" xfId="0" applyNumberFormat="1" applyFont="1" applyFill="1" applyBorder="1"/>
    <xf numFmtId="171" fontId="3" fillId="0" borderId="17" xfId="0" applyNumberFormat="1" applyFont="1" applyBorder="1" applyAlignment="1">
      <alignment horizontal="center" vertical="center"/>
    </xf>
    <xf numFmtId="171" fontId="3" fillId="0" borderId="17" xfId="0" applyNumberFormat="1" applyFont="1" applyBorder="1" applyAlignment="1">
      <alignment horizontal="center" vertical="center" wrapText="1"/>
    </xf>
    <xf numFmtId="0" fontId="33" fillId="0" borderId="44" xfId="0" applyFont="1" applyBorder="1" applyAlignment="1">
      <alignment horizontal="left" vertical="center" wrapText="1"/>
    </xf>
    <xf numFmtId="0" fontId="4" fillId="0" borderId="45" xfId="0" applyFont="1" applyBorder="1" applyAlignment="1">
      <alignment vertical="center" wrapText="1"/>
    </xf>
    <xf numFmtId="0" fontId="3" fillId="0" borderId="45" xfId="0" applyFont="1" applyBorder="1" applyAlignment="1">
      <alignment horizontal="center" vertical="center" wrapText="1"/>
    </xf>
    <xf numFmtId="0" fontId="3" fillId="0" borderId="45" xfId="0" applyFont="1" applyFill="1" applyBorder="1" applyAlignment="1">
      <alignment horizontal="center" vertical="center" wrapText="1"/>
    </xf>
    <xf numFmtId="0" fontId="4" fillId="0" borderId="45" xfId="0" applyFont="1" applyBorder="1" applyAlignment="1">
      <alignment horizontal="center" vertical="center" wrapText="1"/>
    </xf>
    <xf numFmtId="0" fontId="41" fillId="0" borderId="45" xfId="0" applyFont="1" applyFill="1" applyBorder="1" applyAlignment="1">
      <alignment horizontal="center" vertical="center" wrapText="1"/>
    </xf>
    <xf numFmtId="0" fontId="3" fillId="0" borderId="48" xfId="0" applyFont="1" applyBorder="1" applyAlignment="1">
      <alignment horizontal="center" vertical="center" wrapText="1"/>
    </xf>
    <xf numFmtId="0" fontId="38" fillId="0" borderId="48" xfId="0" applyFont="1" applyFill="1" applyBorder="1" applyAlignment="1">
      <alignment horizontal="center" vertical="center" wrapText="1"/>
    </xf>
    <xf numFmtId="0" fontId="59" fillId="0" borderId="49" xfId="0" applyFont="1" applyBorder="1" applyAlignment="1">
      <alignment horizontal="center" vertical="center" wrapText="1"/>
    </xf>
    <xf numFmtId="171" fontId="3" fillId="0" borderId="51" xfId="0" applyNumberFormat="1" applyFont="1" applyBorder="1" applyAlignment="1">
      <alignment horizontal="center" vertical="center" wrapText="1"/>
    </xf>
    <xf numFmtId="171" fontId="3" fillId="0" borderId="52" xfId="0" applyNumberFormat="1" applyFont="1" applyBorder="1" applyAlignment="1">
      <alignment horizontal="center" vertical="center" wrapText="1"/>
    </xf>
    <xf numFmtId="0" fontId="4" fillId="0" borderId="53" xfId="0" applyFont="1" applyBorder="1" applyAlignment="1">
      <alignment horizontal="center" vertical="center"/>
    </xf>
    <xf numFmtId="0" fontId="3" fillId="0" borderId="54" xfId="0" applyFont="1" applyBorder="1" applyAlignment="1">
      <alignment vertical="center" wrapText="1"/>
    </xf>
    <xf numFmtId="0" fontId="57" fillId="0" borderId="52" xfId="10" applyFont="1" applyFill="1" applyBorder="1" applyAlignment="1">
      <alignment horizontal="center" vertical="center" wrapText="1"/>
    </xf>
    <xf numFmtId="0" fontId="38" fillId="0" borderId="52" xfId="0" applyFont="1" applyFill="1" applyBorder="1" applyAlignment="1">
      <alignment horizontal="center" vertical="center" wrapText="1"/>
    </xf>
    <xf numFmtId="171" fontId="3" fillId="0" borderId="56" xfId="0" applyNumberFormat="1" applyFont="1" applyFill="1" applyBorder="1" applyAlignment="1">
      <alignment horizontal="center" vertical="center" wrapText="1"/>
    </xf>
    <xf numFmtId="0" fontId="61" fillId="0" borderId="43" xfId="0" applyFont="1" applyBorder="1" applyAlignment="1">
      <alignment horizontal="center" vertical="center" wrapText="1"/>
    </xf>
    <xf numFmtId="0" fontId="3" fillId="0" borderId="57" xfId="0" applyFont="1" applyBorder="1" applyAlignment="1">
      <alignment horizontal="left" vertical="center" wrapText="1"/>
    </xf>
    <xf numFmtId="171" fontId="38" fillId="0" borderId="17" xfId="0" applyNumberFormat="1" applyFont="1" applyFill="1" applyBorder="1" applyAlignment="1">
      <alignment horizontal="center"/>
    </xf>
    <xf numFmtId="0" fontId="38" fillId="0" borderId="0" xfId="0" quotePrefix="1" applyFont="1" applyFill="1" applyBorder="1" applyAlignment="1">
      <alignment horizontal="center"/>
    </xf>
    <xf numFmtId="171" fontId="3" fillId="0" borderId="0" xfId="0" applyNumberFormat="1" applyFont="1" applyFill="1" applyBorder="1" applyAlignment="1">
      <alignment horizontal="center" vertical="center"/>
    </xf>
    <xf numFmtId="171" fontId="38" fillId="0" borderId="17" xfId="0" applyNumberFormat="1" applyFont="1" applyFill="1" applyBorder="1" applyAlignment="1">
      <alignment horizontal="center" vertical="center"/>
    </xf>
    <xf numFmtId="0" fontId="63" fillId="23" borderId="9" xfId="0" applyFont="1" applyFill="1" applyBorder="1"/>
    <xf numFmtId="0" fontId="62" fillId="23" borderId="11" xfId="0" applyFont="1" applyFill="1" applyBorder="1"/>
    <xf numFmtId="0" fontId="0" fillId="0" borderId="11" xfId="0" applyBorder="1"/>
    <xf numFmtId="0" fontId="0" fillId="0" borderId="13" xfId="0" applyBorder="1"/>
    <xf numFmtId="0" fontId="0" fillId="0" borderId="0" xfId="0" applyBorder="1"/>
    <xf numFmtId="0" fontId="0" fillId="0" borderId="3" xfId="0" applyBorder="1"/>
    <xf numFmtId="0" fontId="39" fillId="23" borderId="2" xfId="0" applyFont="1" applyFill="1" applyBorder="1" applyAlignment="1">
      <alignment vertical="top" wrapText="1"/>
    </xf>
    <xf numFmtId="0" fontId="10" fillId="0" borderId="2" xfId="0" applyFont="1" applyBorder="1" applyAlignment="1">
      <alignment vertical="top" wrapText="1"/>
    </xf>
    <xf numFmtId="0" fontId="10" fillId="0" borderId="2" xfId="0" applyFont="1" applyBorder="1" applyAlignment="1">
      <alignment horizontal="center" vertical="top" wrapText="1"/>
    </xf>
    <xf numFmtId="0" fontId="10" fillId="25" borderId="2" xfId="0" applyFont="1" applyFill="1" applyBorder="1" applyAlignment="1">
      <alignment horizontal="center" vertical="top" wrapText="1"/>
    </xf>
    <xf numFmtId="0" fontId="25" fillId="0" borderId="2" xfId="0" applyFont="1" applyBorder="1" applyAlignment="1">
      <alignment vertical="top" wrapText="1"/>
    </xf>
    <xf numFmtId="0" fontId="25" fillId="0" borderId="2" xfId="0" applyFont="1" applyBorder="1" applyAlignment="1">
      <alignment horizontal="center" vertical="top" wrapText="1"/>
    </xf>
    <xf numFmtId="0" fontId="25" fillId="25" borderId="2" xfId="0" applyFont="1" applyFill="1" applyBorder="1" applyAlignment="1">
      <alignment horizontal="center" vertical="top" wrapText="1"/>
    </xf>
    <xf numFmtId="0" fontId="64" fillId="0" borderId="0" xfId="0" applyFont="1" applyBorder="1" applyAlignment="1"/>
    <xf numFmtId="0" fontId="66" fillId="0" borderId="0" xfId="0" applyFont="1"/>
    <xf numFmtId="171" fontId="5" fillId="0" borderId="0" xfId="0" applyNumberFormat="1" applyFont="1" applyFill="1" applyBorder="1" applyAlignment="1">
      <alignment horizontal="center"/>
    </xf>
    <xf numFmtId="0" fontId="44" fillId="0" borderId="60" xfId="0" applyFont="1" applyFill="1" applyBorder="1" applyAlignment="1">
      <alignment wrapText="1"/>
    </xf>
    <xf numFmtId="0" fontId="34" fillId="0" borderId="0" xfId="0" applyFont="1" applyBorder="1" applyAlignment="1">
      <alignment vertical="center"/>
    </xf>
    <xf numFmtId="0" fontId="45" fillId="0" borderId="4" xfId="0" applyFont="1" applyBorder="1" applyAlignment="1">
      <alignment wrapText="1"/>
    </xf>
    <xf numFmtId="171" fontId="38" fillId="0" borderId="17" xfId="0" applyNumberFormat="1" applyFont="1" applyFill="1" applyBorder="1" applyAlignment="1">
      <alignment horizontal="center" vertical="center" wrapText="1"/>
    </xf>
    <xf numFmtId="0" fontId="71" fillId="24" borderId="0" xfId="0" applyFont="1" applyFill="1" applyBorder="1"/>
    <xf numFmtId="0" fontId="71" fillId="0" borderId="0" xfId="0" applyFont="1" applyFill="1" applyBorder="1"/>
    <xf numFmtId="0" fontId="14" fillId="0" borderId="0" xfId="0" applyFont="1" applyBorder="1"/>
    <xf numFmtId="0" fontId="28" fillId="0" borderId="0" xfId="0" applyFont="1" applyFill="1" applyBorder="1"/>
    <xf numFmtId="0" fontId="28" fillId="0" borderId="0" xfId="0" applyFont="1" applyFill="1" applyBorder="1" applyAlignment="1">
      <alignment vertical="center"/>
    </xf>
    <xf numFmtId="0" fontId="54" fillId="0" borderId="0" xfId="0" applyFont="1" applyFill="1" applyBorder="1" applyAlignment="1">
      <alignment vertical="center" wrapText="1"/>
    </xf>
    <xf numFmtId="0" fontId="28" fillId="0" borderId="0" xfId="10" applyFont="1" applyFill="1" applyBorder="1" applyAlignment="1">
      <alignment horizontal="left"/>
    </xf>
    <xf numFmtId="0" fontId="54" fillId="0" borderId="0" xfId="0" applyFont="1" applyFill="1" applyBorder="1" applyAlignment="1">
      <alignment vertical="center"/>
    </xf>
    <xf numFmtId="0" fontId="73" fillId="0" borderId="0" xfId="0" applyFont="1" applyFill="1" applyBorder="1" applyAlignment="1">
      <alignment vertical="center"/>
    </xf>
    <xf numFmtId="0" fontId="28" fillId="0" borderId="45" xfId="0" applyFont="1" applyFill="1" applyBorder="1" applyAlignment="1">
      <alignment horizontal="center" vertical="center" wrapText="1"/>
    </xf>
    <xf numFmtId="0" fontId="74" fillId="0" borderId="45" xfId="0" applyFont="1" applyFill="1" applyBorder="1" applyAlignment="1">
      <alignment horizontal="center" vertical="center" wrapText="1"/>
    </xf>
    <xf numFmtId="0" fontId="38" fillId="0" borderId="65" xfId="0" applyFont="1" applyFill="1" applyBorder="1" applyAlignment="1">
      <alignment horizontal="center" vertical="center" wrapText="1"/>
    </xf>
    <xf numFmtId="0" fontId="29" fillId="0" borderId="16" xfId="0" applyFont="1" applyBorder="1" applyAlignment="1">
      <alignment horizontal="center" wrapText="1"/>
    </xf>
    <xf numFmtId="0" fontId="44" fillId="0" borderId="67" xfId="0" applyFont="1" applyFill="1" applyBorder="1" applyAlignment="1">
      <alignment wrapText="1"/>
    </xf>
    <xf numFmtId="0" fontId="29" fillId="0" borderId="30" xfId="0" applyFont="1" applyBorder="1" applyAlignment="1">
      <alignment horizontal="center" vertical="center" wrapText="1"/>
    </xf>
    <xf numFmtId="0" fontId="29" fillId="0" borderId="66" xfId="0" applyFont="1" applyBorder="1" applyAlignment="1">
      <alignment horizontal="center" vertical="center" wrapText="1"/>
    </xf>
    <xf numFmtId="0" fontId="3" fillId="0" borderId="16" xfId="0" applyFont="1" applyBorder="1" applyAlignment="1">
      <alignment vertical="center" wrapText="1"/>
    </xf>
    <xf numFmtId="0" fontId="54" fillId="23" borderId="0" xfId="0" applyFont="1" applyFill="1" applyBorder="1" applyAlignment="1">
      <alignment horizontal="center" vertical="center"/>
    </xf>
    <xf numFmtId="0" fontId="44" fillId="0" borderId="0" xfId="0" applyFont="1" applyFill="1" applyBorder="1" applyAlignment="1">
      <alignment vertical="center"/>
    </xf>
    <xf numFmtId="0" fontId="44" fillId="0" borderId="0" xfId="0" applyFont="1" applyBorder="1" applyAlignment="1">
      <alignment horizontal="center" vertical="center" wrapText="1"/>
    </xf>
    <xf numFmtId="0" fontId="44" fillId="0" borderId="0" xfId="10" applyFont="1" applyFill="1" applyBorder="1" applyAlignment="1">
      <alignment horizontal="center" vertical="center" wrapText="1"/>
    </xf>
    <xf numFmtId="0" fontId="44" fillId="0" borderId="0" xfId="0" applyFont="1" applyFill="1" applyBorder="1" applyAlignment="1">
      <alignment horizontal="center" vertical="center"/>
    </xf>
    <xf numFmtId="171" fontId="3" fillId="0" borderId="69" xfId="0" applyNumberFormat="1" applyFont="1" applyFill="1" applyBorder="1" applyAlignment="1">
      <alignment horizontal="center" vertical="center" wrapText="1"/>
    </xf>
    <xf numFmtId="0" fontId="28" fillId="0" borderId="0" xfId="0" applyFont="1" applyFill="1" applyBorder="1" applyAlignment="1">
      <alignment horizontal="center" vertical="center"/>
    </xf>
    <xf numFmtId="0" fontId="4" fillId="0" borderId="73" xfId="0" applyFont="1" applyFill="1" applyBorder="1" applyAlignment="1">
      <alignment horizontal="center" vertical="center"/>
    </xf>
    <xf numFmtId="0" fontId="38" fillId="0" borderId="45" xfId="0" applyFont="1" applyFill="1" applyBorder="1" applyAlignment="1">
      <alignment horizontal="center" vertical="center"/>
    </xf>
    <xf numFmtId="0" fontId="3" fillId="0" borderId="52" xfId="0" applyFont="1" applyBorder="1" applyAlignment="1">
      <alignment horizontal="center" vertical="center" wrapText="1"/>
    </xf>
    <xf numFmtId="0" fontId="38" fillId="0" borderId="29" xfId="0" quotePrefix="1" applyFont="1" applyFill="1" applyBorder="1" applyAlignment="1">
      <alignment horizontal="left" vertical="center"/>
    </xf>
    <xf numFmtId="0" fontId="38" fillId="0" borderId="17" xfId="0" quotePrefix="1" applyFont="1" applyFill="1" applyBorder="1" applyAlignment="1">
      <alignment horizontal="left" vertical="center"/>
    </xf>
    <xf numFmtId="0" fontId="58" fillId="0" borderId="0" xfId="10" applyFont="1" applyFill="1" applyBorder="1" applyAlignment="1">
      <alignment horizontal="center" vertical="center" wrapText="1"/>
    </xf>
    <xf numFmtId="0" fontId="57" fillId="0" borderId="0" xfId="0" applyNumberFormat="1" applyFont="1" applyFill="1" applyBorder="1" applyAlignment="1">
      <alignment vertical="center"/>
    </xf>
    <xf numFmtId="0" fontId="57" fillId="0" borderId="0" xfId="0" applyFont="1" applyFill="1" applyBorder="1" applyAlignment="1">
      <alignment vertical="center"/>
    </xf>
    <xf numFmtId="0" fontId="45" fillId="0" borderId="72" xfId="0" applyFont="1" applyFill="1" applyBorder="1" applyAlignment="1">
      <alignment horizontal="center" vertical="center"/>
    </xf>
    <xf numFmtId="0" fontId="45" fillId="0" borderId="61" xfId="0" applyFont="1" applyFill="1" applyBorder="1" applyAlignment="1">
      <alignment horizontal="center" vertical="center"/>
    </xf>
    <xf numFmtId="0" fontId="41" fillId="0" borderId="0" xfId="0" applyFont="1" applyFill="1" applyBorder="1" applyAlignment="1">
      <alignment horizontal="right" wrapText="1"/>
    </xf>
    <xf numFmtId="0" fontId="38" fillId="0" borderId="9" xfId="0" applyFont="1" applyFill="1" applyBorder="1" applyAlignment="1">
      <alignment horizontal="center" vertical="center" wrapText="1"/>
    </xf>
    <xf numFmtId="0" fontId="38" fillId="0" borderId="25" xfId="0" applyFont="1" applyFill="1" applyBorder="1" applyAlignment="1">
      <alignment horizontal="center" vertical="center" wrapText="1"/>
    </xf>
    <xf numFmtId="0" fontId="38" fillId="0" borderId="11" xfId="0" applyFont="1" applyFill="1" applyBorder="1" applyAlignment="1">
      <alignment horizontal="center" vertical="center" wrapText="1"/>
    </xf>
    <xf numFmtId="0" fontId="38" fillId="0" borderId="74" xfId="0" applyFont="1" applyFill="1" applyBorder="1" applyAlignment="1">
      <alignment horizontal="center" vertical="center" wrapText="1"/>
    </xf>
    <xf numFmtId="0" fontId="38" fillId="0" borderId="27" xfId="0" applyFont="1" applyFill="1" applyBorder="1" applyAlignment="1">
      <alignment horizontal="center" vertical="center" wrapText="1"/>
    </xf>
    <xf numFmtId="0" fontId="38" fillId="0" borderId="28" xfId="0" applyFont="1" applyFill="1" applyBorder="1" applyAlignment="1">
      <alignment horizontal="center" vertical="center" wrapText="1"/>
    </xf>
    <xf numFmtId="0" fontId="41" fillId="19" borderId="0" xfId="0" applyFont="1" applyFill="1" applyBorder="1" applyAlignment="1">
      <alignment vertical="center" wrapText="1"/>
    </xf>
    <xf numFmtId="171" fontId="4" fillId="0" borderId="0" xfId="0" applyNumberFormat="1" applyFont="1" applyBorder="1" applyAlignment="1">
      <alignment horizontal="left"/>
    </xf>
    <xf numFmtId="171" fontId="80" fillId="0" borderId="0" xfId="0" applyNumberFormat="1" applyFont="1" applyBorder="1" applyAlignment="1">
      <alignment horizontal="center"/>
    </xf>
    <xf numFmtId="0" fontId="4" fillId="0" borderId="0" xfId="0" applyFont="1" applyBorder="1" applyAlignment="1">
      <alignment horizontal="center" vertical="center"/>
    </xf>
    <xf numFmtId="0" fontId="79" fillId="0" borderId="0" xfId="0" applyFont="1" applyBorder="1" applyAlignment="1">
      <alignment horizontal="center" wrapText="1"/>
    </xf>
    <xf numFmtId="0" fontId="38" fillId="0" borderId="0" xfId="0" quotePrefix="1" applyFont="1" applyFill="1" applyBorder="1" applyAlignment="1">
      <alignment horizontal="left" vertical="center"/>
    </xf>
    <xf numFmtId="0" fontId="38" fillId="0" borderId="0" xfId="0" applyFont="1" applyFill="1" applyBorder="1" applyAlignment="1">
      <alignment horizontal="center" wrapText="1"/>
    </xf>
    <xf numFmtId="171" fontId="10" fillId="0" borderId="13" xfId="16" applyNumberFormat="1" applyFont="1" applyFill="1" applyBorder="1" applyProtection="1"/>
    <xf numFmtId="171" fontId="10" fillId="0" borderId="0" xfId="16" applyNumberFormat="1" applyFont="1" applyFill="1" applyBorder="1" applyProtection="1"/>
    <xf numFmtId="171" fontId="10" fillId="0" borderId="3" xfId="16" applyNumberFormat="1" applyFont="1" applyFill="1" applyBorder="1" applyProtection="1"/>
    <xf numFmtId="165" fontId="10" fillId="0" borderId="13" xfId="0" applyNumberFormat="1" applyFont="1" applyBorder="1" applyProtection="1"/>
    <xf numFmtId="0" fontId="0" fillId="0" borderId="7" xfId="0" applyBorder="1"/>
    <xf numFmtId="171" fontId="39" fillId="27" borderId="5" xfId="16" applyNumberFormat="1" applyFont="1" applyFill="1" applyBorder="1" applyProtection="1"/>
    <xf numFmtId="0" fontId="45" fillId="0" borderId="4" xfId="0" applyFont="1" applyBorder="1" applyAlignment="1">
      <alignment vertical="center" wrapText="1"/>
    </xf>
    <xf numFmtId="171" fontId="45" fillId="0" borderId="0" xfId="0" applyNumberFormat="1" applyFont="1" applyBorder="1" applyAlignment="1">
      <alignment horizontal="center"/>
    </xf>
    <xf numFmtId="171" fontId="53" fillId="0" borderId="0" xfId="0" applyNumberFormat="1" applyFont="1" applyBorder="1" applyAlignment="1">
      <alignment horizontal="center"/>
    </xf>
    <xf numFmtId="0" fontId="38" fillId="0" borderId="76" xfId="0" applyFont="1" applyFill="1" applyBorder="1"/>
    <xf numFmtId="0" fontId="4" fillId="0" borderId="0" xfId="0" applyFont="1" applyFill="1" applyBorder="1" applyAlignment="1">
      <alignment vertical="center" wrapText="1"/>
    </xf>
    <xf numFmtId="0" fontId="57" fillId="0" borderId="48" xfId="10" applyFont="1" applyFill="1" applyBorder="1" applyAlignment="1">
      <alignment horizontal="center" vertical="center" wrapText="1" shrinkToFit="1"/>
    </xf>
    <xf numFmtId="0" fontId="3" fillId="0" borderId="0" xfId="0" applyFont="1" applyFill="1" applyBorder="1" applyAlignment="1">
      <alignment vertical="center" wrapText="1"/>
    </xf>
    <xf numFmtId="171" fontId="0" fillId="0" borderId="2" xfId="0" applyNumberFormat="1" applyBorder="1"/>
    <xf numFmtId="0" fontId="0" fillId="0" borderId="2" xfId="0" quotePrefix="1" applyBorder="1" applyAlignment="1">
      <alignment horizontal="right"/>
    </xf>
    <xf numFmtId="178" fontId="0" fillId="0" borderId="2" xfId="0" applyNumberFormat="1" applyBorder="1"/>
    <xf numFmtId="0" fontId="0" fillId="0" borderId="74" xfId="0" applyBorder="1" applyAlignment="1">
      <alignment horizontal="center" vertical="center"/>
    </xf>
    <xf numFmtId="0" fontId="0" fillId="0" borderId="9" xfId="0" applyBorder="1" applyAlignment="1">
      <alignment horizontal="center" vertical="center"/>
    </xf>
    <xf numFmtId="178" fontId="0" fillId="15" borderId="26" xfId="982" applyNumberFormat="1" applyFont="1" applyFill="1" applyBorder="1" applyAlignment="1">
      <alignment horizontal="center" vertical="center"/>
    </xf>
    <xf numFmtId="178" fontId="0" fillId="0" borderId="0" xfId="0" applyNumberFormat="1"/>
    <xf numFmtId="0" fontId="41" fillId="0" borderId="0" xfId="0" applyFont="1" applyFill="1" applyBorder="1" applyAlignment="1">
      <alignment horizontal="center" wrapText="1"/>
    </xf>
    <xf numFmtId="171" fontId="41" fillId="0" borderId="0" xfId="0" applyNumberFormat="1" applyFont="1" applyFill="1" applyBorder="1" applyAlignment="1">
      <alignment vertical="center"/>
    </xf>
    <xf numFmtId="0" fontId="81" fillId="0" borderId="45" xfId="0" applyFont="1" applyFill="1" applyBorder="1" applyAlignment="1">
      <alignment horizontal="center" vertical="center" wrapText="1"/>
    </xf>
    <xf numFmtId="178" fontId="10" fillId="0" borderId="0" xfId="982" applyNumberFormat="1" applyFont="1" applyFill="1" applyBorder="1" applyProtection="1"/>
    <xf numFmtId="178" fontId="0" fillId="0" borderId="0" xfId="0" applyNumberFormat="1" applyFill="1"/>
    <xf numFmtId="0" fontId="0" fillId="0" borderId="0" xfId="0" applyFill="1"/>
    <xf numFmtId="0" fontId="63" fillId="0" borderId="13" xfId="0" applyFont="1" applyFill="1" applyBorder="1" applyAlignment="1">
      <alignment horizontal="center"/>
    </xf>
    <xf numFmtId="0" fontId="63" fillId="0" borderId="10" xfId="0" applyFont="1" applyFill="1" applyBorder="1"/>
    <xf numFmtId="0" fontId="3" fillId="0" borderId="34" xfId="0" applyNumberFormat="1" applyFont="1" applyBorder="1" applyAlignment="1">
      <alignment horizontal="center" vertical="center" wrapText="1"/>
    </xf>
    <xf numFmtId="168" fontId="0" fillId="0" borderId="0" xfId="0" applyNumberFormat="1"/>
    <xf numFmtId="2" fontId="3" fillId="0" borderId="69" xfId="0" applyNumberFormat="1" applyFont="1" applyFill="1" applyBorder="1" applyAlignment="1">
      <alignment horizontal="center" vertical="center" wrapText="1"/>
    </xf>
    <xf numFmtId="171" fontId="3" fillId="0" borderId="52" xfId="0" applyNumberFormat="1" applyFont="1" applyFill="1" applyBorder="1" applyAlignment="1">
      <alignment horizontal="center" vertical="center" wrapText="1"/>
    </xf>
    <xf numFmtId="2" fontId="38" fillId="0" borderId="86" xfId="0" applyNumberFormat="1" applyFont="1" applyFill="1" applyBorder="1" applyAlignment="1">
      <alignment horizontal="center" vertical="center" wrapText="1"/>
    </xf>
    <xf numFmtId="165" fontId="8" fillId="0" borderId="2" xfId="0" applyNumberFormat="1" applyFont="1" applyFill="1" applyBorder="1" applyProtection="1"/>
    <xf numFmtId="178" fontId="0" fillId="15" borderId="27" xfId="982" applyNumberFormat="1" applyFont="1" applyFill="1" applyBorder="1" applyAlignment="1">
      <alignment horizontal="center" vertical="center"/>
    </xf>
    <xf numFmtId="178" fontId="0" fillId="15" borderId="28" xfId="982" applyNumberFormat="1" applyFont="1" applyFill="1" applyBorder="1" applyAlignment="1">
      <alignment horizontal="center" vertical="center"/>
    </xf>
    <xf numFmtId="176" fontId="3" fillId="0" borderId="56" xfId="0" applyNumberFormat="1" applyFont="1" applyFill="1" applyBorder="1" applyAlignment="1">
      <alignment horizontal="center" vertical="center" wrapText="1"/>
    </xf>
    <xf numFmtId="0" fontId="81" fillId="0" borderId="89" xfId="0" applyFont="1" applyFill="1" applyBorder="1" applyAlignment="1">
      <alignment horizontal="center" vertical="center" wrapText="1"/>
    </xf>
    <xf numFmtId="171" fontId="3" fillId="0" borderId="91" xfId="0" applyNumberFormat="1" applyFont="1" applyBorder="1" applyAlignment="1">
      <alignment horizontal="center" vertical="center" wrapText="1"/>
    </xf>
    <xf numFmtId="171" fontId="3" fillId="0" borderId="35" xfId="0" applyNumberFormat="1" applyFont="1" applyBorder="1" applyAlignment="1">
      <alignment horizontal="center" vertical="center" wrapText="1"/>
    </xf>
    <xf numFmtId="0" fontId="81" fillId="0" borderId="88" xfId="0" applyFont="1" applyFill="1" applyBorder="1" applyAlignment="1">
      <alignment horizontal="center" vertical="center" wrapText="1"/>
    </xf>
    <xf numFmtId="0" fontId="81" fillId="0" borderId="93" xfId="0" applyFont="1" applyFill="1" applyBorder="1" applyAlignment="1">
      <alignment horizontal="center" vertical="center" wrapText="1"/>
    </xf>
    <xf numFmtId="0" fontId="41" fillId="0" borderId="6" xfId="0" applyFont="1" applyFill="1" applyBorder="1" applyAlignment="1">
      <alignment horizontal="center" wrapText="1"/>
    </xf>
    <xf numFmtId="0" fontId="38" fillId="0" borderId="90" xfId="0" applyNumberFormat="1" applyFont="1" applyFill="1" applyBorder="1" applyAlignment="1">
      <alignment horizontal="center" vertical="center" wrapText="1"/>
    </xf>
    <xf numFmtId="171" fontId="28" fillId="0" borderId="0" xfId="0" applyNumberFormat="1" applyFont="1" applyFill="1" applyBorder="1" applyAlignment="1">
      <alignment horizontal="center" vertical="center"/>
    </xf>
    <xf numFmtId="179" fontId="38" fillId="0" borderId="90" xfId="0" applyNumberFormat="1" applyFont="1" applyFill="1" applyBorder="1" applyAlignment="1">
      <alignment horizontal="center" vertical="center" wrapText="1"/>
    </xf>
    <xf numFmtId="2" fontId="38" fillId="0" borderId="90" xfId="0" applyNumberFormat="1" applyFont="1" applyFill="1" applyBorder="1" applyAlignment="1">
      <alignment horizontal="center" vertical="center" wrapText="1"/>
    </xf>
    <xf numFmtId="176" fontId="38" fillId="0" borderId="90" xfId="0" applyNumberFormat="1" applyFont="1" applyFill="1" applyBorder="1" applyAlignment="1">
      <alignment horizontal="center" vertical="center" wrapText="1"/>
    </xf>
    <xf numFmtId="2" fontId="38" fillId="0" borderId="92" xfId="0" applyNumberFormat="1" applyFont="1" applyFill="1" applyBorder="1" applyAlignment="1">
      <alignment horizontal="center" vertical="center" wrapText="1"/>
    </xf>
    <xf numFmtId="176" fontId="38" fillId="0" borderId="92" xfId="0" applyNumberFormat="1" applyFont="1" applyFill="1" applyBorder="1" applyAlignment="1">
      <alignment horizontal="center" vertical="center" wrapText="1"/>
    </xf>
    <xf numFmtId="171" fontId="41" fillId="0" borderId="7" xfId="0" applyNumberFormat="1" applyFont="1" applyFill="1" applyBorder="1" applyAlignment="1">
      <alignment horizontal="center" wrapText="1"/>
    </xf>
    <xf numFmtId="171" fontId="41" fillId="0" borderId="5" xfId="0" applyNumberFormat="1" applyFont="1" applyFill="1" applyBorder="1" applyAlignment="1">
      <alignment horizontal="center" wrapText="1"/>
    </xf>
    <xf numFmtId="179" fontId="3" fillId="0" borderId="34" xfId="0" applyNumberFormat="1" applyFont="1" applyBorder="1" applyAlignment="1">
      <alignment horizontal="center" vertical="center" wrapText="1"/>
    </xf>
    <xf numFmtId="0" fontId="44" fillId="20" borderId="0" xfId="0" applyFont="1" applyFill="1" applyBorder="1" applyAlignment="1">
      <alignment vertical="center" wrapText="1"/>
    </xf>
    <xf numFmtId="2" fontId="41" fillId="0" borderId="0" xfId="0" applyNumberFormat="1" applyFont="1" applyFill="1" applyBorder="1" applyAlignment="1">
      <alignment vertical="center" wrapText="1"/>
    </xf>
    <xf numFmtId="0" fontId="54" fillId="0" borderId="0" xfId="10" applyFont="1" applyFill="1" applyBorder="1" applyAlignment="1">
      <alignment horizontal="center" vertical="center" wrapText="1"/>
    </xf>
    <xf numFmtId="0" fontId="28" fillId="0" borderId="0" xfId="10" applyFont="1" applyFill="1" applyBorder="1" applyAlignment="1">
      <alignment horizontal="center" vertical="center" wrapText="1"/>
    </xf>
    <xf numFmtId="171" fontId="28" fillId="0" borderId="0" xfId="0" applyNumberFormat="1" applyFont="1" applyFill="1" applyBorder="1" applyAlignment="1">
      <alignment horizontal="center"/>
    </xf>
    <xf numFmtId="171" fontId="28" fillId="0" borderId="0" xfId="0" applyNumberFormat="1" applyFont="1" applyFill="1" applyBorder="1" applyAlignment="1">
      <alignment horizontal="right"/>
    </xf>
    <xf numFmtId="168" fontId="84" fillId="0" borderId="0" xfId="982" applyFont="1" applyFill="1" applyBorder="1"/>
    <xf numFmtId="171" fontId="3" fillId="0" borderId="0" xfId="0" applyNumberFormat="1" applyFont="1" applyBorder="1" applyAlignment="1">
      <alignment horizontal="center"/>
    </xf>
    <xf numFmtId="0" fontId="4" fillId="0" borderId="47" xfId="0" applyFont="1" applyFill="1" applyBorder="1" applyAlignment="1">
      <alignment horizontal="center" vertical="center"/>
    </xf>
    <xf numFmtId="0" fontId="57" fillId="26" borderId="34" xfId="10" applyFont="1" applyFill="1" applyBorder="1" applyAlignment="1">
      <alignment horizontal="center" vertical="center" wrapText="1" shrinkToFit="1"/>
    </xf>
    <xf numFmtId="0" fontId="78" fillId="26" borderId="34" xfId="10" applyFont="1" applyFill="1" applyBorder="1" applyAlignment="1">
      <alignment horizontal="center" vertical="center" wrapText="1" shrinkToFit="1"/>
    </xf>
    <xf numFmtId="0" fontId="38" fillId="26" borderId="34" xfId="0" applyFont="1" applyFill="1" applyBorder="1" applyAlignment="1">
      <alignment horizontal="center" vertical="center" wrapText="1"/>
    </xf>
    <xf numFmtId="0" fontId="59" fillId="26" borderId="34" xfId="0" applyFont="1" applyFill="1" applyBorder="1" applyAlignment="1">
      <alignment horizontal="center" vertical="center" wrapText="1"/>
    </xf>
    <xf numFmtId="176" fontId="3" fillId="26" borderId="34" xfId="0" applyNumberFormat="1" applyFont="1" applyFill="1" applyBorder="1" applyAlignment="1">
      <alignment horizontal="center" vertical="center" wrapText="1"/>
    </xf>
    <xf numFmtId="171" fontId="38" fillId="26" borderId="17" xfId="0" applyNumberFormat="1" applyFont="1" applyFill="1" applyBorder="1" applyAlignment="1">
      <alignment horizontal="center" vertical="center" wrapText="1"/>
    </xf>
    <xf numFmtId="171" fontId="3" fillId="26" borderId="34" xfId="0" applyNumberFormat="1" applyFont="1" applyFill="1" applyBorder="1" applyAlignment="1">
      <alignment horizontal="center" vertical="center" wrapText="1"/>
    </xf>
    <xf numFmtId="171" fontId="38" fillId="26" borderId="40" xfId="0" applyNumberFormat="1" applyFont="1" applyFill="1" applyBorder="1" applyAlignment="1">
      <alignment horizontal="center" vertical="center" wrapText="1"/>
    </xf>
    <xf numFmtId="171" fontId="3" fillId="26" borderId="18" xfId="0" applyNumberFormat="1" applyFont="1" applyFill="1" applyBorder="1" applyAlignment="1">
      <alignment horizontal="center" vertical="center" wrapText="1"/>
    </xf>
    <xf numFmtId="171" fontId="38" fillId="26" borderId="24" xfId="0" applyNumberFormat="1" applyFont="1" applyFill="1" applyBorder="1" applyAlignment="1">
      <alignment horizontal="center" vertical="center" wrapText="1"/>
    </xf>
    <xf numFmtId="171" fontId="3" fillId="26" borderId="17" xfId="0" applyNumberFormat="1" applyFont="1" applyFill="1" applyBorder="1" applyAlignment="1">
      <alignment horizontal="center" vertical="center" wrapText="1"/>
    </xf>
    <xf numFmtId="0" fontId="3" fillId="26" borderId="17" xfId="0" applyFont="1" applyFill="1" applyBorder="1" applyAlignment="1">
      <alignment horizontal="center" vertical="center" wrapText="1"/>
    </xf>
    <xf numFmtId="0" fontId="38" fillId="26" borderId="90" xfId="0" applyNumberFormat="1" applyFont="1" applyFill="1" applyBorder="1" applyAlignment="1">
      <alignment horizontal="center" vertical="center" wrapText="1"/>
    </xf>
    <xf numFmtId="171" fontId="38" fillId="26" borderId="0" xfId="0" applyNumberFormat="1" applyFont="1" applyFill="1" applyBorder="1" applyAlignment="1">
      <alignment horizontal="center" vertical="center" wrapText="1"/>
    </xf>
    <xf numFmtId="171" fontId="3" fillId="26" borderId="91" xfId="0" applyNumberFormat="1" applyFont="1" applyFill="1" applyBorder="1" applyAlignment="1">
      <alignment horizontal="center" vertical="center" wrapText="1"/>
    </xf>
    <xf numFmtId="179" fontId="38" fillId="26" borderId="90" xfId="0" applyNumberFormat="1" applyFont="1" applyFill="1" applyBorder="1" applyAlignment="1">
      <alignment horizontal="center" vertical="center" wrapText="1"/>
    </xf>
    <xf numFmtId="2" fontId="38" fillId="26" borderId="90" xfId="0" applyNumberFormat="1" applyFont="1" applyFill="1" applyBorder="1" applyAlignment="1">
      <alignment horizontal="center" vertical="center" wrapText="1"/>
    </xf>
    <xf numFmtId="171" fontId="3" fillId="26" borderId="35" xfId="0" applyNumberFormat="1" applyFont="1" applyFill="1" applyBorder="1" applyAlignment="1">
      <alignment horizontal="center" vertical="center" wrapText="1"/>
    </xf>
    <xf numFmtId="176" fontId="38" fillId="26" borderId="90" xfId="0" applyNumberFormat="1" applyFont="1" applyFill="1" applyBorder="1" applyAlignment="1">
      <alignment horizontal="center" vertical="center" wrapText="1"/>
    </xf>
    <xf numFmtId="0" fontId="85" fillId="0" borderId="0" xfId="0" applyFont="1" applyBorder="1" applyAlignment="1">
      <alignment vertical="center"/>
    </xf>
    <xf numFmtId="0" fontId="86" fillId="0" borderId="71" xfId="0" applyFont="1" applyFill="1" applyBorder="1" applyAlignment="1">
      <alignment horizontal="center" vertical="center"/>
    </xf>
    <xf numFmtId="0" fontId="85" fillId="0" borderId="70" xfId="0" applyFont="1" applyFill="1" applyBorder="1" applyAlignment="1">
      <alignment horizontal="center" vertical="center"/>
    </xf>
    <xf numFmtId="0" fontId="85" fillId="0" borderId="39" xfId="0" applyFont="1" applyBorder="1" applyAlignment="1">
      <alignment vertical="center" wrapText="1"/>
    </xf>
    <xf numFmtId="171" fontId="85" fillId="0" borderId="0" xfId="0" applyNumberFormat="1" applyFont="1" applyFill="1" applyBorder="1" applyAlignment="1">
      <alignment horizontal="center" vertical="center" wrapText="1"/>
    </xf>
    <xf numFmtId="0" fontId="86" fillId="0" borderId="0" xfId="0" applyFont="1" applyFill="1" applyBorder="1" applyAlignment="1">
      <alignment vertical="center" wrapText="1"/>
    </xf>
    <xf numFmtId="0" fontId="85" fillId="0" borderId="0" xfId="0" applyFont="1" applyFill="1" applyBorder="1" applyAlignment="1">
      <alignment vertical="center"/>
    </xf>
    <xf numFmtId="0" fontId="85" fillId="0" borderId="0" xfId="10" applyFont="1" applyFill="1" applyBorder="1" applyAlignment="1">
      <alignment horizontal="left"/>
    </xf>
    <xf numFmtId="0" fontId="85" fillId="0" borderId="0" xfId="0" applyNumberFormat="1" applyFont="1" applyFill="1" applyBorder="1" applyAlignment="1">
      <alignment vertical="center"/>
    </xf>
    <xf numFmtId="0" fontId="85" fillId="26" borderId="17" xfId="10" applyFont="1" applyFill="1" applyBorder="1" applyAlignment="1">
      <alignment horizontal="center" vertical="center" wrapText="1"/>
    </xf>
    <xf numFmtId="0" fontId="85" fillId="26" borderId="21" xfId="0" applyFont="1" applyFill="1" applyBorder="1" applyAlignment="1">
      <alignment horizontal="center" vertical="center" wrapText="1"/>
    </xf>
    <xf numFmtId="0" fontId="85" fillId="26" borderId="17" xfId="0" applyFont="1" applyFill="1" applyBorder="1" applyAlignment="1">
      <alignment horizontal="center" vertical="center" wrapText="1"/>
    </xf>
    <xf numFmtId="0" fontId="85" fillId="26" borderId="35" xfId="0" applyFont="1" applyFill="1" applyBorder="1" applyAlignment="1">
      <alignment horizontal="center" vertical="center" wrapText="1"/>
    </xf>
    <xf numFmtId="176" fontId="85" fillId="26" borderId="34" xfId="0" applyNumberFormat="1" applyFont="1" applyFill="1" applyBorder="1" applyAlignment="1">
      <alignment horizontal="center" vertical="center" wrapText="1"/>
    </xf>
    <xf numFmtId="2" fontId="85" fillId="26" borderId="87" xfId="0" applyNumberFormat="1" applyFont="1" applyFill="1" applyBorder="1" applyAlignment="1">
      <alignment horizontal="center" vertical="center" wrapText="1"/>
    </xf>
    <xf numFmtId="171" fontId="85" fillId="26" borderId="34" xfId="0" applyNumberFormat="1" applyFont="1" applyFill="1" applyBorder="1" applyAlignment="1">
      <alignment horizontal="center" vertical="center" wrapText="1"/>
    </xf>
    <xf numFmtId="171" fontId="85" fillId="26" borderId="40" xfId="0" applyNumberFormat="1" applyFont="1" applyFill="1" applyBorder="1" applyAlignment="1">
      <alignment horizontal="center" vertical="center" wrapText="1"/>
    </xf>
    <xf numFmtId="171" fontId="85" fillId="26" borderId="17" xfId="0" applyNumberFormat="1" applyFont="1" applyFill="1" applyBorder="1" applyAlignment="1">
      <alignment horizontal="center" vertical="center" wrapText="1"/>
    </xf>
    <xf numFmtId="171" fontId="85" fillId="26" borderId="18" xfId="0" applyNumberFormat="1" applyFont="1" applyFill="1" applyBorder="1" applyAlignment="1">
      <alignment horizontal="center" vertical="center" wrapText="1"/>
    </xf>
    <xf numFmtId="171" fontId="85" fillId="26" borderId="24" xfId="0" applyNumberFormat="1" applyFont="1" applyFill="1" applyBorder="1" applyAlignment="1">
      <alignment horizontal="center" vertical="center" wrapText="1"/>
    </xf>
    <xf numFmtId="179" fontId="85" fillId="26" borderId="34" xfId="0" applyNumberFormat="1" applyFont="1" applyFill="1" applyBorder="1" applyAlignment="1">
      <alignment horizontal="center" vertical="center" wrapText="1"/>
    </xf>
    <xf numFmtId="0" fontId="85" fillId="26" borderId="34" xfId="0" applyNumberFormat="1" applyFont="1" applyFill="1" applyBorder="1" applyAlignment="1">
      <alignment horizontal="center" vertical="center" wrapText="1"/>
    </xf>
    <xf numFmtId="0" fontId="54" fillId="21" borderId="94" xfId="0" applyFont="1" applyFill="1" applyBorder="1"/>
    <xf numFmtId="0" fontId="54" fillId="21" borderId="95" xfId="0" applyFont="1" applyFill="1" applyBorder="1"/>
    <xf numFmtId="171" fontId="54" fillId="23" borderId="96" xfId="0" applyNumberFormat="1" applyFont="1" applyFill="1" applyBorder="1" applyAlignment="1">
      <alignment horizontal="center" vertical="center" wrapText="1"/>
    </xf>
    <xf numFmtId="171" fontId="38" fillId="0" borderId="0" xfId="0" applyNumberFormat="1" applyFont="1" applyFill="1" applyBorder="1" applyAlignment="1">
      <alignment vertical="center"/>
    </xf>
    <xf numFmtId="180" fontId="3" fillId="0" borderId="56" xfId="0" applyNumberFormat="1" applyFont="1" applyFill="1" applyBorder="1" applyAlignment="1">
      <alignment horizontal="center" vertical="center" wrapText="1"/>
    </xf>
    <xf numFmtId="0" fontId="87" fillId="0" borderId="0" xfId="0" applyFont="1" applyFill="1" applyBorder="1" applyAlignment="1">
      <alignment horizontal="right" vertical="center"/>
    </xf>
    <xf numFmtId="0" fontId="87" fillId="0" borderId="0" xfId="0" applyFont="1" applyFill="1" applyBorder="1" applyAlignment="1">
      <alignment horizontal="center" vertical="center"/>
    </xf>
    <xf numFmtId="0" fontId="3" fillId="0" borderId="0" xfId="0" applyFont="1" applyBorder="1" applyAlignment="1">
      <alignment horizontal="center"/>
    </xf>
    <xf numFmtId="0" fontId="0" fillId="15" borderId="0" xfId="0" applyFill="1"/>
    <xf numFmtId="0" fontId="0" fillId="0" borderId="0" xfId="0" applyProtection="1"/>
    <xf numFmtId="0" fontId="71" fillId="0" borderId="0" xfId="0" applyFont="1" applyProtection="1"/>
    <xf numFmtId="0" fontId="0" fillId="0" borderId="2" xfId="0" applyBorder="1" applyProtection="1"/>
    <xf numFmtId="0" fontId="10" fillId="0" borderId="2" xfId="0" applyNumberFormat="1" applyFont="1" applyFill="1" applyBorder="1" applyAlignment="1" applyProtection="1">
      <alignment horizontal="right"/>
    </xf>
    <xf numFmtId="0" fontId="10" fillId="0" borderId="2" xfId="0" applyNumberFormat="1" applyFont="1" applyFill="1" applyBorder="1" applyAlignment="1" applyProtection="1"/>
    <xf numFmtId="17" fontId="10" fillId="0" borderId="2" xfId="0" quotePrefix="1" applyNumberFormat="1" applyFont="1" applyFill="1" applyBorder="1" applyAlignment="1" applyProtection="1"/>
    <xf numFmtId="0" fontId="10" fillId="0" borderId="2" xfId="0" applyNumberFormat="1" applyFont="1" applyFill="1" applyBorder="1" applyAlignment="1" applyProtection="1">
      <alignment horizontal="center" wrapText="1"/>
    </xf>
    <xf numFmtId="0" fontId="10" fillId="0" borderId="2" xfId="0" applyNumberFormat="1" applyFont="1" applyFill="1" applyBorder="1" applyAlignment="1" applyProtection="1">
      <alignment horizontal="center"/>
    </xf>
    <xf numFmtId="1" fontId="10" fillId="0" borderId="2" xfId="981" applyNumberFormat="1" applyFont="1" applyFill="1" applyBorder="1" applyAlignment="1" applyProtection="1">
      <alignment horizontal="center" vertical="top"/>
    </xf>
    <xf numFmtId="0" fontId="10" fillId="0" borderId="2" xfId="981" applyFont="1" applyFill="1" applyBorder="1" applyAlignment="1" applyProtection="1">
      <alignment vertical="top" wrapText="1"/>
    </xf>
    <xf numFmtId="49" fontId="10" fillId="0" borderId="2" xfId="981" applyNumberFormat="1" applyFont="1" applyFill="1" applyBorder="1" applyAlignment="1" applyProtection="1">
      <alignment horizontal="center" vertical="top" wrapText="1"/>
    </xf>
    <xf numFmtId="0" fontId="10" fillId="0" borderId="2" xfId="981" applyNumberFormat="1" applyFont="1" applyFill="1" applyBorder="1" applyAlignment="1" applyProtection="1">
      <alignment horizontal="center" vertical="top" wrapText="1"/>
    </xf>
    <xf numFmtId="49" fontId="10" fillId="0" borderId="2" xfId="981" applyNumberFormat="1" applyFont="1" applyFill="1" applyBorder="1" applyAlignment="1" applyProtection="1">
      <alignment horizontal="center" vertical="top"/>
    </xf>
    <xf numFmtId="0" fontId="10" fillId="0" borderId="2" xfId="981" applyNumberFormat="1" applyFont="1" applyFill="1" applyBorder="1" applyAlignment="1" applyProtection="1">
      <alignment horizontal="center" vertical="top"/>
    </xf>
    <xf numFmtId="0" fontId="10" fillId="0" borderId="2" xfId="981" applyNumberFormat="1" applyFont="1" applyFill="1" applyBorder="1" applyAlignment="1" applyProtection="1">
      <alignment vertical="top" wrapText="1"/>
    </xf>
    <xf numFmtId="0" fontId="10" fillId="0" borderId="2" xfId="981" applyNumberFormat="1" applyFont="1" applyFill="1" applyBorder="1" applyAlignment="1" applyProtection="1">
      <alignment vertical="top"/>
    </xf>
    <xf numFmtId="0" fontId="10" fillId="0" borderId="2" xfId="0" applyFont="1" applyFill="1" applyBorder="1" applyProtection="1"/>
    <xf numFmtId="0" fontId="10" fillId="0" borderId="2" xfId="0" applyFont="1" applyFill="1" applyBorder="1" applyAlignment="1" applyProtection="1"/>
    <xf numFmtId="0" fontId="10" fillId="0" borderId="2" xfId="0" applyFont="1" applyFill="1" applyBorder="1" applyAlignment="1" applyProtection="1">
      <alignment horizontal="center" wrapText="1"/>
    </xf>
    <xf numFmtId="0" fontId="90" fillId="0" borderId="0" xfId="0" applyFont="1"/>
    <xf numFmtId="0" fontId="91" fillId="0" borderId="0" xfId="0" applyFont="1" applyProtection="1"/>
    <xf numFmtId="184" fontId="0" fillId="31" borderId="2" xfId="0" applyNumberFormat="1" applyFill="1" applyBorder="1"/>
    <xf numFmtId="0" fontId="91" fillId="0" borderId="0" xfId="0" applyFont="1" applyFill="1" applyProtection="1"/>
    <xf numFmtId="0" fontId="91" fillId="23" borderId="0" xfId="0" applyFont="1" applyFill="1" applyProtection="1"/>
    <xf numFmtId="0" fontId="92" fillId="23" borderId="0" xfId="0" applyFont="1" applyFill="1" applyProtection="1"/>
    <xf numFmtId="0" fontId="0" fillId="23" borderId="0" xfId="0" applyFill="1"/>
    <xf numFmtId="0" fontId="92" fillId="23" borderId="0" xfId="0" applyFont="1" applyFill="1" applyBorder="1" applyAlignment="1" applyProtection="1">
      <alignment vertical="center" wrapText="1"/>
    </xf>
    <xf numFmtId="0" fontId="92" fillId="0" borderId="0" xfId="0" applyFont="1" applyBorder="1" applyAlignment="1" applyProtection="1">
      <alignment vertical="center" wrapText="1"/>
    </xf>
    <xf numFmtId="0" fontId="21" fillId="0" borderId="0" xfId="5" applyFont="1" applyAlignment="1">
      <alignment horizontal="left"/>
    </xf>
    <xf numFmtId="0" fontId="93" fillId="0" borderId="0" xfId="0" applyFont="1" applyProtection="1"/>
    <xf numFmtId="0" fontId="0" fillId="23" borderId="0" xfId="0" applyFill="1" applyProtection="1"/>
    <xf numFmtId="184" fontId="2" fillId="15" borderId="0" xfId="0" applyNumberFormat="1" applyFont="1" applyFill="1"/>
    <xf numFmtId="0" fontId="0" fillId="35" borderId="0" xfId="0" applyFill="1"/>
    <xf numFmtId="0" fontId="63" fillId="36" borderId="0" xfId="0" applyFont="1" applyFill="1"/>
    <xf numFmtId="0" fontId="0" fillId="15" borderId="0" xfId="0" applyFill="1" applyAlignment="1">
      <alignment horizontal="right"/>
    </xf>
    <xf numFmtId="0" fontId="62" fillId="36" borderId="0" xfId="0" applyFont="1" applyFill="1"/>
    <xf numFmtId="0" fontId="34" fillId="0" borderId="0" xfId="0" applyFont="1" applyBorder="1" applyAlignment="1"/>
    <xf numFmtId="0" fontId="5" fillId="0" borderId="0" xfId="0" applyFont="1" applyBorder="1" applyAlignment="1">
      <alignment horizontal="right"/>
    </xf>
    <xf numFmtId="171" fontId="34" fillId="0" borderId="0" xfId="0" applyNumberFormat="1" applyFont="1" applyFill="1" applyBorder="1" applyAlignment="1">
      <alignment horizontal="center"/>
    </xf>
    <xf numFmtId="171" fontId="14" fillId="0" borderId="0" xfId="0" applyNumberFormat="1" applyFont="1" applyBorder="1" applyAlignment="1">
      <alignment horizontal="center"/>
    </xf>
    <xf numFmtId="0" fontId="97" fillId="0" borderId="0" xfId="0" applyFont="1" applyBorder="1"/>
    <xf numFmtId="0" fontId="64" fillId="0" borderId="0" xfId="0" applyFont="1" applyBorder="1" applyAlignment="1">
      <alignment horizontal="right"/>
    </xf>
    <xf numFmtId="0" fontId="98" fillId="0" borderId="0" xfId="0" applyFont="1" applyFill="1" applyBorder="1"/>
    <xf numFmtId="0" fontId="99" fillId="0" borderId="0" xfId="0" applyFont="1" applyBorder="1" applyAlignment="1">
      <alignment horizontal="center" vertical="center"/>
    </xf>
    <xf numFmtId="0" fontId="71" fillId="0" borderId="0" xfId="0" applyFont="1" applyFill="1" applyBorder="1" applyAlignment="1">
      <alignment vertical="center"/>
    </xf>
    <xf numFmtId="0" fontId="15" fillId="0" borderId="0" xfId="0" applyFont="1" applyBorder="1" applyAlignment="1">
      <alignment horizontal="right"/>
    </xf>
    <xf numFmtId="0" fontId="44" fillId="0" borderId="117" xfId="0" applyFont="1" applyFill="1" applyBorder="1" applyAlignment="1">
      <alignment wrapText="1"/>
    </xf>
    <xf numFmtId="0" fontId="3" fillId="0" borderId="118" xfId="0" applyNumberFormat="1" applyFont="1" applyFill="1" applyBorder="1" applyAlignment="1">
      <alignment horizontal="center" vertical="center"/>
    </xf>
    <xf numFmtId="0" fontId="3" fillId="0" borderId="118" xfId="0" applyNumberFormat="1" applyFont="1" applyFill="1" applyBorder="1" applyAlignment="1">
      <alignment horizontal="center" vertical="center" wrapText="1"/>
    </xf>
    <xf numFmtId="0" fontId="28" fillId="0" borderId="0" xfId="0" quotePrefix="1" applyFont="1" applyFill="1" applyBorder="1" applyAlignment="1">
      <alignment horizontal="center"/>
    </xf>
    <xf numFmtId="171" fontId="3" fillId="0" borderId="0" xfId="0" applyNumberFormat="1" applyFont="1" applyFill="1" applyBorder="1" applyAlignment="1">
      <alignment horizontal="center"/>
    </xf>
    <xf numFmtId="0" fontId="63" fillId="37" borderId="0" xfId="0" applyFont="1" applyFill="1"/>
    <xf numFmtId="0" fontId="38" fillId="0" borderId="0" xfId="0" quotePrefix="1" applyFont="1" applyFill="1" applyBorder="1" applyAlignment="1">
      <alignment horizontal="center" wrapText="1"/>
    </xf>
    <xf numFmtId="0" fontId="2" fillId="0" borderId="0" xfId="0" applyFont="1"/>
    <xf numFmtId="0" fontId="0" fillId="15" borderId="0" xfId="0" applyFill="1" applyAlignment="1">
      <alignment horizontal="right" wrapText="1"/>
    </xf>
    <xf numFmtId="2" fontId="62" fillId="36" borderId="0" xfId="0" applyNumberFormat="1" applyFont="1" applyFill="1"/>
    <xf numFmtId="0" fontId="38" fillId="0" borderId="0" xfId="0" quotePrefix="1" applyFont="1" applyFill="1" applyBorder="1" applyAlignment="1">
      <alignment horizontal="center" vertical="center"/>
    </xf>
    <xf numFmtId="171" fontId="3" fillId="0" borderId="0" xfId="0" applyNumberFormat="1" applyFont="1" applyBorder="1" applyAlignment="1">
      <alignment horizontal="center" vertical="center"/>
    </xf>
    <xf numFmtId="0" fontId="41" fillId="0" borderId="0" xfId="0" quotePrefix="1" applyFont="1" applyFill="1" applyBorder="1" applyAlignment="1">
      <alignment horizontal="center"/>
    </xf>
    <xf numFmtId="171" fontId="14" fillId="0" borderId="0" xfId="10" applyNumberFormat="1" applyFont="1" applyFill="1" applyBorder="1" applyAlignment="1">
      <alignment horizontal="left"/>
    </xf>
    <xf numFmtId="0" fontId="3" fillId="0" borderId="60" xfId="0" applyFont="1" applyFill="1" applyBorder="1" applyAlignment="1">
      <alignment wrapText="1"/>
    </xf>
    <xf numFmtId="171" fontId="4" fillId="0" borderId="0" xfId="0" applyNumberFormat="1" applyFont="1" applyFill="1" applyBorder="1" applyAlignment="1">
      <alignment horizontal="center"/>
    </xf>
    <xf numFmtId="0" fontId="28" fillId="0" borderId="0" xfId="0" applyNumberFormat="1" applyFont="1" applyFill="1" applyBorder="1" applyAlignment="1">
      <alignment horizontal="center" vertical="center"/>
    </xf>
    <xf numFmtId="177" fontId="28" fillId="0" borderId="0" xfId="0" applyNumberFormat="1" applyFont="1" applyFill="1" applyBorder="1" applyAlignment="1">
      <alignment horizontal="center" vertical="center" wrapText="1"/>
    </xf>
    <xf numFmtId="171" fontId="28" fillId="0" borderId="0" xfId="0" applyNumberFormat="1" applyFont="1" applyFill="1" applyBorder="1" applyAlignment="1">
      <alignment horizontal="center" vertical="center" wrapText="1"/>
    </xf>
    <xf numFmtId="0" fontId="38" fillId="0" borderId="80" xfId="0" applyFont="1" applyFill="1" applyBorder="1" applyAlignment="1">
      <alignment horizontal="center" vertical="center" wrapText="1"/>
    </xf>
    <xf numFmtId="0" fontId="44" fillId="0" borderId="123" xfId="0" applyFont="1" applyFill="1" applyBorder="1" applyAlignment="1">
      <alignment wrapText="1"/>
    </xf>
    <xf numFmtId="177" fontId="38" fillId="0" borderId="0" xfId="0" applyNumberFormat="1" applyFont="1" applyFill="1" applyBorder="1" applyAlignment="1">
      <alignment horizontal="center" vertical="center" wrapText="1"/>
    </xf>
    <xf numFmtId="0" fontId="29" fillId="0" borderId="132" xfId="0" applyFont="1" applyBorder="1" applyAlignment="1">
      <alignment horizontal="center" vertical="center" wrapText="1"/>
    </xf>
    <xf numFmtId="0" fontId="29" fillId="0" borderId="73" xfId="0" applyFont="1" applyBorder="1" applyAlignment="1">
      <alignment horizontal="center" vertical="center" wrapText="1"/>
    </xf>
    <xf numFmtId="0" fontId="54" fillId="23" borderId="80" xfId="0" applyFont="1" applyFill="1" applyBorder="1" applyAlignment="1">
      <alignment vertical="center"/>
    </xf>
    <xf numFmtId="0" fontId="54" fillId="23" borderId="61" xfId="0" applyFont="1" applyFill="1" applyBorder="1" applyAlignment="1">
      <alignment vertical="center"/>
    </xf>
    <xf numFmtId="0" fontId="54" fillId="23" borderId="61" xfId="0" applyFont="1" applyFill="1" applyBorder="1"/>
    <xf numFmtId="0" fontId="52" fillId="0" borderId="0" xfId="0" applyFont="1" applyFill="1" applyBorder="1" applyAlignment="1">
      <alignment vertical="center"/>
    </xf>
    <xf numFmtId="171" fontId="69" fillId="0" borderId="0" xfId="0" applyNumberFormat="1" applyFont="1" applyFill="1" applyBorder="1" applyAlignment="1">
      <alignment horizontal="center" vertical="center" wrapText="1"/>
    </xf>
    <xf numFmtId="171" fontId="28" fillId="0" borderId="25" xfId="0" applyNumberFormat="1" applyFont="1" applyFill="1" applyBorder="1" applyAlignment="1">
      <alignment horizontal="center" vertical="center"/>
    </xf>
    <xf numFmtId="171" fontId="28" fillId="0" borderId="26" xfId="0" applyNumberFormat="1" applyFont="1" applyFill="1" applyBorder="1" applyAlignment="1">
      <alignment horizontal="center" vertical="center"/>
    </xf>
    <xf numFmtId="0" fontId="47" fillId="0" borderId="0" xfId="0" applyFont="1" applyFill="1" applyBorder="1" applyAlignment="1">
      <alignment vertical="center" wrapText="1"/>
    </xf>
    <xf numFmtId="0" fontId="4" fillId="0" borderId="0" xfId="0" applyFont="1" applyFill="1" applyBorder="1" applyAlignment="1">
      <alignment horizontal="center" vertical="center"/>
    </xf>
    <xf numFmtId="171" fontId="54" fillId="0" borderId="0" xfId="0" applyNumberFormat="1" applyFont="1" applyFill="1" applyBorder="1" applyAlignment="1">
      <alignment horizontal="center" vertical="center" wrapText="1"/>
    </xf>
    <xf numFmtId="171" fontId="54" fillId="0" borderId="0" xfId="0" applyNumberFormat="1" applyFont="1" applyFill="1" applyBorder="1"/>
    <xf numFmtId="0" fontId="0" fillId="0" borderId="0" xfId="0" applyAlignment="1">
      <alignment horizontal="left"/>
    </xf>
    <xf numFmtId="0" fontId="72" fillId="0" borderId="0" xfId="0" applyFont="1" applyBorder="1" applyAlignment="1">
      <alignment horizontal="center" vertical="center"/>
    </xf>
    <xf numFmtId="9" fontId="54" fillId="0" borderId="0" xfId="983" applyFont="1" applyFill="1" applyBorder="1" applyAlignment="1">
      <alignment horizontal="center" wrapText="1"/>
    </xf>
    <xf numFmtId="171" fontId="0" fillId="0" borderId="0" xfId="0" applyNumberFormat="1"/>
    <xf numFmtId="0" fontId="54" fillId="0" borderId="0" xfId="0" applyFont="1" applyFill="1" applyBorder="1" applyAlignment="1">
      <alignment horizontal="center" vertical="center"/>
    </xf>
    <xf numFmtId="171" fontId="53" fillId="0" borderId="0" xfId="0" applyNumberFormat="1" applyFont="1" applyFill="1" applyBorder="1" applyAlignment="1">
      <alignment horizontal="center"/>
    </xf>
    <xf numFmtId="0" fontId="106" fillId="0" borderId="0" xfId="0" applyFont="1" applyFill="1" applyBorder="1"/>
    <xf numFmtId="0" fontId="107" fillId="0" borderId="0" xfId="0" applyFont="1" applyBorder="1"/>
    <xf numFmtId="0" fontId="108" fillId="0" borderId="0" xfId="0" applyFont="1" applyBorder="1" applyAlignment="1">
      <alignment vertical="center"/>
    </xf>
    <xf numFmtId="0" fontId="72" fillId="0" borderId="0" xfId="0" applyFont="1" applyBorder="1" applyAlignment="1">
      <alignment vertical="center"/>
    </xf>
    <xf numFmtId="0" fontId="113" fillId="0" borderId="10" xfId="0" applyFont="1" applyBorder="1" applyAlignment="1">
      <alignment horizontal="left" vertical="center"/>
    </xf>
    <xf numFmtId="0" fontId="113" fillId="0" borderId="26" xfId="0" applyFont="1" applyBorder="1" applyAlignment="1">
      <alignment horizontal="left" vertical="center"/>
    </xf>
    <xf numFmtId="0" fontId="113" fillId="0" borderId="26" xfId="0" applyFont="1" applyBorder="1" applyAlignment="1">
      <alignment horizontal="center" vertical="center"/>
    </xf>
    <xf numFmtId="0" fontId="115" fillId="0" borderId="0" xfId="0" applyFont="1" applyBorder="1" applyAlignment="1">
      <alignment horizontal="center" vertical="center"/>
    </xf>
    <xf numFmtId="0" fontId="116" fillId="0" borderId="0" xfId="0" applyFont="1" applyBorder="1" applyAlignment="1">
      <alignment horizontal="center" vertical="center"/>
    </xf>
    <xf numFmtId="0" fontId="117" fillId="0" borderId="0" xfId="0" applyFont="1" applyBorder="1" applyAlignment="1">
      <alignment horizontal="center" vertical="center"/>
    </xf>
    <xf numFmtId="0" fontId="109" fillId="0" borderId="0" xfId="0" applyFont="1" applyBorder="1" applyAlignment="1">
      <alignment vertical="center"/>
    </xf>
    <xf numFmtId="0" fontId="118" fillId="0" borderId="0" xfId="0" applyFont="1" applyBorder="1" applyAlignment="1">
      <alignment vertical="center"/>
    </xf>
    <xf numFmtId="0" fontId="105" fillId="0" borderId="0" xfId="0" applyFont="1" applyBorder="1" applyAlignment="1">
      <alignment horizontal="center" vertical="center" wrapText="1"/>
    </xf>
    <xf numFmtId="0" fontId="95" fillId="0" borderId="129" xfId="0" applyNumberFormat="1" applyFont="1" applyFill="1" applyBorder="1" applyAlignment="1">
      <alignment horizontal="center" vertical="center" wrapText="1"/>
    </xf>
    <xf numFmtId="0" fontId="5" fillId="0" borderId="129" xfId="0" applyNumberFormat="1" applyFont="1" applyFill="1" applyBorder="1" applyAlignment="1">
      <alignment horizontal="center" vertical="center" wrapText="1"/>
    </xf>
    <xf numFmtId="177" fontId="120" fillId="0" borderId="129" xfId="0" applyNumberFormat="1" applyFont="1" applyFill="1" applyBorder="1" applyAlignment="1">
      <alignment horizontal="center" vertical="center" wrapText="1"/>
    </xf>
    <xf numFmtId="0" fontId="121" fillId="0" borderId="0" xfId="0" applyFont="1"/>
    <xf numFmtId="0" fontId="3" fillId="26" borderId="0" xfId="0" applyFont="1" applyFill="1" applyBorder="1" applyAlignment="1">
      <alignment horizontal="center" vertical="center"/>
    </xf>
    <xf numFmtId="0" fontId="3" fillId="0" borderId="0" xfId="0" applyFont="1" applyBorder="1" applyAlignment="1">
      <alignment horizontal="center" vertical="top"/>
    </xf>
    <xf numFmtId="0" fontId="71" fillId="0" borderId="0" xfId="0" applyFont="1" applyFill="1" applyBorder="1" applyAlignment="1">
      <alignment vertical="top"/>
    </xf>
    <xf numFmtId="0" fontId="79" fillId="0" borderId="0" xfId="0" applyFont="1" applyBorder="1" applyAlignment="1">
      <alignment horizontal="center" vertical="top" wrapText="1"/>
    </xf>
    <xf numFmtId="0" fontId="3" fillId="0" borderId="0" xfId="0" applyFont="1" applyFill="1" applyBorder="1" applyAlignment="1">
      <alignment vertical="center"/>
    </xf>
    <xf numFmtId="9" fontId="34" fillId="0" borderId="0" xfId="0" applyNumberFormat="1" applyFont="1" applyBorder="1" applyAlignment="1">
      <alignment horizontal="center"/>
    </xf>
    <xf numFmtId="0" fontId="114" fillId="0" borderId="0" xfId="0" applyFont="1" applyBorder="1" applyAlignment="1">
      <alignment horizontal="left" indent="11"/>
    </xf>
    <xf numFmtId="0" fontId="34" fillId="0" borderId="0" xfId="0" applyFont="1" applyBorder="1" applyAlignment="1">
      <alignment horizontal="left" vertical="center" wrapText="1"/>
    </xf>
    <xf numFmtId="0" fontId="34" fillId="0" borderId="0" xfId="0" applyFont="1" applyBorder="1" applyAlignment="1">
      <alignment horizontal="center"/>
    </xf>
    <xf numFmtId="0" fontId="16" fillId="0" borderId="0" xfId="0" applyFont="1" applyBorder="1" applyAlignment="1">
      <alignment horizontal="center" vertical="center" wrapText="1"/>
    </xf>
    <xf numFmtId="0" fontId="34" fillId="0" borderId="0" xfId="0" applyFont="1" applyBorder="1" applyAlignment="1">
      <alignment horizontal="center"/>
    </xf>
    <xf numFmtId="0" fontId="5" fillId="0" borderId="0" xfId="0" applyFont="1" applyBorder="1" applyAlignment="1">
      <alignment horizontal="center"/>
    </xf>
    <xf numFmtId="0" fontId="3" fillId="0" borderId="0" xfId="0" applyFont="1" applyBorder="1" applyAlignment="1">
      <alignment horizontal="center"/>
    </xf>
    <xf numFmtId="0" fontId="123" fillId="0" borderId="0" xfId="0" applyFont="1" applyFill="1" applyBorder="1"/>
    <xf numFmtId="0" fontId="28" fillId="0" borderId="0" xfId="0" applyFont="1" applyBorder="1"/>
    <xf numFmtId="0" fontId="5" fillId="20" borderId="0" xfId="0" applyFont="1" applyFill="1" applyBorder="1"/>
    <xf numFmtId="171" fontId="34" fillId="20" borderId="0" xfId="0" applyNumberFormat="1" applyFont="1" applyFill="1" applyBorder="1" applyAlignment="1">
      <alignment horizontal="center"/>
    </xf>
    <xf numFmtId="0" fontId="82" fillId="0" borderId="0" xfId="0" applyFont="1" applyBorder="1"/>
    <xf numFmtId="171" fontId="128" fillId="0" borderId="0" xfId="0" applyNumberFormat="1" applyFont="1" applyFill="1" applyBorder="1" applyAlignment="1">
      <alignment horizontal="center"/>
    </xf>
    <xf numFmtId="171" fontId="127" fillId="0" borderId="0" xfId="0" applyNumberFormat="1" applyFont="1" applyBorder="1" applyAlignment="1">
      <alignment horizontal="center"/>
    </xf>
    <xf numFmtId="0" fontId="61" fillId="0" borderId="0" xfId="0" applyFont="1" applyBorder="1" applyAlignment="1">
      <alignment horizontal="center" vertical="center"/>
    </xf>
    <xf numFmtId="0" fontId="45" fillId="0" borderId="0" xfId="0" applyFont="1" applyBorder="1"/>
    <xf numFmtId="0" fontId="35" fillId="0" borderId="0" xfId="0" applyFont="1" applyBorder="1"/>
    <xf numFmtId="0" fontId="94" fillId="0" borderId="0" xfId="0" applyFont="1" applyBorder="1" applyAlignment="1">
      <alignment vertical="center"/>
    </xf>
    <xf numFmtId="0" fontId="48" fillId="0" borderId="0" xfId="0" applyFont="1" applyBorder="1" applyAlignment="1">
      <alignment horizontal="center" vertical="center"/>
    </xf>
    <xf numFmtId="0" fontId="49" fillId="0" borderId="0" xfId="0" applyFont="1" applyBorder="1" applyAlignment="1">
      <alignment vertical="center"/>
    </xf>
    <xf numFmtId="171" fontId="6" fillId="0" borderId="0" xfId="0" applyNumberFormat="1" applyFont="1" applyBorder="1" applyAlignment="1">
      <alignment horizontal="center"/>
    </xf>
    <xf numFmtId="0" fontId="15" fillId="0" borderId="0" xfId="0" applyFont="1" applyBorder="1" applyAlignment="1">
      <alignment horizontal="center"/>
    </xf>
    <xf numFmtId="171" fontId="50" fillId="0" borderId="0" xfId="0" applyNumberFormat="1" applyFont="1" applyBorder="1" applyAlignment="1">
      <alignment horizontal="center"/>
    </xf>
    <xf numFmtId="0" fontId="35" fillId="0" borderId="0" xfId="0" applyFont="1" applyBorder="1" applyAlignment="1">
      <alignment horizontal="right"/>
    </xf>
    <xf numFmtId="0" fontId="6" fillId="0" borderId="0" xfId="0" applyFont="1" applyBorder="1" applyAlignment="1">
      <alignment vertical="center"/>
    </xf>
    <xf numFmtId="0" fontId="3" fillId="0" borderId="0" xfId="0" applyFont="1" applyBorder="1" applyAlignment="1">
      <alignment vertical="top"/>
    </xf>
    <xf numFmtId="0" fontId="110" fillId="0" borderId="0" xfId="0" applyFont="1" applyBorder="1" applyAlignment="1">
      <alignment vertical="center"/>
    </xf>
    <xf numFmtId="0" fontId="119" fillId="0" borderId="0" xfId="0" applyFont="1" applyBorder="1"/>
    <xf numFmtId="0" fontId="107" fillId="26" borderId="0" xfId="0" applyFont="1" applyFill="1" applyBorder="1" applyAlignment="1">
      <alignment horizontal="center" vertical="center"/>
    </xf>
    <xf numFmtId="171" fontId="5" fillId="26" borderId="0" xfId="0" applyNumberFormat="1" applyFont="1" applyFill="1" applyBorder="1" applyAlignment="1">
      <alignment horizontal="center" vertical="center"/>
    </xf>
    <xf numFmtId="0" fontId="35" fillId="0" borderId="0" xfId="0" applyFont="1" applyBorder="1" applyAlignment="1">
      <alignment horizontal="center"/>
    </xf>
    <xf numFmtId="171" fontId="82" fillId="0" borderId="0" xfId="0" applyNumberFormat="1" applyFont="1" applyBorder="1" applyAlignment="1">
      <alignment horizontal="center"/>
    </xf>
    <xf numFmtId="171" fontId="82" fillId="26" borderId="0" xfId="0" applyNumberFormat="1" applyFont="1" applyFill="1" applyBorder="1" applyAlignment="1">
      <alignment horizontal="center" vertical="center"/>
    </xf>
    <xf numFmtId="0" fontId="77" fillId="0" borderId="0" xfId="0" applyFont="1" applyBorder="1" applyAlignment="1">
      <alignment horizontal="right"/>
    </xf>
    <xf numFmtId="0" fontId="83" fillId="0" borderId="0" xfId="0" applyFont="1" applyBorder="1"/>
    <xf numFmtId="0" fontId="123" fillId="0" borderId="0" xfId="0" applyFont="1" applyFill="1" applyBorder="1" applyAlignment="1">
      <alignment vertical="center"/>
    </xf>
    <xf numFmtId="0" fontId="76" fillId="0" borderId="0" xfId="0" applyFont="1" applyBorder="1" applyAlignment="1">
      <alignment vertical="center"/>
    </xf>
    <xf numFmtId="171" fontId="76" fillId="0" borderId="0" xfId="0" applyNumberFormat="1" applyFont="1" applyBorder="1" applyAlignment="1">
      <alignment horizontal="center" vertical="center"/>
    </xf>
    <xf numFmtId="0" fontId="124" fillId="0" borderId="0" xfId="0" applyFont="1" applyBorder="1" applyAlignment="1">
      <alignment vertical="center"/>
    </xf>
    <xf numFmtId="0" fontId="4" fillId="26" borderId="0" xfId="0" applyFont="1" applyFill="1" applyBorder="1" applyAlignment="1">
      <alignment horizontal="center" vertical="center"/>
    </xf>
    <xf numFmtId="0" fontId="130" fillId="0" borderId="0" xfId="0" applyFont="1" applyBorder="1" applyAlignment="1">
      <alignment horizontal="center" vertical="center"/>
    </xf>
    <xf numFmtId="0" fontId="131" fillId="0" borderId="0" xfId="0" applyFont="1" applyBorder="1" applyAlignment="1">
      <alignment horizontal="center" vertical="center"/>
    </xf>
    <xf numFmtId="0" fontId="6" fillId="0" borderId="0" xfId="0" applyFont="1" applyBorder="1"/>
    <xf numFmtId="0" fontId="6" fillId="0" borderId="0" xfId="0" applyFont="1" applyBorder="1" applyAlignment="1">
      <alignment horizontal="center"/>
    </xf>
    <xf numFmtId="0" fontId="129" fillId="0" borderId="0" xfId="0" applyFont="1" applyBorder="1"/>
    <xf numFmtId="0" fontId="5" fillId="0" borderId="0" xfId="0" applyFont="1" applyBorder="1" applyAlignment="1">
      <alignment horizontal="left" vertical="center" wrapText="1"/>
    </xf>
    <xf numFmtId="172" fontId="5" fillId="0" borderId="0" xfId="0" applyNumberFormat="1" applyFont="1" applyBorder="1" applyAlignment="1">
      <alignment horizontal="center" vertical="center"/>
    </xf>
    <xf numFmtId="172" fontId="5" fillId="0" borderId="0" xfId="0" applyNumberFormat="1" applyFont="1" applyBorder="1" applyAlignment="1">
      <alignment vertical="center" wrapText="1"/>
    </xf>
    <xf numFmtId="0" fontId="3" fillId="0" borderId="0" xfId="0" applyFont="1" applyBorder="1" applyAlignment="1">
      <alignment wrapText="1"/>
    </xf>
    <xf numFmtId="0" fontId="5" fillId="0" borderId="0" xfId="0" applyFont="1" applyBorder="1" applyAlignment="1">
      <alignment vertical="center" wrapText="1"/>
    </xf>
    <xf numFmtId="172" fontId="5" fillId="0" borderId="0" xfId="0" applyNumberFormat="1" applyFont="1" applyBorder="1" applyAlignment="1">
      <alignment horizontal="left" vertical="center"/>
    </xf>
    <xf numFmtId="0" fontId="89" fillId="0" borderId="0" xfId="0" applyFont="1" applyFill="1" applyBorder="1" applyAlignment="1">
      <alignment horizontal="center" vertical="center"/>
    </xf>
    <xf numFmtId="0" fontId="107" fillId="0" borderId="0" xfId="0" applyFont="1" applyBorder="1" applyAlignment="1">
      <alignment vertical="center"/>
    </xf>
    <xf numFmtId="0" fontId="16" fillId="0" borderId="0" xfId="0" applyFont="1" applyBorder="1" applyAlignment="1">
      <alignment vertical="center" wrapText="1"/>
    </xf>
    <xf numFmtId="171" fontId="6" fillId="0" borderId="0" xfId="0" applyNumberFormat="1" applyFont="1" applyFill="1" applyBorder="1" applyAlignment="1">
      <alignment horizontal="center"/>
    </xf>
    <xf numFmtId="0" fontId="3" fillId="0" borderId="0" xfId="0" applyFont="1" applyFill="1" applyBorder="1"/>
    <xf numFmtId="0" fontId="15" fillId="0" borderId="0" xfId="0" applyFont="1" applyFill="1" applyBorder="1" applyAlignment="1">
      <alignment horizontal="center"/>
    </xf>
    <xf numFmtId="171" fontId="76" fillId="0" borderId="0" xfId="0" applyNumberFormat="1" applyFont="1" applyBorder="1" applyAlignment="1">
      <alignment horizontal="center"/>
    </xf>
    <xf numFmtId="0" fontId="76" fillId="0" borderId="0" xfId="0" applyFont="1" applyBorder="1" applyAlignment="1">
      <alignment horizontal="right"/>
    </xf>
    <xf numFmtId="171" fontId="5" fillId="38" borderId="0" xfId="0" applyNumberFormat="1" applyFont="1" applyFill="1" applyBorder="1" applyAlignment="1">
      <alignment horizontal="center"/>
    </xf>
    <xf numFmtId="0" fontId="5" fillId="38" borderId="0" xfId="0" applyFont="1" applyFill="1" applyBorder="1"/>
    <xf numFmtId="0" fontId="3" fillId="38" borderId="0" xfId="0" applyFont="1" applyFill="1" applyBorder="1"/>
    <xf numFmtId="0" fontId="5" fillId="0" borderId="0" xfId="0" applyFont="1" applyFill="1" applyBorder="1"/>
    <xf numFmtId="0" fontId="133" fillId="0" borderId="0" xfId="0" applyFont="1" applyProtection="1"/>
    <xf numFmtId="0" fontId="134" fillId="0" borderId="0" xfId="0" applyFont="1" applyAlignment="1" applyProtection="1">
      <alignment horizontal="center"/>
    </xf>
    <xf numFmtId="0" fontId="134" fillId="0" borderId="0" xfId="0" applyFont="1" applyProtection="1"/>
    <xf numFmtId="0" fontId="134" fillId="0" borderId="0" xfId="0" applyFont="1" applyBorder="1" applyProtection="1"/>
    <xf numFmtId="0" fontId="134" fillId="0" borderId="0" xfId="0" applyFont="1" applyBorder="1" applyAlignment="1" applyProtection="1">
      <alignment horizontal="center"/>
    </xf>
    <xf numFmtId="0" fontId="135" fillId="0" borderId="0" xfId="0" applyFont="1" applyBorder="1" applyProtection="1"/>
    <xf numFmtId="181" fontId="136" fillId="22" borderId="0" xfId="410" applyNumberFormat="1" applyFont="1" applyFill="1" applyBorder="1" applyAlignment="1" applyProtection="1">
      <alignment horizontal="center"/>
    </xf>
    <xf numFmtId="0" fontId="137" fillId="0" borderId="0" xfId="0" applyFont="1" applyBorder="1" applyProtection="1"/>
    <xf numFmtId="0" fontId="138" fillId="0" borderId="0" xfId="0" applyFont="1" applyBorder="1" applyProtection="1"/>
    <xf numFmtId="0" fontId="135" fillId="0" borderId="0" xfId="0" applyFont="1" applyProtection="1"/>
    <xf numFmtId="187" fontId="134" fillId="0" borderId="0" xfId="410" applyNumberFormat="1" applyFont="1" applyFill="1" applyProtection="1"/>
    <xf numFmtId="0" fontId="139" fillId="0" borderId="0" xfId="0" applyFont="1" applyAlignment="1" applyProtection="1">
      <alignment horizontal="left"/>
    </xf>
    <xf numFmtId="0" fontId="140" fillId="0" borderId="0" xfId="0" applyFont="1" applyProtection="1"/>
    <xf numFmtId="0" fontId="136" fillId="35" borderId="138" xfId="0" applyFont="1" applyFill="1" applyBorder="1" applyAlignment="1" applyProtection="1">
      <alignment horizontal="center"/>
    </xf>
    <xf numFmtId="0" fontId="136" fillId="23" borderId="138" xfId="0" applyFont="1" applyFill="1" applyBorder="1" applyAlignment="1" applyProtection="1">
      <alignment horizontal="center"/>
    </xf>
    <xf numFmtId="0" fontId="141" fillId="0" borderId="0" xfId="0" applyFont="1" applyBorder="1" applyProtection="1"/>
    <xf numFmtId="0" fontId="142" fillId="0" borderId="0" xfId="0" applyFont="1" applyFill="1" applyProtection="1"/>
    <xf numFmtId="0" fontId="138" fillId="0" borderId="0" xfId="0" applyFont="1" applyBorder="1" applyAlignment="1" applyProtection="1">
      <alignment horizontal="center"/>
    </xf>
    <xf numFmtId="0" fontId="138" fillId="0" borderId="0" xfId="0" applyFont="1" applyBorder="1" applyAlignment="1" applyProtection="1">
      <alignment horizontal="left"/>
    </xf>
    <xf numFmtId="0" fontId="143" fillId="0" borderId="138" xfId="0" applyFont="1" applyFill="1" applyBorder="1" applyAlignment="1" applyProtection="1">
      <alignment horizontal="center"/>
    </xf>
    <xf numFmtId="0" fontId="139" fillId="0" borderId="0" xfId="0" applyFont="1" applyBorder="1" applyProtection="1"/>
    <xf numFmtId="9" fontId="134" fillId="0" borderId="138" xfId="983" applyFont="1" applyFill="1" applyBorder="1" applyAlignment="1" applyProtection="1">
      <alignment horizontal="center"/>
    </xf>
    <xf numFmtId="184" fontId="134" fillId="0" borderId="138" xfId="983" applyNumberFormat="1" applyFont="1" applyFill="1" applyBorder="1" applyAlignment="1" applyProtection="1">
      <alignment horizontal="center"/>
    </xf>
    <xf numFmtId="0" fontId="139" fillId="0" borderId="0" xfId="0" applyFont="1" applyProtection="1"/>
    <xf numFmtId="171" fontId="134" fillId="0" borderId="138" xfId="410" applyNumberFormat="1" applyFont="1" applyFill="1" applyBorder="1" applyAlignment="1" applyProtection="1">
      <alignment horizontal="center"/>
    </xf>
    <xf numFmtId="3" fontId="134" fillId="0" borderId="138" xfId="0" applyNumberFormat="1" applyFont="1" applyFill="1" applyBorder="1" applyAlignment="1" applyProtection="1">
      <alignment horizontal="center"/>
    </xf>
    <xf numFmtId="0" fontId="139" fillId="0" borderId="139" xfId="0" applyFont="1" applyBorder="1" applyProtection="1"/>
    <xf numFmtId="188" fontId="134" fillId="0" borderId="140" xfId="0" applyNumberFormat="1" applyFont="1" applyFill="1" applyBorder="1" applyAlignment="1" applyProtection="1">
      <alignment horizontal="center"/>
    </xf>
    <xf numFmtId="188" fontId="134" fillId="0" borderId="0" xfId="0" applyNumberFormat="1" applyFont="1" applyProtection="1"/>
    <xf numFmtId="0" fontId="133" fillId="0" borderId="0" xfId="0" applyFont="1" applyFill="1" applyAlignment="1" applyProtection="1">
      <alignment vertical="center"/>
    </xf>
    <xf numFmtId="0" fontId="139" fillId="0" borderId="0" xfId="0" applyFont="1" applyFill="1" applyBorder="1" applyAlignment="1" applyProtection="1">
      <alignment vertical="center"/>
    </xf>
    <xf numFmtId="188" fontId="133" fillId="0" borderId="138" xfId="0" applyNumberFormat="1" applyFont="1" applyFill="1" applyBorder="1" applyAlignment="1" applyProtection="1">
      <alignment horizontal="center" vertical="center"/>
    </xf>
    <xf numFmtId="0" fontId="134" fillId="0" borderId="138" xfId="0" applyFont="1" applyBorder="1" applyProtection="1"/>
    <xf numFmtId="9" fontId="144" fillId="0" borderId="0" xfId="983" applyFont="1" applyAlignment="1" applyProtection="1">
      <alignment horizontal="right"/>
    </xf>
    <xf numFmtId="0" fontId="145" fillId="0" borderId="0" xfId="0" applyFont="1" applyProtection="1"/>
    <xf numFmtId="9" fontId="136" fillId="22" borderId="138" xfId="983" applyFont="1" applyFill="1" applyBorder="1" applyAlignment="1" applyProtection="1">
      <alignment horizontal="center"/>
      <protection locked="0"/>
    </xf>
    <xf numFmtId="0" fontId="139" fillId="39" borderId="0" xfId="0" applyFont="1" applyFill="1" applyBorder="1" applyAlignment="1" applyProtection="1">
      <alignment vertical="center"/>
    </xf>
    <xf numFmtId="0" fontId="133" fillId="0" borderId="0" xfId="0" applyFont="1" applyAlignment="1" applyProtection="1">
      <alignment vertical="center"/>
    </xf>
    <xf numFmtId="9" fontId="133" fillId="39" borderId="138" xfId="983" applyFont="1" applyFill="1" applyBorder="1" applyAlignment="1" applyProtection="1">
      <alignment horizontal="center" vertical="center"/>
    </xf>
    <xf numFmtId="171" fontId="133" fillId="39" borderId="138" xfId="983" applyNumberFormat="1" applyFont="1" applyFill="1" applyBorder="1" applyAlignment="1" applyProtection="1">
      <alignment horizontal="center" vertical="center"/>
    </xf>
    <xf numFmtId="171" fontId="133" fillId="39" borderId="138" xfId="410" applyNumberFormat="1" applyFont="1" applyFill="1" applyBorder="1" applyAlignment="1" applyProtection="1">
      <alignment horizontal="center" vertical="center"/>
    </xf>
    <xf numFmtId="188" fontId="133" fillId="39" borderId="138" xfId="0" applyNumberFormat="1" applyFont="1" applyFill="1" applyBorder="1" applyAlignment="1" applyProtection="1">
      <alignment horizontal="center" vertical="center"/>
    </xf>
    <xf numFmtId="189" fontId="133" fillId="39" borderId="138" xfId="983" applyNumberFormat="1" applyFont="1" applyFill="1" applyBorder="1" applyAlignment="1" applyProtection="1">
      <alignment horizontal="center" vertical="center"/>
    </xf>
    <xf numFmtId="0" fontId="136" fillId="0" borderId="0" xfId="0" applyFont="1" applyFill="1" applyBorder="1" applyAlignment="1" applyProtection="1">
      <alignment horizontal="center"/>
    </xf>
    <xf numFmtId="0" fontId="134" fillId="0" borderId="0" xfId="0" applyFont="1" applyFill="1" applyAlignment="1" applyProtection="1">
      <alignment horizontal="center"/>
    </xf>
    <xf numFmtId="0" fontId="134" fillId="0" borderId="0" xfId="0" applyFont="1" applyFill="1" applyProtection="1"/>
    <xf numFmtId="188" fontId="134" fillId="0" borderId="138" xfId="0" applyNumberFormat="1" applyFont="1" applyFill="1" applyBorder="1" applyProtection="1"/>
    <xf numFmtId="0" fontId="134" fillId="0" borderId="138" xfId="0" applyFont="1" applyFill="1" applyBorder="1" applyProtection="1"/>
    <xf numFmtId="0" fontId="133" fillId="0" borderId="0" xfId="0" applyFont="1" applyAlignment="1" applyProtection="1">
      <alignment horizontal="center"/>
    </xf>
    <xf numFmtId="0" fontId="139" fillId="40" borderId="0" xfId="0" applyFont="1" applyFill="1" applyBorder="1" applyAlignment="1" applyProtection="1">
      <alignment vertical="center"/>
    </xf>
    <xf numFmtId="0" fontId="2" fillId="0" borderId="0" xfId="0" applyFont="1" applyAlignment="1">
      <alignment horizontal="center" vertical="center" wrapText="1"/>
    </xf>
    <xf numFmtId="0" fontId="62" fillId="31" borderId="0" xfId="0" applyFont="1" applyFill="1" applyAlignment="1">
      <alignment horizontal="center" vertical="center" wrapText="1"/>
    </xf>
    <xf numFmtId="190" fontId="71" fillId="41" borderId="2" xfId="0" applyNumberFormat="1" applyFont="1" applyFill="1" applyBorder="1" applyAlignment="1">
      <alignment horizontal="center"/>
    </xf>
    <xf numFmtId="49" fontId="0" fillId="0" borderId="0" xfId="0" applyNumberFormat="1" applyAlignment="1">
      <alignment horizontal="center"/>
    </xf>
    <xf numFmtId="0" fontId="0" fillId="0" borderId="0" xfId="0" applyAlignment="1">
      <alignment horizontal="center"/>
    </xf>
    <xf numFmtId="190" fontId="71" fillId="42" borderId="2" xfId="0" applyNumberFormat="1" applyFont="1" applyFill="1" applyBorder="1" applyAlignment="1">
      <alignment horizontal="center"/>
    </xf>
    <xf numFmtId="190" fontId="71" fillId="39" borderId="5" xfId="0" applyNumberFormat="1" applyFont="1" applyFill="1" applyBorder="1" applyAlignment="1">
      <alignment horizontal="center"/>
    </xf>
    <xf numFmtId="190" fontId="71" fillId="43" borderId="2" xfId="0" applyNumberFormat="1" applyFont="1" applyFill="1" applyBorder="1" applyAlignment="1">
      <alignment horizontal="center"/>
    </xf>
    <xf numFmtId="190" fontId="71" fillId="44" borderId="5" xfId="0" applyNumberFormat="1" applyFont="1" applyFill="1" applyBorder="1" applyAlignment="1">
      <alignment horizontal="center"/>
    </xf>
    <xf numFmtId="0" fontId="0" fillId="45" borderId="106" xfId="0" applyFill="1" applyBorder="1" applyAlignment="1">
      <alignment horizontal="center"/>
    </xf>
    <xf numFmtId="49" fontId="0" fillId="15" borderId="0" xfId="0" applyNumberFormat="1" applyFill="1" applyAlignment="1">
      <alignment horizontal="center"/>
    </xf>
    <xf numFmtId="0" fontId="0" fillId="15" borderId="0" xfId="0" applyFill="1" applyAlignment="1">
      <alignment horizontal="center"/>
    </xf>
    <xf numFmtId="0" fontId="0" fillId="46" borderId="0" xfId="0" applyFill="1"/>
    <xf numFmtId="49" fontId="0" fillId="41" borderId="0" xfId="0" applyNumberFormat="1" applyFill="1" applyAlignment="1">
      <alignment horizontal="center"/>
    </xf>
    <xf numFmtId="49" fontId="88" fillId="0" borderId="0" xfId="0" applyNumberFormat="1" applyFont="1" applyAlignment="1">
      <alignment horizontal="center"/>
    </xf>
    <xf numFmtId="0" fontId="146" fillId="0" borderId="0" xfId="0" applyFont="1"/>
    <xf numFmtId="0" fontId="2" fillId="0" borderId="0" xfId="0" applyFont="1" applyAlignment="1">
      <alignment horizontal="center"/>
    </xf>
    <xf numFmtId="0" fontId="147" fillId="0" borderId="0" xfId="0" applyFont="1" applyAlignment="1">
      <alignment horizontal="center"/>
    </xf>
    <xf numFmtId="184" fontId="62" fillId="33" borderId="0" xfId="0" applyNumberFormat="1" applyFont="1" applyFill="1" applyBorder="1" applyAlignment="1">
      <alignment horizontal="center"/>
    </xf>
    <xf numFmtId="184" fontId="0" fillId="0" borderId="0" xfId="0" applyNumberFormat="1" applyBorder="1" applyAlignment="1">
      <alignment horizontal="center"/>
    </xf>
    <xf numFmtId="9" fontId="62" fillId="33" borderId="0" xfId="983" applyNumberFormat="1" applyFont="1" applyFill="1" applyBorder="1" applyAlignment="1">
      <alignment horizontal="center"/>
    </xf>
    <xf numFmtId="0" fontId="148" fillId="0" borderId="0" xfId="0" applyFont="1"/>
    <xf numFmtId="0" fontId="63" fillId="33" borderId="0" xfId="0" applyNumberFormat="1" applyFont="1" applyFill="1" applyBorder="1" applyAlignment="1">
      <alignment horizontal="left" vertical="center"/>
    </xf>
    <xf numFmtId="0" fontId="149" fillId="0" borderId="0" xfId="0" applyFont="1"/>
    <xf numFmtId="0" fontId="62" fillId="33" borderId="0" xfId="983" applyNumberFormat="1" applyFont="1" applyFill="1" applyBorder="1" applyAlignment="1">
      <alignment horizontal="center"/>
    </xf>
    <xf numFmtId="0" fontId="149" fillId="0" borderId="0" xfId="0" applyFont="1" applyBorder="1" applyAlignment="1">
      <alignment horizontal="left"/>
    </xf>
    <xf numFmtId="0" fontId="63" fillId="33" borderId="0" xfId="0" applyFont="1" applyFill="1" applyBorder="1" applyAlignment="1">
      <alignment horizontal="left" vertical="center"/>
    </xf>
    <xf numFmtId="0" fontId="149" fillId="30" borderId="0" xfId="0" applyFont="1" applyFill="1" applyBorder="1"/>
    <xf numFmtId="0" fontId="149" fillId="30" borderId="0" xfId="0" applyFont="1" applyFill="1" applyBorder="1" applyAlignment="1">
      <alignment horizontal="left"/>
    </xf>
    <xf numFmtId="9" fontId="0" fillId="0" borderId="0" xfId="0" applyNumberFormat="1" applyAlignment="1">
      <alignment horizontal="center"/>
    </xf>
    <xf numFmtId="181" fontId="62" fillId="33" borderId="0" xfId="410" applyNumberFormat="1" applyFont="1" applyFill="1" applyBorder="1" applyAlignment="1">
      <alignment horizontal="center"/>
    </xf>
    <xf numFmtId="0" fontId="150" fillId="15" borderId="0" xfId="0" applyFont="1" applyFill="1" applyAlignment="1">
      <alignment horizontal="center"/>
    </xf>
    <xf numFmtId="0" fontId="151" fillId="0" borderId="0" xfId="0" applyFont="1" applyAlignment="1">
      <alignment horizontal="center"/>
    </xf>
    <xf numFmtId="0" fontId="0" fillId="0" borderId="0" xfId="0" applyFont="1" applyBorder="1"/>
    <xf numFmtId="0" fontId="147" fillId="0" borderId="0" xfId="0" applyFont="1"/>
    <xf numFmtId="184" fontId="62" fillId="33" borderId="0" xfId="0" applyNumberFormat="1" applyFont="1" applyFill="1" applyBorder="1"/>
    <xf numFmtId="184" fontId="0" fillId="0" borderId="0" xfId="0" applyNumberFormat="1" applyBorder="1"/>
    <xf numFmtId="0" fontId="152" fillId="0" borderId="141" xfId="0" applyFont="1" applyBorder="1" applyAlignment="1">
      <alignment horizontal="left"/>
    </xf>
    <xf numFmtId="0" fontId="149" fillId="0" borderId="142" xfId="0" applyFont="1" applyBorder="1"/>
    <xf numFmtId="0" fontId="149" fillId="0" borderId="143" xfId="0" applyFont="1" applyBorder="1"/>
    <xf numFmtId="9" fontId="62" fillId="33" borderId="0" xfId="983" applyNumberFormat="1" applyFont="1" applyFill="1" applyBorder="1"/>
    <xf numFmtId="181" fontId="62" fillId="33" borderId="0" xfId="410" applyNumberFormat="1" applyFont="1" applyFill="1" applyBorder="1"/>
    <xf numFmtId="184" fontId="62" fillId="33" borderId="0" xfId="410" applyNumberFormat="1" applyFont="1" applyFill="1" applyBorder="1"/>
    <xf numFmtId="0" fontId="88" fillId="0" borderId="0" xfId="0" applyFont="1"/>
    <xf numFmtId="0" fontId="149" fillId="0" borderId="0" xfId="0" applyFont="1" applyAlignment="1">
      <alignment horizontal="left" indent="1"/>
    </xf>
    <xf numFmtId="0" fontId="103" fillId="0" borderId="0" xfId="0" applyFont="1" applyBorder="1"/>
    <xf numFmtId="0" fontId="153" fillId="0" borderId="0" xfId="0" applyFont="1"/>
    <xf numFmtId="0" fontId="103" fillId="0" borderId="0" xfId="0" applyFont="1"/>
    <xf numFmtId="0" fontId="103" fillId="0" borderId="0" xfId="0" applyFont="1" applyAlignment="1">
      <alignment horizontal="center"/>
    </xf>
    <xf numFmtId="0" fontId="0" fillId="0" borderId="144" xfId="0" applyBorder="1"/>
    <xf numFmtId="0" fontId="0" fillId="0" borderId="98" xfId="0" applyBorder="1"/>
    <xf numFmtId="0" fontId="0" fillId="0" borderId="145" xfId="0" applyBorder="1"/>
    <xf numFmtId="191" fontId="2" fillId="0" borderId="146" xfId="0" applyNumberFormat="1" applyFont="1" applyFill="1" applyBorder="1" applyAlignment="1"/>
    <xf numFmtId="0" fontId="0" fillId="0" borderId="147" xfId="0" applyBorder="1"/>
    <xf numFmtId="0" fontId="0" fillId="0" borderId="148" xfId="0" applyBorder="1"/>
    <xf numFmtId="191" fontId="2" fillId="0" borderId="11" xfId="0" applyNumberFormat="1" applyFont="1" applyFill="1" applyBorder="1" applyAlignment="1"/>
    <xf numFmtId="0" fontId="0" fillId="0" borderId="149" xfId="0" applyBorder="1"/>
    <xf numFmtId="0" fontId="66" fillId="0" borderId="7" xfId="0" applyFont="1" applyBorder="1"/>
    <xf numFmtId="0" fontId="71" fillId="0" borderId="150" xfId="0" applyFont="1" applyFill="1" applyBorder="1" applyAlignment="1">
      <alignment horizontal="center"/>
    </xf>
    <xf numFmtId="0" fontId="71" fillId="0" borderId="13" xfId="0" applyFont="1" applyFill="1" applyBorder="1" applyAlignment="1">
      <alignment horizontal="center"/>
    </xf>
    <xf numFmtId="0" fontId="0" fillId="0" borderId="9" xfId="0" applyFill="1" applyBorder="1" applyAlignment="1">
      <alignment horizontal="center"/>
    </xf>
    <xf numFmtId="190" fontId="71" fillId="41" borderId="151" xfId="0" applyNumberFormat="1" applyFont="1" applyFill="1" applyBorder="1" applyAlignment="1">
      <alignment horizontal="center" wrapText="1"/>
    </xf>
    <xf numFmtId="190" fontId="71" fillId="42" borderId="110" xfId="0" applyNumberFormat="1" applyFont="1" applyFill="1" applyBorder="1" applyAlignment="1">
      <alignment horizontal="center" wrapText="1"/>
    </xf>
    <xf numFmtId="0" fontId="103" fillId="0" borderId="0" xfId="0" applyFont="1" applyBorder="1" applyAlignment="1">
      <alignment horizontal="center"/>
    </xf>
    <xf numFmtId="0" fontId="66" fillId="0" borderId="6" xfId="0" applyFont="1" applyBorder="1" applyAlignment="1">
      <alignment horizontal="left"/>
    </xf>
    <xf numFmtId="0" fontId="0" fillId="0" borderId="99" xfId="0" applyFill="1" applyBorder="1" applyAlignment="1">
      <alignment horizontal="center"/>
    </xf>
    <xf numFmtId="0" fontId="0" fillId="0" borderId="152" xfId="0" applyFill="1" applyBorder="1" applyAlignment="1">
      <alignment horizontal="center"/>
    </xf>
    <xf numFmtId="0" fontId="0" fillId="0" borderId="153" xfId="0" applyFill="1" applyBorder="1" applyAlignment="1">
      <alignment horizontal="center"/>
    </xf>
    <xf numFmtId="188" fontId="0" fillId="41" borderId="28" xfId="0" applyNumberFormat="1" applyFont="1" applyFill="1" applyBorder="1" applyAlignment="1">
      <alignment horizontal="center"/>
    </xf>
    <xf numFmtId="188" fontId="0" fillId="42" borderId="108" xfId="0" applyNumberFormat="1" applyFont="1" applyFill="1" applyBorder="1" applyAlignment="1">
      <alignment horizontal="center"/>
    </xf>
    <xf numFmtId="0" fontId="0" fillId="0" borderId="109" xfId="0" applyFill="1" applyBorder="1" applyAlignment="1">
      <alignment horizontal="center"/>
    </xf>
    <xf numFmtId="0" fontId="0" fillId="0" borderId="154" xfId="0" applyFill="1" applyBorder="1" applyAlignment="1">
      <alignment horizontal="center"/>
    </xf>
    <xf numFmtId="0" fontId="0" fillId="0" borderId="114" xfId="0" applyFill="1" applyBorder="1" applyAlignment="1">
      <alignment horizontal="center"/>
    </xf>
    <xf numFmtId="188" fontId="0" fillId="41" borderId="74" xfId="0" applyNumberFormat="1" applyFont="1" applyFill="1" applyBorder="1" applyAlignment="1">
      <alignment horizontal="center"/>
    </xf>
    <xf numFmtId="188" fontId="0" fillId="42" borderId="155" xfId="0" applyNumberFormat="1" applyFont="1" applyFill="1" applyBorder="1" applyAlignment="1">
      <alignment horizontal="center"/>
    </xf>
    <xf numFmtId="188" fontId="0" fillId="41" borderId="153" xfId="0" applyNumberFormat="1" applyFont="1" applyFill="1" applyBorder="1" applyAlignment="1">
      <alignment horizontal="center"/>
    </xf>
    <xf numFmtId="188" fontId="0" fillId="42" borderId="100" xfId="0" applyNumberFormat="1" applyFont="1" applyFill="1" applyBorder="1" applyAlignment="1">
      <alignment horizontal="center"/>
    </xf>
    <xf numFmtId="188" fontId="0" fillId="41" borderId="114" xfId="0" applyNumberFormat="1" applyFont="1" applyFill="1" applyBorder="1" applyAlignment="1">
      <alignment horizontal="center"/>
    </xf>
    <xf numFmtId="188" fontId="0" fillId="42" borderId="113" xfId="0" applyNumberFormat="1" applyFont="1" applyFill="1" applyBorder="1" applyAlignment="1">
      <alignment horizontal="center"/>
    </xf>
    <xf numFmtId="0" fontId="149" fillId="0" borderId="0" xfId="0" applyFont="1" applyFill="1"/>
    <xf numFmtId="0" fontId="0" fillId="0" borderId="107" xfId="0" applyFill="1" applyBorder="1" applyAlignment="1">
      <alignment horizontal="center"/>
    </xf>
    <xf numFmtId="0" fontId="0" fillId="0" borderId="12" xfId="0" applyFill="1" applyBorder="1" applyAlignment="1">
      <alignment horizontal="center"/>
    </xf>
    <xf numFmtId="0" fontId="0" fillId="0" borderId="28" xfId="0" applyFill="1" applyBorder="1" applyAlignment="1">
      <alignment horizontal="center"/>
    </xf>
    <xf numFmtId="0" fontId="148" fillId="0" borderId="0" xfId="0" applyFont="1" applyAlignment="1"/>
    <xf numFmtId="9" fontId="149" fillId="0" borderId="0" xfId="983" applyFont="1" applyBorder="1" applyAlignment="1">
      <alignment horizontal="left"/>
    </xf>
    <xf numFmtId="0" fontId="2" fillId="0" borderId="0" xfId="0" applyFont="1" applyFill="1"/>
    <xf numFmtId="192" fontId="0" fillId="0" borderId="0" xfId="32" applyNumberFormat="1" applyFont="1"/>
    <xf numFmtId="0" fontId="148" fillId="0" borderId="0" xfId="0" applyFont="1" applyFill="1" applyBorder="1"/>
    <xf numFmtId="18" fontId="149" fillId="0" borderId="0" xfId="0" applyNumberFormat="1" applyFont="1" applyBorder="1" applyAlignment="1">
      <alignment horizontal="left"/>
    </xf>
    <xf numFmtId="0" fontId="0" fillId="0" borderId="2" xfId="0" applyBorder="1" applyAlignment="1">
      <alignment horizontal="center"/>
    </xf>
    <xf numFmtId="0" fontId="0" fillId="0" borderId="0" xfId="0" quotePrefix="1"/>
    <xf numFmtId="0" fontId="148" fillId="0" borderId="0" xfId="0" applyFont="1" applyAlignment="1">
      <alignment vertical="center"/>
    </xf>
    <xf numFmtId="0" fontId="0" fillId="0" borderId="2" xfId="0" applyFill="1" applyBorder="1" applyAlignment="1">
      <alignment horizontal="center"/>
    </xf>
    <xf numFmtId="0" fontId="2" fillId="0" borderId="0" xfId="0" applyFont="1" applyFill="1" applyBorder="1"/>
    <xf numFmtId="0" fontId="2" fillId="0" borderId="94" xfId="0" applyFont="1" applyFill="1" applyBorder="1" applyAlignment="1">
      <alignment horizontal="center"/>
    </xf>
    <xf numFmtId="0" fontId="2" fillId="0" borderId="103" xfId="0" applyFont="1" applyFill="1" applyBorder="1" applyAlignment="1">
      <alignment horizontal="center"/>
    </xf>
    <xf numFmtId="9" fontId="71" fillId="0" borderId="105" xfId="0" applyNumberFormat="1" applyFont="1" applyFill="1" applyBorder="1" applyAlignment="1">
      <alignment horizontal="center"/>
    </xf>
    <xf numFmtId="184" fontId="71" fillId="0" borderId="106" xfId="0" applyNumberFormat="1" applyFont="1" applyFill="1" applyBorder="1" applyAlignment="1">
      <alignment horizontal="center"/>
    </xf>
    <xf numFmtId="9" fontId="71" fillId="0" borderId="109" xfId="0" applyNumberFormat="1" applyFont="1" applyFill="1" applyBorder="1" applyAlignment="1">
      <alignment horizontal="center"/>
    </xf>
    <xf numFmtId="184" fontId="71" fillId="0" borderId="113" xfId="0" applyNumberFormat="1" applyFont="1" applyFill="1" applyBorder="1" applyAlignment="1">
      <alignment horizontal="center"/>
    </xf>
    <xf numFmtId="0" fontId="149" fillId="0" borderId="0" xfId="0" applyFont="1" applyAlignment="1">
      <alignment horizontal="left"/>
    </xf>
    <xf numFmtId="0" fontId="89" fillId="0" borderId="0" xfId="0" applyFont="1"/>
    <xf numFmtId="193" fontId="62" fillId="33" borderId="0" xfId="32" applyNumberFormat="1" applyFont="1" applyFill="1" applyBorder="1"/>
    <xf numFmtId="193" fontId="0" fillId="0" borderId="0" xfId="32" applyNumberFormat="1" applyFont="1" applyBorder="1"/>
    <xf numFmtId="11" fontId="0" fillId="0" borderId="0" xfId="0" applyNumberFormat="1"/>
    <xf numFmtId="0" fontId="62" fillId="33" borderId="0" xfId="0" applyNumberFormat="1" applyFont="1" applyFill="1" applyBorder="1" applyAlignment="1">
      <alignment horizontal="left"/>
    </xf>
    <xf numFmtId="0" fontId="62" fillId="33" borderId="0" xfId="0" applyFont="1" applyFill="1" applyBorder="1" applyAlignment="1">
      <alignment horizontal="left"/>
    </xf>
    <xf numFmtId="0" fontId="66" fillId="0" borderId="0" xfId="0" applyFont="1" applyFill="1"/>
    <xf numFmtId="0" fontId="0" fillId="0" borderId="115" xfId="0" applyBorder="1"/>
    <xf numFmtId="0" fontId="0" fillId="0" borderId="159" xfId="0" applyBorder="1"/>
    <xf numFmtId="0" fontId="0" fillId="0" borderId="116" xfId="0" applyBorder="1"/>
    <xf numFmtId="0" fontId="0" fillId="0" borderId="111" xfId="0" applyBorder="1"/>
    <xf numFmtId="191" fontId="2" fillId="0" borderId="98" xfId="0" applyNumberFormat="1" applyFont="1" applyFill="1" applyBorder="1" applyAlignment="1"/>
    <xf numFmtId="0" fontId="66" fillId="0" borderId="2" xfId="0" applyFont="1" applyBorder="1"/>
    <xf numFmtId="0" fontId="66" fillId="0" borderId="5" xfId="0" applyFont="1" applyBorder="1"/>
    <xf numFmtId="0" fontId="2" fillId="0" borderId="2" xfId="0" applyFont="1" applyBorder="1" applyAlignment="1">
      <alignment horizontal="left" wrapText="1"/>
    </xf>
    <xf numFmtId="191" fontId="2" fillId="0" borderId="2" xfId="0" applyNumberFormat="1" applyFont="1" applyBorder="1" applyAlignment="1">
      <alignment horizontal="left" wrapText="1"/>
    </xf>
    <xf numFmtId="190" fontId="71" fillId="41" borderId="160" xfId="0" applyNumberFormat="1" applyFont="1" applyFill="1" applyBorder="1" applyAlignment="1">
      <alignment horizontal="left" wrapText="1"/>
    </xf>
    <xf numFmtId="0" fontId="71" fillId="42" borderId="114" xfId="0" applyFont="1" applyFill="1" applyBorder="1" applyAlignment="1">
      <alignment horizontal="center" wrapText="1"/>
    </xf>
    <xf numFmtId="0" fontId="71" fillId="39" borderId="161" xfId="0" applyFont="1" applyFill="1" applyBorder="1" applyAlignment="1">
      <alignment horizontal="left" wrapText="1"/>
    </xf>
    <xf numFmtId="0" fontId="66" fillId="0" borderId="2" xfId="0" applyFont="1" applyBorder="1" applyAlignment="1">
      <alignment horizontal="center"/>
    </xf>
    <xf numFmtId="0" fontId="66" fillId="0" borderId="2" xfId="0" applyFont="1" applyBorder="1" applyAlignment="1">
      <alignment horizontal="left"/>
    </xf>
    <xf numFmtId="191" fontId="71" fillId="0" borderId="12" xfId="0" applyNumberFormat="1" applyFont="1" applyBorder="1" applyAlignment="1">
      <alignment horizontal="left"/>
    </xf>
    <xf numFmtId="0" fontId="71" fillId="0" borderId="12" xfId="0" applyNumberFormat="1" applyFont="1" applyBorder="1" applyAlignment="1">
      <alignment horizontal="right"/>
    </xf>
    <xf numFmtId="191" fontId="71" fillId="0" borderId="28" xfId="0" applyNumberFormat="1" applyFont="1" applyBorder="1"/>
    <xf numFmtId="184" fontId="71" fillId="41" borderId="146" xfId="0" applyNumberFormat="1" applyFont="1" applyFill="1" applyBorder="1" applyAlignment="1">
      <alignment horizontal="center"/>
    </xf>
    <xf numFmtId="184" fontId="71" fillId="42" borderId="153" xfId="0" applyNumberFormat="1" applyFont="1" applyFill="1" applyBorder="1" applyAlignment="1">
      <alignment horizontal="center"/>
    </xf>
    <xf numFmtId="184" fontId="71" fillId="39" borderId="147" xfId="0" applyNumberFormat="1" applyFont="1" applyFill="1" applyBorder="1" applyAlignment="1">
      <alignment horizontal="center"/>
    </xf>
    <xf numFmtId="0" fontId="71" fillId="0" borderId="6" xfId="0" applyFont="1" applyBorder="1" applyAlignment="1">
      <alignment horizontal="left"/>
    </xf>
    <xf numFmtId="0" fontId="71" fillId="0" borderId="6" xfId="0" applyNumberFormat="1" applyFont="1" applyBorder="1" applyAlignment="1">
      <alignment horizontal="right"/>
    </xf>
    <xf numFmtId="0" fontId="71" fillId="0" borderId="2" xfId="0" applyFont="1" applyBorder="1" applyAlignment="1">
      <alignment horizontal="center"/>
    </xf>
    <xf numFmtId="184" fontId="71" fillId="41" borderId="5" xfId="0" applyNumberFormat="1" applyFont="1" applyFill="1" applyBorder="1" applyAlignment="1">
      <alignment horizontal="center"/>
    </xf>
    <xf numFmtId="184" fontId="71" fillId="42" borderId="2" xfId="0" applyNumberFormat="1" applyFont="1" applyFill="1" applyBorder="1" applyAlignment="1">
      <alignment horizontal="center"/>
    </xf>
    <xf numFmtId="184" fontId="71" fillId="39" borderId="122" xfId="0" applyNumberFormat="1" applyFont="1" applyFill="1" applyBorder="1" applyAlignment="1">
      <alignment horizontal="center"/>
    </xf>
    <xf numFmtId="0" fontId="0" fillId="0" borderId="6" xfId="0" applyBorder="1" applyAlignment="1">
      <alignment horizontal="left"/>
    </xf>
    <xf numFmtId="0" fontId="0" fillId="0" borderId="6" xfId="0" applyNumberFormat="1" applyBorder="1" applyAlignment="1">
      <alignment horizontal="right"/>
    </xf>
    <xf numFmtId="0" fontId="0" fillId="0" borderId="0" xfId="0" applyAlignment="1"/>
    <xf numFmtId="0" fontId="149" fillId="0" borderId="0" xfId="0" applyFont="1" applyAlignment="1"/>
    <xf numFmtId="0" fontId="0" fillId="0" borderId="10" xfId="0" applyBorder="1" applyAlignment="1">
      <alignment horizontal="left"/>
    </xf>
    <xf numFmtId="0" fontId="0" fillId="0" borderId="10" xfId="0" applyNumberFormat="1" applyBorder="1" applyAlignment="1">
      <alignment horizontal="right"/>
    </xf>
    <xf numFmtId="0" fontId="0" fillId="0" borderId="74" xfId="0" applyBorder="1" applyAlignment="1">
      <alignment horizontal="center"/>
    </xf>
    <xf numFmtId="0" fontId="71" fillId="0" borderId="154" xfId="0" applyFont="1" applyBorder="1" applyAlignment="1">
      <alignment horizontal="left"/>
    </xf>
    <xf numFmtId="0" fontId="71" fillId="0" borderId="154" xfId="0" applyNumberFormat="1" applyFont="1" applyBorder="1" applyAlignment="1">
      <alignment horizontal="right"/>
    </xf>
    <xf numFmtId="0" fontId="71" fillId="0" borderId="114" xfId="0" applyFont="1" applyBorder="1" applyAlignment="1">
      <alignment horizontal="center"/>
    </xf>
    <xf numFmtId="184" fontId="71" fillId="41" borderId="162" xfId="0" applyNumberFormat="1" applyFont="1" applyFill="1" applyBorder="1" applyAlignment="1">
      <alignment horizontal="center"/>
    </xf>
    <xf numFmtId="184" fontId="71" fillId="42" borderId="114" xfId="0" applyNumberFormat="1" applyFont="1" applyFill="1" applyBorder="1" applyAlignment="1">
      <alignment horizontal="center"/>
    </xf>
    <xf numFmtId="184" fontId="71" fillId="39" borderId="161" xfId="0" applyNumberFormat="1" applyFont="1" applyFill="1" applyBorder="1" applyAlignment="1">
      <alignment horizontal="center"/>
    </xf>
    <xf numFmtId="191" fontId="71" fillId="0" borderId="152" xfId="0" applyNumberFormat="1" applyFont="1" applyBorder="1" applyAlignment="1">
      <alignment horizontal="left"/>
    </xf>
    <xf numFmtId="0" fontId="71" fillId="0" borderId="152" xfId="0" applyNumberFormat="1" applyFont="1" applyBorder="1" applyAlignment="1">
      <alignment horizontal="right"/>
    </xf>
    <xf numFmtId="191" fontId="71" fillId="0" borderId="153" xfId="0" applyNumberFormat="1" applyFont="1" applyBorder="1"/>
    <xf numFmtId="9" fontId="71" fillId="0" borderId="99" xfId="0" applyNumberFormat="1" applyFont="1" applyFill="1" applyBorder="1" applyAlignment="1">
      <alignment horizontal="center"/>
    </xf>
    <xf numFmtId="184" fontId="71" fillId="0" borderId="100" xfId="0" applyNumberFormat="1" applyFont="1" applyFill="1" applyBorder="1" applyAlignment="1">
      <alignment horizontal="center"/>
    </xf>
    <xf numFmtId="0" fontId="71" fillId="0" borderId="109" xfId="0" applyFont="1" applyFill="1" applyBorder="1" applyAlignment="1">
      <alignment horizontal="center"/>
    </xf>
    <xf numFmtId="0" fontId="2" fillId="0" borderId="0" xfId="0" applyFont="1" applyAlignment="1">
      <alignment horizontal="left"/>
    </xf>
    <xf numFmtId="0" fontId="148" fillId="0" borderId="0" xfId="0" applyFont="1" applyBorder="1"/>
    <xf numFmtId="0" fontId="149" fillId="0" borderId="0" xfId="0" applyFont="1" applyBorder="1"/>
    <xf numFmtId="0" fontId="148" fillId="0" borderId="163" xfId="0" applyFont="1" applyBorder="1"/>
    <xf numFmtId="0" fontId="149" fillId="0" borderId="164" xfId="0" applyFont="1" applyBorder="1" applyAlignment="1">
      <alignment horizontal="left"/>
    </xf>
    <xf numFmtId="0" fontId="149" fillId="0" borderId="164" xfId="0" applyFont="1" applyBorder="1"/>
    <xf numFmtId="0" fontId="149" fillId="0" borderId="165" xfId="0" applyFont="1" applyBorder="1"/>
    <xf numFmtId="0" fontId="88" fillId="0" borderId="0" xfId="0" applyFont="1" applyAlignment="1">
      <alignment horizontal="left"/>
    </xf>
    <xf numFmtId="0" fontId="148" fillId="30" borderId="0" xfId="0" applyFont="1" applyFill="1" applyBorder="1"/>
    <xf numFmtId="0" fontId="148" fillId="30" borderId="0" xfId="0" applyFont="1" applyFill="1" applyBorder="1" applyAlignment="1">
      <alignment horizontal="left"/>
    </xf>
    <xf numFmtId="0" fontId="148" fillId="30" borderId="0" xfId="0" applyNumberFormat="1" applyFont="1" applyFill="1" applyBorder="1" applyAlignment="1">
      <alignment horizontal="center"/>
    </xf>
    <xf numFmtId="0" fontId="71" fillId="30" borderId="0" xfId="0" applyFont="1" applyFill="1" applyBorder="1"/>
    <xf numFmtId="0" fontId="0" fillId="0" borderId="0" xfId="0" applyBorder="1" applyAlignment="1">
      <alignment horizontal="left"/>
    </xf>
    <xf numFmtId="0" fontId="0" fillId="0" borderId="166" xfId="0" applyBorder="1"/>
    <xf numFmtId="0" fontId="149" fillId="0" borderId="0" xfId="0" applyFont="1" applyAlignment="1">
      <alignment horizontal="left" indent="2"/>
    </xf>
    <xf numFmtId="0" fontId="2" fillId="0" borderId="105" xfId="0" applyFont="1" applyBorder="1"/>
    <xf numFmtId="0" fontId="2" fillId="0" borderId="2" xfId="0" applyFont="1" applyBorder="1"/>
    <xf numFmtId="0" fontId="0" fillId="0" borderId="0" xfId="0" applyAlignment="1">
      <alignment wrapText="1"/>
    </xf>
    <xf numFmtId="0" fontId="2" fillId="0" borderId="0" xfId="0" applyFont="1" applyBorder="1" applyAlignment="1">
      <alignment horizontal="left"/>
    </xf>
    <xf numFmtId="0" fontId="2" fillId="44" borderId="32" xfId="0" applyFont="1" applyFill="1" applyBorder="1" applyAlignment="1">
      <alignment horizontal="center"/>
    </xf>
    <xf numFmtId="0" fontId="71" fillId="41" borderId="167" xfId="0" applyFont="1" applyFill="1" applyBorder="1" applyAlignment="1">
      <alignment horizontal="center" vertical="center" wrapText="1"/>
    </xf>
    <xf numFmtId="0" fontId="71" fillId="41" borderId="82" xfId="0" applyFont="1" applyFill="1" applyBorder="1" applyAlignment="1">
      <alignment horizontal="center" vertical="center" wrapText="1"/>
    </xf>
    <xf numFmtId="0" fontId="71" fillId="42" borderId="101" xfId="0" applyFont="1" applyFill="1" applyBorder="1" applyAlignment="1">
      <alignment horizontal="center" vertical="center" wrapText="1"/>
    </xf>
    <xf numFmtId="0" fontId="71" fillId="42" borderId="103" xfId="0" applyFont="1" applyFill="1" applyBorder="1" applyAlignment="1">
      <alignment horizontal="center" vertical="center" wrapText="1"/>
    </xf>
    <xf numFmtId="0" fontId="71" fillId="39" borderId="101" xfId="0" applyFont="1" applyFill="1" applyBorder="1" applyAlignment="1">
      <alignment horizontal="center" vertical="center" wrapText="1"/>
    </xf>
    <xf numFmtId="0" fontId="71" fillId="39" borderId="103" xfId="0" applyFont="1" applyFill="1" applyBorder="1" applyAlignment="1">
      <alignment horizontal="center" vertical="center" wrapText="1"/>
    </xf>
    <xf numFmtId="0" fontId="71" fillId="44" borderId="32" xfId="0" applyFont="1" applyFill="1" applyBorder="1" applyAlignment="1">
      <alignment horizontal="center" vertical="center"/>
    </xf>
    <xf numFmtId="0" fontId="0" fillId="0" borderId="115" xfId="0" applyBorder="1" applyAlignment="1">
      <alignment horizontal="left"/>
    </xf>
    <xf numFmtId="0" fontId="2" fillId="0" borderId="105" xfId="0" applyFont="1" applyBorder="1" applyAlignment="1"/>
    <xf numFmtId="0" fontId="0" fillId="0" borderId="2" xfId="0" applyBorder="1" applyAlignment="1"/>
    <xf numFmtId="9" fontId="0" fillId="0" borderId="0" xfId="0" applyNumberFormat="1"/>
    <xf numFmtId="181" fontId="71" fillId="0" borderId="0" xfId="410" applyNumberFormat="1" applyFont="1" applyFill="1" applyBorder="1" applyAlignment="1">
      <alignment horizontal="center"/>
    </xf>
    <xf numFmtId="0" fontId="154" fillId="0" borderId="0" xfId="0" applyFont="1" applyAlignment="1">
      <alignment horizontal="left"/>
    </xf>
    <xf numFmtId="0" fontId="2" fillId="0" borderId="112" xfId="0" applyFont="1" applyBorder="1" applyAlignment="1">
      <alignment horizontal="left"/>
    </xf>
    <xf numFmtId="9" fontId="89" fillId="41" borderId="154" xfId="0" applyNumberFormat="1" applyFont="1" applyFill="1" applyBorder="1" applyAlignment="1">
      <alignment horizontal="center" vertical="center" wrapText="1"/>
    </xf>
    <xf numFmtId="9" fontId="89" fillId="41" borderId="161" xfId="0" applyNumberFormat="1" applyFont="1" applyFill="1" applyBorder="1" applyAlignment="1">
      <alignment horizontal="center" vertical="center" wrapText="1"/>
    </xf>
    <xf numFmtId="9" fontId="89" fillId="42" borderId="109" xfId="0" applyNumberFormat="1" applyFont="1" applyFill="1" applyBorder="1" applyAlignment="1">
      <alignment horizontal="center" vertical="center" wrapText="1"/>
    </xf>
    <xf numFmtId="9" fontId="89" fillId="42" borderId="113" xfId="0" applyNumberFormat="1" applyFont="1" applyFill="1" applyBorder="1" applyAlignment="1">
      <alignment horizontal="center" vertical="center" wrapText="1"/>
    </xf>
    <xf numFmtId="9" fontId="89" fillId="39" borderId="109" xfId="0" applyNumberFormat="1" applyFont="1" applyFill="1" applyBorder="1" applyAlignment="1">
      <alignment horizontal="center" vertical="center" wrapText="1"/>
    </xf>
    <xf numFmtId="9" fontId="89" fillId="39" borderId="113" xfId="0" applyNumberFormat="1" applyFont="1" applyFill="1" applyBorder="1" applyAlignment="1">
      <alignment horizontal="center" vertical="center" wrapText="1"/>
    </xf>
    <xf numFmtId="9" fontId="89" fillId="44" borderId="120" xfId="0" applyNumberFormat="1" applyFont="1" applyFill="1" applyBorder="1" applyAlignment="1">
      <alignment horizontal="center" vertical="center"/>
    </xf>
    <xf numFmtId="0" fontId="149" fillId="0" borderId="0" xfId="0" applyFont="1" applyFill="1" applyAlignment="1">
      <alignment horizontal="left"/>
    </xf>
    <xf numFmtId="0" fontId="2" fillId="0" borderId="111" xfId="0" applyFont="1" applyBorder="1" applyAlignment="1">
      <alignment horizontal="left"/>
    </xf>
    <xf numFmtId="0" fontId="2" fillId="0" borderId="148" xfId="0" applyFont="1" applyBorder="1"/>
    <xf numFmtId="0" fontId="2" fillId="0" borderId="27" xfId="0" applyFont="1" applyBorder="1"/>
    <xf numFmtId="0" fontId="2" fillId="0" borderId="169" xfId="0" applyFont="1" applyBorder="1"/>
    <xf numFmtId="0" fontId="71" fillId="41" borderId="170" xfId="0" applyFont="1" applyFill="1" applyBorder="1" applyAlignment="1">
      <alignment horizontal="center" vertical="center" wrapText="1"/>
    </xf>
    <xf numFmtId="0" fontId="71" fillId="41" borderId="84" xfId="0" applyFont="1" applyFill="1" applyBorder="1" applyAlignment="1">
      <alignment horizontal="center" vertical="center" wrapText="1"/>
    </xf>
    <xf numFmtId="0" fontId="71" fillId="42" borderId="170" xfId="0" applyFont="1" applyFill="1" applyBorder="1" applyAlignment="1">
      <alignment horizontal="center" vertical="center" wrapText="1"/>
    </xf>
    <xf numFmtId="0" fontId="71" fillId="42" borderId="110" xfId="0" applyFont="1" applyFill="1" applyBorder="1" applyAlignment="1">
      <alignment horizontal="center" vertical="center" wrapText="1"/>
    </xf>
    <xf numFmtId="0" fontId="71" fillId="39" borderId="170" xfId="0" applyFont="1" applyFill="1" applyBorder="1" applyAlignment="1">
      <alignment horizontal="center" vertical="center" wrapText="1"/>
    </xf>
    <xf numFmtId="0" fontId="71" fillId="39" borderId="110" xfId="0" applyFont="1" applyFill="1" applyBorder="1" applyAlignment="1">
      <alignment horizontal="center" vertical="center" wrapText="1"/>
    </xf>
    <xf numFmtId="0" fontId="71" fillId="44" borderId="83" xfId="0" applyFont="1" applyFill="1" applyBorder="1" applyAlignment="1">
      <alignment horizontal="center" vertical="center"/>
    </xf>
    <xf numFmtId="0" fontId="0" fillId="0" borderId="153" xfId="0" applyFill="1" applyBorder="1" applyAlignment="1">
      <alignment horizontal="left"/>
    </xf>
    <xf numFmtId="0" fontId="71" fillId="0" borderId="105" xfId="0" applyFont="1" applyBorder="1" applyAlignment="1">
      <alignment horizontal="center"/>
    </xf>
    <xf numFmtId="0" fontId="0" fillId="0" borderId="146" xfId="0" applyBorder="1" applyAlignment="1">
      <alignment horizontal="center"/>
    </xf>
    <xf numFmtId="188" fontId="0" fillId="41" borderId="99" xfId="0" applyNumberFormat="1" applyFont="1" applyFill="1" applyBorder="1" applyAlignment="1">
      <alignment horizontal="center"/>
    </xf>
    <xf numFmtId="188" fontId="0" fillId="41" borderId="100" xfId="0" applyNumberFormat="1" applyFont="1" applyFill="1" applyBorder="1" applyAlignment="1">
      <alignment horizontal="center"/>
    </xf>
    <xf numFmtId="188" fontId="0" fillId="42" borderId="99" xfId="0" applyNumberFormat="1" applyFont="1" applyFill="1" applyBorder="1" applyAlignment="1">
      <alignment horizontal="center"/>
    </xf>
    <xf numFmtId="188" fontId="0" fillId="39" borderId="99" xfId="0" applyNumberFormat="1" applyFont="1" applyFill="1" applyBorder="1" applyAlignment="1">
      <alignment horizontal="center"/>
    </xf>
    <xf numFmtId="188" fontId="0" fillId="39" borderId="100" xfId="0" applyNumberFormat="1" applyFont="1" applyFill="1" applyBorder="1" applyAlignment="1">
      <alignment horizontal="center"/>
    </xf>
    <xf numFmtId="188" fontId="0" fillId="44" borderId="171" xfId="0" applyNumberFormat="1" applyFont="1" applyFill="1" applyBorder="1" applyAlignment="1">
      <alignment horizontal="center"/>
    </xf>
    <xf numFmtId="0" fontId="0" fillId="0" borderId="114" xfId="0" applyFill="1" applyBorder="1" applyAlignment="1">
      <alignment horizontal="left"/>
    </xf>
    <xf numFmtId="0" fontId="71" fillId="0" borderId="162" xfId="0" applyFont="1" applyBorder="1" applyAlignment="1">
      <alignment horizontal="center"/>
    </xf>
    <xf numFmtId="188" fontId="71" fillId="41" borderId="109" xfId="0" applyNumberFormat="1" applyFont="1" applyFill="1" applyBorder="1" applyAlignment="1">
      <alignment horizontal="center"/>
    </xf>
    <xf numFmtId="188" fontId="71" fillId="41" borderId="113" xfId="0" applyNumberFormat="1" applyFont="1" applyFill="1" applyBorder="1" applyAlignment="1">
      <alignment horizontal="center"/>
    </xf>
    <xf numFmtId="188" fontId="71" fillId="42" borderId="109" xfId="0" applyNumberFormat="1" applyFont="1" applyFill="1" applyBorder="1" applyAlignment="1">
      <alignment horizontal="center"/>
    </xf>
    <xf numFmtId="188" fontId="71" fillId="42" borderId="113" xfId="0" applyNumberFormat="1" applyFont="1" applyFill="1" applyBorder="1" applyAlignment="1">
      <alignment horizontal="center"/>
    </xf>
    <xf numFmtId="188" fontId="71" fillId="39" borderId="109" xfId="0" applyNumberFormat="1" applyFont="1" applyFill="1" applyBorder="1" applyAlignment="1">
      <alignment horizontal="center"/>
    </xf>
    <xf numFmtId="188" fontId="71" fillId="39" borderId="113" xfId="0" applyNumberFormat="1" applyFont="1" applyFill="1" applyBorder="1" applyAlignment="1">
      <alignment horizontal="center"/>
    </xf>
    <xf numFmtId="188" fontId="71" fillId="44" borderId="120" xfId="0" applyNumberFormat="1" applyFont="1" applyFill="1" applyBorder="1" applyAlignment="1">
      <alignment horizontal="center"/>
    </xf>
    <xf numFmtId="0" fontId="62" fillId="33" borderId="0" xfId="0" applyFont="1" applyFill="1" applyAlignment="1">
      <alignment horizontal="left"/>
    </xf>
    <xf numFmtId="0" fontId="0" fillId="0" borderId="28" xfId="0" applyFill="1" applyBorder="1" applyAlignment="1">
      <alignment horizontal="left"/>
    </xf>
    <xf numFmtId="0" fontId="0" fillId="0" borderId="11" xfId="0" applyBorder="1" applyAlignment="1">
      <alignment horizontal="center"/>
    </xf>
    <xf numFmtId="188" fontId="0" fillId="41" borderId="107" xfId="0" applyNumberFormat="1" applyFont="1" applyFill="1" applyBorder="1" applyAlignment="1">
      <alignment horizontal="center"/>
    </xf>
    <xf numFmtId="188" fontId="0" fillId="41" borderId="108" xfId="0" applyNumberFormat="1" applyFont="1" applyFill="1" applyBorder="1" applyAlignment="1">
      <alignment horizontal="center"/>
    </xf>
    <xf numFmtId="188" fontId="0" fillId="42" borderId="107" xfId="0" applyNumberFormat="1" applyFont="1" applyFill="1" applyBorder="1" applyAlignment="1">
      <alignment horizontal="center"/>
    </xf>
    <xf numFmtId="188" fontId="0" fillId="39" borderId="107" xfId="0" applyNumberFormat="1" applyFont="1" applyFill="1" applyBorder="1" applyAlignment="1">
      <alignment horizontal="center"/>
    </xf>
    <xf numFmtId="188" fontId="0" fillId="39" borderId="108" xfId="0" applyNumberFormat="1" applyFont="1" applyFill="1" applyBorder="1" applyAlignment="1">
      <alignment horizontal="center"/>
    </xf>
    <xf numFmtId="188" fontId="0" fillId="44" borderId="121" xfId="0" applyNumberFormat="1" applyFont="1" applyFill="1" applyBorder="1" applyAlignment="1">
      <alignment horizontal="center"/>
    </xf>
    <xf numFmtId="0" fontId="0" fillId="0" borderId="74" xfId="0" applyFill="1" applyBorder="1" applyAlignment="1">
      <alignment horizontal="left"/>
    </xf>
    <xf numFmtId="0" fontId="0" fillId="0" borderId="74" xfId="0" applyFill="1" applyBorder="1" applyAlignment="1">
      <alignment horizontal="center"/>
    </xf>
    <xf numFmtId="0" fontId="71" fillId="0" borderId="9" xfId="0" applyFont="1" applyBorder="1" applyAlignment="1">
      <alignment horizontal="center"/>
    </xf>
    <xf numFmtId="188" fontId="71" fillId="41" borderId="150" xfId="0" applyNumberFormat="1" applyFont="1" applyFill="1" applyBorder="1" applyAlignment="1">
      <alignment horizontal="center"/>
    </xf>
    <xf numFmtId="188" fontId="71" fillId="41" borderId="155" xfId="0" applyNumberFormat="1" applyFont="1" applyFill="1" applyBorder="1" applyAlignment="1">
      <alignment horizontal="center"/>
    </xf>
    <xf numFmtId="188" fontId="71" fillId="42" borderId="150" xfId="0" applyNumberFormat="1" applyFont="1" applyFill="1" applyBorder="1" applyAlignment="1">
      <alignment horizontal="center"/>
    </xf>
    <xf numFmtId="188" fontId="71" fillId="42" borderId="155" xfId="0" applyNumberFormat="1" applyFont="1" applyFill="1" applyBorder="1" applyAlignment="1">
      <alignment horizontal="center"/>
    </xf>
    <xf numFmtId="188" fontId="71" fillId="39" borderId="150" xfId="0" applyNumberFormat="1" applyFont="1" applyFill="1" applyBorder="1" applyAlignment="1">
      <alignment horizontal="center"/>
    </xf>
    <xf numFmtId="188" fontId="71" fillId="39" borderId="155" xfId="0" applyNumberFormat="1" applyFont="1" applyFill="1" applyBorder="1" applyAlignment="1">
      <alignment horizontal="center"/>
    </xf>
    <xf numFmtId="188" fontId="71" fillId="44" borderId="172" xfId="0" applyNumberFormat="1" applyFont="1" applyFill="1" applyBorder="1" applyAlignment="1">
      <alignment horizontal="center"/>
    </xf>
    <xf numFmtId="0" fontId="0" fillId="0" borderId="162" xfId="0" applyBorder="1" applyAlignment="1">
      <alignment horizontal="center"/>
    </xf>
    <xf numFmtId="188" fontId="0" fillId="41" borderId="109" xfId="0" applyNumberFormat="1" applyFont="1" applyFill="1" applyBorder="1" applyAlignment="1">
      <alignment horizontal="center"/>
    </xf>
    <xf numFmtId="188" fontId="0" fillId="41" borderId="113" xfId="0" applyNumberFormat="1" applyFont="1" applyFill="1" applyBorder="1" applyAlignment="1">
      <alignment horizontal="center"/>
    </xf>
    <xf numFmtId="188" fontId="0" fillId="42" borderId="109" xfId="0" applyNumberFormat="1" applyFont="1" applyFill="1" applyBorder="1" applyAlignment="1">
      <alignment horizontal="center"/>
    </xf>
    <xf numFmtId="188" fontId="0" fillId="39" borderId="109" xfId="0" applyNumberFormat="1" applyFont="1" applyFill="1" applyBorder="1" applyAlignment="1">
      <alignment horizontal="center"/>
    </xf>
    <xf numFmtId="188" fontId="0" fillId="39" borderId="113" xfId="0" applyNumberFormat="1" applyFont="1" applyFill="1" applyBorder="1" applyAlignment="1">
      <alignment horizontal="center"/>
    </xf>
    <xf numFmtId="188" fontId="0" fillId="44" borderId="120" xfId="0" applyNumberFormat="1" applyFont="1" applyFill="1" applyBorder="1" applyAlignment="1">
      <alignment horizontal="center"/>
    </xf>
    <xf numFmtId="9" fontId="148" fillId="0" borderId="0" xfId="0" applyNumberFormat="1" applyFont="1"/>
    <xf numFmtId="181" fontId="149" fillId="0" borderId="0" xfId="410" applyNumberFormat="1" applyFont="1" applyFill="1" applyBorder="1" applyAlignment="1">
      <alignment horizontal="left"/>
    </xf>
    <xf numFmtId="0" fontId="0" fillId="0" borderId="166" xfId="0" applyFill="1" applyBorder="1" applyAlignment="1">
      <alignment horizontal="left"/>
    </xf>
    <xf numFmtId="0" fontId="0" fillId="0" borderId="166" xfId="0" applyFill="1" applyBorder="1" applyAlignment="1">
      <alignment horizontal="center"/>
    </xf>
    <xf numFmtId="0" fontId="71" fillId="0" borderId="173" xfId="0" applyFont="1" applyBorder="1" applyAlignment="1">
      <alignment horizontal="center"/>
    </xf>
    <xf numFmtId="188" fontId="71" fillId="41" borderId="101" xfId="0" applyNumberFormat="1" applyFont="1" applyFill="1" applyBorder="1" applyAlignment="1">
      <alignment horizontal="center"/>
    </xf>
    <xf numFmtId="188" fontId="71" fillId="41" borderId="103" xfId="0" applyNumberFormat="1" applyFont="1" applyFill="1" applyBorder="1" applyAlignment="1">
      <alignment horizontal="center"/>
    </xf>
    <xf numFmtId="188" fontId="71" fillId="42" borderId="101" xfId="0" applyNumberFormat="1" applyFont="1" applyFill="1" applyBorder="1" applyAlignment="1">
      <alignment horizontal="center"/>
    </xf>
    <xf numFmtId="188" fontId="71" fillId="42" borderId="103" xfId="0" applyNumberFormat="1" applyFont="1" applyFill="1" applyBorder="1" applyAlignment="1">
      <alignment horizontal="center"/>
    </xf>
    <xf numFmtId="188" fontId="71" fillId="39" borderId="101" xfId="0" applyNumberFormat="1" applyFont="1" applyFill="1" applyBorder="1" applyAlignment="1">
      <alignment horizontal="center"/>
    </xf>
    <xf numFmtId="188" fontId="71" fillId="39" borderId="103" xfId="0" applyNumberFormat="1" applyFont="1" applyFill="1" applyBorder="1" applyAlignment="1">
      <alignment horizontal="center"/>
    </xf>
    <xf numFmtId="188" fontId="71" fillId="44" borderId="32" xfId="0" applyNumberFormat="1" applyFont="1" applyFill="1" applyBorder="1" applyAlignment="1">
      <alignment horizontal="center"/>
    </xf>
    <xf numFmtId="0" fontId="71" fillId="0" borderId="145" xfId="0" applyFont="1" applyBorder="1" applyAlignment="1">
      <alignment horizontal="center"/>
    </xf>
    <xf numFmtId="188" fontId="71" fillId="41" borderId="144" xfId="0" applyNumberFormat="1" applyFont="1" applyFill="1" applyBorder="1" applyAlignment="1">
      <alignment horizontal="center"/>
    </xf>
    <xf numFmtId="188" fontId="71" fillId="41" borderId="174" xfId="0" applyNumberFormat="1" applyFont="1" applyFill="1" applyBorder="1" applyAlignment="1">
      <alignment horizontal="center"/>
    </xf>
    <xf numFmtId="188" fontId="71" fillId="42" borderId="144" xfId="0" applyNumberFormat="1" applyFont="1" applyFill="1" applyBorder="1" applyAlignment="1">
      <alignment horizontal="center"/>
    </xf>
    <xf numFmtId="188" fontId="71" fillId="42" borderId="174" xfId="0" applyNumberFormat="1" applyFont="1" applyFill="1" applyBorder="1" applyAlignment="1">
      <alignment horizontal="center"/>
    </xf>
    <xf numFmtId="188" fontId="71" fillId="39" borderId="144" xfId="0" applyNumberFormat="1" applyFont="1" applyFill="1" applyBorder="1" applyAlignment="1">
      <alignment horizontal="center"/>
    </xf>
    <xf numFmtId="188" fontId="71" fillId="39" borderId="174" xfId="0" applyNumberFormat="1" applyFont="1" applyFill="1" applyBorder="1" applyAlignment="1">
      <alignment horizontal="center"/>
    </xf>
    <xf numFmtId="188" fontId="71" fillId="44" borderId="97" xfId="0" applyNumberFormat="1" applyFont="1" applyFill="1" applyBorder="1" applyAlignment="1">
      <alignment horizontal="center"/>
    </xf>
    <xf numFmtId="0" fontId="0" fillId="0" borderId="102" xfId="0" applyFill="1" applyBorder="1" applyAlignment="1">
      <alignment horizontal="left"/>
    </xf>
    <xf numFmtId="0" fontId="71" fillId="0" borderId="109" xfId="0" applyFont="1" applyBorder="1" applyAlignment="1">
      <alignment horizontal="center"/>
    </xf>
    <xf numFmtId="0" fontId="0" fillId="0" borderId="102" xfId="0" applyFill="1" applyBorder="1" applyAlignment="1">
      <alignment horizontal="center"/>
    </xf>
    <xf numFmtId="0" fontId="2" fillId="0" borderId="101" xfId="0" applyFont="1" applyBorder="1"/>
    <xf numFmtId="0" fontId="2" fillId="0" borderId="103" xfId="0" applyFont="1" applyBorder="1"/>
    <xf numFmtId="9" fontId="0" fillId="0" borderId="107" xfId="0" applyNumberFormat="1" applyFont="1" applyBorder="1" applyAlignment="1">
      <alignment horizontal="center"/>
    </xf>
    <xf numFmtId="184" fontId="0" fillId="0" borderId="108" xfId="0" applyNumberFormat="1" applyFont="1" applyBorder="1" applyAlignment="1">
      <alignment horizontal="center"/>
    </xf>
    <xf numFmtId="9" fontId="0" fillId="0" borderId="105" xfId="0" applyNumberFormat="1" applyFont="1" applyBorder="1" applyAlignment="1">
      <alignment horizontal="center"/>
    </xf>
    <xf numFmtId="184" fontId="0" fillId="0" borderId="106" xfId="0" applyNumberFormat="1" applyFont="1" applyBorder="1" applyAlignment="1">
      <alignment horizontal="center"/>
    </xf>
    <xf numFmtId="0" fontId="0" fillId="0" borderId="109" xfId="0" applyFont="1" applyBorder="1" applyAlignment="1">
      <alignment horizontal="center"/>
    </xf>
    <xf numFmtId="184" fontId="0" fillId="0" borderId="113" xfId="0" applyNumberFormat="1" applyFont="1" applyBorder="1" applyAlignment="1">
      <alignment horizontal="center"/>
    </xf>
    <xf numFmtId="0" fontId="155" fillId="0" borderId="0" xfId="0" applyFont="1"/>
    <xf numFmtId="184" fontId="63" fillId="33" borderId="0" xfId="0" applyNumberFormat="1" applyFont="1" applyFill="1" applyBorder="1"/>
    <xf numFmtId="9" fontId="63" fillId="33" borderId="0" xfId="983" applyNumberFormat="1" applyFont="1" applyFill="1" applyBorder="1"/>
    <xf numFmtId="181" fontId="63" fillId="33" borderId="0" xfId="410" applyNumberFormat="1" applyFont="1" applyFill="1" applyBorder="1"/>
    <xf numFmtId="0" fontId="63" fillId="33" borderId="0" xfId="0" applyNumberFormat="1" applyFont="1" applyFill="1" applyBorder="1" applyAlignment="1">
      <alignment horizontal="left"/>
    </xf>
    <xf numFmtId="0" fontId="63" fillId="33" borderId="0" xfId="0" applyFont="1" applyFill="1" applyBorder="1" applyAlignment="1">
      <alignment horizontal="left"/>
    </xf>
    <xf numFmtId="0" fontId="0" fillId="0" borderId="168" xfId="0" applyBorder="1"/>
    <xf numFmtId="190" fontId="71" fillId="41" borderId="151" xfId="0" applyNumberFormat="1" applyFont="1" applyFill="1" applyBorder="1" applyAlignment="1">
      <alignment horizontal="center"/>
    </xf>
    <xf numFmtId="190" fontId="71" fillId="43" borderId="151" xfId="0" applyNumberFormat="1" applyFont="1" applyFill="1" applyBorder="1" applyAlignment="1">
      <alignment horizontal="center"/>
    </xf>
    <xf numFmtId="190" fontId="71" fillId="39" borderId="169" xfId="0" applyNumberFormat="1" applyFont="1" applyFill="1" applyBorder="1" applyAlignment="1">
      <alignment horizontal="center"/>
    </xf>
    <xf numFmtId="190" fontId="71" fillId="44" borderId="169" xfId="0" applyNumberFormat="1" applyFont="1" applyFill="1" applyBorder="1" applyAlignment="1">
      <alignment horizontal="center"/>
    </xf>
    <xf numFmtId="190" fontId="71" fillId="45" borderId="110" xfId="0" applyNumberFormat="1" applyFont="1" applyFill="1" applyBorder="1" applyAlignment="1">
      <alignment horizontal="center"/>
    </xf>
    <xf numFmtId="0" fontId="0" fillId="0" borderId="99" xfId="0" applyFont="1" applyFill="1" applyBorder="1" applyAlignment="1">
      <alignment horizontal="center"/>
    </xf>
    <xf numFmtId="0" fontId="0" fillId="0" borderId="153" xfId="0" applyFont="1" applyFill="1" applyBorder="1" applyAlignment="1">
      <alignment horizontal="center"/>
    </xf>
    <xf numFmtId="188" fontId="0" fillId="43" borderId="153" xfId="0" applyNumberFormat="1" applyFont="1" applyFill="1" applyBorder="1" applyAlignment="1">
      <alignment horizontal="center"/>
    </xf>
    <xf numFmtId="188" fontId="0" fillId="39" borderId="146" xfId="0" applyNumberFormat="1" applyFont="1" applyFill="1" applyBorder="1" applyAlignment="1">
      <alignment horizontal="center"/>
    </xf>
    <xf numFmtId="188" fontId="0" fillId="44" borderId="146" xfId="0" applyNumberFormat="1" applyFont="1" applyFill="1" applyBorder="1" applyAlignment="1">
      <alignment horizontal="center"/>
    </xf>
    <xf numFmtId="188" fontId="0" fillId="45" borderId="100" xfId="0" applyNumberFormat="1" applyFont="1" applyFill="1" applyBorder="1" applyAlignment="1">
      <alignment horizontal="center"/>
    </xf>
    <xf numFmtId="0" fontId="0" fillId="0" borderId="109" xfId="0" applyFont="1" applyFill="1" applyBorder="1" applyAlignment="1">
      <alignment horizontal="center"/>
    </xf>
    <xf numFmtId="0" fontId="0" fillId="0" borderId="114" xfId="0" applyFont="1" applyFill="1" applyBorder="1" applyAlignment="1">
      <alignment horizontal="center"/>
    </xf>
    <xf numFmtId="188" fontId="0" fillId="41" borderId="151" xfId="0" applyNumberFormat="1" applyFont="1" applyFill="1" applyBorder="1" applyAlignment="1">
      <alignment horizontal="center"/>
    </xf>
    <xf numFmtId="188" fontId="0" fillId="43" borderId="114" xfId="0" applyNumberFormat="1" applyFont="1" applyFill="1" applyBorder="1" applyAlignment="1">
      <alignment horizontal="center"/>
    </xf>
    <xf numFmtId="188" fontId="0" fillId="39" borderId="162" xfId="0" applyNumberFormat="1" applyFont="1" applyFill="1" applyBorder="1" applyAlignment="1">
      <alignment horizontal="center"/>
    </xf>
    <xf numFmtId="188" fontId="0" fillId="44" borderId="162" xfId="0" applyNumberFormat="1" applyFont="1" applyFill="1" applyBorder="1" applyAlignment="1">
      <alignment horizontal="center"/>
    </xf>
    <xf numFmtId="188" fontId="0" fillId="45" borderId="113" xfId="0" applyNumberFormat="1" applyFont="1" applyFill="1" applyBorder="1" applyAlignment="1">
      <alignment horizontal="center"/>
    </xf>
    <xf numFmtId="0" fontId="0" fillId="0" borderId="107" xfId="0" applyFont="1" applyFill="1" applyBorder="1" applyAlignment="1">
      <alignment horizontal="center"/>
    </xf>
    <xf numFmtId="0" fontId="0" fillId="0" borderId="28" xfId="0" applyFont="1" applyFill="1" applyBorder="1" applyAlignment="1">
      <alignment horizontal="center"/>
    </xf>
    <xf numFmtId="188" fontId="0" fillId="43" borderId="28" xfId="0" applyNumberFormat="1" applyFont="1" applyFill="1" applyBorder="1" applyAlignment="1">
      <alignment horizontal="center"/>
    </xf>
    <xf numFmtId="188" fontId="0" fillId="39" borderId="11" xfId="0" applyNumberFormat="1" applyFont="1" applyFill="1" applyBorder="1" applyAlignment="1">
      <alignment horizontal="center"/>
    </xf>
    <xf numFmtId="188" fontId="0" fillId="44" borderId="11" xfId="0" applyNumberFormat="1" applyFont="1" applyFill="1" applyBorder="1" applyAlignment="1">
      <alignment horizontal="center"/>
    </xf>
    <xf numFmtId="188" fontId="0" fillId="45" borderId="108" xfId="0" applyNumberFormat="1" applyFont="1" applyFill="1" applyBorder="1" applyAlignment="1">
      <alignment horizontal="center"/>
    </xf>
    <xf numFmtId="0" fontId="0" fillId="0" borderId="2" xfId="0" applyFont="1" applyFill="1" applyBorder="1" applyAlignment="1">
      <alignment horizontal="center"/>
    </xf>
    <xf numFmtId="0" fontId="71" fillId="0" borderId="99" xfId="0" applyFont="1" applyFill="1" applyBorder="1" applyAlignment="1">
      <alignment horizontal="center"/>
    </xf>
    <xf numFmtId="0" fontId="71" fillId="0" borderId="105" xfId="0" applyFont="1" applyFill="1" applyBorder="1" applyAlignment="1">
      <alignment horizontal="center"/>
    </xf>
    <xf numFmtId="190" fontId="71" fillId="42" borderId="151" xfId="0" applyNumberFormat="1" applyFont="1" applyFill="1" applyBorder="1" applyAlignment="1">
      <alignment horizontal="center"/>
    </xf>
    <xf numFmtId="190" fontId="71" fillId="44" borderId="169" xfId="0" applyNumberFormat="1" applyFont="1" applyFill="1" applyBorder="1" applyAlignment="1">
      <alignment horizontal="center" wrapText="1"/>
    </xf>
    <xf numFmtId="190" fontId="71" fillId="44" borderId="110" xfId="0" applyNumberFormat="1" applyFont="1" applyFill="1" applyBorder="1" applyAlignment="1">
      <alignment horizontal="center" wrapText="1"/>
    </xf>
    <xf numFmtId="188" fontId="0" fillId="42" borderId="28" xfId="0" applyNumberFormat="1" applyFont="1" applyFill="1" applyBorder="1" applyAlignment="1">
      <alignment horizontal="center"/>
    </xf>
    <xf numFmtId="188" fontId="0" fillId="44" borderId="108" xfId="0" applyNumberFormat="1" applyFont="1" applyFill="1" applyBorder="1" applyAlignment="1">
      <alignment horizontal="center"/>
    </xf>
    <xf numFmtId="188" fontId="0" fillId="42" borderId="74" xfId="0" applyNumberFormat="1" applyFont="1" applyFill="1" applyBorder="1" applyAlignment="1">
      <alignment horizontal="center"/>
    </xf>
    <xf numFmtId="188" fontId="0" fillId="39" borderId="9" xfId="0" applyNumberFormat="1" applyFont="1" applyFill="1" applyBorder="1" applyAlignment="1">
      <alignment horizontal="center"/>
    </xf>
    <xf numFmtId="188" fontId="0" fillId="44" borderId="9" xfId="0" applyNumberFormat="1" applyFont="1" applyFill="1" applyBorder="1" applyAlignment="1">
      <alignment horizontal="center"/>
    </xf>
    <xf numFmtId="188" fontId="0" fillId="44" borderId="155" xfId="0" applyNumberFormat="1" applyFont="1" applyFill="1" applyBorder="1" applyAlignment="1">
      <alignment horizontal="center"/>
    </xf>
    <xf numFmtId="188" fontId="0" fillId="42" borderId="153" xfId="0" applyNumberFormat="1" applyFont="1" applyFill="1" applyBorder="1" applyAlignment="1">
      <alignment horizontal="center"/>
    </xf>
    <xf numFmtId="188" fontId="0" fillId="44" borderId="100" xfId="0" applyNumberFormat="1" applyFont="1" applyFill="1" applyBorder="1" applyAlignment="1">
      <alignment horizontal="center"/>
    </xf>
    <xf numFmtId="188" fontId="0" fillId="42" borderId="114" xfId="0" applyNumberFormat="1" applyFont="1" applyFill="1" applyBorder="1" applyAlignment="1">
      <alignment horizontal="center"/>
    </xf>
    <xf numFmtId="188" fontId="0" fillId="44" borderId="113" xfId="0" applyNumberFormat="1" applyFont="1" applyFill="1" applyBorder="1" applyAlignment="1">
      <alignment horizontal="center"/>
    </xf>
    <xf numFmtId="0" fontId="0" fillId="0" borderId="0" xfId="0" applyFill="1" applyBorder="1"/>
    <xf numFmtId="0" fontId="149" fillId="0" borderId="0" xfId="0" applyFont="1" applyFill="1" applyBorder="1"/>
    <xf numFmtId="0" fontId="2" fillId="0" borderId="115" xfId="0" applyFont="1" applyFill="1" applyBorder="1"/>
    <xf numFmtId="0" fontId="71" fillId="0" borderId="175" xfId="0" applyFont="1" applyFill="1" applyBorder="1" applyAlignment="1">
      <alignment horizontal="center"/>
    </xf>
    <xf numFmtId="0" fontId="71" fillId="0" borderId="176" xfId="0" applyFont="1" applyFill="1" applyBorder="1" applyAlignment="1">
      <alignment horizontal="center"/>
    </xf>
    <xf numFmtId="0" fontId="71" fillId="0" borderId="177" xfId="0" applyFont="1" applyFill="1" applyBorder="1" applyAlignment="1">
      <alignment horizontal="center"/>
    </xf>
    <xf numFmtId="184" fontId="63" fillId="0" borderId="0" xfId="0" applyNumberFormat="1" applyFont="1" applyFill="1" applyBorder="1"/>
    <xf numFmtId="184" fontId="0" fillId="0" borderId="0" xfId="0" applyNumberFormat="1" applyFill="1" applyBorder="1"/>
    <xf numFmtId="9" fontId="63" fillId="33" borderId="0" xfId="983" applyFont="1" applyFill="1" applyBorder="1"/>
    <xf numFmtId="9" fontId="63" fillId="0" borderId="0" xfId="983" applyNumberFormat="1" applyFont="1" applyFill="1" applyBorder="1"/>
    <xf numFmtId="181" fontId="63" fillId="0" borderId="0" xfId="410" applyNumberFormat="1" applyFont="1" applyFill="1" applyBorder="1"/>
    <xf numFmtId="184" fontId="62" fillId="0" borderId="0" xfId="410" applyNumberFormat="1" applyFont="1" applyFill="1" applyBorder="1"/>
    <xf numFmtId="0" fontId="0" fillId="0" borderId="0" xfId="0" applyFill="1" applyAlignment="1">
      <alignment horizontal="center"/>
    </xf>
    <xf numFmtId="0" fontId="0" fillId="0" borderId="2" xfId="0" applyBorder="1" applyAlignment="1">
      <alignment horizontal="left"/>
    </xf>
    <xf numFmtId="191" fontId="2" fillId="0" borderId="0" xfId="0" applyNumberFormat="1" applyFont="1" applyFill="1" applyBorder="1" applyAlignment="1">
      <alignment horizontal="center"/>
    </xf>
    <xf numFmtId="190" fontId="71" fillId="0" borderId="0" xfId="0" applyNumberFormat="1" applyFont="1" applyFill="1" applyBorder="1" applyAlignment="1">
      <alignment horizontal="center"/>
    </xf>
    <xf numFmtId="0" fontId="0" fillId="0" borderId="0" xfId="0" applyFill="1" applyBorder="1" applyAlignment="1">
      <alignment horizontal="center"/>
    </xf>
    <xf numFmtId="0" fontId="71" fillId="0" borderId="2" xfId="0" applyFont="1" applyFill="1" applyBorder="1" applyAlignment="1">
      <alignment horizontal="left"/>
    </xf>
    <xf numFmtId="0" fontId="71" fillId="0" borderId="2" xfId="0" applyFont="1" applyFill="1" applyBorder="1" applyAlignment="1">
      <alignment horizontal="center"/>
    </xf>
    <xf numFmtId="0" fontId="0" fillId="0" borderId="2" xfId="0" applyFont="1" applyFill="1" applyBorder="1" applyAlignment="1">
      <alignment horizontal="left"/>
    </xf>
    <xf numFmtId="188" fontId="0" fillId="41" borderId="2" xfId="0" applyNumberFormat="1" applyFont="1" applyFill="1" applyBorder="1" applyAlignment="1">
      <alignment horizontal="center"/>
    </xf>
    <xf numFmtId="188" fontId="0" fillId="0" borderId="0" xfId="0" applyNumberFormat="1" applyFont="1" applyFill="1" applyBorder="1" applyAlignment="1">
      <alignment horizontal="center"/>
    </xf>
    <xf numFmtId="188" fontId="0" fillId="0" borderId="2" xfId="0" applyNumberFormat="1" applyFont="1" applyFill="1" applyBorder="1" applyAlignment="1">
      <alignment horizontal="center"/>
    </xf>
    <xf numFmtId="188" fontId="0" fillId="39" borderId="2" xfId="0" applyNumberFormat="1" applyFont="1" applyFill="1" applyBorder="1" applyAlignment="1">
      <alignment horizontal="center"/>
    </xf>
    <xf numFmtId="188" fontId="0" fillId="44" borderId="2" xfId="0" applyNumberFormat="1" applyFill="1" applyBorder="1" applyAlignment="1">
      <alignment horizontal="center"/>
    </xf>
    <xf numFmtId="188" fontId="0" fillId="44" borderId="2" xfId="0" applyNumberFormat="1" applyFont="1" applyFill="1" applyBorder="1" applyAlignment="1">
      <alignment horizontal="center"/>
    </xf>
    <xf numFmtId="188" fontId="0" fillId="45" borderId="2" xfId="0" applyNumberFormat="1" applyFill="1" applyBorder="1" applyAlignment="1">
      <alignment horizontal="center"/>
    </xf>
    <xf numFmtId="188" fontId="0" fillId="45" borderId="2" xfId="0" applyNumberFormat="1" applyFont="1" applyFill="1" applyBorder="1" applyAlignment="1">
      <alignment horizontal="center"/>
    </xf>
    <xf numFmtId="0" fontId="2" fillId="0" borderId="0" xfId="0" applyFont="1" applyFill="1" applyBorder="1" applyAlignment="1">
      <alignment horizontal="left"/>
    </xf>
    <xf numFmtId="0" fontId="0" fillId="0" borderId="0" xfId="0" applyFill="1" applyBorder="1" applyAlignment="1">
      <alignment horizontal="left"/>
    </xf>
    <xf numFmtId="0" fontId="0" fillId="0" borderId="6" xfId="0" applyFill="1" applyBorder="1" applyAlignment="1">
      <alignment horizontal="center"/>
    </xf>
    <xf numFmtId="0" fontId="2" fillId="0" borderId="0" xfId="0" applyFont="1" applyFill="1" applyAlignment="1">
      <alignment horizontal="left"/>
    </xf>
    <xf numFmtId="0" fontId="63" fillId="33" borderId="2" xfId="0" applyFont="1" applyFill="1" applyBorder="1" applyAlignment="1">
      <alignment horizontal="center"/>
    </xf>
    <xf numFmtId="0" fontId="63" fillId="33" borderId="2" xfId="0" applyFont="1" applyFill="1" applyBorder="1" applyAlignment="1">
      <alignment horizontal="left"/>
    </xf>
    <xf numFmtId="9" fontId="0" fillId="0" borderId="2" xfId="983" applyFont="1" applyBorder="1" applyAlignment="1">
      <alignment horizontal="center"/>
    </xf>
    <xf numFmtId="171" fontId="0" fillId="0" borderId="0" xfId="0" applyNumberFormat="1" applyFill="1" applyBorder="1"/>
    <xf numFmtId="9" fontId="71" fillId="41" borderId="2" xfId="983" applyFont="1" applyFill="1" applyBorder="1" applyAlignment="1">
      <alignment horizontal="center"/>
    </xf>
    <xf numFmtId="44" fontId="71" fillId="41" borderId="2" xfId="410" applyFont="1" applyFill="1" applyBorder="1" applyAlignment="1">
      <alignment horizontal="center"/>
    </xf>
    <xf numFmtId="9" fontId="71" fillId="42" borderId="2" xfId="983" applyFont="1" applyFill="1" applyBorder="1" applyAlignment="1">
      <alignment horizontal="center"/>
    </xf>
    <xf numFmtId="44" fontId="71" fillId="42" borderId="2" xfId="410" applyFont="1" applyFill="1" applyBorder="1" applyAlignment="1">
      <alignment horizontal="center"/>
    </xf>
    <xf numFmtId="190" fontId="71" fillId="39" borderId="2" xfId="0" applyNumberFormat="1" applyFont="1" applyFill="1" applyBorder="1" applyAlignment="1">
      <alignment horizontal="center"/>
    </xf>
    <xf numFmtId="9" fontId="71" fillId="39" borderId="2" xfId="983" applyFont="1" applyFill="1" applyBorder="1" applyAlignment="1">
      <alignment horizontal="center"/>
    </xf>
    <xf numFmtId="44" fontId="71" fillId="39" borderId="2" xfId="410" applyFont="1" applyFill="1" applyBorder="1" applyAlignment="1">
      <alignment horizontal="center"/>
    </xf>
    <xf numFmtId="9" fontId="71" fillId="43" borderId="2" xfId="983" applyFont="1" applyFill="1" applyBorder="1" applyAlignment="1">
      <alignment horizontal="center"/>
    </xf>
    <xf numFmtId="44" fontId="71" fillId="43" borderId="2" xfId="410" applyFont="1" applyFill="1" applyBorder="1" applyAlignment="1">
      <alignment horizontal="center"/>
    </xf>
    <xf numFmtId="190" fontId="71" fillId="44" borderId="2" xfId="0" applyNumberFormat="1" applyFont="1" applyFill="1" applyBorder="1" applyAlignment="1">
      <alignment horizontal="center"/>
    </xf>
    <xf numFmtId="9" fontId="71" fillId="44" borderId="2" xfId="983" applyFont="1" applyFill="1" applyBorder="1" applyAlignment="1">
      <alignment horizontal="center"/>
    </xf>
    <xf numFmtId="44" fontId="71" fillId="44" borderId="2" xfId="410" applyFont="1" applyFill="1" applyBorder="1" applyAlignment="1">
      <alignment horizontal="center"/>
    </xf>
    <xf numFmtId="0" fontId="0" fillId="45" borderId="2" xfId="0" applyFill="1" applyBorder="1" applyAlignment="1">
      <alignment horizontal="center"/>
    </xf>
    <xf numFmtId="191" fontId="0" fillId="45" borderId="2" xfId="0" applyNumberFormat="1" applyFill="1" applyBorder="1" applyAlignment="1">
      <alignment horizontal="center"/>
    </xf>
    <xf numFmtId="9" fontId="0" fillId="45" borderId="2" xfId="983" applyFont="1" applyFill="1" applyBorder="1" applyAlignment="1">
      <alignment horizontal="center"/>
    </xf>
    <xf numFmtId="44" fontId="0" fillId="45" borderId="2" xfId="410" applyFont="1" applyFill="1" applyBorder="1" applyAlignment="1">
      <alignment horizontal="center"/>
    </xf>
    <xf numFmtId="188" fontId="88" fillId="15" borderId="2" xfId="0" applyNumberFormat="1" applyFont="1" applyFill="1" applyBorder="1" applyAlignment="1">
      <alignment horizontal="center"/>
    </xf>
    <xf numFmtId="0" fontId="149" fillId="0" borderId="0" xfId="0" applyFont="1" applyAlignment="1">
      <alignment horizontal="center"/>
    </xf>
    <xf numFmtId="0" fontId="149" fillId="0" borderId="142" xfId="0" applyFont="1" applyBorder="1" applyAlignment="1">
      <alignment horizontal="center"/>
    </xf>
    <xf numFmtId="0" fontId="149" fillId="0" borderId="143" xfId="0" applyFont="1" applyBorder="1" applyAlignment="1">
      <alignment horizontal="center"/>
    </xf>
    <xf numFmtId="181" fontId="62" fillId="33" borderId="3" xfId="410" applyNumberFormat="1" applyFont="1" applyFill="1" applyBorder="1"/>
    <xf numFmtId="0" fontId="66" fillId="0" borderId="0" xfId="0" applyFont="1" applyAlignment="1">
      <alignment horizontal="center"/>
    </xf>
    <xf numFmtId="0" fontId="0" fillId="0" borderId="74" xfId="0" applyBorder="1"/>
    <xf numFmtId="0" fontId="71" fillId="0" borderId="74" xfId="0" applyFont="1" applyFill="1" applyBorder="1" applyAlignment="1">
      <alignment horizontal="center"/>
    </xf>
    <xf numFmtId="0" fontId="2" fillId="0" borderId="74" xfId="0" applyFont="1" applyBorder="1" applyAlignment="1">
      <alignment horizontal="left" wrapText="1"/>
    </xf>
    <xf numFmtId="190" fontId="71" fillId="41" borderId="27" xfId="0" applyNumberFormat="1" applyFont="1" applyFill="1" applyBorder="1" applyAlignment="1">
      <alignment horizontal="center" wrapText="1"/>
    </xf>
    <xf numFmtId="190" fontId="71" fillId="42" borderId="25" xfId="0" applyNumberFormat="1" applyFont="1" applyFill="1" applyBorder="1" applyAlignment="1">
      <alignment horizontal="center" wrapText="1"/>
    </xf>
    <xf numFmtId="190" fontId="71" fillId="39" borderId="2" xfId="0" applyNumberFormat="1" applyFont="1" applyFill="1" applyBorder="1" applyAlignment="1">
      <alignment horizontal="center" wrapText="1"/>
    </xf>
    <xf numFmtId="190" fontId="71" fillId="44" borderId="2" xfId="0" applyNumberFormat="1" applyFont="1" applyFill="1" applyBorder="1" applyAlignment="1">
      <alignment horizontal="center" wrapText="1"/>
    </xf>
    <xf numFmtId="190" fontId="71" fillId="40" borderId="2" xfId="0" applyNumberFormat="1" applyFont="1" applyFill="1" applyBorder="1" applyAlignment="1">
      <alignment horizontal="center" wrapText="1"/>
    </xf>
    <xf numFmtId="190" fontId="71" fillId="45" borderId="2" xfId="0" applyNumberFormat="1" applyFont="1" applyFill="1" applyBorder="1" applyAlignment="1">
      <alignment horizontal="center" wrapText="1"/>
    </xf>
    <xf numFmtId="191" fontId="71" fillId="0" borderId="2" xfId="0" applyNumberFormat="1" applyFont="1" applyBorder="1" applyAlignment="1">
      <alignment horizontal="left"/>
    </xf>
    <xf numFmtId="0" fontId="71" fillId="0" borderId="2" xfId="0" applyNumberFormat="1" applyFont="1" applyBorder="1" applyAlignment="1">
      <alignment horizontal="right"/>
    </xf>
    <xf numFmtId="191" fontId="71" fillId="0" borderId="2" xfId="0" applyNumberFormat="1" applyFont="1" applyBorder="1"/>
    <xf numFmtId="188" fontId="0" fillId="42" borderId="5" xfId="0" applyNumberFormat="1" applyFont="1" applyFill="1" applyBorder="1" applyAlignment="1">
      <alignment horizontal="center"/>
    </xf>
    <xf numFmtId="188" fontId="0" fillId="40" borderId="2" xfId="0" applyNumberFormat="1" applyFont="1" applyFill="1" applyBorder="1" applyAlignment="1">
      <alignment horizontal="center"/>
    </xf>
    <xf numFmtId="0" fontId="71" fillId="0" borderId="2" xfId="0" applyFont="1" applyBorder="1" applyAlignment="1">
      <alignment horizontal="left"/>
    </xf>
    <xf numFmtId="0" fontId="0" fillId="0" borderId="2" xfId="0" applyNumberFormat="1" applyBorder="1" applyAlignment="1">
      <alignment horizontal="right"/>
    </xf>
    <xf numFmtId="0" fontId="148" fillId="0" borderId="0" xfId="0" applyFont="1" applyFill="1"/>
    <xf numFmtId="0" fontId="89" fillId="0" borderId="0" xfId="0" applyFont="1" applyFill="1" applyBorder="1" applyAlignment="1">
      <alignment horizontal="left" vertical="center"/>
    </xf>
    <xf numFmtId="9" fontId="0" fillId="0" borderId="0" xfId="0" applyNumberFormat="1" applyBorder="1"/>
    <xf numFmtId="9" fontId="0" fillId="0" borderId="26" xfId="0" applyNumberFormat="1" applyBorder="1"/>
    <xf numFmtId="181" fontId="62" fillId="33" borderId="12" xfId="410" applyNumberFormat="1" applyFont="1" applyFill="1" applyBorder="1"/>
    <xf numFmtId="0" fontId="89" fillId="0" borderId="0" xfId="0" applyFont="1" applyFill="1" applyBorder="1" applyAlignment="1">
      <alignment horizontal="left"/>
    </xf>
    <xf numFmtId="0" fontId="66" fillId="0" borderId="74" xfId="0" applyFont="1" applyBorder="1"/>
    <xf numFmtId="191" fontId="2" fillId="0" borderId="74" xfId="0" applyNumberFormat="1" applyFont="1" applyBorder="1" applyAlignment="1">
      <alignment horizontal="left" wrapText="1"/>
    </xf>
    <xf numFmtId="190" fontId="71" fillId="41" borderId="13" xfId="0" applyNumberFormat="1" applyFont="1" applyFill="1" applyBorder="1" applyAlignment="1">
      <alignment horizontal="center" vertical="center" wrapText="1"/>
    </xf>
    <xf numFmtId="190" fontId="71" fillId="41" borderId="2" xfId="0" applyNumberFormat="1" applyFont="1" applyFill="1" applyBorder="1" applyAlignment="1">
      <alignment horizontal="center" vertical="center" wrapText="1"/>
    </xf>
    <xf numFmtId="0" fontId="71" fillId="42" borderId="74" xfId="0" applyFont="1" applyFill="1" applyBorder="1" applyAlignment="1">
      <alignment horizontal="center" vertical="center" wrapText="1"/>
    </xf>
    <xf numFmtId="0" fontId="71" fillId="39" borderId="178" xfId="0" applyFont="1" applyFill="1" applyBorder="1" applyAlignment="1">
      <alignment horizontal="center" vertical="center" wrapText="1"/>
    </xf>
    <xf numFmtId="184" fontId="71" fillId="41" borderId="2" xfId="0" applyNumberFormat="1" applyFont="1" applyFill="1" applyBorder="1" applyAlignment="1">
      <alignment horizontal="center"/>
    </xf>
    <xf numFmtId="171" fontId="71" fillId="39" borderId="2" xfId="0" applyNumberFormat="1" applyFont="1" applyFill="1" applyBorder="1" applyAlignment="1">
      <alignment horizontal="center"/>
    </xf>
    <xf numFmtId="0" fontId="149" fillId="0" borderId="0" xfId="0" applyFont="1" applyFill="1" applyAlignment="1">
      <alignment horizontal="center"/>
    </xf>
    <xf numFmtId="0" fontId="149" fillId="0" borderId="142" xfId="0" applyFont="1" applyFill="1" applyBorder="1" applyAlignment="1">
      <alignment horizontal="center"/>
    </xf>
    <xf numFmtId="0" fontId="103" fillId="0" borderId="0" xfId="0" applyFont="1" applyFill="1" applyAlignment="1">
      <alignment horizontal="center"/>
    </xf>
    <xf numFmtId="49" fontId="0" fillId="0" borderId="0" xfId="0" applyNumberFormat="1" applyFill="1" applyAlignment="1">
      <alignment horizontal="center"/>
    </xf>
    <xf numFmtId="0" fontId="156" fillId="0" borderId="0" xfId="0" applyFont="1" applyAlignment="1">
      <alignment horizontal="center"/>
    </xf>
    <xf numFmtId="191" fontId="2" fillId="0" borderId="5" xfId="0" applyNumberFormat="1" applyFont="1" applyFill="1" applyBorder="1" applyAlignment="1">
      <alignment horizontal="center"/>
    </xf>
    <xf numFmtId="191" fontId="2" fillId="0" borderId="7" xfId="0" applyNumberFormat="1" applyFont="1" applyFill="1" applyBorder="1" applyAlignment="1">
      <alignment horizontal="center"/>
    </xf>
    <xf numFmtId="191" fontId="2" fillId="0" borderId="6" xfId="0" applyNumberFormat="1" applyFont="1" applyFill="1" applyBorder="1" applyAlignment="1">
      <alignment horizontal="center"/>
    </xf>
    <xf numFmtId="190" fontId="71" fillId="41" borderId="2" xfId="0" applyNumberFormat="1" applyFont="1" applyFill="1" applyBorder="1" applyAlignment="1">
      <alignment horizontal="center" wrapText="1"/>
    </xf>
    <xf numFmtId="190" fontId="71" fillId="42" borderId="2" xfId="0" applyNumberFormat="1" applyFont="1" applyFill="1" applyBorder="1" applyAlignment="1">
      <alignment horizontal="center" wrapText="1"/>
    </xf>
    <xf numFmtId="190" fontId="71" fillId="0" borderId="0" xfId="0" applyNumberFormat="1" applyFont="1" applyFill="1" applyBorder="1" applyAlignment="1">
      <alignment horizontal="center" wrapText="1"/>
    </xf>
    <xf numFmtId="190" fontId="71" fillId="39" borderId="28" xfId="0" applyNumberFormat="1" applyFont="1" applyFill="1" applyBorder="1" applyAlignment="1">
      <alignment horizontal="center" wrapText="1"/>
    </xf>
    <xf numFmtId="190" fontId="71" fillId="44" borderId="28" xfId="0" applyNumberFormat="1" applyFont="1" applyFill="1" applyBorder="1" applyAlignment="1">
      <alignment horizontal="center" wrapText="1"/>
    </xf>
    <xf numFmtId="190" fontId="71" fillId="40" borderId="28" xfId="0" applyNumberFormat="1" applyFont="1" applyFill="1" applyBorder="1" applyAlignment="1">
      <alignment horizontal="center" wrapText="1"/>
    </xf>
    <xf numFmtId="190" fontId="71" fillId="45" borderId="28" xfId="0" applyNumberFormat="1" applyFont="1" applyFill="1" applyBorder="1" applyAlignment="1">
      <alignment horizontal="center" wrapText="1"/>
    </xf>
    <xf numFmtId="188" fontId="0" fillId="39" borderId="5" xfId="0" applyNumberFormat="1" applyFont="1" applyFill="1" applyBorder="1" applyAlignment="1">
      <alignment horizontal="center"/>
    </xf>
    <xf numFmtId="0" fontId="157" fillId="0" borderId="0" xfId="0" applyFont="1" applyAlignment="1">
      <alignment horizontal="center"/>
    </xf>
    <xf numFmtId="9" fontId="0" fillId="0" borderId="0" xfId="0" applyNumberFormat="1" applyFill="1" applyBorder="1"/>
    <xf numFmtId="181" fontId="62" fillId="0" borderId="0" xfId="410" applyNumberFormat="1" applyFont="1" applyFill="1" applyBorder="1"/>
    <xf numFmtId="49" fontId="88" fillId="0" borderId="0" xfId="0" applyNumberFormat="1" applyFont="1" applyFill="1" applyAlignment="1">
      <alignment horizontal="center"/>
    </xf>
    <xf numFmtId="0" fontId="156" fillId="15" borderId="0" xfId="0" applyFont="1" applyFill="1" applyAlignment="1">
      <alignment horizontal="center"/>
    </xf>
    <xf numFmtId="184" fontId="62" fillId="0" borderId="0" xfId="0" applyNumberFormat="1" applyFont="1" applyFill="1" applyBorder="1"/>
    <xf numFmtId="9" fontId="62" fillId="0" borderId="0" xfId="983" applyNumberFormat="1" applyFont="1" applyFill="1" applyBorder="1"/>
    <xf numFmtId="191" fontId="2" fillId="0" borderId="9" xfId="0" applyNumberFormat="1" applyFont="1" applyFill="1" applyBorder="1" applyAlignment="1">
      <alignment horizontal="center"/>
    </xf>
    <xf numFmtId="190" fontId="71" fillId="0" borderId="0" xfId="0" applyNumberFormat="1" applyFont="1" applyFill="1" applyBorder="1" applyAlignment="1">
      <alignment horizontal="center" vertical="center" wrapText="1"/>
    </xf>
    <xf numFmtId="0" fontId="150" fillId="0" borderId="0" xfId="0" applyFont="1" applyAlignment="1">
      <alignment horizontal="center" wrapText="1"/>
    </xf>
    <xf numFmtId="0" fontId="158" fillId="0" borderId="137" xfId="0" applyFont="1" applyFill="1" applyBorder="1" applyAlignment="1" applyProtection="1">
      <alignment horizontal="center"/>
      <protection locked="0"/>
    </xf>
    <xf numFmtId="181" fontId="158" fillId="22" borderId="137" xfId="410" applyNumberFormat="1" applyFont="1" applyFill="1" applyBorder="1" applyAlignment="1" applyProtection="1">
      <alignment horizontal="center"/>
      <protection locked="0"/>
    </xf>
    <xf numFmtId="0" fontId="158" fillId="0" borderId="0" xfId="0" applyFont="1" applyFill="1" applyBorder="1" applyAlignment="1" applyProtection="1">
      <alignment horizontal="center"/>
    </xf>
    <xf numFmtId="0" fontId="158" fillId="0" borderId="0" xfId="0" applyFont="1" applyBorder="1" applyProtection="1"/>
    <xf numFmtId="0" fontId="159" fillId="0" borderId="0" xfId="0" applyFont="1" applyAlignment="1" applyProtection="1">
      <alignment horizontal="center"/>
    </xf>
    <xf numFmtId="44" fontId="158" fillId="0" borderId="0" xfId="410" applyFont="1" applyFill="1" applyBorder="1" applyAlignment="1" applyProtection="1">
      <alignment horizontal="center"/>
    </xf>
    <xf numFmtId="181" fontId="158" fillId="0" borderId="137" xfId="410" applyNumberFormat="1" applyFont="1" applyFill="1" applyBorder="1" applyAlignment="1" applyProtection="1">
      <alignment horizontal="center"/>
    </xf>
    <xf numFmtId="9" fontId="158" fillId="40" borderId="138" xfId="983" applyFont="1" applyFill="1" applyBorder="1" applyAlignment="1" applyProtection="1">
      <alignment horizontal="center" vertical="center"/>
    </xf>
    <xf numFmtId="164" fontId="158" fillId="40" borderId="138" xfId="0" applyNumberFormat="1" applyFont="1" applyFill="1" applyBorder="1" applyAlignment="1" applyProtection="1">
      <alignment horizontal="center" vertical="center"/>
    </xf>
    <xf numFmtId="188" fontId="158" fillId="40" borderId="138" xfId="0" applyNumberFormat="1" applyFont="1" applyFill="1" applyBorder="1" applyAlignment="1" applyProtection="1">
      <alignment horizontal="center" vertical="center"/>
    </xf>
    <xf numFmtId="0" fontId="149" fillId="30" borderId="0" xfId="0" applyFont="1" applyFill="1" applyBorder="1" applyAlignment="1">
      <alignment horizontal="left" vertical="center"/>
    </xf>
    <xf numFmtId="0" fontId="149" fillId="30" borderId="0" xfId="0" applyFont="1" applyFill="1" applyBorder="1" applyAlignment="1">
      <alignment horizontal="center" vertical="center"/>
    </xf>
    <xf numFmtId="0" fontId="134" fillId="0" borderId="2" xfId="0" applyFont="1" applyBorder="1" applyProtection="1"/>
    <xf numFmtId="171" fontId="3" fillId="0" borderId="0" xfId="0" applyNumberFormat="1" applyFont="1" applyBorder="1" applyAlignment="1">
      <alignment horizontal="center"/>
    </xf>
    <xf numFmtId="0" fontId="95" fillId="38" borderId="130" xfId="0" applyFont="1" applyFill="1" applyBorder="1" applyAlignment="1">
      <alignment horizontal="left" vertical="center" wrapText="1"/>
    </xf>
    <xf numFmtId="0" fontId="4" fillId="0" borderId="0" xfId="0" applyFont="1" applyBorder="1" applyAlignment="1">
      <alignment vertical="top" wrapText="1"/>
    </xf>
    <xf numFmtId="0" fontId="4" fillId="38" borderId="0" xfId="0" applyFont="1" applyFill="1" applyBorder="1" applyAlignment="1">
      <alignment horizontal="center" vertical="center"/>
    </xf>
    <xf numFmtId="0" fontId="3" fillId="38" borderId="0" xfId="0" applyFont="1" applyFill="1" applyBorder="1" applyAlignment="1">
      <alignment horizontal="center" vertical="center"/>
    </xf>
    <xf numFmtId="171" fontId="5" fillId="38" borderId="0" xfId="0" applyNumberFormat="1" applyFont="1" applyFill="1" applyBorder="1" applyAlignment="1">
      <alignment horizontal="center" vertical="center"/>
    </xf>
    <xf numFmtId="171" fontId="82" fillId="38" borderId="0" xfId="0" applyNumberFormat="1" applyFont="1" applyFill="1" applyBorder="1" applyAlignment="1">
      <alignment horizontal="center" vertical="center"/>
    </xf>
    <xf numFmtId="171" fontId="6" fillId="26" borderId="0" xfId="0" applyNumberFormat="1" applyFont="1" applyFill="1" applyBorder="1" applyAlignment="1">
      <alignment horizontal="center" vertical="center"/>
    </xf>
    <xf numFmtId="0" fontId="95" fillId="0" borderId="179" xfId="0" applyNumberFormat="1" applyFont="1" applyFill="1" applyBorder="1" applyAlignment="1">
      <alignment horizontal="center" vertical="center" wrapText="1"/>
    </xf>
    <xf numFmtId="0" fontId="34" fillId="0" borderId="0" xfId="0" applyFont="1" applyBorder="1" applyAlignment="1">
      <alignment horizontal="center"/>
    </xf>
    <xf numFmtId="0" fontId="5" fillId="0" borderId="0" xfId="0" applyFont="1" applyBorder="1" applyAlignment="1">
      <alignment horizontal="center"/>
    </xf>
    <xf numFmtId="171" fontId="3" fillId="0" borderId="0" xfId="0" applyNumberFormat="1" applyFont="1" applyBorder="1" applyAlignment="1">
      <alignment horizontal="center"/>
    </xf>
    <xf numFmtId="0" fontId="4" fillId="0" borderId="0" xfId="0" applyFont="1" applyBorder="1" applyAlignment="1">
      <alignment horizontal="center" vertical="top" wrapText="1"/>
    </xf>
    <xf numFmtId="0" fontId="3" fillId="0" borderId="0" xfId="0" applyFont="1" applyBorder="1" applyAlignment="1">
      <alignment horizontal="center"/>
    </xf>
    <xf numFmtId="0" fontId="160" fillId="30" borderId="0" xfId="0" applyFont="1" applyFill="1" applyBorder="1" applyProtection="1"/>
    <xf numFmtId="0" fontId="160" fillId="30" borderId="0" xfId="0" applyFont="1" applyFill="1" applyBorder="1" applyAlignment="1" applyProtection="1">
      <alignment horizontal="left"/>
    </xf>
    <xf numFmtId="0" fontId="69" fillId="0" borderId="0" xfId="0" applyFont="1" applyFill="1" applyBorder="1" applyAlignment="1">
      <alignment vertical="center"/>
    </xf>
    <xf numFmtId="171" fontId="69" fillId="0" borderId="0" xfId="0" applyNumberFormat="1" applyFont="1" applyFill="1" applyBorder="1" applyAlignment="1">
      <alignment vertical="center"/>
    </xf>
    <xf numFmtId="0" fontId="69" fillId="0" borderId="0" xfId="0" applyFont="1" applyFill="1" applyBorder="1" applyAlignment="1">
      <alignment horizontal="center" vertical="center"/>
    </xf>
    <xf numFmtId="0" fontId="77" fillId="0" borderId="0" xfId="0" applyFont="1" applyFill="1" applyBorder="1" applyAlignment="1">
      <alignment horizontal="center" vertical="center"/>
    </xf>
    <xf numFmtId="171" fontId="162" fillId="0" borderId="0" xfId="0" applyNumberFormat="1" applyFont="1" applyFill="1" applyBorder="1" applyAlignment="1">
      <alignment horizontal="center" vertical="center"/>
    </xf>
    <xf numFmtId="171" fontId="132" fillId="0" borderId="0" xfId="0" applyNumberFormat="1" applyFont="1" applyBorder="1" applyAlignment="1">
      <alignment horizontal="center"/>
    </xf>
    <xf numFmtId="0" fontId="163" fillId="0" borderId="0" xfId="0" applyFont="1" applyFill="1" applyBorder="1" applyAlignment="1">
      <alignment horizontal="left" vertical="center"/>
    </xf>
    <xf numFmtId="0" fontId="29" fillId="0" borderId="60" xfId="0" applyFont="1" applyFill="1" applyBorder="1" applyAlignment="1">
      <alignment wrapText="1"/>
    </xf>
    <xf numFmtId="0" fontId="44" fillId="0" borderId="60" xfId="0" applyFont="1" applyFill="1" applyBorder="1" applyAlignment="1">
      <alignment horizontal="left" vertical="center" wrapText="1"/>
    </xf>
    <xf numFmtId="0" fontId="92" fillId="17" borderId="25" xfId="0" applyFont="1" applyFill="1" applyBorder="1" applyProtection="1"/>
    <xf numFmtId="0" fontId="92" fillId="17" borderId="0" xfId="0" applyFont="1" applyFill="1" applyBorder="1" applyProtection="1"/>
    <xf numFmtId="0" fontId="0" fillId="38" borderId="0" xfId="0" applyFill="1" applyBorder="1"/>
    <xf numFmtId="178" fontId="3" fillId="0" borderId="118" xfId="982" applyNumberFormat="1" applyFont="1" applyFill="1" applyBorder="1" applyAlignment="1">
      <alignment horizontal="center" vertical="center"/>
    </xf>
    <xf numFmtId="0" fontId="47" fillId="20" borderId="5" xfId="0" applyFont="1" applyFill="1" applyBorder="1" applyAlignment="1">
      <alignment vertical="center" wrapText="1"/>
    </xf>
    <xf numFmtId="171" fontId="3" fillId="0" borderId="0" xfId="0" applyNumberFormat="1" applyFont="1" applyBorder="1" applyAlignment="1">
      <alignment horizontal="center"/>
    </xf>
    <xf numFmtId="0" fontId="121" fillId="0" borderId="181" xfId="0" applyFont="1" applyBorder="1" applyAlignment="1">
      <alignment vertical="center" wrapText="1"/>
    </xf>
    <xf numFmtId="0" fontId="0" fillId="0" borderId="182" xfId="0" applyBorder="1" applyAlignment="1">
      <alignment horizontal="center" vertical="center"/>
    </xf>
    <xf numFmtId="0" fontId="63" fillId="23" borderId="0" xfId="0" applyFont="1" applyFill="1"/>
    <xf numFmtId="0" fontId="38" fillId="0" borderId="183" xfId="0" applyFont="1" applyFill="1" applyBorder="1" applyAlignment="1">
      <alignment horizontal="center" vertical="center"/>
    </xf>
    <xf numFmtId="0" fontId="38" fillId="0" borderId="183" xfId="0" applyFont="1" applyFill="1" applyBorder="1" applyAlignment="1">
      <alignment horizontal="left" vertical="center"/>
    </xf>
    <xf numFmtId="0" fontId="4" fillId="0" borderId="184" xfId="0" applyFont="1" applyBorder="1" applyAlignment="1">
      <alignment horizontal="left" vertical="center" wrapText="1"/>
    </xf>
    <xf numFmtId="0" fontId="92" fillId="17" borderId="0" xfId="0" applyFont="1" applyFill="1" applyProtection="1"/>
    <xf numFmtId="171" fontId="4" fillId="0" borderId="0" xfId="0" applyNumberFormat="1" applyFont="1" applyFill="1" applyBorder="1" applyAlignment="1">
      <alignment horizontal="center" vertical="center"/>
    </xf>
    <xf numFmtId="0" fontId="62" fillId="23" borderId="0" xfId="0" applyFont="1" applyFill="1" applyBorder="1"/>
    <xf numFmtId="0" fontId="65" fillId="0" borderId="0" xfId="0" applyFont="1" applyAlignment="1"/>
    <xf numFmtId="0" fontId="65" fillId="23" borderId="0" xfId="0" applyFont="1" applyFill="1" applyAlignment="1"/>
    <xf numFmtId="0" fontId="89" fillId="0" borderId="0" xfId="0" applyFont="1" applyFill="1" applyBorder="1" applyAlignment="1">
      <alignment horizontal="center"/>
    </xf>
    <xf numFmtId="0" fontId="41" fillId="0" borderId="9" xfId="0" applyFont="1" applyFill="1" applyBorder="1" applyAlignment="1">
      <alignment horizontal="right" wrapText="1"/>
    </xf>
    <xf numFmtId="0" fontId="41" fillId="0" borderId="10" xfId="0" applyFont="1" applyFill="1" applyBorder="1" applyAlignment="1">
      <alignment horizontal="right" wrapText="1"/>
    </xf>
    <xf numFmtId="0" fontId="53" fillId="0" borderId="11" xfId="0" applyFont="1" applyFill="1" applyBorder="1" applyAlignment="1">
      <alignment vertical="center"/>
    </xf>
    <xf numFmtId="0" fontId="41" fillId="0" borderId="12" xfId="0" applyFont="1" applyFill="1" applyBorder="1" applyAlignment="1">
      <alignment vertical="center"/>
    </xf>
    <xf numFmtId="0" fontId="28" fillId="22" borderId="184" xfId="0" applyFont="1" applyFill="1" applyBorder="1" applyAlignment="1">
      <alignment horizontal="left" vertical="center" wrapText="1"/>
    </xf>
    <xf numFmtId="181" fontId="92" fillId="17" borderId="25" xfId="422" applyNumberFormat="1" applyFont="1" applyFill="1" applyBorder="1" applyProtection="1"/>
    <xf numFmtId="0" fontId="92" fillId="17" borderId="26" xfId="0" applyFont="1" applyFill="1" applyBorder="1" applyProtection="1"/>
    <xf numFmtId="0" fontId="92" fillId="17" borderId="11" xfId="0" applyFont="1" applyFill="1" applyBorder="1" applyProtection="1"/>
    <xf numFmtId="0" fontId="92" fillId="17" borderId="12" xfId="0" applyFont="1" applyFill="1" applyBorder="1" applyProtection="1"/>
    <xf numFmtId="0" fontId="0" fillId="0" borderId="25" xfId="0" applyBorder="1" applyAlignment="1">
      <alignment wrapText="1"/>
    </xf>
    <xf numFmtId="0" fontId="92" fillId="17" borderId="26" xfId="422" applyNumberFormat="1" applyFont="1" applyFill="1" applyBorder="1" applyProtection="1"/>
    <xf numFmtId="0" fontId="13" fillId="0" borderId="0" xfId="0" applyFont="1" applyBorder="1" applyAlignment="1">
      <alignment vertical="center"/>
    </xf>
    <xf numFmtId="0" fontId="44" fillId="0" borderId="30" xfId="0" applyFont="1" applyBorder="1" applyAlignment="1">
      <alignment vertical="center" wrapText="1"/>
    </xf>
    <xf numFmtId="0" fontId="29" fillId="0" borderId="16" xfId="0" applyFont="1" applyBorder="1" applyAlignment="1">
      <alignment vertical="center" wrapText="1"/>
    </xf>
    <xf numFmtId="0" fontId="95" fillId="43" borderId="129" xfId="0" applyNumberFormat="1" applyFont="1" applyFill="1" applyBorder="1" applyAlignment="1">
      <alignment horizontal="center" vertical="center" wrapText="1"/>
    </xf>
    <xf numFmtId="0" fontId="5" fillId="43" borderId="129" xfId="0" applyNumberFormat="1" applyFont="1" applyFill="1" applyBorder="1" applyAlignment="1">
      <alignment horizontal="center" vertical="center" wrapText="1"/>
    </xf>
    <xf numFmtId="0" fontId="95" fillId="43" borderId="179" xfId="0" applyNumberFormat="1" applyFont="1" applyFill="1" applyBorder="1" applyAlignment="1">
      <alignment horizontal="center" vertical="center" wrapText="1"/>
    </xf>
    <xf numFmtId="177" fontId="120" fillId="43" borderId="129" xfId="0" applyNumberFormat="1" applyFont="1" applyFill="1" applyBorder="1" applyAlignment="1">
      <alignment horizontal="center" vertical="center" wrapText="1"/>
    </xf>
    <xf numFmtId="0" fontId="121" fillId="43" borderId="181" xfId="0" applyFont="1" applyFill="1" applyBorder="1" applyAlignment="1">
      <alignment vertical="center" wrapText="1"/>
    </xf>
    <xf numFmtId="0" fontId="121" fillId="43" borderId="0" xfId="0" applyFont="1" applyFill="1"/>
    <xf numFmtId="0" fontId="95" fillId="40" borderId="129" xfId="0" applyNumberFormat="1" applyFont="1" applyFill="1" applyBorder="1" applyAlignment="1">
      <alignment horizontal="center" vertical="center" wrapText="1"/>
    </xf>
    <xf numFmtId="0" fontId="5" fillId="40" borderId="129" xfId="0" applyNumberFormat="1" applyFont="1" applyFill="1" applyBorder="1" applyAlignment="1">
      <alignment horizontal="center" vertical="center" wrapText="1"/>
    </xf>
    <xf numFmtId="0" fontId="95" fillId="40" borderId="179" xfId="0" applyNumberFormat="1" applyFont="1" applyFill="1" applyBorder="1" applyAlignment="1">
      <alignment horizontal="center" vertical="center" wrapText="1"/>
    </xf>
    <xf numFmtId="177" fontId="120" fillId="40" borderId="129" xfId="0" applyNumberFormat="1" applyFont="1" applyFill="1" applyBorder="1" applyAlignment="1">
      <alignment horizontal="center" vertical="center" wrapText="1"/>
    </xf>
    <xf numFmtId="0" fontId="121" fillId="40" borderId="181" xfId="0" applyFont="1" applyFill="1" applyBorder="1" applyAlignment="1">
      <alignment vertical="center" wrapText="1"/>
    </xf>
    <xf numFmtId="0" fontId="121" fillId="40" borderId="0" xfId="0" applyFont="1" applyFill="1"/>
    <xf numFmtId="0" fontId="71" fillId="19" borderId="0" xfId="0" applyFont="1" applyFill="1"/>
    <xf numFmtId="0" fontId="0" fillId="40" borderId="0" xfId="0" applyFill="1"/>
    <xf numFmtId="0" fontId="0" fillId="43" borderId="0" xfId="0" applyFill="1"/>
    <xf numFmtId="0" fontId="4" fillId="0" borderId="48" xfId="0" applyFont="1" applyBorder="1" applyAlignment="1">
      <alignment horizontal="center" vertical="center" wrapText="1"/>
    </xf>
    <xf numFmtId="0" fontId="164" fillId="0" borderId="0" xfId="0" applyNumberFormat="1" applyFont="1" applyFill="1" applyBorder="1" applyAlignment="1">
      <alignment horizontal="left" vertical="center"/>
    </xf>
    <xf numFmtId="0" fontId="14" fillId="0" borderId="0" xfId="10" applyFont="1" applyFill="1" applyBorder="1" applyAlignment="1">
      <alignment horizontal="left" vertical="center"/>
    </xf>
    <xf numFmtId="0" fontId="14" fillId="0" borderId="0" xfId="10" applyFont="1" applyFill="1" applyBorder="1" applyAlignment="1">
      <alignment horizontal="right" vertical="center"/>
    </xf>
    <xf numFmtId="0" fontId="42" fillId="43" borderId="0" xfId="0" applyFont="1" applyFill="1" applyBorder="1"/>
    <xf numFmtId="0" fontId="38" fillId="43" borderId="0" xfId="0" applyFont="1" applyFill="1" applyBorder="1"/>
    <xf numFmtId="0" fontId="28" fillId="43" borderId="0" xfId="0" applyFont="1" applyFill="1" applyBorder="1"/>
    <xf numFmtId="0" fontId="4" fillId="43" borderId="45" xfId="0" applyFont="1" applyFill="1" applyBorder="1" applyAlignment="1">
      <alignment vertical="center" wrapText="1"/>
    </xf>
    <xf numFmtId="0" fontId="3" fillId="43" borderId="45" xfId="0" applyFont="1" applyFill="1" applyBorder="1" applyAlignment="1">
      <alignment horizontal="center" vertical="center" wrapText="1"/>
    </xf>
    <xf numFmtId="0" fontId="4" fillId="43" borderId="45" xfId="0" applyFont="1" applyFill="1" applyBorder="1" applyAlignment="1">
      <alignment horizontal="center" vertical="center" wrapText="1"/>
    </xf>
    <xf numFmtId="0" fontId="41" fillId="43" borderId="45" xfId="0" applyFont="1" applyFill="1" applyBorder="1" applyAlignment="1">
      <alignment horizontal="center" vertical="center" wrapText="1"/>
    </xf>
    <xf numFmtId="0" fontId="38" fillId="43" borderId="45" xfId="0" applyFont="1" applyFill="1" applyBorder="1" applyAlignment="1">
      <alignment horizontal="center" vertical="center"/>
    </xf>
    <xf numFmtId="0" fontId="42" fillId="40" borderId="0" xfId="0" applyFont="1" applyFill="1" applyBorder="1"/>
    <xf numFmtId="0" fontId="38" fillId="40" borderId="0" xfId="0" applyFont="1" applyFill="1" applyBorder="1"/>
    <xf numFmtId="0" fontId="28" fillId="40" borderId="0" xfId="0" applyFont="1" applyFill="1" applyBorder="1"/>
    <xf numFmtId="0" fontId="4" fillId="40" borderId="45" xfId="0" applyFont="1" applyFill="1" applyBorder="1" applyAlignment="1">
      <alignment vertical="center" wrapText="1"/>
    </xf>
    <xf numFmtId="0" fontId="3" fillId="40" borderId="45" xfId="0" applyFont="1" applyFill="1" applyBorder="1" applyAlignment="1">
      <alignment horizontal="center" vertical="center" wrapText="1"/>
    </xf>
    <xf numFmtId="0" fontId="4" fillId="40" borderId="45" xfId="0" applyFont="1" applyFill="1" applyBorder="1" applyAlignment="1">
      <alignment horizontal="center" vertical="center" wrapText="1"/>
    </xf>
    <xf numFmtId="0" fontId="41" fillId="40" borderId="45" xfId="0" applyFont="1" applyFill="1" applyBorder="1" applyAlignment="1">
      <alignment horizontal="center" vertical="center" wrapText="1"/>
    </xf>
    <xf numFmtId="0" fontId="38" fillId="40" borderId="45" xfId="0" applyFont="1" applyFill="1" applyBorder="1" applyAlignment="1">
      <alignment horizontal="center" vertical="center"/>
    </xf>
    <xf numFmtId="0" fontId="53" fillId="43" borderId="0" xfId="0" applyFont="1" applyFill="1" applyBorder="1"/>
    <xf numFmtId="0" fontId="45" fillId="43" borderId="0" xfId="0" applyFont="1" applyFill="1" applyBorder="1"/>
    <xf numFmtId="0" fontId="53" fillId="43" borderId="45" xfId="0" applyFont="1" applyFill="1" applyBorder="1" applyAlignment="1">
      <alignment vertical="center" wrapText="1"/>
    </xf>
    <xf numFmtId="0" fontId="45" fillId="43" borderId="45" xfId="0" applyFont="1" applyFill="1" applyBorder="1" applyAlignment="1">
      <alignment horizontal="center" vertical="center" wrapText="1"/>
    </xf>
    <xf numFmtId="0" fontId="53" fillId="43" borderId="45" xfId="0" applyFont="1" applyFill="1" applyBorder="1" applyAlignment="1">
      <alignment horizontal="center" vertical="center" wrapText="1"/>
    </xf>
    <xf numFmtId="0" fontId="45" fillId="43" borderId="45" xfId="0" applyFont="1" applyFill="1" applyBorder="1" applyAlignment="1">
      <alignment horizontal="center" vertical="center"/>
    </xf>
    <xf numFmtId="0" fontId="77" fillId="43" borderId="0" xfId="0" applyFont="1" applyFill="1" applyBorder="1" applyAlignment="1">
      <alignment horizontal="center" vertical="center"/>
    </xf>
    <xf numFmtId="0" fontId="69" fillId="43" borderId="0" xfId="0" applyFont="1" applyFill="1" applyBorder="1" applyAlignment="1">
      <alignment vertical="center"/>
    </xf>
    <xf numFmtId="0" fontId="162" fillId="43" borderId="0" xfId="0" applyFont="1" applyFill="1" applyBorder="1" applyAlignment="1">
      <alignment vertical="center"/>
    </xf>
    <xf numFmtId="0" fontId="28" fillId="43" borderId="45" xfId="0" applyFont="1" applyFill="1" applyBorder="1" applyAlignment="1">
      <alignment horizontal="center" vertical="center" wrapText="1"/>
    </xf>
    <xf numFmtId="0" fontId="81" fillId="43" borderId="45" xfId="0" applyFont="1" applyFill="1" applyBorder="1" applyAlignment="1">
      <alignment horizontal="center" vertical="center" wrapText="1"/>
    </xf>
    <xf numFmtId="171" fontId="162" fillId="43" borderId="0" xfId="0" applyNumberFormat="1" applyFont="1" applyFill="1" applyBorder="1" applyAlignment="1">
      <alignment horizontal="center" vertical="center"/>
    </xf>
    <xf numFmtId="0" fontId="69" fillId="43" borderId="0" xfId="0" applyFont="1" applyFill="1" applyBorder="1" applyAlignment="1">
      <alignment horizontal="center" vertical="center"/>
    </xf>
    <xf numFmtId="171" fontId="132" fillId="43" borderId="0" xfId="0" applyNumberFormat="1" applyFont="1" applyFill="1" applyBorder="1" applyAlignment="1">
      <alignment horizontal="center"/>
    </xf>
    <xf numFmtId="0" fontId="77" fillId="40" borderId="0" xfId="0" applyFont="1" applyFill="1" applyBorder="1" applyAlignment="1">
      <alignment horizontal="center" vertical="center"/>
    </xf>
    <xf numFmtId="0" fontId="69" fillId="40" borderId="0" xfId="0" applyFont="1" applyFill="1" applyBorder="1" applyAlignment="1">
      <alignment vertical="center"/>
    </xf>
    <xf numFmtId="0" fontId="162" fillId="40" borderId="0" xfId="0" applyFont="1" applyFill="1" applyBorder="1" applyAlignment="1">
      <alignment vertical="center"/>
    </xf>
    <xf numFmtId="0" fontId="81" fillId="40" borderId="45" xfId="0" applyFont="1" applyFill="1" applyBorder="1" applyAlignment="1">
      <alignment horizontal="center" vertical="center" wrapText="1"/>
    </xf>
    <xf numFmtId="0" fontId="28" fillId="40" borderId="45" xfId="0" applyFont="1" applyFill="1" applyBorder="1" applyAlignment="1">
      <alignment horizontal="center" vertical="center" wrapText="1"/>
    </xf>
    <xf numFmtId="171" fontId="162" fillId="40" borderId="0" xfId="0" applyNumberFormat="1" applyFont="1" applyFill="1" applyBorder="1" applyAlignment="1">
      <alignment horizontal="center" vertical="center"/>
    </xf>
    <xf numFmtId="0" fontId="69" fillId="40" borderId="0" xfId="0" applyFont="1" applyFill="1" applyBorder="1" applyAlignment="1">
      <alignment horizontal="center" vertical="center"/>
    </xf>
    <xf numFmtId="171" fontId="132" fillId="40" borderId="0" xfId="0" applyNumberFormat="1" applyFont="1" applyFill="1" applyBorder="1" applyAlignment="1">
      <alignment horizontal="center"/>
    </xf>
    <xf numFmtId="0" fontId="47" fillId="40" borderId="0" xfId="0" applyFont="1" applyFill="1" applyBorder="1" applyAlignment="1">
      <alignment vertical="center" wrapText="1"/>
    </xf>
    <xf numFmtId="0" fontId="41" fillId="40" borderId="0" xfId="0" applyFont="1" applyFill="1" applyBorder="1"/>
    <xf numFmtId="0" fontId="54" fillId="40" borderId="0" xfId="0" applyFont="1" applyFill="1" applyBorder="1"/>
    <xf numFmtId="171" fontId="41" fillId="40" borderId="9" xfId="0" applyNumberFormat="1" applyFont="1" applyFill="1" applyBorder="1" applyAlignment="1">
      <alignment horizontal="center" wrapText="1"/>
    </xf>
    <xf numFmtId="171" fontId="41" fillId="40" borderId="13" xfId="0" applyNumberFormat="1" applyFont="1" applyFill="1" applyBorder="1" applyAlignment="1">
      <alignment horizontal="center" wrapText="1"/>
    </xf>
    <xf numFmtId="0" fontId="41" fillId="40" borderId="10" xfId="0" applyFont="1" applyFill="1" applyBorder="1" applyAlignment="1">
      <alignment horizontal="center" wrapText="1"/>
    </xf>
    <xf numFmtId="171" fontId="28" fillId="40" borderId="0" xfId="0" applyNumberFormat="1" applyFont="1" applyFill="1" applyBorder="1" applyAlignment="1">
      <alignment horizontal="center" vertical="center"/>
    </xf>
    <xf numFmtId="0" fontId="41" fillId="40" borderId="0" xfId="0" applyFont="1" applyFill="1" applyBorder="1" applyAlignment="1">
      <alignment horizontal="center" vertical="center"/>
    </xf>
    <xf numFmtId="171" fontId="4" fillId="40" borderId="0" xfId="0" applyNumberFormat="1" applyFont="1" applyFill="1" applyBorder="1" applyAlignment="1">
      <alignment horizontal="center"/>
    </xf>
    <xf numFmtId="0" fontId="41" fillId="40" borderId="0" xfId="0" applyFont="1" applyFill="1" applyBorder="1" applyAlignment="1">
      <alignment vertical="center" wrapText="1"/>
    </xf>
    <xf numFmtId="0" fontId="14" fillId="40" borderId="0" xfId="10" applyFont="1" applyFill="1" applyBorder="1" applyAlignment="1">
      <alignment horizontal="left"/>
    </xf>
    <xf numFmtId="0" fontId="53" fillId="43" borderId="0" xfId="0" applyFont="1" applyFill="1" applyBorder="1" applyAlignment="1">
      <alignment vertical="center" wrapText="1"/>
    </xf>
    <xf numFmtId="0" fontId="165" fillId="43" borderId="45" xfId="0" applyFont="1" applyFill="1" applyBorder="1" applyAlignment="1">
      <alignment horizontal="center" vertical="center" wrapText="1"/>
    </xf>
    <xf numFmtId="171" fontId="53" fillId="43" borderId="9" xfId="0" applyNumberFormat="1" applyFont="1" applyFill="1" applyBorder="1" applyAlignment="1">
      <alignment horizontal="center" wrapText="1"/>
    </xf>
    <xf numFmtId="171" fontId="53" fillId="43" borderId="13" xfId="0" applyNumberFormat="1" applyFont="1" applyFill="1" applyBorder="1" applyAlignment="1">
      <alignment horizontal="center" wrapText="1"/>
    </xf>
    <xf numFmtId="0" fontId="53" fillId="43" borderId="10" xfId="0" applyFont="1" applyFill="1" applyBorder="1" applyAlignment="1">
      <alignment horizontal="center" wrapText="1"/>
    </xf>
    <xf numFmtId="0" fontId="53" fillId="43" borderId="0" xfId="0" applyFont="1" applyFill="1" applyBorder="1" applyAlignment="1">
      <alignment horizontal="center" vertical="center"/>
    </xf>
    <xf numFmtId="171" fontId="53" fillId="43" borderId="0" xfId="0" applyNumberFormat="1" applyFont="1" applyFill="1" applyBorder="1" applyAlignment="1">
      <alignment horizontal="center"/>
    </xf>
    <xf numFmtId="0" fontId="45" fillId="43" borderId="0" xfId="10" applyFont="1" applyFill="1" applyBorder="1" applyAlignment="1">
      <alignment horizontal="left"/>
    </xf>
    <xf numFmtId="0" fontId="47" fillId="43" borderId="0" xfId="0" applyFont="1" applyFill="1" applyBorder="1" applyAlignment="1">
      <alignment vertical="center" wrapText="1"/>
    </xf>
    <xf numFmtId="0" fontId="41" fillId="43" borderId="0" xfId="0" applyFont="1" applyFill="1" applyBorder="1" applyAlignment="1">
      <alignment vertical="center" wrapText="1"/>
    </xf>
    <xf numFmtId="0" fontId="52" fillId="43" borderId="0" xfId="0" applyFont="1" applyFill="1" applyBorder="1" applyAlignment="1">
      <alignment vertical="center"/>
    </xf>
    <xf numFmtId="0" fontId="73" fillId="43" borderId="0" xfId="0" applyFont="1" applyFill="1" applyBorder="1" applyAlignment="1">
      <alignment vertical="center"/>
    </xf>
    <xf numFmtId="171" fontId="28" fillId="43" borderId="0" xfId="0" applyNumberFormat="1" applyFont="1" applyFill="1" applyBorder="1" applyAlignment="1">
      <alignment horizontal="center" vertical="center"/>
    </xf>
    <xf numFmtId="0" fontId="41" fillId="43" borderId="0" xfId="0" applyFont="1" applyFill="1" applyBorder="1" applyAlignment="1">
      <alignment horizontal="center" vertical="center" wrapText="1"/>
    </xf>
    <xf numFmtId="0" fontId="52" fillId="40" borderId="0" xfId="0" applyFont="1" applyFill="1" applyBorder="1" applyAlignment="1">
      <alignment vertical="center"/>
    </xf>
    <xf numFmtId="0" fontId="73" fillId="40" borderId="0" xfId="0" applyFont="1" applyFill="1" applyBorder="1" applyAlignment="1">
      <alignment vertical="center"/>
    </xf>
    <xf numFmtId="171" fontId="28" fillId="40" borderId="25" xfId="0" applyNumberFormat="1" applyFont="1" applyFill="1" applyBorder="1" applyAlignment="1">
      <alignment horizontal="center" vertical="center"/>
    </xf>
    <xf numFmtId="171" fontId="28" fillId="40" borderId="26" xfId="0" applyNumberFormat="1" applyFont="1" applyFill="1" applyBorder="1" applyAlignment="1">
      <alignment horizontal="center" vertical="center"/>
    </xf>
    <xf numFmtId="0" fontId="41" fillId="40" borderId="0" xfId="0" applyFont="1" applyFill="1" applyBorder="1" applyAlignment="1">
      <alignment horizontal="center" vertical="center" wrapText="1"/>
    </xf>
    <xf numFmtId="0" fontId="54" fillId="40" borderId="0" xfId="0" applyFont="1" applyFill="1" applyBorder="1" applyAlignment="1">
      <alignment wrapText="1"/>
    </xf>
    <xf numFmtId="0" fontId="28" fillId="40" borderId="78" xfId="0" applyFont="1" applyFill="1" applyBorder="1" applyAlignment="1">
      <alignment horizontal="center" vertical="center" wrapText="1"/>
    </xf>
    <xf numFmtId="171" fontId="41" fillId="40" borderId="129" xfId="0" applyNumberFormat="1" applyFont="1" applyFill="1" applyBorder="1" applyAlignment="1">
      <alignment horizontal="center" vertical="center" wrapText="1"/>
    </xf>
    <xf numFmtId="0" fontId="3" fillId="40" borderId="129" xfId="0" applyNumberFormat="1" applyFont="1" applyFill="1" applyBorder="1" applyAlignment="1">
      <alignment horizontal="center" vertical="center"/>
    </xf>
    <xf numFmtId="0" fontId="81" fillId="40" borderId="129" xfId="0" applyNumberFormat="1" applyFont="1" applyFill="1" applyBorder="1" applyAlignment="1">
      <alignment horizontal="center" vertical="center" wrapText="1"/>
    </xf>
    <xf numFmtId="0" fontId="4" fillId="40" borderId="129" xfId="0" applyFont="1" applyFill="1" applyBorder="1" applyAlignment="1">
      <alignment horizontal="center" vertical="center" wrapText="1"/>
    </xf>
    <xf numFmtId="177" fontId="102" fillId="40" borderId="129" xfId="0" applyNumberFormat="1" applyFont="1" applyFill="1" applyBorder="1" applyAlignment="1">
      <alignment horizontal="center" vertical="center" wrapText="1"/>
    </xf>
    <xf numFmtId="0" fontId="4" fillId="40" borderId="76" xfId="0" applyFont="1" applyFill="1" applyBorder="1" applyAlignment="1">
      <alignment horizontal="center" vertical="center" wrapText="1"/>
    </xf>
    <xf numFmtId="0" fontId="41" fillId="40" borderId="129" xfId="0" applyFont="1" applyFill="1" applyBorder="1" applyAlignment="1">
      <alignment horizontal="center" vertical="center" wrapText="1"/>
    </xf>
    <xf numFmtId="0" fontId="41" fillId="40" borderId="76" xfId="0" applyFont="1" applyFill="1" applyBorder="1" applyAlignment="1">
      <alignment horizontal="center" vertical="center" wrapText="1"/>
    </xf>
    <xf numFmtId="0" fontId="41" fillId="40" borderId="131" xfId="0" applyFont="1" applyFill="1" applyBorder="1" applyAlignment="1">
      <alignment horizontal="center" vertical="center"/>
    </xf>
    <xf numFmtId="0" fontId="28" fillId="40" borderId="0" xfId="0" quotePrefix="1" applyFont="1" applyFill="1" applyBorder="1" applyAlignment="1">
      <alignment horizontal="center"/>
    </xf>
    <xf numFmtId="0" fontId="28" fillId="40" borderId="0" xfId="0" applyFont="1" applyFill="1" applyBorder="1" applyAlignment="1">
      <alignment horizontal="center" vertical="center"/>
    </xf>
    <xf numFmtId="171" fontId="28" fillId="40" borderId="0" xfId="0" applyNumberFormat="1" applyFont="1" applyFill="1" applyBorder="1" applyAlignment="1">
      <alignment horizontal="center"/>
    </xf>
    <xf numFmtId="0" fontId="54" fillId="43" borderId="0" xfId="0" applyFont="1" applyFill="1" applyBorder="1" applyAlignment="1">
      <alignment wrapText="1"/>
    </xf>
    <xf numFmtId="0" fontId="28" fillId="43" borderId="78" xfId="0" applyFont="1" applyFill="1" applyBorder="1" applyAlignment="1">
      <alignment horizontal="center" vertical="center" wrapText="1"/>
    </xf>
    <xf numFmtId="0" fontId="41" fillId="43" borderId="0" xfId="0" applyFont="1" applyFill="1" applyBorder="1"/>
    <xf numFmtId="0" fontId="4" fillId="43" borderId="76" xfId="0" applyFont="1" applyFill="1" applyBorder="1" applyAlignment="1">
      <alignment horizontal="center" vertical="center" wrapText="1"/>
    </xf>
    <xf numFmtId="0" fontId="41" fillId="43" borderId="76" xfId="0" applyFont="1" applyFill="1" applyBorder="1" applyAlignment="1">
      <alignment horizontal="center" vertical="center" wrapText="1"/>
    </xf>
    <xf numFmtId="0" fontId="38" fillId="43" borderId="131" xfId="0" applyFont="1" applyFill="1" applyBorder="1" applyAlignment="1">
      <alignment horizontal="center" vertical="center"/>
    </xf>
    <xf numFmtId="0" fontId="28" fillId="43" borderId="0" xfId="0" quotePrefix="1" applyFont="1" applyFill="1" applyBorder="1" applyAlignment="1">
      <alignment horizontal="center"/>
    </xf>
    <xf numFmtId="0" fontId="28" fillId="43" borderId="0" xfId="0" applyFont="1" applyFill="1" applyBorder="1" applyAlignment="1">
      <alignment horizontal="center" vertical="center"/>
    </xf>
    <xf numFmtId="171" fontId="28" fillId="43" borderId="0" xfId="0" applyNumberFormat="1" applyFont="1" applyFill="1" applyBorder="1" applyAlignment="1">
      <alignment horizontal="center"/>
    </xf>
    <xf numFmtId="0" fontId="47" fillId="43" borderId="0" xfId="0" applyFont="1" applyFill="1" applyBorder="1" applyAlignment="1">
      <alignment vertical="center"/>
    </xf>
    <xf numFmtId="0" fontId="54" fillId="43" borderId="0" xfId="0" applyFont="1" applyFill="1" applyBorder="1" applyAlignment="1">
      <alignment vertical="center"/>
    </xf>
    <xf numFmtId="0" fontId="38" fillId="43" borderId="0" xfId="0" applyFont="1" applyFill="1" applyBorder="1" applyAlignment="1">
      <alignment vertical="center" wrapText="1"/>
    </xf>
    <xf numFmtId="0" fontId="38" fillId="43" borderId="124" xfId="0" applyFont="1" applyFill="1" applyBorder="1" applyAlignment="1">
      <alignment horizontal="center" vertical="center"/>
    </xf>
    <xf numFmtId="0" fontId="38" fillId="43" borderId="0" xfId="0" applyFont="1" applyFill="1" applyBorder="1" applyAlignment="1">
      <alignment horizontal="center"/>
    </xf>
    <xf numFmtId="0" fontId="47" fillId="40" borderId="0" xfId="0" applyFont="1" applyFill="1" applyBorder="1" applyAlignment="1">
      <alignment vertical="center"/>
    </xf>
    <xf numFmtId="0" fontId="54" fillId="40" borderId="0" xfId="0" applyFont="1" applyFill="1" applyBorder="1" applyAlignment="1">
      <alignment vertical="center"/>
    </xf>
    <xf numFmtId="0" fontId="38" fillId="40" borderId="0" xfId="0" applyFont="1" applyFill="1" applyBorder="1" applyAlignment="1">
      <alignment vertical="center" wrapText="1"/>
    </xf>
    <xf numFmtId="0" fontId="38" fillId="40" borderId="124" xfId="0" applyFont="1" applyFill="1" applyBorder="1" applyAlignment="1">
      <alignment horizontal="center" vertical="center"/>
    </xf>
    <xf numFmtId="0" fontId="38" fillId="40" borderId="0" xfId="0" applyFont="1" applyFill="1" applyBorder="1" applyAlignment="1">
      <alignment horizontal="center"/>
    </xf>
    <xf numFmtId="0" fontId="3" fillId="40" borderId="0" xfId="0" applyFont="1" applyFill="1" applyBorder="1"/>
    <xf numFmtId="0" fontId="3" fillId="40" borderId="0" xfId="0" applyFont="1" applyFill="1" applyBorder="1" applyAlignment="1">
      <alignment vertical="center"/>
    </xf>
    <xf numFmtId="0" fontId="5" fillId="40" borderId="0" xfId="0" applyFont="1" applyFill="1" applyBorder="1"/>
    <xf numFmtId="0" fontId="49" fillId="40" borderId="0" xfId="0" applyFont="1" applyFill="1" applyBorder="1" applyAlignment="1">
      <alignment vertical="center"/>
    </xf>
    <xf numFmtId="0" fontId="14" fillId="40" borderId="0" xfId="0" applyFont="1" applyFill="1" applyBorder="1"/>
    <xf numFmtId="0" fontId="40" fillId="40" borderId="0" xfId="0" applyFont="1" applyFill="1" applyBorder="1"/>
    <xf numFmtId="0" fontId="6" fillId="40" borderId="0" xfId="0" applyFont="1" applyFill="1" applyBorder="1"/>
    <xf numFmtId="0" fontId="3" fillId="43" borderId="0" xfId="0" applyFont="1" applyFill="1" applyBorder="1"/>
    <xf numFmtId="0" fontId="3" fillId="43" borderId="0" xfId="0" applyFont="1" applyFill="1" applyBorder="1" applyAlignment="1">
      <alignment vertical="center"/>
    </xf>
    <xf numFmtId="0" fontId="5" fillId="43" borderId="0" xfId="0" applyFont="1" applyFill="1" applyBorder="1"/>
    <xf numFmtId="0" fontId="49" fillId="43" borderId="0" xfId="0" applyFont="1" applyFill="1" applyBorder="1" applyAlignment="1">
      <alignment vertical="center"/>
    </xf>
    <xf numFmtId="0" fontId="14" fillId="43" borderId="0" xfId="0" applyFont="1" applyFill="1" applyBorder="1"/>
    <xf numFmtId="0" fontId="40" fillId="43" borderId="0" xfId="0" applyFont="1" applyFill="1" applyBorder="1"/>
    <xf numFmtId="0" fontId="6" fillId="43" borderId="0" xfId="0" applyFont="1" applyFill="1" applyBorder="1"/>
    <xf numFmtId="0" fontId="34" fillId="0" borderId="0" xfId="0" applyFont="1" applyBorder="1" applyAlignment="1">
      <alignment horizontal="center"/>
    </xf>
    <xf numFmtId="0" fontId="44" fillId="0" borderId="0" xfId="0" applyFont="1" applyFill="1" applyBorder="1" applyAlignment="1">
      <alignment horizontal="center" vertical="center" wrapText="1"/>
    </xf>
    <xf numFmtId="0" fontId="81" fillId="40" borderId="0" xfId="0" applyFont="1" applyFill="1" applyBorder="1" applyAlignment="1">
      <alignment horizontal="left"/>
    </xf>
    <xf numFmtId="0" fontId="81" fillId="40" borderId="0" xfId="0" applyFont="1" applyFill="1" applyBorder="1" applyAlignment="1">
      <alignment horizontal="left" vertical="center"/>
    </xf>
    <xf numFmtId="0" fontId="167" fillId="40" borderId="0" xfId="0" applyFont="1" applyFill="1" applyBorder="1" applyAlignment="1">
      <alignment horizontal="left"/>
    </xf>
    <xf numFmtId="0" fontId="168" fillId="40" borderId="0" xfId="0" applyFont="1" applyFill="1" applyBorder="1" applyAlignment="1">
      <alignment horizontal="left" vertical="center"/>
    </xf>
    <xf numFmtId="0" fontId="168" fillId="40" borderId="0" xfId="0" applyFont="1" applyFill="1" applyBorder="1" applyAlignment="1">
      <alignment horizontal="left"/>
    </xf>
    <xf numFmtId="0" fontId="166" fillId="40" borderId="0" xfId="0" applyFont="1" applyFill="1" applyBorder="1" applyAlignment="1">
      <alignment horizontal="left" vertical="center"/>
    </xf>
    <xf numFmtId="0" fontId="81" fillId="40" borderId="0" xfId="0" applyFont="1" applyFill="1" applyBorder="1" applyAlignment="1">
      <alignment horizontal="left" vertical="top"/>
    </xf>
    <xf numFmtId="0" fontId="166" fillId="40" borderId="0" xfId="0" applyFont="1" applyFill="1" applyBorder="1" applyAlignment="1">
      <alignment horizontal="left"/>
    </xf>
    <xf numFmtId="172" fontId="81" fillId="40" borderId="0" xfId="0" applyNumberFormat="1" applyFont="1" applyFill="1" applyBorder="1" applyAlignment="1">
      <alignment horizontal="left" vertical="center" wrapText="1"/>
    </xf>
    <xf numFmtId="0" fontId="81" fillId="40" borderId="0" xfId="0" applyFont="1" applyFill="1" applyBorder="1" applyAlignment="1">
      <alignment horizontal="left" vertical="center" wrapText="1"/>
    </xf>
    <xf numFmtId="0" fontId="61" fillId="40" borderId="0" xfId="0" applyFont="1" applyFill="1" applyBorder="1" applyAlignment="1">
      <alignment horizontal="left"/>
    </xf>
    <xf numFmtId="0" fontId="81" fillId="43" borderId="0" xfId="0" applyFont="1" applyFill="1" applyBorder="1"/>
    <xf numFmtId="0" fontId="81" fillId="43" borderId="0" xfId="0" applyFont="1" applyFill="1" applyBorder="1" applyAlignment="1">
      <alignment vertical="center"/>
    </xf>
    <xf numFmtId="0" fontId="81" fillId="43" borderId="0" xfId="0" applyFont="1" applyFill="1" applyBorder="1" applyAlignment="1">
      <alignment horizontal="right"/>
    </xf>
    <xf numFmtId="0" fontId="167" fillId="43" borderId="0" xfId="0" applyFont="1" applyFill="1" applyBorder="1"/>
    <xf numFmtId="0" fontId="168" fillId="43" borderId="0" xfId="0" applyFont="1" applyFill="1" applyBorder="1" applyAlignment="1">
      <alignment vertical="center"/>
    </xf>
    <xf numFmtId="0" fontId="168" fillId="43" borderId="0" xfId="0" applyFont="1" applyFill="1" applyBorder="1"/>
    <xf numFmtId="0" fontId="166" fillId="43" borderId="0" xfId="0" applyFont="1" applyFill="1" applyBorder="1" applyAlignment="1">
      <alignment vertical="center"/>
    </xf>
    <xf numFmtId="0" fontId="81" fillId="43" borderId="0" xfId="0" applyFont="1" applyFill="1" applyBorder="1" applyAlignment="1">
      <alignment vertical="top"/>
    </xf>
    <xf numFmtId="172" fontId="81" fillId="43" borderId="0" xfId="0" applyNumberFormat="1" applyFont="1" applyFill="1" applyBorder="1" applyAlignment="1">
      <alignment vertical="center" wrapText="1"/>
    </xf>
    <xf numFmtId="0" fontId="81" fillId="43" borderId="0" xfId="0" applyFont="1" applyFill="1" applyBorder="1" applyAlignment="1">
      <alignment vertical="center" wrapText="1"/>
    </xf>
    <xf numFmtId="0" fontId="94" fillId="43" borderId="0" xfId="0" applyFont="1" applyFill="1" applyBorder="1" applyAlignment="1">
      <alignment vertical="center"/>
    </xf>
    <xf numFmtId="0" fontId="94" fillId="40" borderId="0" xfId="0" applyFont="1" applyFill="1" applyBorder="1" applyAlignment="1">
      <alignment vertical="center"/>
    </xf>
    <xf numFmtId="0" fontId="130" fillId="43" borderId="0" xfId="0" applyFont="1" applyFill="1" applyBorder="1" applyAlignment="1">
      <alignment horizontal="center" vertical="center"/>
    </xf>
    <xf numFmtId="0" fontId="38" fillId="40" borderId="0" xfId="0" applyFont="1" applyFill="1" applyBorder="1" applyAlignment="1">
      <alignment horizontal="center" vertical="center"/>
    </xf>
    <xf numFmtId="0" fontId="38" fillId="43" borderId="0" xfId="0" applyFont="1" applyFill="1" applyBorder="1" applyAlignment="1">
      <alignment horizontal="center" vertical="center"/>
    </xf>
    <xf numFmtId="0" fontId="3" fillId="43" borderId="17" xfId="0" applyFont="1" applyFill="1" applyBorder="1" applyAlignment="1">
      <alignment horizontal="center" vertical="center" wrapText="1"/>
    </xf>
    <xf numFmtId="0" fontId="3" fillId="43" borderId="52" xfId="0" applyFont="1" applyFill="1" applyBorder="1" applyAlignment="1">
      <alignment horizontal="center" vertical="center" wrapText="1"/>
    </xf>
    <xf numFmtId="171" fontId="4" fillId="43" borderId="0" xfId="0" applyNumberFormat="1" applyFont="1" applyFill="1" applyBorder="1" applyAlignment="1">
      <alignment horizontal="center"/>
    </xf>
    <xf numFmtId="171" fontId="14" fillId="43" borderId="0" xfId="10" applyNumberFormat="1" applyFont="1" applyFill="1" applyBorder="1" applyAlignment="1">
      <alignment horizontal="center" vertical="center"/>
    </xf>
    <xf numFmtId="0" fontId="85" fillId="43" borderId="17" xfId="0" applyFont="1" applyFill="1" applyBorder="1" applyAlignment="1">
      <alignment horizontal="center" vertical="center" wrapText="1"/>
    </xf>
    <xf numFmtId="0" fontId="41" fillId="43" borderId="0" xfId="0" applyFont="1" applyFill="1" applyBorder="1" applyAlignment="1">
      <alignment horizontal="center" vertical="center"/>
    </xf>
    <xf numFmtId="0" fontId="14" fillId="43" borderId="36" xfId="10" applyFont="1" applyFill="1" applyBorder="1" applyAlignment="1">
      <alignment horizontal="left"/>
    </xf>
    <xf numFmtId="0" fontId="87" fillId="43" borderId="0" xfId="0" applyFont="1" applyFill="1" applyBorder="1" applyAlignment="1">
      <alignment horizontal="right" vertical="center"/>
    </xf>
    <xf numFmtId="0" fontId="87" fillId="43" borderId="0" xfId="0" applyFont="1" applyFill="1" applyBorder="1" applyAlignment="1">
      <alignment horizontal="center" vertical="center"/>
    </xf>
    <xf numFmtId="171" fontId="54" fillId="43" borderId="0" xfId="0" applyNumberFormat="1" applyFont="1" applyFill="1" applyBorder="1"/>
    <xf numFmtId="0" fontId="38" fillId="43" borderId="17" xfId="0" applyFont="1" applyFill="1" applyBorder="1" applyAlignment="1">
      <alignment horizontal="center"/>
    </xf>
    <xf numFmtId="0" fontId="38" fillId="43" borderId="17" xfId="0" quotePrefix="1" applyFont="1" applyFill="1" applyBorder="1" applyAlignment="1">
      <alignment horizontal="center"/>
    </xf>
    <xf numFmtId="0" fontId="38" fillId="43" borderId="29" xfId="0" quotePrefix="1" applyFont="1" applyFill="1" applyBorder="1" applyAlignment="1">
      <alignment horizontal="left" vertical="center"/>
    </xf>
    <xf numFmtId="0" fontId="38" fillId="43" borderId="17" xfId="0" quotePrefix="1" applyFont="1" applyFill="1" applyBorder="1" applyAlignment="1">
      <alignment horizontal="left" vertical="center"/>
    </xf>
    <xf numFmtId="0" fontId="45" fillId="43" borderId="0" xfId="0" applyFont="1" applyFill="1" applyBorder="1" applyAlignment="1">
      <alignment horizontal="center"/>
    </xf>
    <xf numFmtId="0" fontId="38" fillId="43" borderId="125" xfId="0" applyFont="1" applyFill="1" applyBorder="1" applyAlignment="1">
      <alignment horizontal="center" wrapText="1"/>
    </xf>
    <xf numFmtId="0" fontId="38" fillId="43" borderId="126" xfId="0" applyFont="1" applyFill="1" applyBorder="1" applyAlignment="1">
      <alignment horizontal="center" vertical="center" wrapText="1"/>
    </xf>
    <xf numFmtId="0" fontId="38" fillId="43" borderId="127" xfId="0" quotePrefix="1" applyFont="1" applyFill="1" applyBorder="1" applyAlignment="1">
      <alignment horizontal="center"/>
    </xf>
    <xf numFmtId="0" fontId="41" fillId="43" borderId="131" xfId="0" applyFont="1" applyFill="1" applyBorder="1" applyAlignment="1">
      <alignment horizontal="center" vertical="center"/>
    </xf>
    <xf numFmtId="0" fontId="38" fillId="43" borderId="79" xfId="0" applyFont="1" applyFill="1" applyBorder="1" applyAlignment="1">
      <alignment horizontal="center"/>
    </xf>
    <xf numFmtId="171" fontId="3" fillId="43" borderId="0" xfId="0" applyNumberFormat="1" applyFont="1" applyFill="1" applyBorder="1" applyAlignment="1">
      <alignment horizontal="center" vertical="center"/>
    </xf>
    <xf numFmtId="171" fontId="3" fillId="43" borderId="118" xfId="0" applyNumberFormat="1" applyFont="1" applyFill="1" applyBorder="1" applyAlignment="1">
      <alignment horizontal="center" vertical="center"/>
    </xf>
    <xf numFmtId="0" fontId="38" fillId="43" borderId="128" xfId="0" applyFont="1" applyFill="1" applyBorder="1" applyAlignment="1">
      <alignment horizontal="center"/>
    </xf>
    <xf numFmtId="0" fontId="38" fillId="43" borderId="128" xfId="0" quotePrefix="1" applyFont="1" applyFill="1" applyBorder="1" applyAlignment="1">
      <alignment horizontal="center"/>
    </xf>
    <xf numFmtId="0" fontId="14" fillId="43" borderId="0" xfId="10" applyFont="1" applyFill="1" applyBorder="1" applyAlignment="1">
      <alignment horizontal="left"/>
    </xf>
    <xf numFmtId="0" fontId="53" fillId="43" borderId="0" xfId="0" applyFont="1" applyFill="1" applyBorder="1" applyAlignment="1">
      <alignment horizontal="center"/>
    </xf>
    <xf numFmtId="0" fontId="38" fillId="43" borderId="133" xfId="0" applyFont="1" applyFill="1" applyBorder="1" applyAlignment="1">
      <alignment horizontal="center"/>
    </xf>
    <xf numFmtId="0" fontId="38" fillId="43" borderId="134" xfId="0" applyFont="1" applyFill="1" applyBorder="1" applyAlignment="1">
      <alignment horizontal="center"/>
    </xf>
    <xf numFmtId="0" fontId="54" fillId="43" borderId="81" xfId="0" applyFont="1" applyFill="1" applyBorder="1" applyAlignment="1">
      <alignment horizontal="center"/>
    </xf>
    <xf numFmtId="0" fontId="3" fillId="40" borderId="17" xfId="0" applyFont="1" applyFill="1" applyBorder="1" applyAlignment="1">
      <alignment horizontal="center" vertical="center" wrapText="1"/>
    </xf>
    <xf numFmtId="0" fontId="3" fillId="40" borderId="52" xfId="0" applyFont="1" applyFill="1" applyBorder="1" applyAlignment="1">
      <alignment horizontal="center" vertical="center" wrapText="1"/>
    </xf>
    <xf numFmtId="171" fontId="14" fillId="40" borderId="0" xfId="10" applyNumberFormat="1" applyFont="1" applyFill="1" applyBorder="1" applyAlignment="1">
      <alignment horizontal="center" vertical="center"/>
    </xf>
    <xf numFmtId="0" fontId="45" fillId="40" borderId="45" xfId="0" applyFont="1" applyFill="1" applyBorder="1" applyAlignment="1">
      <alignment horizontal="center" vertical="center"/>
    </xf>
    <xf numFmtId="0" fontId="85" fillId="40" borderId="17" xfId="0" applyFont="1" applyFill="1" applyBorder="1" applyAlignment="1">
      <alignment horizontal="center" vertical="center" wrapText="1"/>
    </xf>
    <xf numFmtId="0" fontId="14" fillId="40" borderId="36" xfId="10" applyFont="1" applyFill="1" applyBorder="1" applyAlignment="1">
      <alignment horizontal="left"/>
    </xf>
    <xf numFmtId="0" fontId="87" fillId="40" borderId="0" xfId="0" applyFont="1" applyFill="1" applyBorder="1" applyAlignment="1">
      <alignment horizontal="right" vertical="center"/>
    </xf>
    <xf numFmtId="0" fontId="87" fillId="40" borderId="0" xfId="0" applyFont="1" applyFill="1" applyBorder="1" applyAlignment="1">
      <alignment horizontal="center" vertical="center"/>
    </xf>
    <xf numFmtId="171" fontId="54" fillId="40" borderId="0" xfId="0" applyNumberFormat="1" applyFont="1" applyFill="1" applyBorder="1"/>
    <xf numFmtId="0" fontId="38" fillId="40" borderId="17" xfId="0" applyFont="1" applyFill="1" applyBorder="1" applyAlignment="1">
      <alignment horizontal="center"/>
    </xf>
    <xf numFmtId="0" fontId="38" fillId="40" borderId="17" xfId="0" quotePrefix="1" applyFont="1" applyFill="1" applyBorder="1" applyAlignment="1">
      <alignment horizontal="center"/>
    </xf>
    <xf numFmtId="0" fontId="38" fillId="40" borderId="29" xfId="0" quotePrefix="1" applyFont="1" applyFill="1" applyBorder="1" applyAlignment="1">
      <alignment horizontal="left" vertical="center"/>
    </xf>
    <xf numFmtId="0" fontId="38" fillId="40" borderId="17" xfId="0" quotePrefix="1" applyFont="1" applyFill="1" applyBorder="1" applyAlignment="1">
      <alignment horizontal="left" vertical="center"/>
    </xf>
    <xf numFmtId="0" fontId="45" fillId="40" borderId="0" xfId="0" applyFont="1" applyFill="1" applyBorder="1" applyAlignment="1">
      <alignment horizontal="center"/>
    </xf>
    <xf numFmtId="0" fontId="38" fillId="40" borderId="125" xfId="0" applyFont="1" applyFill="1" applyBorder="1" applyAlignment="1">
      <alignment horizontal="center" wrapText="1"/>
    </xf>
    <xf numFmtId="0" fontId="38" fillId="40" borderId="126" xfId="0" applyFont="1" applyFill="1" applyBorder="1" applyAlignment="1">
      <alignment horizontal="center" vertical="center" wrapText="1"/>
    </xf>
    <xf numFmtId="0" fontId="38" fillId="40" borderId="127" xfId="0" quotePrefix="1" applyFont="1" applyFill="1" applyBorder="1" applyAlignment="1">
      <alignment horizontal="center"/>
    </xf>
    <xf numFmtId="0" fontId="38" fillId="40" borderId="131" xfId="0" applyFont="1" applyFill="1" applyBorder="1" applyAlignment="1">
      <alignment horizontal="center" vertical="center"/>
    </xf>
    <xf numFmtId="0" fontId="38" fillId="40" borderId="79" xfId="0" applyFont="1" applyFill="1" applyBorder="1" applyAlignment="1">
      <alignment horizontal="center"/>
    </xf>
    <xf numFmtId="171" fontId="3" fillId="40" borderId="0" xfId="0" applyNumberFormat="1" applyFont="1" applyFill="1" applyBorder="1" applyAlignment="1">
      <alignment horizontal="center" vertical="center"/>
    </xf>
    <xf numFmtId="171" fontId="3" fillId="40" borderId="118" xfId="0" applyNumberFormat="1" applyFont="1" applyFill="1" applyBorder="1" applyAlignment="1">
      <alignment horizontal="center" vertical="center"/>
    </xf>
    <xf numFmtId="0" fontId="38" fillId="40" borderId="128" xfId="0" applyFont="1" applyFill="1" applyBorder="1" applyAlignment="1">
      <alignment horizontal="center"/>
    </xf>
    <xf numFmtId="0" fontId="38" fillId="40" borderId="128" xfId="0" quotePrefix="1" applyFont="1" applyFill="1" applyBorder="1" applyAlignment="1">
      <alignment horizontal="center"/>
    </xf>
    <xf numFmtId="0" fontId="53" fillId="40" borderId="0" xfId="0" applyFont="1" applyFill="1" applyBorder="1" applyAlignment="1">
      <alignment horizontal="center"/>
    </xf>
    <xf numFmtId="0" fontId="38" fillId="40" borderId="133" xfId="0" applyFont="1" applyFill="1" applyBorder="1" applyAlignment="1">
      <alignment horizontal="center"/>
    </xf>
    <xf numFmtId="0" fontId="38" fillId="40" borderId="134" xfId="0" applyFont="1" applyFill="1" applyBorder="1" applyAlignment="1">
      <alignment horizontal="center"/>
    </xf>
    <xf numFmtId="0" fontId="54" fillId="40" borderId="81" xfId="0" applyFont="1" applyFill="1" applyBorder="1" applyAlignment="1">
      <alignment horizontal="center"/>
    </xf>
    <xf numFmtId="0" fontId="38" fillId="43" borderId="127" xfId="0" applyFont="1" applyFill="1" applyBorder="1" applyAlignment="1">
      <alignment horizontal="center"/>
    </xf>
    <xf numFmtId="0" fontId="38" fillId="40" borderId="127" xfId="0" applyFont="1" applyFill="1" applyBorder="1" applyAlignment="1">
      <alignment horizontal="center"/>
    </xf>
    <xf numFmtId="0" fontId="167" fillId="0" borderId="0" xfId="0" applyFont="1" applyBorder="1" applyAlignment="1">
      <alignment horizontal="center"/>
    </xf>
    <xf numFmtId="0" fontId="3" fillId="43" borderId="17" xfId="0" applyFont="1" applyFill="1" applyBorder="1" applyAlignment="1">
      <alignment horizontal="center" vertical="center"/>
    </xf>
    <xf numFmtId="171" fontId="6" fillId="0" borderId="0" xfId="0" applyNumberFormat="1" applyFont="1" applyBorder="1" applyAlignment="1">
      <alignment horizontal="center" vertical="center"/>
    </xf>
    <xf numFmtId="171" fontId="5" fillId="0" borderId="0" xfId="0" applyNumberFormat="1" applyFont="1" applyFill="1" applyBorder="1" applyAlignment="1">
      <alignment horizontal="center" vertical="center"/>
    </xf>
    <xf numFmtId="171" fontId="6" fillId="0" borderId="0" xfId="0" applyNumberFormat="1" applyFont="1" applyBorder="1" applyAlignment="1">
      <alignment horizontal="left" vertical="center"/>
    </xf>
    <xf numFmtId="0" fontId="3" fillId="0" borderId="0" xfId="0" applyFont="1" applyBorder="1" applyAlignment="1">
      <alignment horizontal="left" vertical="center"/>
    </xf>
    <xf numFmtId="0" fontId="3" fillId="40" borderId="0" xfId="0" applyFont="1" applyFill="1" applyBorder="1" applyAlignment="1">
      <alignment horizontal="left" vertical="center"/>
    </xf>
    <xf numFmtId="0" fontId="3" fillId="43" borderId="0" xfId="0" applyFont="1" applyFill="1" applyBorder="1" applyAlignment="1">
      <alignment horizontal="left" vertical="center"/>
    </xf>
    <xf numFmtId="0" fontId="38" fillId="40" borderId="135" xfId="0" applyFont="1" applyFill="1" applyBorder="1" applyAlignment="1">
      <alignment horizontal="center"/>
    </xf>
    <xf numFmtId="0" fontId="134" fillId="0" borderId="0" xfId="0" applyFont="1" applyAlignment="1">
      <alignment wrapText="1"/>
    </xf>
    <xf numFmtId="171" fontId="53" fillId="21" borderId="0" xfId="0" applyNumberFormat="1" applyFont="1" applyFill="1" applyBorder="1"/>
    <xf numFmtId="0" fontId="53" fillId="21" borderId="0" xfId="0" applyFont="1" applyFill="1" applyBorder="1"/>
    <xf numFmtId="0" fontId="41" fillId="21" borderId="0" xfId="0" applyFont="1" applyFill="1" applyBorder="1"/>
    <xf numFmtId="0" fontId="114" fillId="0" borderId="0" xfId="0" applyFont="1" applyBorder="1" applyAlignment="1">
      <alignment horizontal="left" indent="11"/>
    </xf>
    <xf numFmtId="0" fontId="34" fillId="0" borderId="0" xfId="0" applyFont="1" applyBorder="1" applyAlignment="1">
      <alignment horizontal="center"/>
    </xf>
    <xf numFmtId="0" fontId="3" fillId="0" borderId="4" xfId="0" applyFont="1" applyBorder="1" applyAlignment="1">
      <alignment horizontal="left" vertical="center" wrapText="1"/>
    </xf>
    <xf numFmtId="0" fontId="38" fillId="0" borderId="0" xfId="0" applyFont="1" applyFill="1" applyBorder="1" applyAlignment="1">
      <alignment horizontal="left" vertical="center" wrapText="1"/>
    </xf>
    <xf numFmtId="0" fontId="60" fillId="0" borderId="48" xfId="10" applyFont="1" applyFill="1" applyBorder="1" applyAlignment="1">
      <alignment horizontal="center" vertical="center" wrapText="1" shrinkToFit="1"/>
    </xf>
    <xf numFmtId="0" fontId="3" fillId="0" borderId="0" xfId="0" applyFont="1" applyFill="1" applyBorder="1" applyAlignment="1">
      <alignment horizontal="center" vertical="center"/>
    </xf>
    <xf numFmtId="0" fontId="130" fillId="0" borderId="0" xfId="0" applyFont="1" applyFill="1" applyBorder="1" applyAlignment="1">
      <alignment horizontal="center" vertical="center"/>
    </xf>
    <xf numFmtId="0" fontId="3" fillId="0" borderId="185" xfId="0" applyFont="1" applyFill="1" applyBorder="1" applyAlignment="1">
      <alignment horizontal="center" vertical="center" wrapText="1"/>
    </xf>
    <xf numFmtId="0" fontId="28" fillId="0" borderId="185" xfId="0" applyFont="1" applyFill="1" applyBorder="1" applyAlignment="1">
      <alignment horizontal="center" vertical="center" wrapText="1"/>
    </xf>
    <xf numFmtId="0" fontId="81" fillId="0" borderId="185" xfId="0" applyFont="1" applyFill="1" applyBorder="1" applyAlignment="1">
      <alignment horizontal="center" vertical="center" wrapText="1"/>
    </xf>
    <xf numFmtId="0" fontId="4" fillId="40" borderId="0" xfId="0" applyFont="1" applyFill="1" applyBorder="1" applyAlignment="1">
      <alignment vertical="center" wrapText="1"/>
    </xf>
    <xf numFmtId="0" fontId="3" fillId="40" borderId="0" xfId="0" applyFont="1" applyFill="1" applyBorder="1" applyAlignment="1">
      <alignment horizontal="center" vertical="center" wrapText="1"/>
    </xf>
    <xf numFmtId="0" fontId="28" fillId="40" borderId="0" xfId="0" applyFont="1" applyFill="1" applyBorder="1" applyAlignment="1">
      <alignment horizontal="center" vertical="center" wrapText="1"/>
    </xf>
    <xf numFmtId="0" fontId="81" fillId="40" borderId="0" xfId="0" applyFont="1" applyFill="1" applyBorder="1" applyAlignment="1">
      <alignment horizontal="center" vertical="center" wrapText="1"/>
    </xf>
    <xf numFmtId="0" fontId="4" fillId="43" borderId="0" xfId="0" applyFont="1" applyFill="1" applyBorder="1" applyAlignment="1">
      <alignment vertical="center" wrapText="1"/>
    </xf>
    <xf numFmtId="0" fontId="3" fillId="43" borderId="0" xfId="0" applyFont="1" applyFill="1" applyBorder="1" applyAlignment="1">
      <alignment horizontal="center" vertical="center" wrapText="1"/>
    </xf>
    <xf numFmtId="0" fontId="28" fillId="43" borderId="0" xfId="0" applyFont="1" applyFill="1" applyBorder="1" applyAlignment="1">
      <alignment horizontal="center" vertical="center" wrapText="1"/>
    </xf>
    <xf numFmtId="0" fontId="81" fillId="43" borderId="0" xfId="0" applyFont="1" applyFill="1" applyBorder="1" applyAlignment="1">
      <alignment horizontal="center" vertical="center" wrapText="1"/>
    </xf>
    <xf numFmtId="0" fontId="4" fillId="0" borderId="61" xfId="0" applyFont="1" applyFill="1" applyBorder="1" applyAlignment="1">
      <alignment vertical="center" wrapText="1"/>
    </xf>
    <xf numFmtId="0" fontId="3" fillId="0" borderId="61" xfId="0" applyFont="1" applyFill="1" applyBorder="1" applyAlignment="1">
      <alignment horizontal="center" vertical="center" wrapText="1"/>
    </xf>
    <xf numFmtId="0" fontId="140" fillId="47" borderId="2" xfId="0" applyFont="1" applyFill="1" applyBorder="1" applyAlignment="1" applyProtection="1">
      <alignment horizontal="left" wrapText="1"/>
    </xf>
    <xf numFmtId="0" fontId="4" fillId="40" borderId="0" xfId="0" applyFont="1" applyFill="1" applyBorder="1" applyAlignment="1">
      <alignment horizontal="center" vertical="center" wrapText="1"/>
    </xf>
    <xf numFmtId="0" fontId="4" fillId="0" borderId="185" xfId="0" applyFont="1" applyFill="1" applyBorder="1" applyAlignment="1">
      <alignment horizontal="center" vertical="center" wrapText="1"/>
    </xf>
    <xf numFmtId="0" fontId="41" fillId="0" borderId="185" xfId="0" applyFont="1" applyFill="1" applyBorder="1" applyAlignment="1">
      <alignment horizontal="center" vertical="center" wrapText="1"/>
    </xf>
    <xf numFmtId="0" fontId="38" fillId="0" borderId="185" xfId="0" applyFont="1" applyFill="1" applyBorder="1" applyAlignment="1">
      <alignment horizontal="center" vertical="center"/>
    </xf>
    <xf numFmtId="0" fontId="4" fillId="43" borderId="0" xfId="0" applyFont="1" applyFill="1" applyBorder="1" applyAlignment="1">
      <alignment horizontal="center" vertical="center" wrapText="1"/>
    </xf>
    <xf numFmtId="0" fontId="134" fillId="0" borderId="0" xfId="0" applyFont="1" applyFill="1" applyAlignment="1">
      <alignment wrapText="1"/>
    </xf>
    <xf numFmtId="0" fontId="142" fillId="0" borderId="0" xfId="0" applyFont="1" applyAlignment="1">
      <alignment wrapText="1"/>
    </xf>
    <xf numFmtId="0" fontId="142" fillId="0" borderId="0" xfId="0" applyFont="1" applyAlignment="1">
      <alignment vertical="center" wrapText="1"/>
    </xf>
    <xf numFmtId="0" fontId="134" fillId="0" borderId="0" xfId="0" applyFont="1" applyAlignment="1">
      <alignment horizontal="center" vertical="center" wrapText="1"/>
    </xf>
    <xf numFmtId="0" fontId="134" fillId="0" borderId="0" xfId="0" applyFont="1" applyFill="1" applyAlignment="1">
      <alignment horizontal="center" vertical="center" wrapText="1"/>
    </xf>
    <xf numFmtId="0" fontId="142" fillId="0" borderId="0" xfId="0" applyFont="1" applyAlignment="1">
      <alignment horizontal="center" vertical="center" wrapText="1"/>
    </xf>
    <xf numFmtId="0" fontId="126" fillId="0" borderId="0" xfId="0" applyFont="1" applyFill="1" applyBorder="1" applyAlignment="1">
      <alignment horizontal="center"/>
    </xf>
    <xf numFmtId="0" fontId="4" fillId="0" borderId="0" xfId="0" applyFont="1" applyFill="1" applyBorder="1" applyAlignment="1">
      <alignment horizontal="center" vertical="top" wrapText="1"/>
    </xf>
    <xf numFmtId="0" fontId="169" fillId="0" borderId="0" xfId="0" applyFont="1" applyFill="1" applyBorder="1" applyAlignment="1">
      <alignment horizontal="left" vertical="center" wrapText="1"/>
    </xf>
    <xf numFmtId="0" fontId="169" fillId="0" borderId="0" xfId="0" applyFont="1" applyFill="1" applyBorder="1" applyAlignment="1">
      <alignment vertical="center" wrapText="1"/>
    </xf>
    <xf numFmtId="0" fontId="161" fillId="0" borderId="0" xfId="0" applyFont="1" applyFill="1" applyBorder="1" applyAlignment="1">
      <alignment horizontal="center" vertical="center"/>
    </xf>
    <xf numFmtId="0" fontId="180" fillId="0" borderId="0" xfId="0" applyFont="1" applyFill="1" applyBorder="1" applyAlignment="1">
      <alignment horizontal="center" vertical="center" wrapText="1"/>
    </xf>
    <xf numFmtId="0" fontId="28" fillId="0" borderId="0" xfId="0" applyFont="1" applyBorder="1" applyAlignment="1">
      <alignment horizontal="center"/>
    </xf>
    <xf numFmtId="0" fontId="96" fillId="0" borderId="187" xfId="0" applyFont="1" applyBorder="1" applyAlignment="1"/>
    <xf numFmtId="0" fontId="3" fillId="0" borderId="187" xfId="0" applyFont="1" applyBorder="1"/>
    <xf numFmtId="0" fontId="3" fillId="0" borderId="187" xfId="0" applyFont="1" applyBorder="1" applyAlignment="1">
      <alignment horizontal="center"/>
    </xf>
    <xf numFmtId="0" fontId="96" fillId="0" borderId="188" xfId="0" applyFont="1" applyBorder="1" applyAlignment="1"/>
    <xf numFmtId="0" fontId="14" fillId="0" borderId="36" xfId="10" applyFont="1" applyFill="1" applyBorder="1" applyAlignment="1">
      <alignment horizontal="left" vertical="center"/>
    </xf>
    <xf numFmtId="171" fontId="54" fillId="0" borderId="0" xfId="0" applyNumberFormat="1" applyFont="1" applyFill="1" applyBorder="1" applyAlignment="1">
      <alignment vertical="center"/>
    </xf>
    <xf numFmtId="0" fontId="38" fillId="0" borderId="17" xfId="0" quotePrefix="1" applyFont="1" applyFill="1" applyBorder="1" applyAlignment="1">
      <alignment horizontal="center" vertical="center"/>
    </xf>
    <xf numFmtId="0" fontId="28" fillId="0" borderId="0" xfId="0" quotePrefix="1" applyFont="1" applyFill="1" applyBorder="1" applyAlignment="1">
      <alignment horizontal="center" vertical="center"/>
    </xf>
    <xf numFmtId="0" fontId="38" fillId="40" borderId="128" xfId="0" quotePrefix="1" applyFont="1" applyFill="1" applyBorder="1" applyAlignment="1">
      <alignment horizontal="center" vertical="center"/>
    </xf>
    <xf numFmtId="0" fontId="3" fillId="0" borderId="183" xfId="0" applyFont="1" applyFill="1" applyBorder="1" applyAlignment="1">
      <alignment horizontal="center" vertical="center" wrapText="1"/>
    </xf>
    <xf numFmtId="0" fontId="4" fillId="0" borderId="184" xfId="0" applyFont="1" applyFill="1" applyBorder="1" applyAlignment="1">
      <alignment horizontal="left" vertical="center" wrapText="1"/>
    </xf>
    <xf numFmtId="0" fontId="29" fillId="0" borderId="189" xfId="0" applyFont="1" applyBorder="1" applyAlignment="1">
      <alignment horizontal="center" vertical="center" wrapText="1"/>
    </xf>
    <xf numFmtId="0" fontId="38" fillId="0" borderId="190" xfId="0" applyFont="1" applyFill="1" applyBorder="1" applyAlignment="1">
      <alignment horizontal="center" vertical="center"/>
    </xf>
    <xf numFmtId="0" fontId="38" fillId="0" borderId="190" xfId="0" applyFont="1" applyFill="1" applyBorder="1" applyAlignment="1">
      <alignment horizontal="left" vertical="center"/>
    </xf>
    <xf numFmtId="171" fontId="3" fillId="0" borderId="190" xfId="0" applyNumberFormat="1" applyFont="1" applyBorder="1" applyAlignment="1">
      <alignment horizontal="center" vertical="center"/>
    </xf>
    <xf numFmtId="171" fontId="3" fillId="0" borderId="190" xfId="0" applyNumberFormat="1" applyFont="1" applyBorder="1" applyAlignment="1">
      <alignment horizontal="center"/>
    </xf>
    <xf numFmtId="171" fontId="38" fillId="0" borderId="193" xfId="0" applyNumberFormat="1" applyFont="1" applyFill="1" applyBorder="1" applyAlignment="1">
      <alignment horizontal="center" vertical="center"/>
    </xf>
    <xf numFmtId="0" fontId="29" fillId="0" borderId="195" xfId="0" applyFont="1" applyBorder="1" applyAlignment="1">
      <alignment horizontal="center" vertical="center" wrapText="1"/>
    </xf>
    <xf numFmtId="0" fontId="29" fillId="0" borderId="197" xfId="0" applyFont="1" applyBorder="1" applyAlignment="1">
      <alignment horizontal="center" vertical="center" wrapText="1"/>
    </xf>
    <xf numFmtId="0" fontId="54" fillId="0" borderId="198" xfId="0" applyFont="1" applyFill="1" applyBorder="1" applyAlignment="1">
      <alignment horizontal="left" vertical="center" wrapText="1"/>
    </xf>
    <xf numFmtId="171" fontId="38" fillId="22" borderId="198" xfId="0" applyNumberFormat="1" applyFont="1" applyFill="1" applyBorder="1" applyAlignment="1">
      <alignment horizontal="center" vertical="center"/>
    </xf>
    <xf numFmtId="0" fontId="38" fillId="0" borderId="198" xfId="0" applyFont="1" applyFill="1" applyBorder="1" applyAlignment="1">
      <alignment horizontal="center" vertical="center"/>
    </xf>
    <xf numFmtId="0" fontId="38" fillId="0" borderId="198" xfId="0" applyFont="1" applyFill="1" applyBorder="1" applyAlignment="1">
      <alignment horizontal="left" vertical="center"/>
    </xf>
    <xf numFmtId="171" fontId="3" fillId="0" borderId="198" xfId="0" applyNumberFormat="1" applyFont="1" applyBorder="1" applyAlignment="1">
      <alignment horizontal="center" vertical="center"/>
    </xf>
    <xf numFmtId="0" fontId="87" fillId="40" borderId="13" xfId="0" applyFont="1" applyFill="1" applyBorder="1" applyAlignment="1">
      <alignment horizontal="center" vertical="center"/>
    </xf>
    <xf numFmtId="0" fontId="87" fillId="43" borderId="10" xfId="0" applyFont="1" applyFill="1" applyBorder="1" applyAlignment="1">
      <alignment horizontal="center" vertical="center"/>
    </xf>
    <xf numFmtId="0" fontId="45" fillId="0" borderId="43" xfId="0" applyFont="1" applyFill="1" applyBorder="1" applyAlignment="1">
      <alignment horizontal="center" vertical="center" textRotation="90" wrapText="1"/>
    </xf>
    <xf numFmtId="0" fontId="161" fillId="0" borderId="192" xfId="0" applyFont="1" applyFill="1" applyBorder="1" applyAlignment="1">
      <alignment horizontal="center" vertical="center"/>
    </xf>
    <xf numFmtId="0" fontId="87" fillId="40" borderId="186" xfId="0" applyFont="1" applyFill="1" applyBorder="1" applyAlignment="1">
      <alignment horizontal="center" vertical="center"/>
    </xf>
    <xf numFmtId="0" fontId="87" fillId="43" borderId="200" xfId="0" applyFont="1" applyFill="1" applyBorder="1" applyAlignment="1">
      <alignment horizontal="center" vertical="center"/>
    </xf>
    <xf numFmtId="0" fontId="38" fillId="0" borderId="193" xfId="0" applyNumberFormat="1" applyFont="1" applyFill="1" applyBorder="1" applyAlignment="1">
      <alignment horizontal="center" vertical="center"/>
    </xf>
    <xf numFmtId="0" fontId="38" fillId="0" borderId="193" xfId="0" applyNumberFormat="1" applyFont="1" applyFill="1" applyBorder="1" applyAlignment="1">
      <alignment vertical="center"/>
    </xf>
    <xf numFmtId="0" fontId="38" fillId="0" borderId="198" xfId="0" quotePrefix="1" applyFont="1" applyFill="1" applyBorder="1" applyAlignment="1">
      <alignment horizontal="center" vertical="center"/>
    </xf>
    <xf numFmtId="0" fontId="38" fillId="0" borderId="198" xfId="0" quotePrefix="1" applyFont="1" applyFill="1" applyBorder="1" applyAlignment="1">
      <alignment horizontal="left" vertical="center"/>
    </xf>
    <xf numFmtId="49" fontId="71" fillId="0" borderId="2" xfId="981" applyNumberFormat="1" applyFont="1" applyFill="1" applyBorder="1" applyAlignment="1" applyProtection="1">
      <alignment horizontal="center" vertical="top" wrapText="1"/>
    </xf>
    <xf numFmtId="0" fontId="121" fillId="15" borderId="2" xfId="0" applyFont="1" applyFill="1" applyBorder="1" applyAlignment="1">
      <alignment horizontal="center"/>
    </xf>
    <xf numFmtId="0" fontId="71" fillId="0" borderId="2" xfId="981" applyNumberFormat="1" applyFont="1" applyFill="1" applyBorder="1" applyAlignment="1" applyProtection="1">
      <alignment horizontal="center" vertical="top" wrapText="1"/>
    </xf>
    <xf numFmtId="49" fontId="182" fillId="15" borderId="2" xfId="981" applyNumberFormat="1" applyFont="1" applyFill="1" applyBorder="1" applyAlignment="1" applyProtection="1">
      <alignment horizontal="center" vertical="top" wrapText="1"/>
    </xf>
    <xf numFmtId="0" fontId="121" fillId="31" borderId="2" xfId="0" applyFont="1" applyFill="1" applyBorder="1"/>
    <xf numFmtId="0" fontId="0" fillId="0" borderId="0" xfId="0" applyFont="1" applyAlignment="1">
      <alignment horizontal="center"/>
    </xf>
    <xf numFmtId="0" fontId="183" fillId="0" borderId="0" xfId="0" applyNumberFormat="1" applyFont="1" applyFill="1" applyBorder="1" applyAlignment="1">
      <alignment vertical="center"/>
    </xf>
    <xf numFmtId="0" fontId="44" fillId="0" borderId="123" xfId="0" applyFont="1" applyFill="1" applyBorder="1" applyAlignment="1">
      <alignment vertical="center" wrapText="1"/>
    </xf>
    <xf numFmtId="0" fontId="38" fillId="40" borderId="128" xfId="0" applyFont="1" applyFill="1" applyBorder="1" applyAlignment="1">
      <alignment horizontal="center" vertical="center"/>
    </xf>
    <xf numFmtId="0" fontId="38" fillId="43" borderId="128" xfId="0" applyFont="1" applyFill="1" applyBorder="1" applyAlignment="1">
      <alignment horizontal="center" vertical="center"/>
    </xf>
    <xf numFmtId="0" fontId="89" fillId="0" borderId="0" xfId="0" applyFont="1" applyFill="1" applyBorder="1" applyAlignment="1">
      <alignment wrapText="1"/>
    </xf>
    <xf numFmtId="0" fontId="62" fillId="23" borderId="0" xfId="0" applyFont="1" applyFill="1" applyBorder="1" applyAlignment="1">
      <alignment horizontal="left" wrapText="1"/>
    </xf>
    <xf numFmtId="0" fontId="62" fillId="23" borderId="0" xfId="0" applyFont="1" applyFill="1" applyBorder="1" applyAlignment="1">
      <alignment wrapText="1"/>
    </xf>
    <xf numFmtId="0" fontId="54" fillId="23" borderId="0" xfId="0" applyFont="1" applyFill="1" applyBorder="1" applyAlignment="1">
      <alignment horizontal="left" vertical="center" wrapText="1"/>
    </xf>
    <xf numFmtId="0" fontId="54" fillId="0" borderId="80" xfId="0" applyFont="1" applyFill="1" applyBorder="1" applyAlignment="1">
      <alignment horizontal="center" vertical="center" wrapText="1"/>
    </xf>
    <xf numFmtId="0" fontId="3" fillId="0" borderId="60" xfId="0" applyFont="1" applyFill="1" applyBorder="1" applyAlignment="1">
      <alignment horizontal="left" vertical="center" wrapText="1"/>
    </xf>
    <xf numFmtId="0" fontId="3" fillId="0" borderId="60" xfId="0" applyFont="1" applyFill="1" applyBorder="1" applyAlignment="1">
      <alignment vertical="center" wrapText="1"/>
    </xf>
    <xf numFmtId="0" fontId="29" fillId="0" borderId="60" xfId="0" applyFont="1" applyFill="1" applyBorder="1" applyAlignment="1">
      <alignment vertical="center" wrapText="1"/>
    </xf>
    <xf numFmtId="0" fontId="44" fillId="0" borderId="0" xfId="0" applyFont="1" applyFill="1" applyBorder="1" applyAlignment="1">
      <alignment vertical="center" wrapText="1"/>
    </xf>
    <xf numFmtId="171" fontId="41" fillId="43" borderId="76" xfId="0" applyNumberFormat="1" applyFont="1" applyFill="1" applyBorder="1" applyAlignment="1">
      <alignment horizontal="center" vertical="center" wrapText="1"/>
    </xf>
    <xf numFmtId="0" fontId="3" fillId="43" borderId="76" xfId="0" applyNumberFormat="1" applyFont="1" applyFill="1" applyBorder="1" applyAlignment="1">
      <alignment horizontal="center" vertical="center"/>
    </xf>
    <xf numFmtId="0" fontId="81" fillId="43" borderId="76" xfId="0" applyNumberFormat="1" applyFont="1" applyFill="1" applyBorder="1" applyAlignment="1">
      <alignment horizontal="center" vertical="center" wrapText="1"/>
    </xf>
    <xf numFmtId="177" fontId="102" fillId="43" borderId="76" xfId="0" applyNumberFormat="1" applyFont="1" applyFill="1" applyBorder="1" applyAlignment="1">
      <alignment horizontal="center" vertical="center" wrapText="1"/>
    </xf>
    <xf numFmtId="0" fontId="38" fillId="43" borderId="77"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38" fillId="0" borderId="0" xfId="0" quotePrefix="1" applyFont="1" applyFill="1" applyBorder="1" applyAlignment="1">
      <alignment vertical="center"/>
    </xf>
    <xf numFmtId="0" fontId="41" fillId="0" borderId="77" xfId="0" applyFont="1" applyFill="1" applyBorder="1"/>
    <xf numFmtId="0" fontId="3" fillId="0" borderId="201" xfId="0" applyFont="1" applyBorder="1" applyAlignment="1">
      <alignment horizontal="center" vertical="center" wrapText="1"/>
    </xf>
    <xf numFmtId="0" fontId="29" fillId="0" borderId="0" xfId="0" applyFont="1" applyFill="1" applyBorder="1" applyAlignment="1">
      <alignment horizontal="center" vertical="center" wrapText="1"/>
    </xf>
    <xf numFmtId="0" fontId="54" fillId="0" borderId="0" xfId="0" applyFont="1" applyFill="1" applyBorder="1" applyAlignment="1">
      <alignment horizontal="left" vertical="center" wrapText="1"/>
    </xf>
    <xf numFmtId="171" fontId="180" fillId="0" borderId="0" xfId="0" applyNumberFormat="1" applyFont="1" applyFill="1" applyBorder="1" applyAlignment="1">
      <alignment horizontal="center" vertical="center" wrapText="1"/>
    </xf>
    <xf numFmtId="0" fontId="29" fillId="0" borderId="202" xfId="0" applyFont="1" applyFill="1" applyBorder="1" applyAlignment="1">
      <alignment horizontal="center" vertical="center" wrapText="1"/>
    </xf>
    <xf numFmtId="0" fontId="54" fillId="0" borderId="203" xfId="0" applyFont="1" applyFill="1" applyBorder="1" applyAlignment="1">
      <alignment horizontal="left" vertical="center" wrapText="1"/>
    </xf>
    <xf numFmtId="0" fontId="29" fillId="0" borderId="184" xfId="0" applyFont="1" applyBorder="1" applyAlignment="1">
      <alignment wrapText="1"/>
    </xf>
    <xf numFmtId="171" fontId="38" fillId="0" borderId="203" xfId="0" applyNumberFormat="1" applyFont="1" applyFill="1" applyBorder="1" applyAlignment="1">
      <alignment horizontal="center" vertical="center"/>
    </xf>
    <xf numFmtId="0" fontId="180" fillId="0" borderId="204" xfId="0" applyFont="1" applyFill="1" applyBorder="1" applyAlignment="1">
      <alignment horizontal="center" vertical="center" wrapText="1"/>
    </xf>
    <xf numFmtId="0" fontId="38" fillId="0" borderId="204" xfId="0" applyFont="1" applyFill="1" applyBorder="1" applyAlignment="1">
      <alignment vertical="center"/>
    </xf>
    <xf numFmtId="171" fontId="38" fillId="0" borderId="204" xfId="0" applyNumberFormat="1" applyFont="1" applyFill="1" applyBorder="1" applyAlignment="1">
      <alignment horizontal="center" vertical="center"/>
    </xf>
    <xf numFmtId="171" fontId="180" fillId="0" borderId="204" xfId="0" applyNumberFormat="1" applyFont="1" applyFill="1" applyBorder="1" applyAlignment="1">
      <alignment horizontal="center" vertical="center" wrapText="1"/>
    </xf>
    <xf numFmtId="171" fontId="3" fillId="0" borderId="204" xfId="0" applyNumberFormat="1" applyFont="1" applyFill="1" applyBorder="1" applyAlignment="1">
      <alignment horizontal="center" vertical="center"/>
    </xf>
    <xf numFmtId="171" fontId="38" fillId="0" borderId="205" xfId="0" applyNumberFormat="1" applyFont="1" applyFill="1" applyBorder="1" applyAlignment="1">
      <alignment horizontal="center" vertical="center" wrapText="1"/>
    </xf>
    <xf numFmtId="0" fontId="87" fillId="0" borderId="204" xfId="0" applyFont="1" applyFill="1" applyBorder="1" applyAlignment="1">
      <alignment horizontal="center" vertical="center"/>
    </xf>
    <xf numFmtId="0" fontId="87" fillId="43" borderId="26" xfId="0" applyFont="1" applyFill="1" applyBorder="1" applyAlignment="1">
      <alignment horizontal="center" vertical="center"/>
    </xf>
    <xf numFmtId="0" fontId="4" fillId="0" borderId="207" xfId="0" applyFont="1" applyBorder="1" applyAlignment="1">
      <alignment horizontal="left" vertical="center"/>
    </xf>
    <xf numFmtId="0" fontId="4" fillId="0" borderId="0" xfId="0" applyFont="1" applyFill="1" applyBorder="1" applyAlignment="1">
      <alignment horizontal="left" vertical="center" wrapText="1"/>
    </xf>
    <xf numFmtId="0" fontId="29" fillId="0" borderId="0" xfId="0" applyFont="1" applyBorder="1" applyAlignment="1">
      <alignment wrapText="1"/>
    </xf>
    <xf numFmtId="0" fontId="29" fillId="0" borderId="208" xfId="0" applyFont="1" applyBorder="1" applyAlignment="1">
      <alignment wrapText="1"/>
    </xf>
    <xf numFmtId="0" fontId="4" fillId="19" borderId="184" xfId="0" applyFont="1" applyFill="1" applyBorder="1" applyAlignment="1">
      <alignment horizontal="left" vertical="center" wrapText="1"/>
    </xf>
    <xf numFmtId="0" fontId="3" fillId="0" borderId="189" xfId="0" applyFont="1" applyBorder="1" applyAlignment="1">
      <alignment horizontal="left" vertical="center" wrapText="1"/>
    </xf>
    <xf numFmtId="0" fontId="5" fillId="0" borderId="0" xfId="0" applyFont="1" applyBorder="1" applyAlignment="1">
      <alignment horizontal="left" vertical="top" wrapText="1"/>
    </xf>
    <xf numFmtId="0" fontId="34" fillId="0" borderId="0" xfId="0" applyFont="1" applyBorder="1" applyAlignment="1">
      <alignment horizontal="left" vertical="top" wrapText="1"/>
    </xf>
    <xf numFmtId="172" fontId="5" fillId="0" borderId="0" xfId="0" applyNumberFormat="1" applyFont="1" applyBorder="1" applyAlignment="1">
      <alignment horizontal="left" vertical="center" wrapText="1"/>
    </xf>
    <xf numFmtId="0" fontId="34" fillId="0" borderId="0" xfId="0" applyFont="1" applyBorder="1" applyAlignment="1">
      <alignment horizontal="center"/>
    </xf>
    <xf numFmtId="0" fontId="16" fillId="0" borderId="0" xfId="0" applyFont="1" applyBorder="1" applyAlignment="1">
      <alignment vertical="center" wrapText="1"/>
    </xf>
    <xf numFmtId="0" fontId="36" fillId="0" borderId="0" xfId="0" applyFont="1" applyBorder="1" applyAlignment="1">
      <alignment horizontal="left" vertical="top" wrapText="1"/>
    </xf>
    <xf numFmtId="0" fontId="3" fillId="0" borderId="0" xfId="0" applyFont="1" applyBorder="1" applyAlignment="1">
      <alignment horizontal="center"/>
    </xf>
    <xf numFmtId="0" fontId="14" fillId="0" borderId="0" xfId="0" applyFont="1" applyFill="1" applyBorder="1"/>
    <xf numFmtId="0" fontId="5" fillId="0" borderId="0" xfId="0" applyFont="1" applyBorder="1" applyAlignment="1">
      <alignment horizontal="left" vertical="top"/>
    </xf>
    <xf numFmtId="0" fontId="16" fillId="0" borderId="0" xfId="0" applyFont="1" applyBorder="1" applyAlignment="1">
      <alignment vertical="center"/>
    </xf>
    <xf numFmtId="0" fontId="125" fillId="0" borderId="0" xfId="0" applyFont="1" applyBorder="1" applyAlignment="1">
      <alignment vertical="top" wrapText="1"/>
    </xf>
    <xf numFmtId="0" fontId="5" fillId="0" borderId="0" xfId="0" applyFont="1" applyBorder="1" applyAlignment="1">
      <alignment horizontal="left"/>
    </xf>
    <xf numFmtId="171" fontId="54" fillId="21" borderId="0" xfId="0" applyNumberFormat="1" applyFont="1" applyFill="1" applyBorder="1" applyAlignment="1">
      <alignment vertical="center" wrapText="1"/>
    </xf>
    <xf numFmtId="0" fontId="45" fillId="40" borderId="0" xfId="0" quotePrefix="1" applyFont="1" applyFill="1" applyBorder="1" applyAlignment="1">
      <alignment horizontal="center"/>
    </xf>
    <xf numFmtId="0" fontId="45" fillId="43" borderId="0" xfId="0" quotePrefix="1" applyFont="1" applyFill="1" applyBorder="1" applyAlignment="1">
      <alignment horizontal="center"/>
    </xf>
    <xf numFmtId="0" fontId="53" fillId="0" borderId="0" xfId="0" applyFont="1" applyFill="1" applyBorder="1" applyAlignment="1">
      <alignment horizontal="center"/>
    </xf>
    <xf numFmtId="0" fontId="54" fillId="23" borderId="0" xfId="0" applyFont="1" applyFill="1" applyBorder="1" applyAlignment="1">
      <alignment horizontal="center" vertical="center" wrapText="1"/>
    </xf>
    <xf numFmtId="0" fontId="45" fillId="0" borderId="94" xfId="0" applyFont="1" applyFill="1" applyBorder="1" applyAlignment="1">
      <alignment horizontal="center"/>
    </xf>
    <xf numFmtId="0" fontId="45" fillId="0" borderId="32" xfId="0" applyFont="1" applyFill="1" applyBorder="1" applyAlignment="1">
      <alignment horizontal="center"/>
    </xf>
    <xf numFmtId="0" fontId="0" fillId="0" borderId="74" xfId="0" applyFill="1" applyBorder="1"/>
    <xf numFmtId="0" fontId="0" fillId="0" borderId="27" xfId="0" applyBorder="1"/>
    <xf numFmtId="0" fontId="119" fillId="23" borderId="0" xfId="0" applyFont="1" applyFill="1" applyBorder="1" applyAlignment="1">
      <alignment horizontal="center" vertical="center"/>
    </xf>
    <xf numFmtId="171" fontId="185" fillId="23" borderId="0" xfId="0" applyNumberFormat="1" applyFont="1" applyFill="1" applyBorder="1" applyAlignment="1">
      <alignment horizontal="center" vertical="center"/>
    </xf>
    <xf numFmtId="171" fontId="162" fillId="23" borderId="0" xfId="0" applyNumberFormat="1" applyFont="1" applyFill="1" applyBorder="1" applyAlignment="1">
      <alignment horizontal="center" vertical="center"/>
    </xf>
    <xf numFmtId="0" fontId="119" fillId="0" borderId="0" xfId="0" applyFont="1" applyFill="1" applyBorder="1" applyAlignment="1">
      <alignment horizontal="center" vertical="center"/>
    </xf>
    <xf numFmtId="171" fontId="185" fillId="0" borderId="0" xfId="0" applyNumberFormat="1" applyFont="1" applyFill="1" applyBorder="1" applyAlignment="1">
      <alignment horizontal="center" vertical="center"/>
    </xf>
    <xf numFmtId="171" fontId="186" fillId="0" borderId="0" xfId="0" applyNumberFormat="1" applyFont="1" applyFill="1" applyBorder="1" applyAlignment="1">
      <alignment horizontal="center" vertical="center"/>
    </xf>
    <xf numFmtId="0" fontId="151" fillId="0" borderId="0" xfId="0" applyFont="1"/>
    <xf numFmtId="171" fontId="3" fillId="0" borderId="0" xfId="0" applyNumberFormat="1" applyFont="1" applyBorder="1" applyAlignment="1">
      <alignment horizontal="center"/>
    </xf>
    <xf numFmtId="0" fontId="41" fillId="0" borderId="0" xfId="0" applyFont="1" applyFill="1" applyBorder="1" applyAlignment="1">
      <alignment horizontal="right" vertical="center"/>
    </xf>
    <xf numFmtId="0" fontId="62" fillId="23" borderId="25" xfId="0" applyFont="1" applyFill="1" applyBorder="1"/>
    <xf numFmtId="0" fontId="52" fillId="0" borderId="60" xfId="0" applyFont="1" applyFill="1" applyBorder="1" applyAlignment="1">
      <alignment wrapText="1"/>
    </xf>
    <xf numFmtId="0" fontId="77" fillId="40" borderId="128" xfId="0" applyFont="1" applyFill="1" applyBorder="1" applyAlignment="1">
      <alignment horizontal="center"/>
    </xf>
    <xf numFmtId="0" fontId="77" fillId="43" borderId="128" xfId="0" applyFont="1" applyFill="1" applyBorder="1" applyAlignment="1">
      <alignment horizontal="center"/>
    </xf>
    <xf numFmtId="0" fontId="45" fillId="0" borderId="123" xfId="0" applyFont="1" applyFill="1" applyBorder="1" applyAlignment="1">
      <alignment vertical="center" wrapText="1"/>
    </xf>
    <xf numFmtId="3" fontId="3" fillId="0" borderId="118" xfId="0" applyNumberFormat="1" applyFont="1" applyFill="1" applyBorder="1" applyAlignment="1">
      <alignment horizontal="center" vertical="center"/>
    </xf>
    <xf numFmtId="0" fontId="44" fillId="0" borderId="0" xfId="0" applyFont="1" applyFill="1" applyBorder="1" applyAlignment="1">
      <alignment wrapText="1"/>
    </xf>
    <xf numFmtId="9" fontId="38" fillId="0" borderId="0" xfId="983" applyFont="1" applyFill="1" applyBorder="1" applyAlignment="1">
      <alignment horizontal="center" vertical="center" wrapText="1"/>
    </xf>
    <xf numFmtId="0" fontId="29" fillId="0" borderId="0" xfId="0" applyFont="1" applyFill="1" applyBorder="1" applyAlignment="1">
      <alignment wrapText="1"/>
    </xf>
    <xf numFmtId="171" fontId="75" fillId="0" borderId="0" xfId="0" applyNumberFormat="1" applyFont="1" applyBorder="1" applyAlignment="1">
      <alignment horizontal="center"/>
    </xf>
    <xf numFmtId="0" fontId="75" fillId="0" borderId="0" xfId="0" applyFont="1" applyBorder="1"/>
    <xf numFmtId="0" fontId="75" fillId="40" borderId="0" xfId="0" applyFont="1" applyFill="1" applyBorder="1"/>
    <xf numFmtId="0" fontId="75" fillId="43" borderId="0" xfId="0" applyFont="1" applyFill="1" applyBorder="1"/>
    <xf numFmtId="171" fontId="187" fillId="0" borderId="0" xfId="0" applyNumberFormat="1" applyFont="1" applyBorder="1" applyAlignment="1">
      <alignment horizontal="center"/>
    </xf>
    <xf numFmtId="0" fontId="187" fillId="0" borderId="0" xfId="0" applyFont="1" applyBorder="1"/>
    <xf numFmtId="0" fontId="174" fillId="40" borderId="0" xfId="0" applyFont="1" applyFill="1" applyBorder="1" applyAlignment="1">
      <alignment horizontal="left"/>
    </xf>
    <xf numFmtId="0" fontId="174" fillId="43" borderId="0" xfId="0" applyFont="1" applyFill="1" applyBorder="1"/>
    <xf numFmtId="0" fontId="188" fillId="40" borderId="0" xfId="0" applyFont="1" applyFill="1" applyBorder="1" applyAlignment="1">
      <alignment horizontal="left"/>
    </xf>
    <xf numFmtId="0" fontId="188" fillId="43" borderId="0" xfId="0" applyFont="1" applyFill="1" applyBorder="1"/>
    <xf numFmtId="0" fontId="163" fillId="0" borderId="0" xfId="0" applyFont="1" applyFill="1" applyBorder="1" applyAlignment="1">
      <alignment vertical="center" wrapText="1"/>
    </xf>
    <xf numFmtId="0" fontId="3" fillId="0" borderId="0" xfId="0" applyNumberFormat="1" applyFont="1" applyFill="1" applyBorder="1" applyAlignment="1">
      <alignment horizontal="left" vertical="center"/>
    </xf>
    <xf numFmtId="0" fontId="189" fillId="0" borderId="0" xfId="0" applyFont="1"/>
    <xf numFmtId="0" fontId="4" fillId="0" borderId="0" xfId="0" applyFont="1" applyBorder="1" applyAlignment="1">
      <alignment wrapText="1"/>
    </xf>
    <xf numFmtId="0" fontId="3" fillId="0" borderId="0" xfId="0" applyFont="1" applyBorder="1" applyAlignment="1">
      <alignment horizontal="left" vertical="center" wrapText="1"/>
    </xf>
    <xf numFmtId="0" fontId="68" fillId="20" borderId="209" xfId="0" applyFont="1" applyFill="1" applyBorder="1" applyAlignment="1">
      <alignment horizontal="center"/>
    </xf>
    <xf numFmtId="0" fontId="5" fillId="20" borderId="209" xfId="0" applyFont="1" applyFill="1" applyBorder="1"/>
    <xf numFmtId="171" fontId="5" fillId="20" borderId="209" xfId="0" applyNumberFormat="1" applyFont="1" applyFill="1" applyBorder="1" applyAlignment="1">
      <alignment horizontal="center"/>
    </xf>
    <xf numFmtId="0" fontId="34" fillId="20" borderId="209" xfId="0" applyFont="1" applyFill="1" applyBorder="1"/>
    <xf numFmtId="0" fontId="5" fillId="20" borderId="210" xfId="0" applyFont="1" applyFill="1" applyBorder="1"/>
    <xf numFmtId="0" fontId="34" fillId="20" borderId="210" xfId="0" applyFont="1" applyFill="1" applyBorder="1"/>
    <xf numFmtId="0" fontId="68" fillId="20" borderId="210" xfId="0" applyFont="1" applyFill="1" applyBorder="1" applyAlignment="1">
      <alignment horizontal="center"/>
    </xf>
    <xf numFmtId="171" fontId="5" fillId="20" borderId="210" xfId="0" applyNumberFormat="1" applyFont="1" applyFill="1" applyBorder="1" applyAlignment="1">
      <alignment horizontal="center"/>
    </xf>
    <xf numFmtId="178" fontId="165" fillId="0" borderId="0" xfId="982" applyNumberFormat="1" applyFont="1" applyBorder="1"/>
    <xf numFmtId="0" fontId="3" fillId="43" borderId="0" xfId="0" quotePrefix="1" applyFont="1" applyFill="1" applyBorder="1"/>
    <xf numFmtId="0" fontId="181" fillId="0" borderId="0" xfId="0" applyFont="1" applyFill="1" applyBorder="1" applyAlignment="1">
      <alignment horizontal="center" vertical="center"/>
    </xf>
    <xf numFmtId="0" fontId="43" fillId="0" borderId="0" xfId="0" applyFont="1" applyFill="1" applyBorder="1"/>
    <xf numFmtId="0" fontId="33" fillId="0" borderId="0" xfId="0" applyFont="1" applyFill="1" applyBorder="1" applyAlignment="1">
      <alignment vertical="center" wrapText="1"/>
    </xf>
    <xf numFmtId="0" fontId="75" fillId="0" borderId="0" xfId="0" applyFont="1" applyFill="1" applyBorder="1" applyAlignment="1">
      <alignment horizontal="left" vertical="center" wrapText="1"/>
    </xf>
    <xf numFmtId="9" fontId="38" fillId="0" borderId="0" xfId="0" applyNumberFormat="1" applyFont="1" applyFill="1" applyBorder="1" applyAlignment="1">
      <alignment horizontal="center" vertical="center" wrapText="1"/>
    </xf>
    <xf numFmtId="9" fontId="75" fillId="0" borderId="0" xfId="0" applyNumberFormat="1" applyFont="1" applyFill="1" applyBorder="1" applyAlignment="1">
      <alignment horizontal="center" vertical="center" wrapText="1"/>
    </xf>
    <xf numFmtId="0" fontId="72" fillId="0" borderId="0" xfId="0" applyFont="1" applyFill="1" applyBorder="1" applyAlignment="1">
      <alignment horizontal="center" vertical="center" wrapText="1"/>
    </xf>
    <xf numFmtId="0" fontId="4" fillId="0" borderId="45" xfId="0" applyFont="1" applyFill="1" applyBorder="1" applyAlignment="1">
      <alignment vertical="center" wrapText="1"/>
    </xf>
    <xf numFmtId="0" fontId="53" fillId="0" borderId="45" xfId="0" applyFont="1" applyFill="1" applyBorder="1" applyAlignment="1">
      <alignment vertical="center" wrapText="1"/>
    </xf>
    <xf numFmtId="171" fontId="38" fillId="0" borderId="29" xfId="0" applyNumberFormat="1" applyFont="1" applyFill="1" applyBorder="1" applyAlignment="1">
      <alignment horizontal="center" vertical="center" wrapText="1"/>
    </xf>
    <xf numFmtId="171" fontId="28" fillId="0" borderId="17" xfId="0" applyNumberFormat="1" applyFont="1" applyFill="1" applyBorder="1" applyAlignment="1">
      <alignment horizontal="center" vertical="center" wrapText="1"/>
    </xf>
    <xf numFmtId="171" fontId="45" fillId="0" borderId="0" xfId="0" applyNumberFormat="1" applyFont="1" applyFill="1" applyBorder="1" applyAlignment="1">
      <alignment horizontal="center"/>
    </xf>
    <xf numFmtId="171" fontId="28" fillId="0" borderId="193" xfId="0" applyNumberFormat="1" applyFont="1" applyFill="1" applyBorder="1" applyAlignment="1">
      <alignment horizontal="center" vertical="center" wrapText="1"/>
    </xf>
    <xf numFmtId="171" fontId="38" fillId="0" borderId="198" xfId="0" applyNumberFormat="1" applyFont="1" applyFill="1" applyBorder="1" applyAlignment="1">
      <alignment horizontal="center" vertical="center"/>
    </xf>
    <xf numFmtId="171" fontId="38" fillId="0" borderId="190" xfId="0" applyNumberFormat="1" applyFont="1" applyFill="1" applyBorder="1" applyAlignment="1">
      <alignment horizontal="center"/>
    </xf>
    <xf numFmtId="178" fontId="38" fillId="0" borderId="17" xfId="982" applyNumberFormat="1" applyFont="1" applyFill="1" applyBorder="1" applyAlignment="1">
      <alignment horizontal="center" vertical="center"/>
    </xf>
    <xf numFmtId="171" fontId="38" fillId="0" borderId="0" xfId="0" applyNumberFormat="1" applyFont="1" applyFill="1" applyBorder="1" applyAlignment="1">
      <alignment horizontal="center" wrapText="1"/>
    </xf>
    <xf numFmtId="171" fontId="41" fillId="0" borderId="129" xfId="0" applyNumberFormat="1" applyFont="1" applyFill="1" applyBorder="1" applyAlignment="1">
      <alignment horizontal="center" vertical="center" wrapText="1"/>
    </xf>
    <xf numFmtId="171" fontId="41" fillId="0" borderId="76" xfId="0" applyNumberFormat="1" applyFont="1" applyFill="1" applyBorder="1" applyAlignment="1">
      <alignment horizontal="center" vertical="center" wrapText="1"/>
    </xf>
    <xf numFmtId="3" fontId="3" fillId="0" borderId="59" xfId="0" applyNumberFormat="1" applyFont="1" applyFill="1" applyBorder="1" applyAlignment="1">
      <alignment horizontal="center" vertical="center"/>
    </xf>
    <xf numFmtId="171" fontId="38" fillId="0" borderId="52" xfId="0" applyNumberFormat="1" applyFont="1" applyFill="1" applyBorder="1" applyAlignment="1">
      <alignment horizontal="center" vertical="center" wrapText="1"/>
    </xf>
    <xf numFmtId="0" fontId="54" fillId="0" borderId="61" xfId="0" applyFont="1" applyFill="1" applyBorder="1"/>
    <xf numFmtId="0" fontId="89" fillId="30" borderId="3" xfId="0" applyFont="1" applyFill="1" applyBorder="1"/>
    <xf numFmtId="2" fontId="0" fillId="0" borderId="3" xfId="0" applyNumberFormat="1" applyBorder="1"/>
    <xf numFmtId="2" fontId="0" fillId="0" borderId="0" xfId="0" applyNumberFormat="1"/>
    <xf numFmtId="0" fontId="63" fillId="23" borderId="5" xfId="0" applyFont="1" applyFill="1" applyBorder="1"/>
    <xf numFmtId="0" fontId="63" fillId="23" borderId="5" xfId="0" applyFont="1" applyFill="1" applyBorder="1" applyAlignment="1">
      <alignment horizontal="center" vertical="center" wrapText="1"/>
    </xf>
    <xf numFmtId="2" fontId="0" fillId="0" borderId="25" xfId="0" applyNumberFormat="1" applyBorder="1"/>
    <xf numFmtId="2" fontId="0" fillId="0" borderId="11" xfId="0" applyNumberFormat="1" applyBorder="1"/>
    <xf numFmtId="0" fontId="63" fillId="23" borderId="25" xfId="0" applyFont="1" applyFill="1" applyBorder="1" applyAlignment="1">
      <alignment horizontal="center" vertical="center" wrapText="1"/>
    </xf>
    <xf numFmtId="0" fontId="63" fillId="23" borderId="9" xfId="0" applyFont="1" applyFill="1" applyBorder="1" applyAlignment="1">
      <alignment horizontal="center" vertical="center" wrapText="1"/>
    </xf>
    <xf numFmtId="0" fontId="63" fillId="23" borderId="13" xfId="0" applyFont="1" applyFill="1" applyBorder="1" applyAlignment="1">
      <alignment horizontal="center" vertical="center" wrapText="1"/>
    </xf>
    <xf numFmtId="0" fontId="63" fillId="23" borderId="10" xfId="0" applyFont="1" applyFill="1" applyBorder="1" applyAlignment="1">
      <alignment horizontal="center" vertical="center" wrapText="1"/>
    </xf>
    <xf numFmtId="0" fontId="63" fillId="38" borderId="5" xfId="0" applyFont="1" applyFill="1" applyBorder="1" applyAlignment="1">
      <alignment horizontal="center" vertical="center" wrapText="1"/>
    </xf>
    <xf numFmtId="0" fontId="63" fillId="48" borderId="7" xfId="0" applyFont="1" applyFill="1" applyBorder="1" applyAlignment="1">
      <alignment horizontal="center" vertical="center" wrapText="1"/>
    </xf>
    <xf numFmtId="0" fontId="63" fillId="48" borderId="6" xfId="0" applyFont="1" applyFill="1" applyBorder="1" applyAlignment="1">
      <alignment horizontal="center" vertical="center" wrapText="1"/>
    </xf>
    <xf numFmtId="0" fontId="63" fillId="16" borderId="6" xfId="0" applyFont="1" applyFill="1" applyBorder="1" applyAlignment="1">
      <alignment horizontal="center" vertical="center" wrapText="1"/>
    </xf>
    <xf numFmtId="0" fontId="63" fillId="23" borderId="5" xfId="0" applyFont="1" applyFill="1" applyBorder="1" applyAlignment="1">
      <alignment horizontal="center"/>
    </xf>
    <xf numFmtId="0" fontId="63" fillId="23" borderId="7" xfId="0" applyFont="1" applyFill="1" applyBorder="1" applyAlignment="1">
      <alignment horizontal="center"/>
    </xf>
    <xf numFmtId="0" fontId="63" fillId="23" borderId="6" xfId="0" applyFont="1" applyFill="1" applyBorder="1" applyAlignment="1">
      <alignment horizontal="center"/>
    </xf>
    <xf numFmtId="0" fontId="63" fillId="38" borderId="2" xfId="0" applyFont="1" applyFill="1" applyBorder="1" applyAlignment="1">
      <alignment horizontal="center" vertical="center" wrapText="1"/>
    </xf>
    <xf numFmtId="0" fontId="63" fillId="23" borderId="74" xfId="0" applyFont="1" applyFill="1" applyBorder="1" applyAlignment="1">
      <alignment horizontal="center" vertical="center" wrapText="1"/>
    </xf>
    <xf numFmtId="2" fontId="0" fillId="0" borderId="27" xfId="0" applyNumberFormat="1" applyBorder="1"/>
    <xf numFmtId="2" fontId="0" fillId="0" borderId="28" xfId="0" applyNumberFormat="1" applyBorder="1"/>
    <xf numFmtId="0" fontId="63" fillId="48" borderId="5" xfId="0" applyFont="1" applyFill="1" applyBorder="1" applyAlignment="1">
      <alignment horizontal="center" vertical="center" wrapText="1"/>
    </xf>
    <xf numFmtId="0" fontId="91" fillId="0" borderId="2" xfId="0" applyFont="1" applyBorder="1" applyProtection="1"/>
    <xf numFmtId="0" fontId="91" fillId="0" borderId="74" xfId="0" applyFont="1" applyFill="1" applyBorder="1" applyProtection="1"/>
    <xf numFmtId="0" fontId="21" fillId="0" borderId="27" xfId="5" applyFont="1" applyBorder="1" applyAlignment="1">
      <alignment horizontal="left"/>
    </xf>
    <xf numFmtId="0" fontId="91" fillId="0" borderId="27" xfId="0" applyFont="1" applyBorder="1" applyProtection="1"/>
    <xf numFmtId="0" fontId="91" fillId="0" borderId="27" xfId="0" applyFont="1" applyFill="1" applyBorder="1" applyProtection="1"/>
    <xf numFmtId="0" fontId="63" fillId="22" borderId="5" xfId="0" applyFont="1" applyFill="1" applyBorder="1" applyAlignment="1">
      <alignment horizontal="center" vertical="center" wrapText="1"/>
    </xf>
    <xf numFmtId="0" fontId="63" fillId="48" borderId="2" xfId="0" applyFont="1" applyFill="1" applyBorder="1" applyAlignment="1">
      <alignment horizontal="center" vertical="center" wrapText="1"/>
    </xf>
    <xf numFmtId="0" fontId="63" fillId="49" borderId="6" xfId="0" applyFont="1" applyFill="1" applyBorder="1" applyAlignment="1">
      <alignment horizontal="center" vertical="center" wrapText="1"/>
    </xf>
    <xf numFmtId="2" fontId="0" fillId="0" borderId="26" xfId="0" applyNumberFormat="1" applyBorder="1"/>
    <xf numFmtId="2" fontId="0" fillId="0" borderId="12" xfId="0" applyNumberFormat="1" applyBorder="1"/>
    <xf numFmtId="0" fontId="121" fillId="34" borderId="181" xfId="0" applyFont="1" applyFill="1" applyBorder="1" applyAlignment="1">
      <alignment vertical="center" wrapText="1"/>
    </xf>
    <xf numFmtId="2" fontId="0" fillId="0" borderId="182" xfId="0" applyNumberFormat="1" applyBorder="1" applyAlignment="1">
      <alignment horizontal="center" vertical="center"/>
    </xf>
    <xf numFmtId="0" fontId="57" fillId="0" borderId="0" xfId="0" applyFont="1" applyFill="1" applyBorder="1"/>
    <xf numFmtId="0" fontId="3" fillId="0" borderId="4" xfId="0" applyFont="1" applyFill="1" applyBorder="1" applyAlignment="1">
      <alignment wrapText="1"/>
    </xf>
    <xf numFmtId="0" fontId="190" fillId="40" borderId="0" xfId="0" applyFont="1" applyFill="1" applyBorder="1" applyAlignment="1">
      <alignment horizontal="left"/>
    </xf>
    <xf numFmtId="0" fontId="191" fillId="0" borderId="0" xfId="0" applyFont="1" applyAlignment="1">
      <alignment vertical="center"/>
    </xf>
    <xf numFmtId="0" fontId="191" fillId="0" borderId="0" xfId="0" applyFont="1" applyAlignment="1">
      <alignment horizontal="center" vertical="center"/>
    </xf>
    <xf numFmtId="0" fontId="192" fillId="0" borderId="214" xfId="0" applyFont="1" applyBorder="1" applyAlignment="1">
      <alignment vertical="center"/>
    </xf>
    <xf numFmtId="0" fontId="191" fillId="0" borderId="215" xfId="0" applyFont="1" applyBorder="1" applyAlignment="1">
      <alignment horizontal="center" vertical="center"/>
    </xf>
    <xf numFmtId="0" fontId="191" fillId="0" borderId="216" xfId="0" applyFont="1" applyBorder="1" applyAlignment="1">
      <alignment horizontal="center" vertical="center"/>
    </xf>
    <xf numFmtId="0" fontId="120" fillId="0" borderId="0" xfId="0" applyFont="1"/>
    <xf numFmtId="0" fontId="120" fillId="0" borderId="212" xfId="0" applyFont="1" applyBorder="1"/>
    <xf numFmtId="0" fontId="120" fillId="0" borderId="212" xfId="0" applyFont="1" applyBorder="1" applyAlignment="1">
      <alignment horizontal="center"/>
    </xf>
    <xf numFmtId="164" fontId="120" fillId="0" borderId="212" xfId="982" applyNumberFormat="1" applyFont="1" applyFill="1" applyBorder="1" applyAlignment="1">
      <alignment horizontal="center"/>
    </xf>
    <xf numFmtId="0" fontId="193" fillId="0" borderId="212" xfId="0" applyFont="1" applyBorder="1" applyAlignment="1">
      <alignment horizontal="center"/>
    </xf>
    <xf numFmtId="9" fontId="120" fillId="0" borderId="212" xfId="0" applyNumberFormat="1" applyFont="1" applyBorder="1" applyAlignment="1">
      <alignment horizontal="center"/>
    </xf>
    <xf numFmtId="9" fontId="191" fillId="0" borderId="212" xfId="0" applyNumberFormat="1" applyFont="1" applyBorder="1" applyAlignment="1">
      <alignment horizontal="center"/>
    </xf>
    <xf numFmtId="0" fontId="120" fillId="30" borderId="212" xfId="0" applyFont="1" applyFill="1" applyBorder="1"/>
    <xf numFmtId="0" fontId="120" fillId="30" borderId="212" xfId="0" applyFont="1" applyFill="1" applyBorder="1" applyAlignment="1">
      <alignment horizontal="center"/>
    </xf>
    <xf numFmtId="0" fontId="120" fillId="0" borderId="212" xfId="0" applyFont="1" applyFill="1" applyBorder="1"/>
    <xf numFmtId="0" fontId="120" fillId="0" borderId="212" xfId="0" applyFont="1" applyFill="1" applyBorder="1" applyAlignment="1">
      <alignment horizontal="center"/>
    </xf>
    <xf numFmtId="0" fontId="120" fillId="0" borderId="212" xfId="0" applyFont="1" applyFill="1" applyBorder="1" applyAlignment="1">
      <alignment horizontal="center" vertical="center"/>
    </xf>
    <xf numFmtId="9" fontId="120" fillId="0" borderId="212" xfId="0" applyNumberFormat="1" applyFont="1" applyFill="1" applyBorder="1" applyAlignment="1">
      <alignment horizontal="center" vertical="center"/>
    </xf>
    <xf numFmtId="9" fontId="120" fillId="0" borderId="212" xfId="0" applyNumberFormat="1" applyFont="1" applyFill="1" applyBorder="1" applyAlignment="1">
      <alignment horizontal="center"/>
    </xf>
    <xf numFmtId="0" fontId="185" fillId="50" borderId="213" xfId="0" applyFont="1" applyFill="1" applyBorder="1" applyAlignment="1">
      <alignment horizontal="center" vertical="center"/>
    </xf>
    <xf numFmtId="0" fontId="96" fillId="0" borderId="213" xfId="0" applyFont="1" applyBorder="1" applyAlignment="1">
      <alignment vertical="center"/>
    </xf>
    <xf numFmtId="0" fontId="120" fillId="0" borderId="213" xfId="0" applyFont="1" applyBorder="1" applyAlignment="1">
      <alignment vertical="center"/>
    </xf>
    <xf numFmtId="9" fontId="191" fillId="0" borderId="213" xfId="983" applyFont="1" applyBorder="1" applyAlignment="1">
      <alignment horizontal="center" vertical="center"/>
    </xf>
    <xf numFmtId="171" fontId="120" fillId="0" borderId="213" xfId="0" applyNumberFormat="1" applyFont="1" applyBorder="1" applyAlignment="1">
      <alignment horizontal="center" vertical="center" wrapText="1"/>
    </xf>
    <xf numFmtId="171" fontId="191" fillId="0" borderId="213" xfId="0" applyNumberFormat="1" applyFont="1" applyBorder="1" applyAlignment="1">
      <alignment horizontal="center" vertical="center"/>
    </xf>
    <xf numFmtId="0" fontId="120" fillId="0" borderId="213" xfId="0" applyFont="1" applyBorder="1" applyAlignment="1">
      <alignment horizontal="center" vertical="center"/>
    </xf>
    <xf numFmtId="0" fontId="120" fillId="0" borderId="0" xfId="0" applyFont="1" applyAlignment="1"/>
    <xf numFmtId="0" fontId="120" fillId="0" borderId="0" xfId="0" applyFont="1" applyAlignment="1">
      <alignment vertical="center"/>
    </xf>
    <xf numFmtId="171" fontId="120" fillId="0" borderId="0" xfId="0" applyNumberFormat="1" applyFont="1" applyAlignment="1">
      <alignment horizontal="center"/>
    </xf>
    <xf numFmtId="9" fontId="191" fillId="0" borderId="0" xfId="983" applyFont="1" applyAlignment="1">
      <alignment horizontal="center"/>
    </xf>
    <xf numFmtId="0" fontId="105" fillId="22" borderId="213" xfId="0" applyFont="1" applyFill="1" applyBorder="1"/>
    <xf numFmtId="0" fontId="105" fillId="22" borderId="213" xfId="0" applyFont="1" applyFill="1" applyBorder="1" applyAlignment="1">
      <alignment horizontal="center"/>
    </xf>
    <xf numFmtId="9" fontId="105" fillId="22" borderId="213" xfId="983" applyFont="1" applyFill="1" applyBorder="1" applyAlignment="1">
      <alignment horizontal="center"/>
    </xf>
    <xf numFmtId="0" fontId="195" fillId="0" borderId="0" xfId="0" applyFont="1"/>
    <xf numFmtId="0" fontId="120" fillId="0" borderId="0" xfId="0" applyFont="1" applyAlignment="1">
      <alignment horizontal="center"/>
    </xf>
    <xf numFmtId="0" fontId="120" fillId="0" borderId="0" xfId="0" applyFont="1" applyBorder="1" applyAlignment="1">
      <alignment horizontal="center"/>
    </xf>
    <xf numFmtId="0" fontId="120" fillId="0" borderId="0" xfId="0" applyFont="1" applyBorder="1"/>
    <xf numFmtId="9" fontId="120" fillId="30" borderId="212" xfId="983" applyFont="1" applyFill="1" applyBorder="1" applyAlignment="1">
      <alignment horizontal="center"/>
    </xf>
    <xf numFmtId="0" fontId="120" fillId="0" borderId="0" xfId="0" applyFont="1" applyAlignment="1">
      <alignment horizontal="center" vertical="center"/>
    </xf>
    <xf numFmtId="0" fontId="121" fillId="0" borderId="0" xfId="0" applyFont="1" applyAlignment="1">
      <alignment vertical="center"/>
    </xf>
    <xf numFmtId="164" fontId="196" fillId="0" borderId="212" xfId="982" applyNumberFormat="1" applyFont="1" applyFill="1" applyBorder="1" applyAlignment="1">
      <alignment horizontal="left"/>
    </xf>
    <xf numFmtId="164" fontId="196" fillId="0" borderId="212" xfId="982" applyNumberFormat="1" applyFont="1" applyFill="1" applyBorder="1" applyAlignment="1">
      <alignment horizontal="center"/>
    </xf>
    <xf numFmtId="0" fontId="3" fillId="0" borderId="0" xfId="0" applyFont="1" applyFill="1" applyBorder="1" applyAlignment="1">
      <alignment horizontal="right"/>
    </xf>
    <xf numFmtId="0" fontId="78" fillId="0" borderId="0" xfId="0" applyFont="1" applyFill="1" applyBorder="1" applyAlignment="1">
      <alignment vertical="center"/>
    </xf>
    <xf numFmtId="0" fontId="78" fillId="0" borderId="0" xfId="0" applyFont="1" applyFill="1" applyBorder="1" applyAlignment="1">
      <alignment horizontal="left" vertical="center" wrapText="1"/>
    </xf>
    <xf numFmtId="0" fontId="198" fillId="0" borderId="213" xfId="0" applyFont="1" applyBorder="1" applyAlignment="1">
      <alignment vertical="center"/>
    </xf>
    <xf numFmtId="0" fontId="198" fillId="0" borderId="213" xfId="0" applyFont="1" applyFill="1" applyBorder="1" applyAlignment="1">
      <alignment vertical="center"/>
    </xf>
    <xf numFmtId="0" fontId="38" fillId="0" borderId="0" xfId="0" applyFont="1" applyFill="1" applyBorder="1" applyAlignment="1">
      <alignment horizontal="right" vertical="center"/>
    </xf>
    <xf numFmtId="0" fontId="86" fillId="0" borderId="0" xfId="0" applyFont="1" applyFill="1" applyBorder="1" applyAlignment="1">
      <alignment horizontal="right" vertical="center"/>
    </xf>
    <xf numFmtId="0" fontId="199" fillId="0" borderId="0" xfId="0" applyFont="1" applyFill="1" applyBorder="1" applyAlignment="1">
      <alignment horizontal="right" vertical="center"/>
    </xf>
    <xf numFmtId="0" fontId="110" fillId="0" borderId="0" xfId="0" applyFont="1" applyFill="1" applyBorder="1" applyAlignment="1">
      <alignment vertical="center"/>
    </xf>
    <xf numFmtId="0" fontId="120" fillId="0" borderId="212" xfId="0" applyFont="1" applyBorder="1" applyAlignment="1">
      <alignment vertical="center" wrapText="1"/>
    </xf>
    <xf numFmtId="0" fontId="38" fillId="0" borderId="2" xfId="0" applyFont="1" applyFill="1" applyBorder="1"/>
    <xf numFmtId="171" fontId="191" fillId="32" borderId="213" xfId="0" applyNumberFormat="1" applyFont="1" applyFill="1" applyBorder="1" applyAlignment="1">
      <alignment horizontal="center" vertical="center"/>
    </xf>
    <xf numFmtId="0" fontId="185" fillId="23" borderId="221" xfId="0" applyFont="1" applyFill="1" applyBorder="1"/>
    <xf numFmtId="0" fontId="185" fillId="23" borderId="222" xfId="0" applyFont="1" applyFill="1" applyBorder="1"/>
    <xf numFmtId="0" fontId="120" fillId="0" borderId="224" xfId="0" applyFont="1" applyBorder="1"/>
    <xf numFmtId="0" fontId="120" fillId="0" borderId="225" xfId="0" applyFont="1" applyBorder="1"/>
    <xf numFmtId="0" fontId="120" fillId="0" borderId="226" xfId="0" applyFont="1" applyBorder="1"/>
    <xf numFmtId="0" fontId="120" fillId="15" borderId="7" xfId="0" applyFont="1" applyFill="1" applyBorder="1" applyAlignment="1">
      <alignment horizontal="center"/>
    </xf>
    <xf numFmtId="0" fontId="120" fillId="0" borderId="226" xfId="0" applyFont="1" applyBorder="1" applyAlignment="1">
      <alignment vertical="center"/>
    </xf>
    <xf numFmtId="9" fontId="120" fillId="0" borderId="7" xfId="0" applyNumberFormat="1" applyFont="1" applyBorder="1" applyAlignment="1">
      <alignment horizontal="center"/>
    </xf>
    <xf numFmtId="0" fontId="120" fillId="0" borderId="7" xfId="0" applyFont="1" applyBorder="1" applyAlignment="1">
      <alignment horizontal="center"/>
    </xf>
    <xf numFmtId="0" fontId="120" fillId="15" borderId="7" xfId="0" applyFont="1" applyFill="1" applyBorder="1" applyAlignment="1">
      <alignment horizontal="center" vertical="center"/>
    </xf>
    <xf numFmtId="9" fontId="120" fillId="15" borderId="7" xfId="0" applyNumberFormat="1" applyFont="1" applyFill="1" applyBorder="1" applyAlignment="1">
      <alignment horizontal="center" vertical="center"/>
    </xf>
    <xf numFmtId="0" fontId="120" fillId="0" borderId="7" xfId="0" applyFont="1" applyBorder="1" applyAlignment="1">
      <alignment horizontal="center" vertical="center"/>
    </xf>
    <xf numFmtId="9" fontId="120" fillId="0" borderId="7" xfId="0" applyNumberFormat="1" applyFont="1" applyBorder="1" applyAlignment="1">
      <alignment horizontal="center" vertical="center"/>
    </xf>
    <xf numFmtId="9" fontId="120" fillId="20" borderId="7" xfId="0" applyNumberFormat="1" applyFont="1" applyFill="1" applyBorder="1" applyAlignment="1">
      <alignment horizontal="center" vertical="center" wrapText="1"/>
    </xf>
    <xf numFmtId="0" fontId="120" fillId="28" borderId="7" xfId="0" applyFont="1" applyFill="1" applyBorder="1" applyAlignment="1">
      <alignment horizontal="center" vertical="center" wrapText="1"/>
    </xf>
    <xf numFmtId="0" fontId="120" fillId="0" borderId="225" xfId="0" applyFont="1" applyBorder="1" applyAlignment="1">
      <alignment vertical="center"/>
    </xf>
    <xf numFmtId="0" fontId="120" fillId="52" borderId="7" xfId="0" applyFont="1" applyFill="1" applyBorder="1" applyAlignment="1">
      <alignment horizontal="center" vertical="center"/>
    </xf>
    <xf numFmtId="0" fontId="120" fillId="20" borderId="226" xfId="0" applyFont="1" applyFill="1" applyBorder="1" applyAlignment="1">
      <alignment vertical="center"/>
    </xf>
    <xf numFmtId="0" fontId="70" fillId="32" borderId="7" xfId="0" applyFont="1" applyFill="1" applyBorder="1" applyAlignment="1">
      <alignment horizontal="center" vertical="center"/>
    </xf>
    <xf numFmtId="0" fontId="200" fillId="32" borderId="7" xfId="0" applyFont="1" applyFill="1" applyBorder="1"/>
    <xf numFmtId="0" fontId="120" fillId="20" borderId="229" xfId="0" applyFont="1" applyFill="1" applyBorder="1" applyAlignment="1">
      <alignment vertical="center"/>
    </xf>
    <xf numFmtId="0" fontId="120" fillId="51" borderId="226" xfId="0" applyFont="1" applyFill="1" applyBorder="1" applyAlignment="1">
      <alignment vertical="center"/>
    </xf>
    <xf numFmtId="9" fontId="120" fillId="51" borderId="7" xfId="0" applyNumberFormat="1" applyFont="1" applyFill="1" applyBorder="1" applyAlignment="1">
      <alignment horizontal="center" vertical="center" wrapText="1"/>
    </xf>
    <xf numFmtId="0" fontId="120" fillId="0" borderId="230" xfId="0" applyFont="1" applyBorder="1" applyAlignment="1">
      <alignment vertical="center"/>
    </xf>
    <xf numFmtId="0" fontId="200" fillId="32" borderId="231" xfId="0" applyFont="1" applyFill="1" applyBorder="1"/>
    <xf numFmtId="0" fontId="120" fillId="0" borderId="231" xfId="0" applyFont="1" applyBorder="1" applyAlignment="1">
      <alignment horizontal="center"/>
    </xf>
    <xf numFmtId="0" fontId="120" fillId="0" borderId="232" xfId="0" applyFont="1" applyBorder="1" applyAlignment="1">
      <alignment vertical="center"/>
    </xf>
    <xf numFmtId="0" fontId="120" fillId="23" borderId="223" xfId="0" applyFont="1" applyFill="1" applyBorder="1"/>
    <xf numFmtId="0" fontId="120" fillId="0" borderId="213" xfId="0" applyNumberFormat="1" applyFont="1" applyBorder="1" applyAlignment="1">
      <alignment horizontal="center" vertical="center" wrapText="1"/>
    </xf>
    <xf numFmtId="0" fontId="120" fillId="0" borderId="213" xfId="983" applyNumberFormat="1" applyFont="1" applyBorder="1" applyAlignment="1">
      <alignment horizontal="center" vertical="center"/>
    </xf>
    <xf numFmtId="0" fontId="195" fillId="0" borderId="0" xfId="0" applyFont="1" applyAlignment="1">
      <alignment horizontal="center"/>
    </xf>
    <xf numFmtId="0" fontId="47" fillId="0" borderId="62" xfId="0" applyFont="1" applyFill="1" applyBorder="1" applyAlignment="1">
      <alignment horizontal="center" vertical="center" wrapText="1"/>
    </xf>
    <xf numFmtId="0" fontId="202" fillId="0" borderId="214" xfId="0" applyFont="1" applyBorder="1" applyAlignment="1">
      <alignment vertical="center"/>
    </xf>
    <xf numFmtId="0" fontId="120" fillId="0" borderId="215" xfId="0" applyFont="1" applyBorder="1" applyAlignment="1">
      <alignment horizontal="center" vertical="center"/>
    </xf>
    <xf numFmtId="0" fontId="120" fillId="0" borderId="216" xfId="0" applyFont="1" applyBorder="1" applyAlignment="1">
      <alignment horizontal="center" vertical="center"/>
    </xf>
    <xf numFmtId="0" fontId="185" fillId="53" borderId="221" xfId="0" applyFont="1" applyFill="1" applyBorder="1"/>
    <xf numFmtId="0" fontId="185" fillId="53" borderId="222" xfId="0" applyFont="1" applyFill="1" applyBorder="1"/>
    <xf numFmtId="0" fontId="185" fillId="53" borderId="223" xfId="0" applyFont="1" applyFill="1" applyBorder="1"/>
    <xf numFmtId="0" fontId="185" fillId="53" borderId="224" xfId="0" applyFont="1" applyFill="1" applyBorder="1"/>
    <xf numFmtId="0" fontId="185" fillId="53" borderId="0" xfId="0" applyFont="1" applyFill="1" applyBorder="1"/>
    <xf numFmtId="0" fontId="185" fillId="53" borderId="225" xfId="0" applyFont="1" applyFill="1" applyBorder="1"/>
    <xf numFmtId="0" fontId="29" fillId="0" borderId="0" xfId="0" applyFont="1" applyFill="1" applyBorder="1" applyAlignment="1">
      <alignment horizontal="right" vertical="center"/>
    </xf>
    <xf numFmtId="0" fontId="203" fillId="0" borderId="0" xfId="0" applyFont="1" applyFill="1" applyBorder="1" applyAlignment="1">
      <alignment horizontal="center" vertical="center" wrapText="1"/>
    </xf>
    <xf numFmtId="0" fontId="70" fillId="40" borderId="7" xfId="0" applyFont="1" applyFill="1" applyBorder="1" applyAlignment="1">
      <alignment horizontal="center" vertical="center"/>
    </xf>
    <xf numFmtId="9" fontId="120" fillId="40" borderId="7" xfId="0" applyNumberFormat="1" applyFont="1" applyFill="1" applyBorder="1" applyAlignment="1">
      <alignment horizontal="center" vertical="center" wrapText="1"/>
    </xf>
    <xf numFmtId="0" fontId="120" fillId="40" borderId="7" xfId="0" applyFont="1" applyFill="1" applyBorder="1" applyAlignment="1">
      <alignment horizontal="center" vertical="center" wrapText="1"/>
    </xf>
    <xf numFmtId="9" fontId="185" fillId="40" borderId="7" xfId="0" applyNumberFormat="1" applyFont="1" applyFill="1" applyBorder="1" applyAlignment="1">
      <alignment horizontal="center" vertical="center" wrapText="1"/>
    </xf>
    <xf numFmtId="0" fontId="197" fillId="40" borderId="7" xfId="0" applyFont="1" applyFill="1" applyBorder="1" applyAlignment="1">
      <alignment horizontal="center" vertical="center"/>
    </xf>
    <xf numFmtId="9" fontId="191" fillId="40" borderId="7" xfId="0" applyNumberFormat="1" applyFont="1" applyFill="1" applyBorder="1" applyAlignment="1">
      <alignment horizontal="center" vertical="center" wrapText="1"/>
    </xf>
    <xf numFmtId="0" fontId="3" fillId="0" borderId="118" xfId="983" applyNumberFormat="1" applyFont="1" applyFill="1" applyBorder="1" applyAlignment="1">
      <alignment horizontal="center" vertical="center"/>
    </xf>
    <xf numFmtId="9" fontId="3" fillId="0" borderId="118" xfId="983" applyFont="1" applyFill="1" applyBorder="1" applyAlignment="1">
      <alignment horizontal="center" vertical="center"/>
    </xf>
    <xf numFmtId="9" fontId="2" fillId="0" borderId="2" xfId="0" applyNumberFormat="1" applyFont="1" applyBorder="1"/>
    <xf numFmtId="0" fontId="0" fillId="0" borderId="2" xfId="0" applyBorder="1" applyAlignment="1">
      <alignment horizontal="center" vertical="center"/>
    </xf>
    <xf numFmtId="0" fontId="91" fillId="0" borderId="2" xfId="0" applyFont="1" applyFill="1" applyBorder="1" applyProtection="1"/>
    <xf numFmtId="2" fontId="0" fillId="0" borderId="2" xfId="0" applyNumberFormat="1" applyBorder="1"/>
    <xf numFmtId="2" fontId="0" fillId="0" borderId="2" xfId="0" applyNumberFormat="1" applyBorder="1" applyAlignment="1">
      <alignment horizontal="center"/>
    </xf>
    <xf numFmtId="0" fontId="21" fillId="0" borderId="2" xfId="5" applyFont="1" applyBorder="1" applyAlignment="1">
      <alignment horizontal="left"/>
    </xf>
    <xf numFmtId="0" fontId="96" fillId="0" borderId="0" xfId="0" applyFont="1" applyBorder="1" applyAlignment="1">
      <alignment vertical="center"/>
    </xf>
    <xf numFmtId="0" fontId="198" fillId="0" borderId="0" xfId="0" applyFont="1" applyFill="1" applyBorder="1" applyAlignment="1">
      <alignment vertical="center"/>
    </xf>
    <xf numFmtId="0" fontId="120" fillId="0" borderId="0" xfId="0" applyFont="1" applyBorder="1" applyAlignment="1">
      <alignment horizontal="left" vertical="center"/>
    </xf>
    <xf numFmtId="0" fontId="120" fillId="0" borderId="0" xfId="983" applyNumberFormat="1" applyFont="1" applyBorder="1" applyAlignment="1">
      <alignment horizontal="center" vertical="center"/>
    </xf>
    <xf numFmtId="171" fontId="120" fillId="0" borderId="0" xfId="0" applyNumberFormat="1" applyFont="1" applyBorder="1" applyAlignment="1">
      <alignment horizontal="center" vertical="center" wrapText="1"/>
    </xf>
    <xf numFmtId="171" fontId="191" fillId="32" borderId="0" xfId="0" applyNumberFormat="1" applyFont="1" applyFill="1" applyBorder="1" applyAlignment="1">
      <alignment horizontal="center" vertical="center"/>
    </xf>
    <xf numFmtId="171" fontId="191" fillId="0" borderId="0" xfId="0" applyNumberFormat="1" applyFont="1" applyBorder="1" applyAlignment="1">
      <alignment horizontal="center" vertical="center"/>
    </xf>
    <xf numFmtId="9" fontId="191" fillId="0" borderId="0" xfId="983" applyFont="1" applyBorder="1" applyAlignment="1">
      <alignment horizontal="center" vertical="center"/>
    </xf>
    <xf numFmtId="0" fontId="120" fillId="0" borderId="0" xfId="0" applyFont="1" applyBorder="1" applyAlignment="1">
      <alignment vertical="center"/>
    </xf>
    <xf numFmtId="9" fontId="191" fillId="0" borderId="216" xfId="0" applyNumberFormat="1" applyFont="1" applyBorder="1" applyAlignment="1">
      <alignment horizontal="center" vertical="center"/>
    </xf>
    <xf numFmtId="0" fontId="120" fillId="0" borderId="212" xfId="0" applyFont="1" applyBorder="1" applyAlignment="1">
      <alignment horizontal="left"/>
    </xf>
    <xf numFmtId="9" fontId="120" fillId="0" borderId="213" xfId="983" applyFont="1" applyBorder="1" applyAlignment="1">
      <alignment vertical="center"/>
    </xf>
    <xf numFmtId="178" fontId="120" fillId="0" borderId="212" xfId="982" applyNumberFormat="1" applyFont="1" applyBorder="1" applyAlignment="1">
      <alignment horizontal="center"/>
    </xf>
    <xf numFmtId="178" fontId="105" fillId="22" borderId="213" xfId="982" applyNumberFormat="1" applyFont="1" applyFill="1" applyBorder="1" applyAlignment="1">
      <alignment horizontal="center"/>
    </xf>
    <xf numFmtId="0" fontId="29" fillId="0" borderId="0" xfId="0" applyFont="1" applyFill="1" applyBorder="1" applyAlignment="1">
      <alignment horizontal="center" vertical="center"/>
    </xf>
    <xf numFmtId="0" fontId="206" fillId="0" borderId="0" xfId="0" applyFont="1" applyFill="1" applyBorder="1" applyAlignment="1">
      <alignment horizontal="left" vertical="center"/>
    </xf>
    <xf numFmtId="0" fontId="29" fillId="0" borderId="0" xfId="0" applyFont="1" applyFill="1" applyBorder="1"/>
    <xf numFmtId="0" fontId="29" fillId="0" borderId="0" xfId="0" applyFont="1" applyFill="1" applyBorder="1" applyAlignment="1"/>
    <xf numFmtId="171" fontId="44" fillId="0" borderId="180" xfId="0" applyNumberFormat="1" applyFont="1" applyFill="1" applyBorder="1" applyAlignment="1">
      <alignment horizontal="center" vertical="center" wrapText="1"/>
    </xf>
    <xf numFmtId="0" fontId="29" fillId="0" borderId="118" xfId="0" applyNumberFormat="1" applyFont="1" applyFill="1" applyBorder="1" applyAlignment="1">
      <alignment horizontal="center" vertical="center"/>
    </xf>
    <xf numFmtId="0" fontId="207" fillId="0" borderId="0" xfId="0" applyFont="1" applyAlignment="1">
      <alignment vertical="center"/>
    </xf>
    <xf numFmtId="0" fontId="0" fillId="0" borderId="0" xfId="0" applyAlignment="1">
      <alignment horizontal="center" vertical="center" wrapText="1"/>
    </xf>
    <xf numFmtId="0" fontId="96" fillId="0" borderId="235" xfId="0" applyFont="1" applyBorder="1" applyAlignment="1">
      <alignment vertical="center"/>
    </xf>
    <xf numFmtId="0" fontId="120" fillId="0" borderId="234" xfId="0" applyFont="1" applyBorder="1" applyAlignment="1">
      <alignment horizontal="left" vertical="center"/>
    </xf>
    <xf numFmtId="9" fontId="120" fillId="0" borderId="234" xfId="0" applyNumberFormat="1" applyFont="1" applyBorder="1" applyAlignment="1">
      <alignment horizontal="left" vertical="center"/>
    </xf>
    <xf numFmtId="0" fontId="105" fillId="22" borderId="234" xfId="0" applyFont="1" applyFill="1" applyBorder="1"/>
    <xf numFmtId="0" fontId="191" fillId="0" borderId="0" xfId="0" applyFont="1" applyBorder="1" applyAlignment="1">
      <alignment horizontal="center"/>
    </xf>
    <xf numFmtId="49" fontId="63" fillId="23" borderId="9" xfId="0" applyNumberFormat="1" applyFont="1" applyFill="1" applyBorder="1" applyAlignment="1">
      <alignment horizontal="center" vertical="center" wrapText="1"/>
    </xf>
    <xf numFmtId="49" fontId="63" fillId="23" borderId="74" xfId="0" applyNumberFormat="1" applyFont="1" applyFill="1" applyBorder="1" applyAlignment="1">
      <alignment horizontal="center" vertical="center" wrapText="1"/>
    </xf>
    <xf numFmtId="49" fontId="63" fillId="23" borderId="13" xfId="0" applyNumberFormat="1" applyFont="1" applyFill="1" applyBorder="1" applyAlignment="1">
      <alignment horizontal="center" vertical="center" wrapText="1"/>
    </xf>
    <xf numFmtId="49" fontId="63" fillId="23" borderId="10" xfId="0" applyNumberFormat="1" applyFont="1" applyFill="1" applyBorder="1" applyAlignment="1">
      <alignment horizontal="center" vertical="center" wrapText="1"/>
    </xf>
    <xf numFmtId="0" fontId="70" fillId="0" borderId="213" xfId="0" applyFont="1" applyBorder="1" applyAlignment="1">
      <alignment vertical="center"/>
    </xf>
    <xf numFmtId="0" fontId="70" fillId="0" borderId="213" xfId="0" applyFont="1" applyFill="1" applyBorder="1" applyAlignment="1">
      <alignment vertical="center"/>
    </xf>
    <xf numFmtId="0" fontId="70" fillId="0" borderId="235" xfId="0" applyFont="1" applyBorder="1" applyAlignment="1">
      <alignment vertical="center"/>
    </xf>
    <xf numFmtId="0" fontId="70" fillId="0" borderId="213" xfId="983" applyNumberFormat="1" applyFont="1" applyBorder="1" applyAlignment="1">
      <alignment horizontal="center" vertical="center"/>
    </xf>
    <xf numFmtId="171" fontId="70" fillId="0" borderId="213" xfId="0" applyNumberFormat="1" applyFont="1" applyBorder="1" applyAlignment="1">
      <alignment horizontal="center" vertical="center" wrapText="1"/>
    </xf>
    <xf numFmtId="0" fontId="70" fillId="0" borderId="213" xfId="0" applyFont="1" applyBorder="1" applyAlignment="1">
      <alignment horizontal="center" vertical="center"/>
    </xf>
    <xf numFmtId="0" fontId="70" fillId="0" borderId="0" xfId="0" applyFont="1"/>
    <xf numFmtId="0" fontId="70" fillId="0" borderId="236" xfId="0" applyFont="1" applyFill="1" applyBorder="1" applyAlignment="1">
      <alignment vertical="center"/>
    </xf>
    <xf numFmtId="0" fontId="45" fillId="0" borderId="62" xfId="0" applyFont="1" applyFill="1" applyBorder="1" applyAlignment="1">
      <alignment horizontal="center" vertical="center" wrapText="1"/>
    </xf>
    <xf numFmtId="171" fontId="70" fillId="0" borderId="213" xfId="0" applyNumberFormat="1" applyFont="1" applyBorder="1" applyAlignment="1">
      <alignment horizontal="center" vertical="center"/>
    </xf>
    <xf numFmtId="9" fontId="45" fillId="0" borderId="62" xfId="983" applyFont="1" applyFill="1" applyBorder="1" applyAlignment="1">
      <alignment horizontal="center" vertical="center" wrapText="1"/>
    </xf>
    <xf numFmtId="0" fontId="201" fillId="35" borderId="0" xfId="0" applyFont="1" applyFill="1" applyBorder="1"/>
    <xf numFmtId="0" fontId="201" fillId="35" borderId="0" xfId="0" applyFont="1" applyFill="1" applyBorder="1" applyAlignment="1">
      <alignment horizontal="center" vertical="center"/>
    </xf>
    <xf numFmtId="0" fontId="0" fillId="0" borderId="0" xfId="0"/>
    <xf numFmtId="0" fontId="81" fillId="0" borderId="0" xfId="0" applyFont="1" applyBorder="1" applyAlignment="1">
      <alignment vertical="center" wrapText="1"/>
    </xf>
    <xf numFmtId="0" fontId="0" fillId="0" borderId="74" xfId="0" quotePrefix="1" applyBorder="1"/>
    <xf numFmtId="0" fontId="121" fillId="43" borderId="13" xfId="0" applyFont="1" applyFill="1" applyBorder="1"/>
    <xf numFmtId="0" fontId="121" fillId="43" borderId="0" xfId="0" applyFont="1" applyFill="1" applyBorder="1"/>
    <xf numFmtId="0" fontId="121" fillId="40" borderId="0" xfId="0" applyFont="1" applyFill="1" applyBorder="1"/>
    <xf numFmtId="0" fontId="121" fillId="40" borderId="3" xfId="0" applyFont="1" applyFill="1" applyBorder="1"/>
    <xf numFmtId="178" fontId="2" fillId="0" borderId="0" xfId="0" applyNumberFormat="1" applyFont="1"/>
    <xf numFmtId="171" fontId="8" fillId="0" borderId="0" xfId="16" applyNumberFormat="1" applyFont="1" applyFill="1" applyProtection="1"/>
    <xf numFmtId="0" fontId="2" fillId="0" borderId="9" xfId="0" applyFont="1" applyBorder="1"/>
    <xf numFmtId="171" fontId="20" fillId="27" borderId="5" xfId="16" applyNumberFormat="1" applyFont="1" applyFill="1" applyBorder="1" applyProtection="1"/>
    <xf numFmtId="0" fontId="2" fillId="0" borderId="25" xfId="0" applyFont="1" applyBorder="1"/>
    <xf numFmtId="0" fontId="4" fillId="0" borderId="9" xfId="0" applyFont="1" applyBorder="1"/>
    <xf numFmtId="0" fontId="4" fillId="0" borderId="25" xfId="0" applyFont="1" applyBorder="1"/>
    <xf numFmtId="0" fontId="4" fillId="0" borderId="11" xfId="0" applyFont="1" applyBorder="1"/>
    <xf numFmtId="0" fontId="62" fillId="37" borderId="0" xfId="0" applyFont="1" applyFill="1"/>
    <xf numFmtId="0" fontId="2" fillId="0" borderId="11" xfId="0" applyFont="1" applyBorder="1"/>
    <xf numFmtId="0" fontId="221" fillId="0" borderId="9" xfId="0" applyFont="1" applyFill="1" applyBorder="1" applyProtection="1"/>
    <xf numFmtId="0" fontId="100" fillId="0" borderId="25" xfId="5" applyFont="1" applyBorder="1" applyAlignment="1">
      <alignment horizontal="left"/>
    </xf>
    <xf numFmtId="0" fontId="221" fillId="0" borderId="25" xfId="0" applyFont="1" applyBorder="1" applyProtection="1"/>
    <xf numFmtId="0" fontId="221" fillId="23" borderId="25" xfId="0" applyFont="1" applyFill="1" applyBorder="1" applyProtection="1"/>
    <xf numFmtId="0" fontId="221" fillId="0" borderId="11" xfId="0" applyFont="1" applyBorder="1" applyProtection="1"/>
    <xf numFmtId="0" fontId="160" fillId="17" borderId="25" xfId="0" applyFont="1" applyFill="1" applyBorder="1" applyProtection="1"/>
    <xf numFmtId="194" fontId="2" fillId="0" borderId="25" xfId="0" applyNumberFormat="1" applyFont="1" applyBorder="1"/>
    <xf numFmtId="0" fontId="2" fillId="0" borderId="0" xfId="0" applyFont="1" applyBorder="1"/>
    <xf numFmtId="178" fontId="0" fillId="0" borderId="0" xfId="982" applyNumberFormat="1" applyFont="1"/>
    <xf numFmtId="171" fontId="3" fillId="15" borderId="0" xfId="0" applyNumberFormat="1" applyFont="1" applyFill="1" applyBorder="1" applyAlignment="1">
      <alignment horizontal="center" vertical="center" wrapText="1"/>
    </xf>
    <xf numFmtId="0" fontId="26" fillId="16" borderId="27" xfId="5" applyFont="1" applyFill="1" applyBorder="1" applyAlignment="1" applyProtection="1">
      <alignment horizontal="center" vertical="center"/>
    </xf>
    <xf numFmtId="0" fontId="81" fillId="0" borderId="45" xfId="0" applyFont="1" applyBorder="1" applyAlignment="1">
      <alignment horizontal="center" vertical="center" wrapText="1"/>
    </xf>
    <xf numFmtId="9" fontId="38" fillId="26" borderId="34" xfId="983" applyFont="1" applyFill="1" applyBorder="1" applyAlignment="1">
      <alignment horizontal="center" vertical="center" wrapText="1"/>
    </xf>
    <xf numFmtId="0" fontId="222" fillId="15" borderId="0" xfId="0" applyFont="1" applyFill="1"/>
    <xf numFmtId="9" fontId="0" fillId="15" borderId="0" xfId="0" applyNumberFormat="1" applyFill="1"/>
    <xf numFmtId="0" fontId="0" fillId="15" borderId="0" xfId="0" applyFill="1" applyAlignment="1">
      <alignment horizontal="center" vertical="center"/>
    </xf>
    <xf numFmtId="0" fontId="62" fillId="66" borderId="0" xfId="0" applyFont="1" applyFill="1"/>
    <xf numFmtId="0" fontId="4" fillId="0" borderId="0" xfId="0" applyFont="1" applyBorder="1" applyAlignment="1">
      <alignment horizontal="center" vertical="top" wrapText="1"/>
    </xf>
    <xf numFmtId="178" fontId="0" fillId="15" borderId="0" xfId="982" applyNumberFormat="1" applyFont="1" applyFill="1"/>
    <xf numFmtId="9" fontId="0" fillId="15" borderId="0" xfId="983" applyFont="1" applyFill="1"/>
    <xf numFmtId="178" fontId="0" fillId="15" borderId="0" xfId="982" applyNumberFormat="1" applyFont="1" applyFill="1" applyAlignment="1">
      <alignment horizontal="left" vertical="center"/>
    </xf>
    <xf numFmtId="0" fontId="45" fillId="0" borderId="63" xfId="0" applyFont="1" applyFill="1" applyBorder="1" applyAlignment="1">
      <alignment horizontal="center" vertical="center"/>
    </xf>
    <xf numFmtId="0" fontId="53" fillId="0" borderId="64" xfId="0" applyFont="1" applyFill="1" applyBorder="1" applyAlignment="1">
      <alignment horizontal="center" vertical="center"/>
    </xf>
    <xf numFmtId="0" fontId="90" fillId="0" borderId="9" xfId="0" applyFont="1" applyBorder="1" applyAlignment="1">
      <alignment horizontal="center"/>
    </xf>
    <xf numFmtId="0" fontId="90" fillId="0" borderId="13" xfId="0" applyFont="1" applyBorder="1" applyAlignment="1">
      <alignment horizontal="center"/>
    </xf>
    <xf numFmtId="0" fontId="90" fillId="0" borderId="10" xfId="0" applyFont="1" applyBorder="1" applyAlignment="1">
      <alignment horizontal="center"/>
    </xf>
    <xf numFmtId="0" fontId="2" fillId="0" borderId="5" xfId="0" applyFont="1" applyBorder="1" applyAlignment="1">
      <alignment horizontal="center" vertical="center" wrapText="1"/>
    </xf>
    <xf numFmtId="0" fontId="2" fillId="0" borderId="7" xfId="0" applyFont="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vertical="center"/>
    </xf>
    <xf numFmtId="0" fontId="10" fillId="15" borderId="2" xfId="10" applyFont="1" applyFill="1" applyBorder="1" applyProtection="1"/>
    <xf numFmtId="0" fontId="89" fillId="23" borderId="0" xfId="0" applyFont="1" applyFill="1" applyBorder="1" applyAlignment="1">
      <alignment horizontal="left"/>
    </xf>
    <xf numFmtId="0" fontId="68" fillId="20" borderId="0" xfId="0" applyFont="1" applyFill="1" applyBorder="1" applyAlignment="1">
      <alignment horizontal="center"/>
    </xf>
    <xf numFmtId="178" fontId="5" fillId="20" borderId="209" xfId="982" applyNumberFormat="1" applyFont="1" applyFill="1" applyBorder="1" applyAlignment="1">
      <alignment horizontal="center"/>
    </xf>
    <xf numFmtId="178" fontId="5" fillId="20" borderId="209" xfId="982" applyNumberFormat="1" applyFont="1" applyFill="1" applyBorder="1" applyAlignment="1">
      <alignment vertical="center"/>
    </xf>
    <xf numFmtId="180" fontId="0" fillId="0" borderId="0" xfId="0" applyNumberFormat="1" applyBorder="1"/>
    <xf numFmtId="0" fontId="132" fillId="0" borderId="0" xfId="0" applyFont="1" applyBorder="1" applyAlignment="1">
      <alignment horizontal="right"/>
    </xf>
    <xf numFmtId="0" fontId="51" fillId="0" borderId="244" xfId="0" applyFont="1" applyFill="1" applyBorder="1" applyAlignment="1">
      <alignment horizontal="center" vertical="center"/>
    </xf>
    <xf numFmtId="0" fontId="51" fillId="0" borderId="0" xfId="0" applyFont="1" applyFill="1" applyBorder="1" applyAlignment="1">
      <alignment horizontal="center" vertical="center"/>
    </xf>
    <xf numFmtId="178" fontId="3" fillId="23" borderId="209" xfId="982" applyNumberFormat="1" applyFont="1" applyFill="1" applyBorder="1"/>
    <xf numFmtId="171" fontId="6" fillId="0" borderId="0" xfId="0" applyNumberFormat="1" applyFont="1" applyFill="1" applyBorder="1" applyAlignment="1">
      <alignment horizontal="center" vertical="center"/>
    </xf>
    <xf numFmtId="0" fontId="5" fillId="0" borderId="244" xfId="0" applyFont="1" applyFill="1" applyBorder="1" applyAlignment="1">
      <alignment vertical="center"/>
    </xf>
    <xf numFmtId="171" fontId="127" fillId="0" borderId="0" xfId="0" applyNumberFormat="1" applyFont="1" applyBorder="1" applyAlignment="1">
      <alignment horizontal="center" vertical="center"/>
    </xf>
    <xf numFmtId="0" fontId="14" fillId="0" borderId="0" xfId="0" applyFont="1" applyFill="1" applyBorder="1" applyAlignment="1">
      <alignment vertical="center"/>
    </xf>
    <xf numFmtId="0" fontId="5" fillId="20" borderId="0" xfId="0" applyFont="1" applyFill="1" applyBorder="1" applyAlignment="1">
      <alignment vertical="center"/>
    </xf>
    <xf numFmtId="0" fontId="5" fillId="43" borderId="0" xfId="0" applyFont="1" applyFill="1" applyBorder="1" applyAlignment="1">
      <alignment vertical="center"/>
    </xf>
    <xf numFmtId="0" fontId="72" fillId="0" borderId="0" xfId="0" applyFont="1" applyBorder="1" applyAlignment="1">
      <alignment horizontal="center" vertical="top" wrapText="1"/>
    </xf>
    <xf numFmtId="0" fontId="16" fillId="0" borderId="0" xfId="0" applyFont="1" applyBorder="1" applyAlignment="1">
      <alignment horizontal="left" vertical="center"/>
    </xf>
    <xf numFmtId="0" fontId="173" fillId="0" borderId="0" xfId="0" applyFont="1" applyFill="1" applyBorder="1"/>
    <xf numFmtId="0" fontId="81" fillId="0" borderId="0" xfId="0" applyFont="1" applyFill="1" applyBorder="1"/>
    <xf numFmtId="0" fontId="168" fillId="0" borderId="0" xfId="0" applyFont="1" applyFill="1" applyBorder="1" applyAlignment="1">
      <alignment vertical="center"/>
    </xf>
    <xf numFmtId="0" fontId="223" fillId="0" borderId="0" xfId="0" applyFont="1" applyFill="1" applyBorder="1" applyAlignment="1">
      <alignment horizontal="center" vertical="center"/>
    </xf>
    <xf numFmtId="0" fontId="223" fillId="23" borderId="0" xfId="0" applyFont="1" applyFill="1" applyBorder="1" applyAlignment="1">
      <alignment horizontal="center" vertical="center"/>
    </xf>
    <xf numFmtId="0" fontId="81" fillId="0" borderId="0" xfId="0" applyFont="1" applyFill="1" applyBorder="1" applyAlignment="1">
      <alignment horizontal="center" vertical="center"/>
    </xf>
    <xf numFmtId="0" fontId="166" fillId="0" borderId="0" xfId="0" applyFont="1" applyBorder="1" applyAlignment="1">
      <alignment vertical="center" wrapText="1"/>
    </xf>
    <xf numFmtId="0" fontId="130" fillId="0" borderId="0" xfId="0" applyFont="1" applyBorder="1" applyAlignment="1">
      <alignment horizontal="center"/>
    </xf>
    <xf numFmtId="0" fontId="6" fillId="0" borderId="0" xfId="0" applyFont="1" applyFill="1" applyBorder="1"/>
    <xf numFmtId="0" fontId="129" fillId="0" borderId="0" xfId="0" applyFont="1" applyFill="1" applyBorder="1"/>
    <xf numFmtId="171" fontId="224" fillId="0" borderId="0" xfId="0" applyNumberFormat="1" applyFont="1" applyFill="1" applyBorder="1" applyAlignment="1">
      <alignment horizontal="center" vertical="center"/>
    </xf>
    <xf numFmtId="0" fontId="6" fillId="20" borderId="0" xfId="0" applyFont="1" applyFill="1" applyBorder="1"/>
    <xf numFmtId="171" fontId="53" fillId="0" borderId="180" xfId="0" applyNumberFormat="1" applyFont="1" applyFill="1" applyBorder="1" applyAlignment="1">
      <alignment horizontal="center" vertical="center" wrapText="1"/>
    </xf>
    <xf numFmtId="0" fontId="53" fillId="0" borderId="60" xfId="0" applyFont="1" applyFill="1" applyBorder="1" applyAlignment="1">
      <alignment horizontal="center" vertical="center" wrapText="1"/>
    </xf>
    <xf numFmtId="0" fontId="75" fillId="0" borderId="0" xfId="0" applyFont="1" applyBorder="1" applyAlignment="1">
      <alignment vertical="top"/>
    </xf>
    <xf numFmtId="0" fontId="18" fillId="0" borderId="0" xfId="0" applyFont="1" applyBorder="1" applyAlignment="1">
      <alignment horizontal="center" wrapText="1"/>
    </xf>
    <xf numFmtId="0" fontId="225" fillId="0" borderId="0" xfId="0" applyFont="1" applyBorder="1"/>
    <xf numFmtId="171" fontId="95" fillId="20" borderId="209" xfId="0" applyNumberFormat="1" applyFont="1" applyFill="1" applyBorder="1" applyAlignment="1">
      <alignment horizontal="center"/>
    </xf>
    <xf numFmtId="0" fontId="111" fillId="0" borderId="13" xfId="0" applyFont="1" applyBorder="1"/>
    <xf numFmtId="171" fontId="112" fillId="0" borderId="0" xfId="0" applyNumberFormat="1" applyFont="1" applyBorder="1" applyAlignment="1">
      <alignment horizontal="center"/>
    </xf>
    <xf numFmtId="0" fontId="14" fillId="0" borderId="0" xfId="0" applyFont="1" applyBorder="1" applyAlignment="1">
      <alignment vertical="center"/>
    </xf>
    <xf numFmtId="0" fontId="17" fillId="0" borderId="0" xfId="0" applyFont="1" applyBorder="1" applyAlignment="1">
      <alignment horizontal="center"/>
    </xf>
    <xf numFmtId="0" fontId="72" fillId="0" borderId="9" xfId="0" applyFont="1" applyFill="1" applyBorder="1" applyAlignment="1">
      <alignment horizontal="center" vertical="center"/>
    </xf>
    <xf numFmtId="0" fontId="72" fillId="0" borderId="10" xfId="0" applyFont="1" applyFill="1" applyBorder="1" applyAlignment="1">
      <alignment horizontal="center" vertical="center"/>
    </xf>
    <xf numFmtId="165" fontId="7" fillId="0" borderId="25" xfId="0" applyNumberFormat="1" applyFont="1" applyBorder="1" applyProtection="1"/>
    <xf numFmtId="178" fontId="0" fillId="0" borderId="26" xfId="982" applyNumberFormat="1" applyFont="1" applyBorder="1"/>
    <xf numFmtId="171" fontId="7" fillId="0" borderId="25" xfId="16" applyNumberFormat="1" applyFont="1" applyFill="1" applyBorder="1" applyProtection="1"/>
    <xf numFmtId="171" fontId="7" fillId="0" borderId="11" xfId="16" applyNumberFormat="1" applyFont="1" applyFill="1" applyBorder="1" applyProtection="1"/>
    <xf numFmtId="178" fontId="0" fillId="0" borderId="12" xfId="982" applyNumberFormat="1" applyFont="1" applyBorder="1"/>
    <xf numFmtId="0" fontId="19" fillId="0" borderId="0" xfId="0" applyFont="1" applyFill="1" applyBorder="1" applyAlignment="1">
      <alignment horizontal="center" vertical="center"/>
    </xf>
    <xf numFmtId="0" fontId="0" fillId="43" borderId="0" xfId="0" applyFill="1" applyBorder="1"/>
    <xf numFmtId="0" fontId="0" fillId="0" borderId="0" xfId="0" applyAlignment="1">
      <alignment horizontal="right"/>
    </xf>
    <xf numFmtId="165" fontId="8" fillId="34" borderId="11" xfId="0" applyNumberFormat="1" applyFont="1" applyFill="1" applyBorder="1" applyProtection="1"/>
    <xf numFmtId="165" fontId="8" fillId="34" borderId="28" xfId="0" applyNumberFormat="1" applyFont="1" applyFill="1" applyBorder="1" applyProtection="1"/>
    <xf numFmtId="165" fontId="10" fillId="34" borderId="0" xfId="0" applyNumberFormat="1" applyFont="1" applyFill="1" applyAlignment="1" applyProtection="1">
      <alignment horizontal="center"/>
    </xf>
    <xf numFmtId="0" fontId="0" fillId="34" borderId="0" xfId="0" applyFill="1" applyAlignment="1">
      <alignment horizontal="center" vertical="center"/>
    </xf>
    <xf numFmtId="165" fontId="8" fillId="20" borderId="26" xfId="0" applyNumberFormat="1" applyFont="1" applyFill="1" applyBorder="1" applyProtection="1"/>
    <xf numFmtId="2" fontId="0" fillId="20" borderId="0" xfId="0" applyNumberFormat="1" applyFill="1"/>
    <xf numFmtId="165" fontId="8" fillId="20" borderId="0" xfId="0" applyNumberFormat="1" applyFont="1" applyFill="1" applyBorder="1" applyProtection="1"/>
    <xf numFmtId="0" fontId="4" fillId="0" borderId="46" xfId="0" applyFont="1" applyFill="1" applyBorder="1" applyAlignment="1">
      <alignment horizontal="center" vertical="center"/>
    </xf>
    <xf numFmtId="0" fontId="4" fillId="0" borderId="192" xfId="0" applyFont="1" applyFill="1" applyBorder="1" applyAlignment="1">
      <alignment horizontal="center" vertical="center"/>
    </xf>
    <xf numFmtId="0" fontId="63" fillId="24" borderId="0" xfId="0" applyFont="1" applyFill="1" applyBorder="1"/>
    <xf numFmtId="178" fontId="223" fillId="0" borderId="0" xfId="0" applyNumberFormat="1" applyFont="1" applyBorder="1" applyAlignment="1">
      <alignment horizontal="center"/>
    </xf>
    <xf numFmtId="0" fontId="97" fillId="0" borderId="0" xfId="0" applyFont="1" applyBorder="1" applyAlignment="1"/>
    <xf numFmtId="171" fontId="97" fillId="0" borderId="0" xfId="0" applyNumberFormat="1" applyFont="1" applyBorder="1" applyAlignment="1">
      <alignment horizontal="center"/>
    </xf>
    <xf numFmtId="171" fontId="97" fillId="0" borderId="0" xfId="0" applyNumberFormat="1" applyFont="1" applyFill="1" applyBorder="1" applyAlignment="1">
      <alignment horizontal="center"/>
    </xf>
    <xf numFmtId="171" fontId="162" fillId="0" borderId="0" xfId="0" applyNumberFormat="1" applyFont="1" applyBorder="1" applyAlignment="1">
      <alignment horizontal="center"/>
    </xf>
    <xf numFmtId="171" fontId="185" fillId="38" borderId="0" xfId="0" applyNumberFormat="1" applyFont="1" applyFill="1" applyBorder="1" applyAlignment="1">
      <alignment horizontal="center" vertical="center"/>
    </xf>
    <xf numFmtId="171" fontId="5" fillId="20" borderId="209" xfId="0" applyNumberFormat="1" applyFont="1" applyFill="1" applyBorder="1" applyAlignment="1">
      <alignment horizontal="center" vertical="center"/>
    </xf>
    <xf numFmtId="171" fontId="95" fillId="20" borderId="209" xfId="0" applyNumberFormat="1" applyFont="1" applyFill="1" applyBorder="1" applyAlignment="1">
      <alignment horizontal="right" vertical="center"/>
    </xf>
    <xf numFmtId="0" fontId="89" fillId="0" borderId="2" xfId="0" applyNumberFormat="1" applyFont="1" applyFill="1" applyBorder="1" applyAlignment="1" applyProtection="1">
      <alignment horizontal="center" wrapText="1"/>
    </xf>
    <xf numFmtId="0" fontId="0" fillId="0" borderId="0" xfId="0" applyFill="1" applyAlignment="1">
      <alignment horizontal="center" vertical="center"/>
    </xf>
    <xf numFmtId="0" fontId="0" fillId="23" borderId="0" xfId="0" applyFill="1" applyAlignment="1">
      <alignment horizontal="center" vertical="center"/>
    </xf>
    <xf numFmtId="0" fontId="4" fillId="0" borderId="0" xfId="0" applyFont="1" applyBorder="1" applyAlignment="1">
      <alignment horizontal="center" vertical="top" wrapText="1"/>
    </xf>
    <xf numFmtId="171" fontId="3" fillId="0" borderId="0" xfId="0" applyNumberFormat="1" applyFont="1" applyBorder="1" applyAlignment="1">
      <alignment horizontal="center"/>
    </xf>
    <xf numFmtId="178" fontId="0" fillId="0" borderId="27" xfId="982" applyNumberFormat="1" applyFont="1" applyBorder="1"/>
    <xf numFmtId="178" fontId="0" fillId="0" borderId="28" xfId="982" applyNumberFormat="1" applyFont="1" applyBorder="1"/>
    <xf numFmtId="0" fontId="151" fillId="0" borderId="2" xfId="0" applyFont="1" applyBorder="1"/>
    <xf numFmtId="0" fontId="172" fillId="0" borderId="0" xfId="0" applyFont="1" applyBorder="1" applyAlignment="1">
      <alignment horizontal="right"/>
    </xf>
    <xf numFmtId="0" fontId="0" fillId="15" borderId="2" xfId="0" applyFill="1" applyBorder="1"/>
    <xf numFmtId="0" fontId="227" fillId="0" borderId="0" xfId="0" applyFont="1"/>
    <xf numFmtId="0" fontId="2" fillId="67" borderId="0" xfId="0" applyFont="1" applyFill="1" applyAlignment="1">
      <alignment horizontal="center" vertical="center"/>
    </xf>
    <xf numFmtId="171" fontId="3" fillId="0" borderId="183" xfId="0" applyNumberFormat="1" applyFont="1" applyBorder="1" applyAlignment="1">
      <alignment horizontal="center" vertical="center"/>
    </xf>
    <xf numFmtId="0" fontId="28" fillId="40" borderId="183" xfId="0" quotePrefix="1" applyFont="1" applyFill="1" applyBorder="1" applyAlignment="1">
      <alignment horizontal="center" vertical="center"/>
    </xf>
    <xf numFmtId="0" fontId="28" fillId="43" borderId="183" xfId="0" quotePrefix="1" applyFont="1" applyFill="1" applyBorder="1" applyAlignment="1">
      <alignment horizontal="center" vertical="center"/>
    </xf>
    <xf numFmtId="178" fontId="88" fillId="0" borderId="0" xfId="982" applyNumberFormat="1" applyFont="1"/>
    <xf numFmtId="0" fontId="88" fillId="0" borderId="0" xfId="0" applyFont="1" applyAlignment="1">
      <alignment horizontal="center" vertical="center"/>
    </xf>
    <xf numFmtId="178" fontId="0" fillId="23" borderId="0" xfId="982" applyNumberFormat="1" applyFont="1" applyFill="1"/>
    <xf numFmtId="0" fontId="34" fillId="0" borderId="0" xfId="0" applyFont="1" applyBorder="1" applyAlignment="1">
      <alignment horizontal="center"/>
    </xf>
    <xf numFmtId="0" fontId="5" fillId="0" borderId="0" xfId="0" applyFont="1" applyBorder="1" applyAlignment="1">
      <alignment horizontal="left" vertical="top" wrapText="1"/>
    </xf>
    <xf numFmtId="0" fontId="5" fillId="0" borderId="0" xfId="0" applyFont="1" applyBorder="1" applyAlignment="1"/>
    <xf numFmtId="0" fontId="5" fillId="0" borderId="187" xfId="0" applyFont="1" applyBorder="1" applyAlignment="1"/>
    <xf numFmtId="0" fontId="95" fillId="0" borderId="0" xfId="0" applyFont="1" applyBorder="1" applyAlignment="1"/>
    <xf numFmtId="0" fontId="166" fillId="0" borderId="0" xfId="0" applyFont="1" applyBorder="1" applyAlignment="1">
      <alignment horizontal="center" vertical="center"/>
    </xf>
    <xf numFmtId="0" fontId="36" fillId="0" borderId="0" xfId="0" applyFont="1" applyBorder="1" applyAlignment="1">
      <alignment horizontal="center" vertical="center"/>
    </xf>
    <xf numFmtId="0" fontId="229" fillId="0" borderId="0" xfId="0" applyFont="1" applyBorder="1"/>
    <xf numFmtId="0" fontId="229" fillId="0" borderId="0" xfId="0" applyFont="1" applyBorder="1" applyAlignment="1">
      <alignment horizontal="center"/>
    </xf>
    <xf numFmtId="0" fontId="229" fillId="0" borderId="0" xfId="0" applyFont="1" applyBorder="1" applyAlignment="1">
      <alignment vertical="center"/>
    </xf>
    <xf numFmtId="0" fontId="230" fillId="0" borderId="0" xfId="0" applyFont="1" applyBorder="1" applyAlignment="1">
      <alignment vertical="center"/>
    </xf>
    <xf numFmtId="0" fontId="230" fillId="0" borderId="0" xfId="0" applyFont="1" applyBorder="1" applyAlignment="1">
      <alignment horizontal="center" vertical="center"/>
    </xf>
    <xf numFmtId="0" fontId="198" fillId="0" borderId="0" xfId="0" applyFont="1" applyBorder="1"/>
    <xf numFmtId="0" fontId="233" fillId="0" borderId="0" xfId="0" applyFont="1" applyBorder="1" applyAlignment="1">
      <alignment horizontal="center"/>
    </xf>
    <xf numFmtId="14" fontId="198" fillId="0" borderId="0" xfId="0" applyNumberFormat="1" applyFont="1" applyBorder="1" applyAlignment="1">
      <alignment horizontal="left"/>
    </xf>
    <xf numFmtId="0" fontId="198" fillId="0" borderId="0" xfId="0" applyFont="1" applyBorder="1" applyAlignment="1">
      <alignment horizontal="center"/>
    </xf>
    <xf numFmtId="0" fontId="198" fillId="0" borderId="0" xfId="0" applyFont="1" applyBorder="1" applyAlignment="1">
      <alignment horizontal="left"/>
    </xf>
    <xf numFmtId="0" fontId="198" fillId="0" borderId="0" xfId="0" applyFont="1" applyBorder="1" applyAlignment="1">
      <alignment horizontal="right"/>
    </xf>
    <xf numFmtId="0" fontId="198" fillId="0" borderId="0" xfId="0" applyFont="1" applyBorder="1" applyAlignment="1"/>
    <xf numFmtId="0" fontId="234" fillId="0" borderId="0" xfId="0" applyFont="1" applyBorder="1"/>
    <xf numFmtId="0" fontId="198" fillId="0" borderId="0" xfId="0" applyFont="1" applyBorder="1" applyAlignment="1">
      <alignment vertical="center"/>
    </xf>
    <xf numFmtId="14" fontId="198" fillId="0" borderId="0" xfId="0" applyNumberFormat="1" applyFont="1" applyBorder="1" applyAlignment="1">
      <alignment horizontal="center"/>
    </xf>
    <xf numFmtId="0" fontId="233" fillId="0" borderId="0" xfId="0" applyFont="1" applyBorder="1"/>
    <xf numFmtId="0" fontId="234" fillId="0" borderId="0" xfId="0" applyFont="1" applyBorder="1" applyAlignment="1">
      <alignment horizontal="center" vertical="center"/>
    </xf>
    <xf numFmtId="0" fontId="234" fillId="0" borderId="0" xfId="0" applyFont="1" applyFill="1" applyBorder="1" applyAlignment="1">
      <alignment horizontal="center"/>
    </xf>
    <xf numFmtId="0" fontId="235" fillId="0" borderId="0" xfId="0" applyFont="1" applyFill="1" applyBorder="1" applyAlignment="1">
      <alignment horizontal="left" indent="7"/>
    </xf>
    <xf numFmtId="0" fontId="234" fillId="0" borderId="0" xfId="0" applyFont="1" applyFill="1" applyBorder="1" applyAlignment="1">
      <alignment horizontal="center" vertical="center"/>
    </xf>
    <xf numFmtId="0" fontId="131" fillId="0" borderId="0" xfId="0" applyFont="1" applyFill="1" applyBorder="1" applyAlignment="1">
      <alignment wrapText="1"/>
    </xf>
    <xf numFmtId="0" fontId="234" fillId="0" borderId="0" xfId="0" applyFont="1" applyFill="1" applyBorder="1" applyAlignment="1">
      <alignment horizontal="center" wrapText="1"/>
    </xf>
    <xf numFmtId="0" fontId="236" fillId="24" borderId="0" xfId="0" applyFont="1" applyFill="1" applyBorder="1"/>
    <xf numFmtId="0" fontId="237" fillId="0" borderId="0" xfId="0" applyFont="1" applyBorder="1" applyAlignment="1">
      <alignment horizontal="center" vertical="center"/>
    </xf>
    <xf numFmtId="0" fontId="238" fillId="0" borderId="0" xfId="0" applyFont="1" applyBorder="1" applyAlignment="1">
      <alignment horizontal="left" vertical="center"/>
    </xf>
    <xf numFmtId="0" fontId="239" fillId="0" borderId="0" xfId="0" applyFont="1" applyBorder="1"/>
    <xf numFmtId="0" fontId="238" fillId="0" borderId="0" xfId="0" applyFont="1" applyBorder="1" applyAlignment="1">
      <alignment horizontal="center" vertical="center"/>
    </xf>
    <xf numFmtId="171" fontId="239" fillId="0" borderId="0" xfId="0" applyNumberFormat="1" applyFont="1" applyBorder="1" applyAlignment="1">
      <alignment horizontal="center"/>
    </xf>
    <xf numFmtId="0" fontId="240" fillId="0" borderId="0" xfId="0" applyFont="1" applyBorder="1" applyAlignment="1">
      <alignment vertical="center"/>
    </xf>
    <xf numFmtId="171" fontId="232" fillId="0" borderId="0" xfId="0" applyNumberFormat="1" applyFont="1" applyBorder="1" applyAlignment="1">
      <alignment horizontal="center"/>
    </xf>
    <xf numFmtId="171" fontId="198" fillId="0" borderId="0" xfId="0" applyNumberFormat="1" applyFont="1" applyFill="1" applyBorder="1" applyAlignment="1">
      <alignment horizontal="center"/>
    </xf>
    <xf numFmtId="171" fontId="198" fillId="0" borderId="0" xfId="0" applyNumberFormat="1" applyFont="1" applyBorder="1" applyAlignment="1">
      <alignment horizontal="center"/>
    </xf>
    <xf numFmtId="0" fontId="241" fillId="0" borderId="0" xfId="0" applyFont="1" applyBorder="1" applyAlignment="1">
      <alignment horizontal="left"/>
    </xf>
    <xf numFmtId="171" fontId="229" fillId="0" borderId="0" xfId="0" applyNumberFormat="1" applyFont="1" applyBorder="1" applyAlignment="1">
      <alignment horizontal="center"/>
    </xf>
    <xf numFmtId="0" fontId="236" fillId="0" borderId="0" xfId="0" applyFont="1" applyFill="1" applyBorder="1"/>
    <xf numFmtId="0" fontId="248" fillId="0" borderId="0" xfId="0" applyFont="1" applyBorder="1" applyAlignment="1">
      <alignment horizontal="left" vertical="center"/>
    </xf>
    <xf numFmtId="0" fontId="236" fillId="24" borderId="0" xfId="0" applyFont="1" applyFill="1" applyBorder="1" applyAlignment="1">
      <alignment horizontal="left" vertical="center"/>
    </xf>
    <xf numFmtId="171" fontId="232" fillId="0" borderId="0" xfId="0" applyNumberFormat="1" applyFont="1" applyBorder="1" applyAlignment="1">
      <alignment horizontal="left" vertical="center"/>
    </xf>
    <xf numFmtId="171" fontId="198" fillId="0" borderId="0" xfId="0" applyNumberFormat="1" applyFont="1" applyFill="1" applyBorder="1" applyAlignment="1">
      <alignment horizontal="left" vertical="center"/>
    </xf>
    <xf numFmtId="0" fontId="229" fillId="0" borderId="0" xfId="0" applyFont="1" applyBorder="1" applyAlignment="1">
      <alignment horizontal="left" vertical="center"/>
    </xf>
    <xf numFmtId="171" fontId="249" fillId="0" borderId="0" xfId="0" applyNumberFormat="1" applyFont="1" applyBorder="1" applyAlignment="1">
      <alignment horizontal="center"/>
    </xf>
    <xf numFmtId="0" fontId="250" fillId="0" borderId="0" xfId="0" applyFont="1" applyBorder="1" applyAlignment="1">
      <alignment horizontal="left"/>
    </xf>
    <xf numFmtId="0" fontId="246" fillId="0" borderId="0" xfId="0" applyFont="1" applyBorder="1"/>
    <xf numFmtId="171" fontId="251" fillId="0" borderId="0" xfId="0" applyNumberFormat="1" applyFont="1" applyBorder="1" applyAlignment="1">
      <alignment horizontal="center"/>
    </xf>
    <xf numFmtId="0" fontId="252" fillId="0" borderId="0" xfId="0" applyFont="1" applyBorder="1"/>
    <xf numFmtId="0" fontId="233" fillId="0" borderId="0" xfId="0" applyFont="1" applyBorder="1" applyAlignment="1"/>
    <xf numFmtId="0" fontId="198" fillId="0" borderId="187" xfId="0" applyFont="1" applyBorder="1" applyAlignment="1"/>
    <xf numFmtId="0" fontId="234" fillId="0" borderId="0" xfId="0" applyFont="1" applyBorder="1" applyAlignment="1"/>
    <xf numFmtId="0" fontId="198" fillId="0" borderId="188" xfId="0" applyFont="1" applyBorder="1" applyAlignment="1"/>
    <xf numFmtId="0" fontId="252" fillId="0" borderId="0" xfId="0" applyFont="1" applyBorder="1" applyAlignment="1">
      <alignment horizontal="center" vertical="center"/>
    </xf>
    <xf numFmtId="172" fontId="198" fillId="0" borderId="0" xfId="0" applyNumberFormat="1" applyFont="1" applyBorder="1" applyAlignment="1">
      <alignment horizontal="left" vertical="center"/>
    </xf>
    <xf numFmtId="172" fontId="198" fillId="0" borderId="0" xfId="0" applyNumberFormat="1" applyFont="1" applyBorder="1" applyAlignment="1">
      <alignment horizontal="left" vertical="center" wrapText="1"/>
    </xf>
    <xf numFmtId="0" fontId="198" fillId="0" borderId="0" xfId="0" applyFont="1" applyBorder="1" applyAlignment="1">
      <alignment horizontal="left" vertical="center" wrapText="1"/>
    </xf>
    <xf numFmtId="172" fontId="198" fillId="0" borderId="0" xfId="0" applyNumberFormat="1" applyFont="1" applyBorder="1" applyAlignment="1">
      <alignment vertical="center" wrapText="1"/>
    </xf>
    <xf numFmtId="172" fontId="198" fillId="0" borderId="0" xfId="0" applyNumberFormat="1" applyFont="1" applyBorder="1" applyAlignment="1">
      <alignment horizontal="center" vertical="center"/>
    </xf>
    <xf numFmtId="0" fontId="229" fillId="0" borderId="0" xfId="0" applyFont="1" applyBorder="1" applyAlignment="1">
      <alignment wrapText="1"/>
    </xf>
    <xf numFmtId="0" fontId="198" fillId="0" borderId="0" xfId="0" applyFont="1" applyBorder="1" applyAlignment="1">
      <alignment horizontal="left" vertical="top" wrapText="1"/>
    </xf>
    <xf numFmtId="0" fontId="232" fillId="0" borderId="0" xfId="0" applyFont="1" applyBorder="1"/>
    <xf numFmtId="0" fontId="232" fillId="0" borderId="0" xfId="0" applyFont="1" applyBorder="1" applyAlignment="1">
      <alignment horizontal="center"/>
    </xf>
    <xf numFmtId="0" fontId="238" fillId="0" borderId="0" xfId="0" applyFont="1" applyBorder="1" applyAlignment="1">
      <alignment horizontal="right"/>
    </xf>
    <xf numFmtId="171" fontId="249" fillId="0" borderId="0" xfId="0" applyNumberFormat="1" applyFont="1" applyFill="1" applyBorder="1" applyAlignment="1">
      <alignment horizontal="center"/>
    </xf>
    <xf numFmtId="171" fontId="238" fillId="0" borderId="0" xfId="0" applyNumberFormat="1" applyFont="1" applyBorder="1" applyAlignment="1">
      <alignment horizontal="center"/>
    </xf>
    <xf numFmtId="0" fontId="252" fillId="0" borderId="0" xfId="0" applyFont="1" applyBorder="1" applyAlignment="1">
      <alignment horizontal="left" vertical="top"/>
    </xf>
    <xf numFmtId="0" fontId="252" fillId="0" borderId="0" xfId="0" applyFont="1" applyBorder="1" applyAlignment="1">
      <alignment horizontal="left" vertical="top" wrapText="1"/>
    </xf>
    <xf numFmtId="0" fontId="233" fillId="0" borderId="0" xfId="0" applyFont="1" applyBorder="1" applyAlignment="1">
      <alignment horizontal="left" vertical="center" wrapText="1"/>
    </xf>
    <xf numFmtId="0" fontId="198" fillId="0" borderId="0" xfId="0" applyFont="1" applyBorder="1" applyAlignment="1">
      <alignment horizontal="left" wrapText="1"/>
    </xf>
    <xf numFmtId="0" fontId="198" fillId="0" borderId="0" xfId="0" applyFont="1" applyBorder="1" applyAlignment="1">
      <alignment wrapText="1"/>
    </xf>
    <xf numFmtId="0" fontId="234" fillId="0" borderId="0" xfId="0" applyFont="1" applyFill="1" applyBorder="1" applyAlignment="1">
      <alignment wrapText="1"/>
    </xf>
    <xf numFmtId="171" fontId="246" fillId="0" borderId="0" xfId="0" applyNumberFormat="1" applyFont="1" applyBorder="1" applyAlignment="1">
      <alignment horizontal="center"/>
    </xf>
    <xf numFmtId="0" fontId="236" fillId="24" borderId="0" xfId="0" applyFont="1" applyFill="1" applyBorder="1" applyAlignment="1">
      <alignment vertical="center"/>
    </xf>
    <xf numFmtId="171" fontId="232" fillId="0" borderId="0" xfId="0" applyNumberFormat="1" applyFont="1" applyBorder="1" applyAlignment="1">
      <alignment horizontal="center" vertical="center"/>
    </xf>
    <xf numFmtId="171" fontId="198" fillId="0" borderId="0" xfId="0" applyNumberFormat="1" applyFont="1" applyFill="1" applyBorder="1" applyAlignment="1">
      <alignment horizontal="center" vertical="center"/>
    </xf>
    <xf numFmtId="0" fontId="229" fillId="0" borderId="0" xfId="0" applyFont="1" applyBorder="1" applyAlignment="1">
      <alignment horizontal="left"/>
    </xf>
    <xf numFmtId="171" fontId="233" fillId="0" borderId="0" xfId="0" applyNumberFormat="1" applyFont="1" applyBorder="1" applyAlignment="1">
      <alignment horizontal="center"/>
    </xf>
    <xf numFmtId="0" fontId="235" fillId="0" borderId="0" xfId="0" applyFont="1" applyBorder="1" applyAlignment="1">
      <alignment vertical="center"/>
    </xf>
    <xf numFmtId="171" fontId="235" fillId="0" borderId="0" xfId="0" applyNumberFormat="1" applyFont="1" applyBorder="1" applyAlignment="1">
      <alignment horizontal="center" vertical="center"/>
    </xf>
    <xf numFmtId="9" fontId="233" fillId="0" borderId="0" xfId="0" applyNumberFormat="1" applyFont="1" applyBorder="1" applyAlignment="1">
      <alignment horizontal="center"/>
    </xf>
    <xf numFmtId="0" fontId="233" fillId="0" borderId="0" xfId="0" applyFont="1" applyBorder="1" applyAlignment="1">
      <alignment horizontal="right"/>
    </xf>
    <xf numFmtId="171" fontId="95" fillId="20" borderId="209" xfId="0" applyNumberFormat="1" applyFont="1" applyFill="1" applyBorder="1" applyAlignment="1">
      <alignment horizontal="right" vertical="center" wrapText="1"/>
    </xf>
    <xf numFmtId="171" fontId="5" fillId="20" borderId="209" xfId="0" applyNumberFormat="1" applyFont="1" applyFill="1" applyBorder="1" applyAlignment="1">
      <alignment horizontal="center" vertical="center" wrapText="1"/>
    </xf>
    <xf numFmtId="171" fontId="185" fillId="0" borderId="0" xfId="0" applyNumberFormat="1" applyFont="1" applyFill="1" applyBorder="1" applyAlignment="1">
      <alignment horizontal="center" vertical="center" wrapText="1"/>
    </xf>
    <xf numFmtId="171" fontId="185" fillId="23" borderId="0" xfId="0" applyNumberFormat="1" applyFont="1" applyFill="1" applyBorder="1" applyAlignment="1">
      <alignment horizontal="center" vertical="center" wrapText="1"/>
    </xf>
    <xf numFmtId="171" fontId="5" fillId="38" borderId="0" xfId="0" applyNumberFormat="1" applyFont="1" applyFill="1" applyBorder="1" applyAlignment="1">
      <alignment horizontal="center" vertical="center" wrapText="1"/>
    </xf>
    <xf numFmtId="0" fontId="71" fillId="24" borderId="0" xfId="0" applyFont="1" applyFill="1" applyBorder="1" applyAlignment="1">
      <alignment vertical="center" wrapText="1"/>
    </xf>
    <xf numFmtId="0" fontId="3" fillId="0" borderId="0" xfId="0" applyFont="1" applyBorder="1" applyAlignment="1">
      <alignment vertical="center" wrapText="1"/>
    </xf>
    <xf numFmtId="0" fontId="68" fillId="20" borderId="209" xfId="0" applyFont="1" applyFill="1" applyBorder="1" applyAlignment="1">
      <alignment horizontal="center" vertical="center" wrapText="1"/>
    </xf>
    <xf numFmtId="0" fontId="34" fillId="20" borderId="209" xfId="0" applyFont="1" applyFill="1" applyBorder="1" applyAlignment="1">
      <alignment vertical="center" wrapText="1"/>
    </xf>
    <xf numFmtId="171" fontId="34" fillId="0" borderId="0" xfId="0" applyNumberFormat="1" applyFont="1" applyFill="1" applyBorder="1" applyAlignment="1">
      <alignment horizontal="center" vertical="center" wrapText="1"/>
    </xf>
    <xf numFmtId="171" fontId="5" fillId="0" borderId="0" xfId="0" applyNumberFormat="1" applyFont="1" applyFill="1" applyBorder="1" applyAlignment="1">
      <alignment horizontal="center" vertical="center" wrapText="1"/>
    </xf>
    <xf numFmtId="0" fontId="14" fillId="0" borderId="0" xfId="0" applyFont="1" applyBorder="1" applyAlignment="1">
      <alignment vertical="center" wrapText="1"/>
    </xf>
    <xf numFmtId="171" fontId="6" fillId="0" borderId="0" xfId="0" applyNumberFormat="1" applyFont="1" applyBorder="1" applyAlignment="1">
      <alignment horizontal="center" vertical="center" wrapText="1"/>
    </xf>
    <xf numFmtId="0" fontId="5" fillId="20" borderId="0" xfId="0" applyFont="1" applyFill="1" applyBorder="1" applyAlignment="1">
      <alignment vertical="center" wrapText="1"/>
    </xf>
    <xf numFmtId="0" fontId="3" fillId="43" borderId="0" xfId="0" applyFont="1" applyFill="1" applyBorder="1" applyAlignment="1">
      <alignment vertical="center" wrapText="1"/>
    </xf>
    <xf numFmtId="171" fontId="95" fillId="0" borderId="0" xfId="0" applyNumberFormat="1" applyFont="1" applyBorder="1" applyAlignment="1">
      <alignment horizontal="center"/>
    </xf>
    <xf numFmtId="0" fontId="198" fillId="20" borderId="246" xfId="0" applyFont="1" applyFill="1" applyBorder="1" applyAlignment="1">
      <alignment horizontal="center"/>
    </xf>
    <xf numFmtId="0" fontId="198" fillId="20" borderId="246" xfId="0" applyFont="1" applyFill="1" applyBorder="1"/>
    <xf numFmtId="0" fontId="251" fillId="20" borderId="246" xfId="0" applyFont="1" applyFill="1" applyBorder="1" applyAlignment="1">
      <alignment horizontal="left" vertical="center" wrapText="1"/>
    </xf>
    <xf numFmtId="171" fontId="198" fillId="20" borderId="246" xfId="0" applyNumberFormat="1" applyFont="1" applyFill="1" applyBorder="1" applyAlignment="1">
      <alignment horizontal="center"/>
    </xf>
    <xf numFmtId="0" fontId="229" fillId="20" borderId="246" xfId="0" applyFont="1" applyFill="1" applyBorder="1"/>
    <xf numFmtId="171" fontId="5" fillId="20" borderId="246" xfId="0" applyNumberFormat="1" applyFont="1" applyFill="1" applyBorder="1" applyAlignment="1">
      <alignment horizontal="center"/>
    </xf>
    <xf numFmtId="0" fontId="247" fillId="20" borderId="246" xfId="0" applyFont="1" applyFill="1" applyBorder="1" applyAlignment="1">
      <alignment horizontal="left"/>
    </xf>
    <xf numFmtId="0" fontId="229" fillId="20" borderId="246" xfId="0" applyFont="1" applyFill="1" applyBorder="1" applyAlignment="1">
      <alignment horizontal="right"/>
    </xf>
    <xf numFmtId="0" fontId="229" fillId="20" borderId="246" xfId="0" applyFont="1" applyFill="1" applyBorder="1" applyAlignment="1"/>
    <xf numFmtId="0" fontId="241" fillId="0" borderId="247" xfId="0" applyFont="1" applyBorder="1" applyAlignment="1">
      <alignment horizontal="left"/>
    </xf>
    <xf numFmtId="0" fontId="198" fillId="0" borderId="247" xfId="0" applyFont="1" applyBorder="1"/>
    <xf numFmtId="0" fontId="229" fillId="0" borderId="247" xfId="0" applyFont="1" applyBorder="1"/>
    <xf numFmtId="171" fontId="198" fillId="0" borderId="247" xfId="0" applyNumberFormat="1" applyFont="1" applyBorder="1" applyAlignment="1">
      <alignment horizontal="center"/>
    </xf>
    <xf numFmtId="0" fontId="242" fillId="0" borderId="247" xfId="0" applyNumberFormat="1" applyFont="1" applyBorder="1" applyAlignment="1">
      <alignment horizontal="left"/>
    </xf>
    <xf numFmtId="9" fontId="243" fillId="0" borderId="247" xfId="983" applyFont="1" applyBorder="1" applyAlignment="1">
      <alignment horizontal="right"/>
    </xf>
    <xf numFmtId="0" fontId="244" fillId="0" borderId="247" xfId="0" applyFont="1" applyBorder="1" applyAlignment="1">
      <alignment horizontal="right"/>
    </xf>
    <xf numFmtId="0" fontId="243" fillId="0" borderId="247" xfId="0" applyFont="1" applyBorder="1" applyAlignment="1">
      <alignment horizontal="right" indent="14"/>
    </xf>
    <xf numFmtId="0" fontId="229" fillId="0" borderId="247" xfId="0" applyFont="1" applyBorder="1" applyAlignment="1">
      <alignment horizontal="right"/>
    </xf>
    <xf numFmtId="0" fontId="243" fillId="0" borderId="247" xfId="0" applyFont="1" applyBorder="1" applyAlignment="1">
      <alignment horizontal="right"/>
    </xf>
    <xf numFmtId="0" fontId="243" fillId="0" borderId="247" xfId="0" applyFont="1" applyBorder="1" applyAlignment="1">
      <alignment horizontal="left"/>
    </xf>
    <xf numFmtId="0" fontId="229" fillId="0" borderId="247" xfId="0" applyFont="1" applyBorder="1" applyAlignment="1">
      <alignment horizontal="left" indent="3"/>
    </xf>
    <xf numFmtId="0" fontId="229" fillId="0" borderId="247" xfId="0" applyFont="1" applyBorder="1" applyAlignment="1">
      <alignment horizontal="center"/>
    </xf>
    <xf numFmtId="0" fontId="245" fillId="0" borderId="247" xfId="0" applyFont="1" applyBorder="1" applyAlignment="1">
      <alignment horizontal="right"/>
    </xf>
    <xf numFmtId="171" fontId="229" fillId="0" borderId="247" xfId="0" applyNumberFormat="1" applyFont="1" applyBorder="1" applyAlignment="1">
      <alignment horizontal="center"/>
    </xf>
    <xf numFmtId="0" fontId="243" fillId="0" borderId="247" xfId="0" applyFont="1" applyBorder="1"/>
    <xf numFmtId="0" fontId="246" fillId="0" borderId="247" xfId="0" applyFont="1" applyBorder="1" applyAlignment="1">
      <alignment horizontal="left" indent="3"/>
    </xf>
    <xf numFmtId="0" fontId="247" fillId="0" borderId="247" xfId="0" applyNumberFormat="1" applyFont="1" applyBorder="1" applyAlignment="1">
      <alignment horizontal="left"/>
    </xf>
    <xf numFmtId="0" fontId="248" fillId="0" borderId="247" xfId="0" applyFont="1" applyBorder="1" applyAlignment="1">
      <alignment horizontal="left" vertical="center"/>
    </xf>
    <xf numFmtId="0" fontId="239" fillId="0" borderId="247" xfId="0" applyFont="1" applyBorder="1"/>
    <xf numFmtId="0" fontId="238" fillId="0" borderId="247" xfId="0" applyFont="1" applyBorder="1" applyAlignment="1">
      <alignment horizontal="center" vertical="center"/>
    </xf>
    <xf numFmtId="0" fontId="240" fillId="0" borderId="247" xfId="0" applyFont="1" applyBorder="1" applyAlignment="1">
      <alignment vertical="center"/>
    </xf>
    <xf numFmtId="0" fontId="241" fillId="0" borderId="247" xfId="0" applyFont="1" applyBorder="1" applyAlignment="1">
      <alignment horizontal="left" vertical="center" wrapText="1"/>
    </xf>
    <xf numFmtId="0" fontId="198" fillId="0" borderId="247" xfId="0" applyFont="1" applyBorder="1" applyAlignment="1">
      <alignment horizontal="left" vertical="center"/>
    </xf>
    <xf numFmtId="0" fontId="229" fillId="0" borderId="247" xfId="0" applyFont="1" applyBorder="1" applyAlignment="1">
      <alignment horizontal="left" vertical="center"/>
    </xf>
    <xf numFmtId="171" fontId="198" fillId="0" borderId="247" xfId="0" applyNumberFormat="1" applyFont="1" applyBorder="1" applyAlignment="1">
      <alignment horizontal="center" vertical="center"/>
    </xf>
    <xf numFmtId="0" fontId="242" fillId="0" borderId="247" xfId="0" applyNumberFormat="1" applyFont="1" applyBorder="1" applyAlignment="1">
      <alignment horizontal="center" vertical="center"/>
    </xf>
    <xf numFmtId="171" fontId="198" fillId="0" borderId="247" xfId="0" applyNumberFormat="1" applyFont="1" applyBorder="1" applyAlignment="1">
      <alignment horizontal="left"/>
    </xf>
    <xf numFmtId="0" fontId="246" fillId="0" borderId="247" xfId="0" applyFont="1" applyBorder="1"/>
    <xf numFmtId="0" fontId="241" fillId="0" borderId="249" xfId="0" applyFont="1" applyBorder="1" applyAlignment="1">
      <alignment horizontal="left"/>
    </xf>
    <xf numFmtId="0" fontId="198" fillId="0" borderId="249" xfId="0" applyFont="1" applyBorder="1"/>
    <xf numFmtId="0" fontId="229" fillId="0" borderId="249" xfId="0" applyFont="1" applyBorder="1"/>
    <xf numFmtId="171" fontId="198" fillId="0" borderId="249" xfId="0" applyNumberFormat="1" applyFont="1" applyBorder="1" applyAlignment="1">
      <alignment horizontal="center"/>
    </xf>
    <xf numFmtId="0" fontId="250" fillId="0" borderId="248" xfId="0" applyFont="1" applyBorder="1" applyAlignment="1">
      <alignment horizontal="left"/>
    </xf>
    <xf numFmtId="0" fontId="239" fillId="0" borderId="248" xfId="0" applyFont="1" applyBorder="1"/>
    <xf numFmtId="0" fontId="246" fillId="0" borderId="248" xfId="0" applyFont="1" applyBorder="1"/>
    <xf numFmtId="171" fontId="251" fillId="0" borderId="248" xfId="0" applyNumberFormat="1" applyFont="1" applyBorder="1" applyAlignment="1">
      <alignment horizontal="center"/>
    </xf>
    <xf numFmtId="0" fontId="3" fillId="0" borderId="16" xfId="0" applyFont="1" applyFill="1" applyBorder="1" applyAlignment="1">
      <alignment vertical="center" wrapText="1"/>
    </xf>
    <xf numFmtId="0" fontId="241" fillId="0" borderId="250" xfId="0" applyFont="1" applyBorder="1" applyAlignment="1">
      <alignment horizontal="left"/>
    </xf>
    <xf numFmtId="0" fontId="198" fillId="0" borderId="250" xfId="0" applyFont="1" applyBorder="1"/>
    <xf numFmtId="0" fontId="229" fillId="0" borderId="250" xfId="0" applyFont="1" applyBorder="1"/>
    <xf numFmtId="171" fontId="198" fillId="0" borderId="250" xfId="0" applyNumberFormat="1" applyFont="1" applyBorder="1" applyAlignment="1">
      <alignment horizontal="center"/>
    </xf>
    <xf numFmtId="0" fontId="241" fillId="0" borderId="250" xfId="0" applyFont="1" applyBorder="1" applyAlignment="1">
      <alignment horizontal="left" vertical="center" wrapText="1"/>
    </xf>
    <xf numFmtId="0" fontId="229" fillId="0" borderId="250" xfId="0" applyFont="1" applyBorder="1" applyAlignment="1">
      <alignment vertical="center"/>
    </xf>
    <xf numFmtId="171" fontId="198" fillId="0" borderId="250" xfId="0" applyNumberFormat="1" applyFont="1" applyBorder="1" applyAlignment="1">
      <alignment horizontal="center" vertical="center"/>
    </xf>
    <xf numFmtId="0" fontId="242" fillId="0" borderId="250" xfId="0" applyNumberFormat="1" applyFont="1" applyBorder="1" applyAlignment="1">
      <alignment horizontal="left" vertical="center"/>
    </xf>
    <xf numFmtId="171" fontId="198" fillId="0" borderId="250" xfId="0" applyNumberFormat="1" applyFont="1" applyBorder="1" applyAlignment="1">
      <alignment horizontal="left"/>
    </xf>
    <xf numFmtId="0" fontId="242" fillId="0" borderId="250" xfId="0" applyNumberFormat="1" applyFont="1" applyBorder="1" applyAlignment="1">
      <alignment horizontal="left"/>
    </xf>
    <xf numFmtId="0" fontId="229" fillId="0" borderId="250" xfId="0" applyFont="1" applyBorder="1" applyAlignment="1">
      <alignment horizontal="right"/>
    </xf>
    <xf numFmtId="0" fontId="243" fillId="0" borderId="250" xfId="0" applyFont="1" applyBorder="1" applyAlignment="1">
      <alignment horizontal="right"/>
    </xf>
    <xf numFmtId="0" fontId="243" fillId="0" borderId="250" xfId="0" applyFont="1" applyBorder="1" applyAlignment="1">
      <alignment horizontal="right" indent="14"/>
    </xf>
    <xf numFmtId="0" fontId="243" fillId="0" borderId="250" xfId="0" applyFont="1" applyBorder="1"/>
    <xf numFmtId="9" fontId="243" fillId="0" borderId="250" xfId="983" applyFont="1" applyBorder="1" applyAlignment="1">
      <alignment horizontal="right"/>
    </xf>
    <xf numFmtId="0" fontId="229" fillId="0" borderId="250" xfId="0" applyFont="1" applyBorder="1" applyAlignment="1">
      <alignment horizontal="left" indent="3"/>
    </xf>
    <xf numFmtId="0" fontId="245" fillId="0" borderId="250" xfId="0" applyFont="1" applyBorder="1" applyAlignment="1">
      <alignment horizontal="right"/>
    </xf>
    <xf numFmtId="171" fontId="229" fillId="0" borderId="250" xfId="0" applyNumberFormat="1" applyFont="1" applyBorder="1" applyAlignment="1">
      <alignment horizontal="center"/>
    </xf>
    <xf numFmtId="0" fontId="250" fillId="0" borderId="250" xfId="0" applyFont="1" applyBorder="1" applyAlignment="1">
      <alignment horizontal="left"/>
    </xf>
    <xf numFmtId="0" fontId="246" fillId="0" borderId="250" xfId="0" applyFont="1" applyBorder="1" applyAlignment="1">
      <alignment horizontal="left" indent="3"/>
    </xf>
    <xf numFmtId="0" fontId="246" fillId="0" borderId="250" xfId="0" applyFont="1" applyBorder="1" applyAlignment="1">
      <alignment horizontal="right"/>
    </xf>
    <xf numFmtId="0" fontId="246" fillId="0" borderId="250" xfId="0" applyFont="1" applyBorder="1"/>
    <xf numFmtId="171" fontId="246" fillId="0" borderId="250" xfId="0" applyNumberFormat="1" applyFont="1" applyBorder="1" applyAlignment="1">
      <alignment horizontal="center"/>
    </xf>
    <xf numFmtId="0" fontId="166" fillId="0" borderId="45" xfId="0" applyFont="1" applyFill="1" applyBorder="1" applyAlignment="1">
      <alignment horizontal="center" vertical="center" wrapText="1"/>
    </xf>
    <xf numFmtId="9" fontId="41" fillId="0" borderId="0" xfId="983" applyFont="1" applyFill="1" applyBorder="1" applyAlignment="1">
      <alignment vertical="center" wrapText="1"/>
    </xf>
    <xf numFmtId="178" fontId="14" fillId="0" borderId="0" xfId="982" applyNumberFormat="1" applyFont="1" applyFill="1" applyBorder="1" applyAlignment="1">
      <alignment horizontal="left"/>
    </xf>
    <xf numFmtId="0" fontId="181" fillId="34" borderId="0" xfId="0" applyFont="1" applyFill="1" applyBorder="1" applyAlignment="1">
      <alignment horizontal="center" vertical="center"/>
    </xf>
    <xf numFmtId="0" fontId="38" fillId="34" borderId="0" xfId="0" applyFont="1" applyFill="1" applyBorder="1"/>
    <xf numFmtId="0" fontId="75" fillId="47" borderId="0" xfId="0" applyFont="1" applyFill="1" applyBorder="1" applyAlignment="1">
      <alignment horizontal="center"/>
    </xf>
    <xf numFmtId="0" fontId="38" fillId="47" borderId="0" xfId="0" applyFont="1" applyFill="1" applyBorder="1" applyAlignment="1">
      <alignment horizontal="center"/>
    </xf>
    <xf numFmtId="0" fontId="38" fillId="47" borderId="0" xfId="0" applyFont="1" applyFill="1" applyBorder="1" applyAlignment="1">
      <alignment horizontal="left" vertical="center"/>
    </xf>
    <xf numFmtId="171" fontId="38" fillId="34" borderId="33" xfId="0" applyNumberFormat="1" applyFont="1" applyFill="1" applyBorder="1" applyAlignment="1">
      <alignment horizontal="center" vertical="center" wrapText="1"/>
    </xf>
    <xf numFmtId="171" fontId="38" fillId="34" borderId="37" xfId="0" applyNumberFormat="1" applyFont="1" applyFill="1" applyBorder="1" applyAlignment="1">
      <alignment horizontal="center" vertical="center" wrapText="1"/>
    </xf>
    <xf numFmtId="171" fontId="38" fillId="34" borderId="0" xfId="0" applyNumberFormat="1" applyFont="1" applyFill="1" applyBorder="1" applyAlignment="1">
      <alignment horizontal="center" vertical="center" wrapText="1"/>
    </xf>
    <xf numFmtId="171" fontId="38" fillId="34" borderId="199" xfId="0" applyNumberFormat="1" applyFont="1" applyFill="1" applyBorder="1" applyAlignment="1">
      <alignment horizontal="center" vertical="center" wrapText="1"/>
    </xf>
    <xf numFmtId="171" fontId="38" fillId="34" borderId="206" xfId="0" applyNumberFormat="1" applyFont="1" applyFill="1" applyBorder="1" applyAlignment="1">
      <alignment horizontal="center" vertical="center" wrapText="1"/>
    </xf>
    <xf numFmtId="171" fontId="38" fillId="34" borderId="205" xfId="0" applyNumberFormat="1" applyFont="1" applyFill="1" applyBorder="1" applyAlignment="1">
      <alignment horizontal="center" vertical="center" wrapText="1"/>
    </xf>
    <xf numFmtId="171" fontId="38" fillId="47" borderId="24" xfId="0" applyNumberFormat="1" applyFont="1" applyFill="1" applyBorder="1" applyAlignment="1">
      <alignment horizontal="center" vertical="center" wrapText="1"/>
    </xf>
    <xf numFmtId="171" fontId="45" fillId="47" borderId="24" xfId="0" applyNumberFormat="1" applyFont="1" applyFill="1" applyBorder="1" applyAlignment="1">
      <alignment horizontal="center" vertical="center" wrapText="1"/>
    </xf>
    <xf numFmtId="171" fontId="45" fillId="47" borderId="42" xfId="0" applyNumberFormat="1" applyFont="1" applyFill="1" applyBorder="1" applyAlignment="1">
      <alignment horizontal="center" vertical="center" wrapText="1"/>
    </xf>
    <xf numFmtId="171" fontId="45" fillId="47" borderId="52" xfId="0" applyNumberFormat="1" applyFont="1" applyFill="1" applyBorder="1" applyAlignment="1">
      <alignment horizontal="center" vertical="center" wrapText="1"/>
    </xf>
    <xf numFmtId="171" fontId="45" fillId="47" borderId="50" xfId="0" applyNumberFormat="1" applyFont="1" applyFill="1" applyBorder="1" applyAlignment="1">
      <alignment horizontal="center" vertical="center" wrapText="1"/>
    </xf>
    <xf numFmtId="0" fontId="45" fillId="47" borderId="55" xfId="0" applyFont="1" applyFill="1" applyBorder="1" applyAlignment="1">
      <alignment horizontal="center" vertical="center" wrapText="1"/>
    </xf>
    <xf numFmtId="182" fontId="45" fillId="47" borderId="56" xfId="983" applyNumberFormat="1" applyFont="1" applyFill="1" applyBorder="1" applyAlignment="1">
      <alignment horizontal="center" vertical="center" wrapText="1"/>
    </xf>
    <xf numFmtId="171" fontId="45" fillId="47" borderId="34" xfId="0" applyNumberFormat="1" applyFont="1" applyFill="1" applyBorder="1" applyAlignment="1">
      <alignment horizontal="center" vertical="center" wrapText="1"/>
    </xf>
    <xf numFmtId="0" fontId="53" fillId="47" borderId="46" xfId="0" applyFont="1" applyFill="1" applyBorder="1" applyAlignment="1">
      <alignment horizontal="center" vertical="center"/>
    </xf>
    <xf numFmtId="171" fontId="38" fillId="47" borderId="191" xfId="0" applyNumberFormat="1" applyFont="1" applyFill="1" applyBorder="1" applyAlignment="1">
      <alignment horizontal="center" vertical="center" wrapText="1"/>
    </xf>
    <xf numFmtId="171" fontId="38" fillId="47" borderId="190" xfId="0" applyNumberFormat="1" applyFont="1" applyFill="1" applyBorder="1" applyAlignment="1">
      <alignment horizontal="center"/>
    </xf>
    <xf numFmtId="171" fontId="28" fillId="47" borderId="194" xfId="0" applyNumberFormat="1" applyFont="1" applyFill="1" applyBorder="1" applyAlignment="1">
      <alignment horizontal="center" vertical="center" wrapText="1"/>
    </xf>
    <xf numFmtId="171" fontId="38" fillId="47" borderId="193" xfId="0" applyNumberFormat="1" applyFont="1" applyFill="1" applyBorder="1" applyAlignment="1">
      <alignment horizontal="center" vertical="center"/>
    </xf>
    <xf numFmtId="171" fontId="38" fillId="47" borderId="15" xfId="0" applyNumberFormat="1" applyFont="1" applyFill="1" applyBorder="1" applyAlignment="1">
      <alignment horizontal="center" vertical="center" wrapText="1"/>
    </xf>
    <xf numFmtId="0" fontId="45" fillId="47" borderId="183" xfId="0" quotePrefix="1" applyFont="1" applyFill="1" applyBorder="1" applyAlignment="1">
      <alignment horizontal="center" vertical="center"/>
    </xf>
    <xf numFmtId="171" fontId="38" fillId="47" borderId="119" xfId="0" applyNumberFormat="1" applyFont="1" applyFill="1" applyBorder="1" applyAlignment="1">
      <alignment horizontal="center" vertical="center" wrapText="1"/>
    </xf>
    <xf numFmtId="0" fontId="28" fillId="47" borderId="184" xfId="0" applyFont="1" applyFill="1" applyBorder="1" applyAlignment="1">
      <alignment horizontal="left" vertical="center" wrapText="1"/>
    </xf>
    <xf numFmtId="0" fontId="38" fillId="47" borderId="17" xfId="0" applyFont="1" applyFill="1" applyBorder="1" applyAlignment="1">
      <alignment horizontal="center" vertical="center"/>
    </xf>
    <xf numFmtId="171" fontId="38" fillId="47" borderId="17" xfId="0" applyNumberFormat="1" applyFont="1" applyFill="1" applyBorder="1" applyAlignment="1">
      <alignment horizontal="center"/>
    </xf>
    <xf numFmtId="171" fontId="38" fillId="47" borderId="31" xfId="0" applyNumberFormat="1" applyFont="1" applyFill="1" applyBorder="1" applyAlignment="1">
      <alignment horizontal="center" wrapText="1"/>
    </xf>
    <xf numFmtId="0" fontId="254" fillId="47" borderId="183" xfId="0" applyFont="1" applyFill="1" applyBorder="1" applyAlignment="1">
      <alignment horizontal="left" vertical="center" wrapText="1"/>
    </xf>
    <xf numFmtId="0" fontId="254" fillId="47" borderId="29" xfId="0" applyFont="1" applyFill="1" applyBorder="1" applyAlignment="1">
      <alignment vertical="center" wrapText="1"/>
    </xf>
    <xf numFmtId="0" fontId="254" fillId="47" borderId="0" xfId="0" applyFont="1" applyFill="1" applyBorder="1" applyAlignment="1">
      <alignment vertical="center" wrapText="1"/>
    </xf>
    <xf numFmtId="0" fontId="54" fillId="0" borderId="0" xfId="0" applyFont="1" applyFill="1" applyBorder="1" applyAlignment="1">
      <alignment horizontal="left" vertical="center"/>
    </xf>
    <xf numFmtId="0" fontId="257" fillId="0" borderId="0" xfId="0" applyFont="1" applyFill="1" applyBorder="1" applyAlignment="1">
      <alignment horizontal="center" vertical="center" wrapText="1"/>
    </xf>
    <xf numFmtId="0" fontId="254" fillId="47" borderId="190" xfId="0" applyFont="1" applyFill="1" applyBorder="1" applyAlignment="1">
      <alignment horizontal="left" vertical="center" wrapText="1"/>
    </xf>
    <xf numFmtId="0" fontId="254" fillId="47" borderId="196" xfId="0" applyFont="1" applyFill="1" applyBorder="1" applyAlignment="1">
      <alignment horizontal="left" vertical="center" wrapText="1"/>
    </xf>
    <xf numFmtId="0" fontId="38" fillId="0" borderId="0" xfId="0" applyFont="1" applyFill="1" applyBorder="1" applyAlignment="1">
      <alignment horizontal="center" vertical="center"/>
    </xf>
    <xf numFmtId="171" fontId="14" fillId="0" borderId="0" xfId="10" applyNumberFormat="1" applyFont="1" applyFill="1" applyBorder="1" applyAlignment="1">
      <alignment horizontal="center" vertical="center"/>
    </xf>
    <xf numFmtId="0" fontId="38" fillId="0" borderId="0" xfId="0" applyFont="1" applyFill="1" applyBorder="1" applyAlignment="1">
      <alignment horizontal="left" vertical="center"/>
    </xf>
    <xf numFmtId="0" fontId="38" fillId="0" borderId="0" xfId="983" applyNumberFormat="1" applyFont="1" applyFill="1" applyBorder="1" applyAlignment="1">
      <alignment horizontal="center" vertical="center" wrapText="1"/>
    </xf>
    <xf numFmtId="0" fontId="5" fillId="0" borderId="0" xfId="0" applyFont="1" applyFill="1" applyBorder="1" applyAlignment="1">
      <alignment vertical="center"/>
    </xf>
    <xf numFmtId="0" fontId="5" fillId="0" borderId="0" xfId="0" applyFont="1" applyFill="1" applyBorder="1" applyAlignment="1">
      <alignment vertical="center" wrapText="1"/>
    </xf>
    <xf numFmtId="0" fontId="5" fillId="0" borderId="0" xfId="0" applyNumberFormat="1" applyFont="1" applyFill="1" applyBorder="1" applyAlignment="1">
      <alignment vertical="center" wrapText="1"/>
    </xf>
    <xf numFmtId="0" fontId="120" fillId="0" borderId="0" xfId="0" applyFont="1" applyFill="1" applyBorder="1" applyAlignment="1">
      <alignment vertical="center"/>
    </xf>
    <xf numFmtId="0" fontId="75" fillId="0" borderId="0" xfId="983" applyNumberFormat="1" applyFont="1" applyFill="1" applyBorder="1" applyAlignment="1">
      <alignment horizontal="center" vertical="center" wrapText="1"/>
    </xf>
    <xf numFmtId="0" fontId="4" fillId="0" borderId="0" xfId="0" applyNumberFormat="1" applyFont="1" applyFill="1" applyBorder="1" applyAlignment="1">
      <alignment horizontal="center" vertical="center"/>
    </xf>
    <xf numFmtId="0" fontId="3" fillId="0" borderId="0" xfId="984" applyNumberFormat="1" applyFont="1" applyFill="1" applyBorder="1" applyAlignment="1">
      <alignment horizontal="center" vertical="center"/>
    </xf>
    <xf numFmtId="0" fontId="70" fillId="0" borderId="0" xfId="0" applyFont="1" applyFill="1" applyBorder="1" applyAlignment="1">
      <alignment vertical="center" wrapText="1"/>
    </xf>
    <xf numFmtId="0" fontId="45" fillId="0" borderId="0" xfId="0" applyFont="1" applyFill="1" applyBorder="1" applyAlignment="1">
      <alignment vertical="center" wrapText="1"/>
    </xf>
    <xf numFmtId="0" fontId="197" fillId="0" borderId="0" xfId="0" applyFont="1" applyFill="1" applyBorder="1" applyAlignment="1">
      <alignment vertical="center" wrapText="1"/>
    </xf>
    <xf numFmtId="0" fontId="53" fillId="0" borderId="0" xfId="0" applyFont="1" applyFill="1" applyBorder="1" applyAlignment="1">
      <alignment vertical="center" wrapText="1"/>
    </xf>
    <xf numFmtId="0" fontId="5" fillId="0" borderId="0" xfId="0" applyFont="1" applyFill="1" applyBorder="1" applyAlignment="1">
      <alignment horizontal="left" vertical="center" wrapText="1"/>
    </xf>
    <xf numFmtId="0" fontId="46" fillId="0" borderId="0" xfId="0" applyFont="1" applyFill="1" applyBorder="1" applyAlignment="1">
      <alignment vertical="center" wrapText="1"/>
    </xf>
    <xf numFmtId="0" fontId="191" fillId="0" borderId="251" xfId="0" applyFont="1" applyBorder="1" applyAlignment="1">
      <alignment horizontal="center" vertical="center"/>
    </xf>
    <xf numFmtId="0" fontId="5" fillId="0" borderId="0" xfId="0" applyFont="1" applyFill="1" applyBorder="1" applyAlignment="1">
      <alignment horizontal="left" vertical="center"/>
    </xf>
    <xf numFmtId="0" fontId="188" fillId="0" borderId="0" xfId="0" applyNumberFormat="1" applyFont="1" applyFill="1" applyBorder="1" applyAlignment="1">
      <alignment horizontal="center" vertical="center" wrapText="1"/>
    </xf>
    <xf numFmtId="0" fontId="5" fillId="0" borderId="0" xfId="0" applyFont="1" applyFill="1" applyBorder="1" applyAlignment="1">
      <alignment horizontal="left" vertical="top"/>
    </xf>
    <xf numFmtId="0" fontId="204" fillId="0" borderId="0" xfId="0" applyNumberFormat="1" applyFont="1" applyFill="1" applyBorder="1" applyAlignment="1">
      <alignment horizontal="left" vertical="center"/>
    </xf>
    <xf numFmtId="178" fontId="38" fillId="0" borderId="0" xfId="982" applyNumberFormat="1" applyFont="1" applyFill="1" applyBorder="1" applyAlignment="1">
      <alignment horizontal="center" vertical="center" wrapText="1"/>
    </xf>
    <xf numFmtId="0" fontId="3" fillId="0" borderId="0" xfId="0" applyFont="1" applyFill="1" applyBorder="1" applyAlignment="1">
      <alignment horizontal="left" vertical="center"/>
    </xf>
    <xf numFmtId="9" fontId="41" fillId="0" borderId="0" xfId="983" applyFont="1" applyFill="1" applyBorder="1" applyAlignment="1">
      <alignment vertical="center"/>
    </xf>
    <xf numFmtId="0" fontId="260" fillId="0" borderId="0" xfId="0" applyFont="1" applyBorder="1"/>
    <xf numFmtId="0" fontId="170" fillId="34" borderId="0" xfId="0" applyFont="1" applyFill="1" applyBorder="1" applyAlignment="1">
      <alignment horizontal="center" vertical="center"/>
    </xf>
    <xf numFmtId="0" fontId="228" fillId="0" borderId="0" xfId="0" applyFont="1" applyFill="1" applyBorder="1" applyAlignment="1">
      <alignment horizontal="center" vertical="center" wrapText="1"/>
    </xf>
    <xf numFmtId="9" fontId="41" fillId="0" borderId="0" xfId="0" applyNumberFormat="1" applyFont="1" applyFill="1" applyBorder="1" applyAlignment="1">
      <alignment vertical="center" wrapText="1"/>
    </xf>
    <xf numFmtId="9" fontId="41" fillId="0" borderId="0" xfId="0" applyNumberFormat="1" applyFont="1" applyFill="1" applyBorder="1" applyAlignment="1">
      <alignment vertical="center"/>
    </xf>
    <xf numFmtId="0" fontId="0" fillId="0" borderId="0" xfId="0" applyFill="1" applyBorder="1" applyAlignment="1">
      <alignment horizontal="right" vertical="center"/>
    </xf>
    <xf numFmtId="0" fontId="0" fillId="0" borderId="0" xfId="0" applyFill="1" applyBorder="1" applyAlignment="1">
      <alignment horizontal="left" vertical="center"/>
    </xf>
    <xf numFmtId="14" fontId="38" fillId="0" borderId="0" xfId="0" applyNumberFormat="1" applyFont="1" applyFill="1" applyBorder="1" applyAlignment="1">
      <alignment vertical="center"/>
    </xf>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6" fillId="0" borderId="0" xfId="0" applyFont="1" applyBorder="1" applyAlignment="1">
      <alignment horizontal="left" vertical="center" wrapText="1"/>
    </xf>
    <xf numFmtId="0" fontId="6" fillId="0" borderId="0" xfId="0" applyFont="1" applyBorder="1" applyAlignment="1">
      <alignment horizontal="left" vertical="center"/>
    </xf>
    <xf numFmtId="0" fontId="6" fillId="0" borderId="62" xfId="0" applyFont="1" applyBorder="1" applyAlignment="1">
      <alignment horizontal="left" vertical="center"/>
    </xf>
    <xf numFmtId="0" fontId="6" fillId="0" borderId="211" xfId="0" applyFont="1" applyBorder="1" applyAlignment="1">
      <alignment horizontal="left" vertical="center"/>
    </xf>
    <xf numFmtId="0" fontId="6" fillId="0" borderId="217" xfId="0" applyFont="1" applyBorder="1" applyAlignment="1">
      <alignment horizontal="left" vertical="center"/>
    </xf>
    <xf numFmtId="0" fontId="38" fillId="0" borderId="253" xfId="0" applyFont="1" applyFill="1" applyBorder="1" applyAlignment="1">
      <alignment horizontal="center" vertical="center"/>
    </xf>
    <xf numFmtId="0" fontId="38" fillId="0" borderId="253" xfId="0" applyFont="1" applyFill="1" applyBorder="1"/>
    <xf numFmtId="9" fontId="253" fillId="34" borderId="0" xfId="0" applyNumberFormat="1" applyFont="1" applyFill="1" applyBorder="1" applyAlignment="1">
      <alignment horizontal="center" vertical="center" wrapText="1"/>
    </xf>
    <xf numFmtId="0" fontId="120" fillId="0" borderId="0" xfId="0" applyFont="1" applyFill="1" applyBorder="1"/>
    <xf numFmtId="0" fontId="69" fillId="0" borderId="0" xfId="0" applyFont="1" applyFill="1" applyBorder="1"/>
    <xf numFmtId="0" fontId="69" fillId="0" borderId="0" xfId="0" applyFont="1" applyFill="1" applyBorder="1" applyAlignment="1">
      <alignment horizontal="left" vertical="center" wrapText="1"/>
    </xf>
    <xf numFmtId="0" fontId="266" fillId="0" borderId="0" xfId="0" applyFont="1" applyFill="1" applyBorder="1" applyAlignment="1">
      <alignment horizontal="left" vertical="center"/>
    </xf>
    <xf numFmtId="9" fontId="120" fillId="0" borderId="0" xfId="983" applyFont="1" applyFill="1" applyBorder="1" applyAlignment="1">
      <alignment horizontal="center" vertical="center" wrapText="1"/>
    </xf>
    <xf numFmtId="0" fontId="69" fillId="0" borderId="0" xfId="0" applyFont="1" applyFill="1" applyBorder="1" applyAlignment="1">
      <alignment horizontal="left" vertical="center"/>
    </xf>
    <xf numFmtId="0" fontId="258" fillId="0" borderId="0" xfId="10" applyFont="1" applyFill="1" applyBorder="1" applyAlignment="1">
      <alignment vertical="center" wrapText="1" shrinkToFit="1"/>
    </xf>
    <xf numFmtId="9" fontId="45" fillId="34" borderId="211" xfId="0" applyNumberFormat="1" applyFont="1" applyFill="1" applyBorder="1" applyAlignment="1">
      <alignment horizontal="center" vertical="center" wrapText="1"/>
    </xf>
    <xf numFmtId="9" fontId="45" fillId="34" borderId="4" xfId="0" applyNumberFormat="1" applyFont="1" applyFill="1" applyBorder="1" applyAlignment="1">
      <alignment horizontal="center" vertical="center" wrapText="1"/>
    </xf>
    <xf numFmtId="14" fontId="6" fillId="34" borderId="217" xfId="0" applyNumberFormat="1" applyFont="1" applyFill="1" applyBorder="1" applyAlignment="1">
      <alignment horizontal="left" vertical="center"/>
    </xf>
    <xf numFmtId="14" fontId="6" fillId="34" borderId="62" xfId="0" applyNumberFormat="1" applyFont="1" applyFill="1" applyBorder="1" applyAlignment="1">
      <alignment horizontal="left" vertical="center"/>
    </xf>
    <xf numFmtId="0" fontId="132" fillId="0" borderId="217" xfId="0" applyFont="1" applyBorder="1" applyAlignment="1">
      <alignment horizontal="center" vertical="center"/>
    </xf>
    <xf numFmtId="0" fontId="120" fillId="0" borderId="0" xfId="10" applyFont="1" applyFill="1" applyBorder="1" applyAlignment="1">
      <alignment horizontal="left" vertical="center"/>
    </xf>
    <xf numFmtId="0" fontId="120" fillId="0" borderId="0" xfId="10" applyFont="1" applyFill="1" applyBorder="1" applyAlignment="1">
      <alignment horizontal="left" vertical="center" wrapText="1"/>
    </xf>
    <xf numFmtId="0" fontId="267" fillId="0" borderId="0" xfId="0" applyFont="1" applyFill="1" applyBorder="1" applyAlignment="1">
      <alignment horizontal="left" vertical="center" indent="7"/>
    </xf>
    <xf numFmtId="0" fontId="82" fillId="0" borderId="0" xfId="0" applyFont="1" applyFill="1" applyBorder="1" applyAlignment="1">
      <alignment vertical="center" wrapText="1"/>
    </xf>
    <xf numFmtId="0" fontId="264" fillId="0" borderId="0" xfId="0" applyFont="1" applyFill="1" applyBorder="1" applyAlignment="1">
      <alignment vertical="center" wrapText="1"/>
    </xf>
    <xf numFmtId="0" fontId="268" fillId="0" borderId="0" xfId="0" applyFont="1" applyBorder="1"/>
    <xf numFmtId="0" fontId="268" fillId="0" borderId="0" xfId="0" applyFont="1" applyFill="1" applyBorder="1"/>
    <xf numFmtId="0" fontId="69" fillId="34" borderId="0" xfId="0" applyFont="1" applyFill="1" applyBorder="1"/>
    <xf numFmtId="0" fontId="270" fillId="0" borderId="0" xfId="0" applyFont="1" applyFill="1" applyBorder="1"/>
    <xf numFmtId="0" fontId="69" fillId="0" borderId="75" xfId="0" applyFont="1" applyFill="1" applyBorder="1"/>
    <xf numFmtId="0" fontId="69" fillId="0" borderId="76" xfId="0" applyFont="1" applyFill="1" applyBorder="1"/>
    <xf numFmtId="0" fontId="80" fillId="0" borderId="0" xfId="0" applyFont="1" applyBorder="1" applyAlignment="1">
      <alignment vertical="center" wrapText="1"/>
    </xf>
    <xf numFmtId="0" fontId="69" fillId="0" borderId="78" xfId="0" applyFont="1" applyFill="1" applyBorder="1"/>
    <xf numFmtId="0" fontId="206" fillId="0" borderId="0" xfId="0" applyFont="1" applyFill="1" applyBorder="1" applyAlignment="1">
      <alignment vertical="center" wrapText="1"/>
    </xf>
    <xf numFmtId="0" fontId="271" fillId="47"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206" fillId="0" borderId="0" xfId="0" applyFont="1" applyBorder="1" applyAlignment="1">
      <alignment horizontal="center" vertical="center" wrapText="1"/>
    </xf>
    <xf numFmtId="0" fontId="206" fillId="0" borderId="0" xfId="0" applyFont="1" applyFill="1" applyBorder="1" applyAlignment="1">
      <alignment vertical="center"/>
    </xf>
    <xf numFmtId="0" fontId="6" fillId="0" borderId="4" xfId="0" applyFont="1" applyBorder="1" applyAlignment="1">
      <alignment vertical="center" wrapText="1"/>
    </xf>
    <xf numFmtId="0" fontId="6" fillId="0" borderId="211" xfId="0" applyFont="1" applyBorder="1" applyAlignment="1">
      <alignment vertical="center" wrapText="1"/>
    </xf>
    <xf numFmtId="0" fontId="104" fillId="0" borderId="4" xfId="0" applyFont="1" applyBorder="1" applyAlignment="1">
      <alignment vertical="center" wrapText="1"/>
    </xf>
    <xf numFmtId="0" fontId="132" fillId="0" borderId="4" xfId="0" applyFont="1" applyBorder="1" applyAlignment="1">
      <alignment horizontal="left" vertical="center" wrapText="1"/>
    </xf>
    <xf numFmtId="9" fontId="272" fillId="0" borderId="0" xfId="0" applyNumberFormat="1" applyFont="1" applyBorder="1" applyAlignment="1">
      <alignment horizontal="center" vertical="center" wrapText="1"/>
    </xf>
    <xf numFmtId="9" fontId="275" fillId="34" borderId="4" xfId="0" applyNumberFormat="1" applyFont="1" applyFill="1" applyBorder="1" applyAlignment="1">
      <alignment horizontal="center" vertical="center" wrapText="1"/>
    </xf>
    <xf numFmtId="0" fontId="275" fillId="34" borderId="4" xfId="0" applyFont="1" applyFill="1" applyBorder="1" applyAlignment="1">
      <alignment horizontal="left" vertical="center" wrapText="1"/>
    </xf>
    <xf numFmtId="0" fontId="69" fillId="47" borderId="0" xfId="0" applyFont="1" applyFill="1" applyBorder="1" applyAlignment="1">
      <alignment horizontal="left" vertical="center" wrapText="1"/>
    </xf>
    <xf numFmtId="0" fontId="38" fillId="0" borderId="255" xfId="0" applyFont="1" applyFill="1" applyBorder="1"/>
    <xf numFmtId="0" fontId="120" fillId="0" borderId="255" xfId="0" applyFont="1" applyFill="1" applyBorder="1"/>
    <xf numFmtId="0" fontId="38" fillId="0" borderId="258" xfId="0" applyFont="1" applyFill="1" applyBorder="1" applyAlignment="1">
      <alignment horizontal="center" vertical="center"/>
    </xf>
    <xf numFmtId="0" fontId="38" fillId="0" borderId="258" xfId="0" applyFont="1" applyFill="1" applyBorder="1" applyAlignment="1">
      <alignment vertical="center"/>
    </xf>
    <xf numFmtId="0" fontId="38" fillId="0" borderId="258" xfId="0" applyFont="1" applyFill="1" applyBorder="1" applyAlignment="1">
      <alignment horizontal="center" vertical="center" wrapText="1"/>
    </xf>
    <xf numFmtId="0" fontId="38" fillId="0" borderId="258" xfId="0" applyFont="1" applyFill="1" applyBorder="1" applyAlignment="1">
      <alignment horizontal="left" vertical="center" wrapText="1"/>
    </xf>
    <xf numFmtId="171" fontId="112" fillId="0" borderId="260" xfId="0" applyNumberFormat="1" applyFont="1" applyFill="1" applyBorder="1" applyAlignment="1">
      <alignment horizontal="center"/>
    </xf>
    <xf numFmtId="0" fontId="78" fillId="0" borderId="260" xfId="0" applyFont="1" applyFill="1" applyBorder="1" applyAlignment="1"/>
    <xf numFmtId="0" fontId="38" fillId="0" borderId="261" xfId="0" applyFont="1" applyFill="1" applyBorder="1" applyAlignment="1">
      <alignment horizontal="center"/>
    </xf>
    <xf numFmtId="0" fontId="191" fillId="0" borderId="256" xfId="0" applyFont="1" applyFill="1" applyBorder="1" applyAlignment="1">
      <alignment horizontal="center" vertical="center" wrapText="1"/>
    </xf>
    <xf numFmtId="0" fontId="257" fillId="0" borderId="254" xfId="0" applyFont="1" applyFill="1" applyBorder="1" applyAlignment="1">
      <alignment vertical="center"/>
    </xf>
    <xf numFmtId="0" fontId="261" fillId="0" borderId="255" xfId="0" applyFont="1" applyBorder="1" applyAlignment="1"/>
    <xf numFmtId="0" fontId="4" fillId="0" borderId="255" xfId="0" applyFont="1" applyBorder="1" applyAlignment="1">
      <alignment vertical="center"/>
    </xf>
    <xf numFmtId="0" fontId="33" fillId="0" borderId="255" xfId="0" applyFont="1" applyFill="1" applyBorder="1" applyAlignment="1">
      <alignment vertical="center" wrapText="1"/>
    </xf>
    <xf numFmtId="0" fontId="55" fillId="0" borderId="255" xfId="0" applyFont="1" applyFill="1" applyBorder="1" applyAlignment="1">
      <alignment horizontal="center" vertical="center"/>
    </xf>
    <xf numFmtId="0" fontId="28" fillId="0" borderId="257" xfId="0" applyFont="1" applyFill="1" applyBorder="1" applyAlignment="1">
      <alignment vertical="center"/>
    </xf>
    <xf numFmtId="0" fontId="56" fillId="0" borderId="258" xfId="0" applyFont="1" applyFill="1" applyBorder="1" applyAlignment="1">
      <alignment horizontal="center" vertical="center" wrapText="1"/>
    </xf>
    <xf numFmtId="0" fontId="3" fillId="0" borderId="257" xfId="0" applyFont="1" applyFill="1" applyBorder="1" applyAlignment="1">
      <alignment horizontal="center" vertical="center"/>
    </xf>
    <xf numFmtId="0" fontId="38" fillId="0" borderId="258" xfId="0" applyFont="1" applyFill="1" applyBorder="1"/>
    <xf numFmtId="0" fontId="3" fillId="0" borderId="259" xfId="0" applyFont="1" applyFill="1" applyBorder="1" applyAlignment="1">
      <alignment horizontal="center"/>
    </xf>
    <xf numFmtId="0" fontId="38" fillId="0" borderId="260" xfId="0" applyFont="1" applyFill="1" applyBorder="1" applyAlignment="1">
      <alignment horizontal="left" vertical="center" wrapText="1"/>
    </xf>
    <xf numFmtId="0" fontId="78" fillId="0" borderId="260" xfId="0" applyFont="1" applyFill="1" applyBorder="1"/>
    <xf numFmtId="0" fontId="191" fillId="0" borderId="0" xfId="0" applyFont="1" applyBorder="1" applyAlignment="1">
      <alignment horizontal="center" vertical="center"/>
    </xf>
    <xf numFmtId="0" fontId="162" fillId="0" borderId="0" xfId="0" applyFont="1" applyFill="1" applyBorder="1" applyAlignment="1">
      <alignment horizontal="center"/>
    </xf>
    <xf numFmtId="0" fontId="162" fillId="0" borderId="0" xfId="0" applyFont="1" applyFill="1" applyBorder="1"/>
    <xf numFmtId="0" fontId="3" fillId="0" borderId="211" xfId="0" applyFont="1" applyBorder="1" applyAlignment="1">
      <alignment wrapText="1"/>
    </xf>
    <xf numFmtId="0" fontId="5" fillId="0" borderId="0" xfId="0" applyFont="1" applyBorder="1" applyAlignment="1">
      <alignment horizontal="center" vertical="center" wrapText="1"/>
    </xf>
    <xf numFmtId="0" fontId="28" fillId="0" borderId="254" xfId="0" applyFont="1" applyFill="1" applyBorder="1"/>
    <xf numFmtId="0" fontId="265" fillId="0" borderId="255" xfId="0" applyFont="1" applyFill="1" applyBorder="1" applyAlignment="1">
      <alignment horizontal="left" vertical="center" wrapText="1"/>
    </xf>
    <xf numFmtId="0" fontId="53" fillId="0" borderId="255" xfId="0" applyFont="1" applyFill="1" applyBorder="1" applyAlignment="1">
      <alignment vertical="center" wrapText="1"/>
    </xf>
    <xf numFmtId="0" fontId="53" fillId="0" borderId="255" xfId="0" applyFont="1" applyFill="1" applyBorder="1"/>
    <xf numFmtId="0" fontId="53" fillId="0" borderId="255" xfId="0" applyFont="1" applyBorder="1" applyAlignment="1">
      <alignment vertical="center" wrapText="1"/>
    </xf>
    <xf numFmtId="0" fontId="28" fillId="0" borderId="257" xfId="0" applyFont="1" applyFill="1" applyBorder="1"/>
    <xf numFmtId="0" fontId="44" fillId="0" borderId="257" xfId="0" applyFont="1" applyFill="1" applyBorder="1" applyAlignment="1">
      <alignment vertical="center"/>
    </xf>
    <xf numFmtId="0" fontId="54" fillId="0" borderId="257" xfId="0" applyFont="1" applyFill="1" applyBorder="1" applyAlignment="1">
      <alignment vertical="center" wrapText="1"/>
    </xf>
    <xf numFmtId="0" fontId="41" fillId="0" borderId="258" xfId="0" applyFont="1" applyFill="1" applyBorder="1" applyAlignment="1">
      <alignment vertical="center" wrapText="1"/>
    </xf>
    <xf numFmtId="0" fontId="41" fillId="0" borderId="258" xfId="0" applyFont="1" applyFill="1" applyBorder="1" applyAlignment="1">
      <alignment horizontal="center" vertical="center" wrapText="1"/>
    </xf>
    <xf numFmtId="0" fontId="28" fillId="0" borderId="259" xfId="0" applyFont="1" applyFill="1" applyBorder="1"/>
    <xf numFmtId="9" fontId="45" fillId="34" borderId="262" xfId="0" applyNumberFormat="1" applyFont="1" applyFill="1" applyBorder="1" applyAlignment="1">
      <alignment horizontal="center" vertical="center" wrapText="1"/>
    </xf>
    <xf numFmtId="0" fontId="6" fillId="0" borderId="262" xfId="0" applyFont="1" applyBorder="1" applyAlignment="1">
      <alignment horizontal="left" vertical="center"/>
    </xf>
    <xf numFmtId="14" fontId="6" fillId="34" borderId="263" xfId="0" applyNumberFormat="1" applyFont="1" applyFill="1" applyBorder="1" applyAlignment="1">
      <alignment horizontal="left" vertical="center"/>
    </xf>
    <xf numFmtId="0" fontId="6" fillId="0" borderId="260" xfId="0" applyFont="1" applyBorder="1" applyAlignment="1">
      <alignment horizontal="left" vertical="center"/>
    </xf>
    <xf numFmtId="0" fontId="38" fillId="0" borderId="260" xfId="0" applyFont="1" applyFill="1" applyBorder="1"/>
    <xf numFmtId="0" fontId="6" fillId="0" borderId="263" xfId="0" applyFont="1" applyBorder="1" applyAlignment="1">
      <alignment horizontal="left" vertical="center"/>
    </xf>
    <xf numFmtId="0" fontId="38" fillId="0" borderId="261" xfId="0" applyFont="1" applyFill="1" applyBorder="1"/>
    <xf numFmtId="0" fontId="278" fillId="0" borderId="0" xfId="0" applyFont="1" applyFill="1" applyBorder="1" applyAlignment="1">
      <alignment horizontal="center" vertical="center"/>
    </xf>
    <xf numFmtId="0" fontId="278" fillId="0" borderId="0" xfId="0" applyFont="1" applyFill="1" applyBorder="1"/>
    <xf numFmtId="0" fontId="278" fillId="0" borderId="0" xfId="0" applyFont="1" applyFill="1" applyBorder="1" applyAlignment="1">
      <alignment horizontal="center"/>
    </xf>
    <xf numFmtId="0" fontId="6" fillId="0" borderId="62" xfId="0" applyFont="1" applyBorder="1" applyAlignment="1">
      <alignment vertical="center"/>
    </xf>
    <xf numFmtId="0" fontId="6" fillId="34" borderId="62" xfId="0" applyFont="1" applyFill="1" applyBorder="1" applyAlignment="1">
      <alignment vertical="center" wrapText="1"/>
    </xf>
    <xf numFmtId="0" fontId="6" fillId="0" borderId="62" xfId="0" applyFont="1" applyBorder="1" applyAlignment="1">
      <alignment vertical="center" wrapText="1"/>
    </xf>
    <xf numFmtId="0" fontId="6" fillId="0" borderId="217" xfId="0" applyFont="1" applyBorder="1" applyAlignment="1">
      <alignment horizontal="left" vertical="top"/>
    </xf>
    <xf numFmtId="0" fontId="6" fillId="34" borderId="217" xfId="0" applyFont="1" applyFill="1" applyBorder="1" applyAlignment="1">
      <alignment horizontal="left" vertical="center" wrapText="1"/>
    </xf>
    <xf numFmtId="0" fontId="6" fillId="0" borderId="217" xfId="0" applyFont="1" applyBorder="1" applyAlignment="1">
      <alignment horizontal="left" vertical="center" wrapText="1"/>
    </xf>
    <xf numFmtId="0" fontId="278" fillId="0" borderId="0" xfId="0" applyFont="1" applyFill="1" applyBorder="1" applyAlignment="1">
      <alignment horizontal="left" vertical="center"/>
    </xf>
    <xf numFmtId="0" fontId="6" fillId="0" borderId="233" xfId="0" applyFont="1" applyBorder="1" applyAlignment="1">
      <alignment horizontal="left" vertical="center"/>
    </xf>
    <xf numFmtId="0" fontId="280" fillId="0" borderId="0" xfId="0" applyFont="1" applyFill="1" applyBorder="1" applyAlignment="1">
      <alignment horizontal="center" vertical="center"/>
    </xf>
    <xf numFmtId="0" fontId="280" fillId="0" borderId="0" xfId="0" applyFont="1" applyFill="1" applyBorder="1"/>
    <xf numFmtId="0" fontId="69" fillId="0" borderId="0" xfId="0" applyFont="1" applyFill="1" applyBorder="1" applyAlignment="1">
      <alignment horizontal="right" vertical="center"/>
    </xf>
    <xf numFmtId="0" fontId="277" fillId="0" borderId="218" xfId="0" applyFont="1" applyFill="1" applyBorder="1" applyAlignment="1">
      <alignment horizontal="right" vertical="center"/>
    </xf>
    <xf numFmtId="0" fontId="274" fillId="68" borderId="220" xfId="0" applyFont="1" applyFill="1" applyBorder="1" applyAlignment="1">
      <alignment vertical="top"/>
    </xf>
    <xf numFmtId="0" fontId="69" fillId="0" borderId="218" xfId="0" applyFont="1" applyFill="1" applyBorder="1" applyAlignment="1">
      <alignment vertical="center"/>
    </xf>
    <xf numFmtId="0" fontId="132" fillId="0" borderId="218" xfId="0" applyNumberFormat="1" applyFont="1" applyFill="1" applyBorder="1" applyAlignment="1">
      <alignment vertical="center" wrapText="1"/>
    </xf>
    <xf numFmtId="0" fontId="6" fillId="0" borderId="62" xfId="0" applyFont="1" applyBorder="1" applyAlignment="1">
      <alignment horizontal="left" vertical="center" wrapText="1" indent="6"/>
    </xf>
    <xf numFmtId="0" fontId="69" fillId="34" borderId="219" xfId="983" applyNumberFormat="1" applyFont="1" applyFill="1" applyBorder="1" applyAlignment="1">
      <alignment horizontal="center" vertical="center" wrapText="1"/>
    </xf>
    <xf numFmtId="0" fontId="67" fillId="0" borderId="218" xfId="0" applyFont="1" applyFill="1" applyBorder="1" applyAlignment="1">
      <alignment vertical="center" wrapText="1"/>
    </xf>
    <xf numFmtId="0" fontId="67" fillId="0" borderId="218" xfId="0" applyFont="1" applyFill="1" applyBorder="1" applyAlignment="1">
      <alignment horizontal="left" vertical="center" wrapText="1"/>
    </xf>
    <xf numFmtId="0" fontId="67" fillId="0" borderId="0" xfId="0" applyFont="1" applyFill="1" applyBorder="1" applyAlignment="1">
      <alignment horizontal="center" vertical="center"/>
    </xf>
    <xf numFmtId="0" fontId="6" fillId="0" borderId="62" xfId="0" applyFont="1" applyBorder="1" applyAlignment="1">
      <alignment horizontal="left" vertical="center" indent="6"/>
    </xf>
    <xf numFmtId="0" fontId="67" fillId="0" borderId="0" xfId="0" applyFont="1" applyFill="1" applyBorder="1" applyAlignment="1">
      <alignment vertical="center"/>
    </xf>
    <xf numFmtId="0" fontId="52" fillId="0" borderId="0" xfId="0" applyFont="1" applyFill="1" applyBorder="1" applyAlignment="1">
      <alignment horizontal="center" vertical="center" wrapText="1"/>
    </xf>
    <xf numFmtId="0" fontId="275" fillId="34" borderId="219" xfId="983" applyNumberFormat="1" applyFont="1" applyFill="1" applyBorder="1" applyAlignment="1">
      <alignment horizontal="center" vertical="center" wrapText="1"/>
    </xf>
    <xf numFmtId="0" fontId="104" fillId="0" borderId="0" xfId="0" applyFont="1" applyFill="1" applyBorder="1" applyAlignment="1">
      <alignment vertical="center"/>
    </xf>
    <xf numFmtId="0" fontId="132" fillId="34" borderId="118" xfId="0" applyNumberFormat="1" applyFont="1" applyFill="1" applyBorder="1" applyAlignment="1">
      <alignment horizontal="center" vertical="center"/>
    </xf>
    <xf numFmtId="0" fontId="6" fillId="0" borderId="0" xfId="0" applyFont="1" applyBorder="1" applyAlignment="1">
      <alignment vertical="center" wrapText="1"/>
    </xf>
    <xf numFmtId="0" fontId="6" fillId="34" borderId="118" xfId="984" applyNumberFormat="1" applyFont="1" applyFill="1" applyBorder="1" applyAlignment="1">
      <alignment horizontal="center" vertical="center"/>
    </xf>
    <xf numFmtId="0" fontId="6" fillId="30" borderId="0" xfId="0" applyFont="1" applyFill="1" applyBorder="1" applyAlignment="1">
      <alignment vertical="center" wrapText="1"/>
    </xf>
    <xf numFmtId="0" fontId="104" fillId="34" borderId="62" xfId="0" applyFont="1" applyFill="1" applyBorder="1" applyAlignment="1">
      <alignment vertical="center" wrapText="1"/>
    </xf>
    <xf numFmtId="0" fontId="104" fillId="0" borderId="0" xfId="0" applyFont="1" applyBorder="1" applyAlignment="1">
      <alignment vertical="center" wrapText="1"/>
    </xf>
    <xf numFmtId="0" fontId="274" fillId="34" borderId="220" xfId="0" applyFont="1" applyFill="1" applyBorder="1" applyAlignment="1">
      <alignment vertical="center"/>
    </xf>
    <xf numFmtId="0" fontId="276" fillId="0" borderId="0" xfId="0" applyFont="1" applyBorder="1" applyAlignment="1">
      <alignment vertical="center" wrapText="1"/>
    </xf>
    <xf numFmtId="0" fontId="69" fillId="30" borderId="0" xfId="0" applyFont="1" applyFill="1" applyBorder="1" applyAlignment="1">
      <alignment vertical="center"/>
    </xf>
    <xf numFmtId="0" fontId="6" fillId="0" borderId="217" xfId="0" applyFont="1" applyBorder="1" applyAlignment="1">
      <alignment vertical="center" wrapText="1"/>
    </xf>
    <xf numFmtId="0" fontId="6" fillId="0" borderId="0" xfId="0" applyFont="1" applyFill="1" applyBorder="1" applyAlignment="1">
      <alignment vertical="center" wrapText="1"/>
    </xf>
    <xf numFmtId="0" fontId="274" fillId="0" borderId="0" xfId="0" applyFont="1" applyFill="1" applyBorder="1" applyAlignment="1">
      <alignment vertical="center"/>
    </xf>
    <xf numFmtId="0" fontId="132" fillId="0" borderId="217" xfId="0" applyFont="1" applyFill="1" applyBorder="1" applyAlignment="1">
      <alignment horizontal="left" vertical="center" wrapText="1"/>
    </xf>
    <xf numFmtId="0" fontId="28" fillId="0" borderId="265" xfId="0" applyFont="1" applyFill="1" applyBorder="1"/>
    <xf numFmtId="0" fontId="261" fillId="0" borderId="249" xfId="0" applyFont="1" applyBorder="1" applyAlignment="1"/>
    <xf numFmtId="0" fontId="38" fillId="0" borderId="249" xfId="0" applyFont="1" applyFill="1" applyBorder="1" applyAlignment="1">
      <alignment horizontal="center" vertical="center"/>
    </xf>
    <xf numFmtId="0" fontId="38" fillId="0" borderId="249" xfId="0" applyFont="1" applyFill="1" applyBorder="1"/>
    <xf numFmtId="0" fontId="38" fillId="0" borderId="266" xfId="0" applyFont="1" applyFill="1" applyBorder="1"/>
    <xf numFmtId="0" fontId="28" fillId="0" borderId="267" xfId="0" applyFont="1" applyFill="1" applyBorder="1"/>
    <xf numFmtId="0" fontId="38" fillId="0" borderId="268" xfId="0" applyFont="1" applyFill="1" applyBorder="1"/>
    <xf numFmtId="0" fontId="86" fillId="0" borderId="267" xfId="0" applyFont="1" applyFill="1" applyBorder="1" applyAlignment="1">
      <alignment horizontal="right" vertical="center"/>
    </xf>
    <xf numFmtId="0" fontId="110" fillId="0" borderId="268" xfId="0" applyFont="1" applyFill="1" applyBorder="1" applyAlignment="1">
      <alignment vertical="center"/>
    </xf>
    <xf numFmtId="0" fontId="199" fillId="0" borderId="267" xfId="0" applyFont="1" applyFill="1" applyBorder="1" applyAlignment="1">
      <alignment horizontal="right" vertical="center"/>
    </xf>
    <xf numFmtId="0" fontId="28" fillId="0" borderId="269" xfId="0" applyFont="1" applyFill="1" applyBorder="1"/>
    <xf numFmtId="0" fontId="132" fillId="0" borderId="270" xfId="0" applyFont="1" applyFill="1" applyBorder="1" applyAlignment="1">
      <alignment horizontal="left" vertical="center"/>
    </xf>
    <xf numFmtId="0" fontId="132" fillId="0" borderId="270" xfId="0" applyFont="1" applyFill="1" applyBorder="1" applyAlignment="1">
      <alignment horizontal="left" vertical="center" wrapText="1"/>
    </xf>
    <xf numFmtId="0" fontId="52" fillId="0" borderId="270" xfId="0" applyFont="1" applyFill="1" applyBorder="1" applyAlignment="1">
      <alignment horizontal="center" vertical="center" wrapText="1"/>
    </xf>
    <xf numFmtId="176" fontId="52" fillId="0" borderId="270" xfId="0" applyNumberFormat="1" applyFont="1" applyFill="1" applyBorder="1" applyAlignment="1">
      <alignment horizontal="center" vertical="center" wrapText="1"/>
    </xf>
    <xf numFmtId="9" fontId="52" fillId="0" borderId="270" xfId="983" applyFont="1" applyFill="1" applyBorder="1" applyAlignment="1">
      <alignment horizontal="center" vertical="center" wrapText="1"/>
    </xf>
    <xf numFmtId="178" fontId="52" fillId="0" borderId="270" xfId="982" applyNumberFormat="1" applyFont="1" applyFill="1" applyBorder="1" applyAlignment="1">
      <alignment horizontal="center" vertical="center" wrapText="1"/>
    </xf>
    <xf numFmtId="0" fontId="38" fillId="0" borderId="248" xfId="0" applyFont="1" applyFill="1" applyBorder="1"/>
    <xf numFmtId="0" fontId="38" fillId="0" borderId="272" xfId="0" applyFont="1" applyFill="1" applyBorder="1"/>
    <xf numFmtId="0" fontId="38" fillId="0" borderId="268" xfId="0" applyFont="1" applyFill="1" applyBorder="1" applyAlignment="1">
      <alignment horizontal="left" vertical="center" wrapText="1"/>
    </xf>
    <xf numFmtId="0" fontId="38" fillId="0" borderId="0" xfId="0" applyFont="1" applyFill="1" applyBorder="1" applyAlignment="1">
      <alignment wrapText="1"/>
    </xf>
    <xf numFmtId="0" fontId="38" fillId="0" borderId="268" xfId="0" applyFont="1" applyFill="1" applyBorder="1" applyAlignment="1">
      <alignment wrapText="1"/>
    </xf>
    <xf numFmtId="0" fontId="52" fillId="0" borderId="217" xfId="0" applyFont="1" applyFill="1" applyBorder="1" applyAlignment="1">
      <alignment horizontal="center" vertical="center" wrapText="1"/>
    </xf>
    <xf numFmtId="0" fontId="132" fillId="0" borderId="0" xfId="0" applyFont="1" applyFill="1" applyBorder="1" applyAlignment="1">
      <alignment horizontal="left" vertical="center" wrapText="1"/>
    </xf>
    <xf numFmtId="0" fontId="276" fillId="0" borderId="0" xfId="0" applyFont="1" applyFill="1" applyBorder="1" applyAlignment="1">
      <alignment horizontal="center" vertical="center" wrapText="1"/>
    </xf>
    <xf numFmtId="9" fontId="276" fillId="0" borderId="0" xfId="983" applyFont="1" applyFill="1" applyBorder="1" applyAlignment="1">
      <alignment horizontal="center" vertical="center" wrapText="1"/>
    </xf>
    <xf numFmtId="0" fontId="277" fillId="0" borderId="0" xfId="0" applyFont="1" applyFill="1" applyBorder="1" applyAlignment="1">
      <alignment vertical="center"/>
    </xf>
    <xf numFmtId="0" fontId="52" fillId="0" borderId="271" xfId="0" applyFont="1" applyBorder="1" applyAlignment="1">
      <alignment horizontal="left" vertical="center"/>
    </xf>
    <xf numFmtId="0" fontId="38" fillId="67" borderId="265" xfId="0" applyFont="1" applyFill="1" applyBorder="1"/>
    <xf numFmtId="0" fontId="38" fillId="67" borderId="267" xfId="0" applyFont="1" applyFill="1" applyBorder="1"/>
    <xf numFmtId="0" fontId="38" fillId="67" borderId="269" xfId="0" applyFont="1" applyFill="1" applyBorder="1"/>
    <xf numFmtId="0" fontId="41" fillId="23" borderId="0" xfId="0" applyFont="1" applyFill="1" applyBorder="1" applyAlignment="1">
      <alignment vertical="center"/>
    </xf>
    <xf numFmtId="0" fontId="38" fillId="23" borderId="0" xfId="0" applyFont="1" applyFill="1" applyBorder="1" applyAlignment="1">
      <alignment vertical="center"/>
    </xf>
    <xf numFmtId="0" fontId="38" fillId="23" borderId="0" xfId="0" applyFont="1" applyFill="1" applyBorder="1"/>
    <xf numFmtId="0" fontId="38" fillId="23" borderId="0" xfId="0" applyFont="1" applyFill="1" applyBorder="1" applyAlignment="1">
      <alignment horizontal="left" vertical="center" wrapText="1"/>
    </xf>
    <xf numFmtId="0" fontId="44" fillId="23" borderId="0" xfId="0" applyFont="1" applyFill="1" applyBorder="1" applyAlignment="1">
      <alignment vertical="center"/>
    </xf>
    <xf numFmtId="0" fontId="41" fillId="23" borderId="0" xfId="0" applyFont="1" applyFill="1" applyBorder="1" applyAlignment="1">
      <alignment vertical="center" wrapText="1"/>
    </xf>
    <xf numFmtId="0" fontId="41" fillId="0" borderId="0" xfId="0" applyFont="1" applyFill="1" applyBorder="1" applyAlignment="1">
      <alignment wrapText="1"/>
    </xf>
    <xf numFmtId="0" fontId="41" fillId="40" borderId="131" xfId="0" applyFont="1" applyFill="1" applyBorder="1" applyAlignment="1">
      <alignment horizontal="center" vertical="center" wrapText="1"/>
    </xf>
    <xf numFmtId="0" fontId="41" fillId="43" borderId="131" xfId="0" applyFont="1" applyFill="1" applyBorder="1" applyAlignment="1">
      <alignment horizontal="center" vertical="center" wrapText="1"/>
    </xf>
    <xf numFmtId="0" fontId="53" fillId="0" borderId="0" xfId="0" applyFont="1" applyFill="1" applyBorder="1" applyAlignment="1">
      <alignment horizontal="center" wrapText="1"/>
    </xf>
    <xf numFmtId="0" fontId="41" fillId="0" borderId="0" xfId="0" quotePrefix="1" applyFont="1" applyFill="1" applyBorder="1" applyAlignment="1">
      <alignment horizontal="center" wrapText="1"/>
    </xf>
    <xf numFmtId="171" fontId="4" fillId="0" borderId="0" xfId="0" applyNumberFormat="1" applyFont="1" applyBorder="1" applyAlignment="1">
      <alignment horizontal="center" wrapText="1"/>
    </xf>
    <xf numFmtId="0" fontId="77" fillId="0" borderId="0" xfId="0" applyFont="1" applyFill="1" applyBorder="1"/>
    <xf numFmtId="0" fontId="69" fillId="22" borderId="218" xfId="0" applyFont="1" applyFill="1" applyBorder="1" applyAlignment="1">
      <alignment vertical="center"/>
    </xf>
    <xf numFmtId="0" fontId="69" fillId="22" borderId="0" xfId="0" applyFont="1" applyFill="1" applyBorder="1" applyAlignment="1">
      <alignment horizontal="left" vertical="center" wrapText="1"/>
    </xf>
    <xf numFmtId="0" fontId="6" fillId="38" borderId="62" xfId="0" applyFont="1" applyFill="1" applyBorder="1" applyAlignment="1">
      <alignment vertical="center" wrapText="1"/>
    </xf>
    <xf numFmtId="9" fontId="276" fillId="0" borderId="217" xfId="983" applyFont="1" applyFill="1" applyBorder="1" applyAlignment="1">
      <alignment horizontal="center" vertical="center" wrapText="1"/>
    </xf>
    <xf numFmtId="168" fontId="52" fillId="0" borderId="270" xfId="982" applyFont="1" applyFill="1" applyBorder="1" applyAlignment="1">
      <alignment horizontal="left" vertical="center"/>
    </xf>
    <xf numFmtId="0" fontId="69" fillId="0" borderId="248" xfId="0" applyFont="1" applyFill="1" applyBorder="1"/>
    <xf numFmtId="0" fontId="43" fillId="0" borderId="0" xfId="0" applyFont="1" applyFill="1" applyBorder="1" applyAlignment="1">
      <alignment vertical="center"/>
    </xf>
    <xf numFmtId="0" fontId="75" fillId="0" borderId="0" xfId="0" applyFont="1" applyFill="1" applyBorder="1" applyAlignment="1">
      <alignment horizontal="center" vertical="center"/>
    </xf>
    <xf numFmtId="0" fontId="75" fillId="0" borderId="0" xfId="0" applyFont="1" applyFill="1" applyBorder="1" applyAlignment="1">
      <alignment vertical="center"/>
    </xf>
    <xf numFmtId="0" fontId="132" fillId="0" borderId="62" xfId="0" applyFont="1" applyBorder="1" applyAlignment="1">
      <alignment horizontal="left" vertical="center"/>
    </xf>
    <xf numFmtId="0" fontId="261" fillId="0" borderId="0" xfId="0" applyFont="1" applyFill="1" applyBorder="1" applyAlignment="1">
      <alignment vertical="center"/>
    </xf>
    <xf numFmtId="0" fontId="281" fillId="0" borderId="0" xfId="0" applyFont="1" applyFill="1" applyBorder="1" applyAlignment="1">
      <alignment horizontal="left" vertical="center"/>
    </xf>
    <xf numFmtId="0" fontId="5" fillId="0" borderId="60" xfId="0" applyFont="1" applyFill="1" applyBorder="1" applyAlignment="1">
      <alignment horizontal="left" vertical="center" wrapText="1"/>
    </xf>
    <xf numFmtId="0" fontId="5" fillId="0" borderId="60" xfId="0" applyFont="1" applyFill="1" applyBorder="1" applyAlignment="1">
      <alignment vertical="center" wrapText="1"/>
    </xf>
    <xf numFmtId="0" fontId="282" fillId="0" borderId="60" xfId="0" applyFont="1" applyFill="1" applyBorder="1" applyAlignment="1">
      <alignment vertical="center" wrapText="1"/>
    </xf>
    <xf numFmtId="0" fontId="283" fillId="0" borderId="123" xfId="0" applyFont="1" applyFill="1" applyBorder="1" applyAlignment="1">
      <alignment vertical="center" wrapText="1"/>
    </xf>
    <xf numFmtId="0" fontId="73" fillId="23" borderId="0" xfId="0" applyFont="1" applyFill="1" applyBorder="1" applyAlignment="1">
      <alignment vertical="center"/>
    </xf>
    <xf numFmtId="0" fontId="284" fillId="23" borderId="0" xfId="0" applyFont="1" applyFill="1" applyBorder="1" applyAlignment="1">
      <alignment vertical="center"/>
    </xf>
    <xf numFmtId="0" fontId="281" fillId="0" borderId="0" xfId="0" applyFont="1" applyBorder="1" applyAlignment="1">
      <alignment vertical="center"/>
    </xf>
    <xf numFmtId="0" fontId="285" fillId="0" borderId="0" xfId="0" applyFont="1" applyBorder="1" applyAlignment="1">
      <alignment vertical="center"/>
    </xf>
    <xf numFmtId="0" fontId="286" fillId="24" borderId="0" xfId="0" applyFont="1" applyFill="1" applyBorder="1"/>
    <xf numFmtId="0" fontId="277" fillId="0" borderId="0" xfId="0" applyFont="1" applyFill="1" applyBorder="1"/>
    <xf numFmtId="0" fontId="73" fillId="23" borderId="0" xfId="0" applyFont="1" applyFill="1" applyBorder="1"/>
    <xf numFmtId="171" fontId="73" fillId="23" borderId="0" xfId="0" applyNumberFormat="1" applyFont="1" applyFill="1" applyBorder="1"/>
    <xf numFmtId="0" fontId="73" fillId="23" borderId="0" xfId="0" applyFont="1" applyFill="1" applyBorder="1" applyAlignment="1">
      <alignment horizontal="center" vertical="center"/>
    </xf>
    <xf numFmtId="0" fontId="73" fillId="40" borderId="0" xfId="0" applyFont="1" applyFill="1" applyBorder="1" applyAlignment="1">
      <alignment horizontal="center"/>
    </xf>
    <xf numFmtId="0" fontId="73" fillId="43" borderId="0" xfId="0" applyFont="1" applyFill="1" applyBorder="1" applyAlignment="1">
      <alignment horizontal="center"/>
    </xf>
    <xf numFmtId="0" fontId="73" fillId="0" borderId="0" xfId="0" applyFont="1" applyFill="1" applyBorder="1" applyAlignment="1">
      <alignment horizontal="center"/>
    </xf>
    <xf numFmtId="0" fontId="276" fillId="19" borderId="0" xfId="0" applyFont="1" applyFill="1" applyBorder="1"/>
    <xf numFmtId="0" fontId="42" fillId="0" borderId="0" xfId="0" applyFont="1" applyFill="1" applyBorder="1" applyAlignment="1">
      <alignment wrapText="1"/>
    </xf>
    <xf numFmtId="0" fontId="38" fillId="40" borderId="0" xfId="0" applyFont="1" applyFill="1" applyBorder="1" applyAlignment="1">
      <alignment horizontal="center" wrapText="1"/>
    </xf>
    <xf numFmtId="0" fontId="38" fillId="43" borderId="0" xfId="0" applyFont="1" applyFill="1" applyBorder="1" applyAlignment="1">
      <alignment horizontal="center" wrapText="1"/>
    </xf>
    <xf numFmtId="0" fontId="134" fillId="0" borderId="0" xfId="0" applyFont="1" applyFill="1" applyBorder="1" applyAlignment="1">
      <alignment horizontal="left" wrapText="1"/>
    </xf>
    <xf numFmtId="171" fontId="45" fillId="0" borderId="0" xfId="0" applyNumberFormat="1" applyFont="1" applyFill="1" applyBorder="1" applyAlignment="1">
      <alignment horizontal="center" vertical="center" wrapText="1"/>
    </xf>
    <xf numFmtId="0" fontId="134" fillId="0" borderId="25" xfId="0" applyFont="1" applyFill="1" applyBorder="1" applyAlignment="1">
      <alignment wrapText="1"/>
    </xf>
    <xf numFmtId="0" fontId="134" fillId="0" borderId="0" xfId="0" applyFont="1" applyFill="1" applyBorder="1" applyAlignment="1">
      <alignment wrapText="1"/>
    </xf>
    <xf numFmtId="171" fontId="120" fillId="0" borderId="278" xfId="0" applyNumberFormat="1" applyFont="1" applyFill="1" applyBorder="1" applyAlignment="1">
      <alignment horizontal="left" vertical="center"/>
    </xf>
    <xf numFmtId="0" fontId="38" fillId="0" borderId="78" xfId="0" applyFont="1" applyFill="1" applyBorder="1" applyAlignment="1">
      <alignment horizontal="center" vertical="center" wrapText="1"/>
    </xf>
    <xf numFmtId="0" fontId="255" fillId="0" borderId="0" xfId="0" applyFont="1" applyFill="1" applyBorder="1" applyAlignment="1">
      <alignment vertical="center" wrapText="1"/>
    </xf>
    <xf numFmtId="168" fontId="45" fillId="0" borderId="279" xfId="982" applyFont="1" applyFill="1" applyBorder="1" applyAlignment="1">
      <alignment horizontal="center" vertical="center"/>
    </xf>
    <xf numFmtId="0" fontId="44" fillId="26" borderId="0" xfId="0" applyFont="1" applyFill="1" applyBorder="1" applyAlignment="1">
      <alignment wrapText="1"/>
    </xf>
    <xf numFmtId="0" fontId="38" fillId="26" borderId="0" xfId="0" applyFont="1" applyFill="1" applyBorder="1"/>
    <xf numFmtId="0" fontId="236" fillId="26" borderId="0" xfId="0" applyFont="1" applyFill="1" applyBorder="1"/>
    <xf numFmtId="0" fontId="75" fillId="26" borderId="0" xfId="0" applyFont="1" applyFill="1" applyBorder="1" applyAlignment="1">
      <alignment vertical="center" wrapText="1"/>
    </xf>
    <xf numFmtId="0" fontId="70" fillId="26" borderId="0" xfId="0" applyFont="1" applyFill="1" applyBorder="1" applyAlignment="1">
      <alignment vertical="center"/>
    </xf>
    <xf numFmtId="0" fontId="3" fillId="26" borderId="0" xfId="0" applyNumberFormat="1" applyFont="1" applyFill="1" applyBorder="1" applyAlignment="1">
      <alignment horizontal="center" vertical="center"/>
    </xf>
    <xf numFmtId="177" fontId="38" fillId="26" borderId="0" xfId="0" applyNumberFormat="1" applyFont="1" applyFill="1" applyBorder="1" applyAlignment="1">
      <alignment horizontal="center" vertical="center" wrapText="1"/>
    </xf>
    <xf numFmtId="171" fontId="3" fillId="26" borderId="0" xfId="0" applyNumberFormat="1" applyFont="1" applyFill="1" applyBorder="1" applyAlignment="1">
      <alignment horizontal="center" vertical="center"/>
    </xf>
    <xf numFmtId="0" fontId="38" fillId="26" borderId="0" xfId="0" quotePrefix="1" applyFont="1" applyFill="1" applyBorder="1" applyAlignment="1">
      <alignment horizontal="center" vertical="center"/>
    </xf>
    <xf numFmtId="0" fontId="38" fillId="26" borderId="0" xfId="0" applyFont="1" applyFill="1" applyBorder="1" applyAlignment="1">
      <alignment horizontal="center"/>
    </xf>
    <xf numFmtId="0" fontId="38" fillId="26" borderId="0" xfId="0" quotePrefix="1" applyFont="1" applyFill="1" applyBorder="1" applyAlignment="1">
      <alignment horizontal="center"/>
    </xf>
    <xf numFmtId="171" fontId="3" fillId="26" borderId="0" xfId="0" applyNumberFormat="1" applyFont="1" applyFill="1" applyBorder="1" applyAlignment="1">
      <alignment horizontal="center"/>
    </xf>
    <xf numFmtId="171" fontId="288" fillId="0" borderId="118" xfId="0" applyNumberFormat="1" applyFont="1" applyFill="1" applyBorder="1" applyAlignment="1">
      <alignment horizontal="left" vertical="center"/>
    </xf>
    <xf numFmtId="171" fontId="289" fillId="0" borderId="22" xfId="0" applyNumberFormat="1" applyFont="1" applyFill="1" applyBorder="1" applyAlignment="1">
      <alignment horizontal="center" vertical="center" wrapText="1"/>
    </xf>
    <xf numFmtId="171" fontId="288" fillId="0" borderId="15" xfId="0" applyNumberFormat="1" applyFont="1" applyFill="1" applyBorder="1" applyAlignment="1">
      <alignment horizontal="center" vertical="center" wrapText="1"/>
    </xf>
    <xf numFmtId="0" fontId="288" fillId="0" borderId="282" xfId="0" applyFont="1" applyFill="1" applyBorder="1" applyAlignment="1">
      <alignment horizontal="center" vertical="center"/>
    </xf>
    <xf numFmtId="177" fontId="288" fillId="34" borderId="283" xfId="0" applyNumberFormat="1" applyFont="1" applyFill="1" applyBorder="1" applyAlignment="1">
      <alignment horizontal="center" vertical="center" wrapText="1"/>
    </xf>
    <xf numFmtId="0" fontId="288" fillId="0" borderId="185" xfId="0" applyFont="1" applyFill="1" applyBorder="1"/>
    <xf numFmtId="177" fontId="289" fillId="0" borderId="282" xfId="0" applyNumberFormat="1" applyFont="1" applyFill="1" applyBorder="1" applyAlignment="1">
      <alignment horizontal="center" vertical="center" wrapText="1"/>
    </xf>
    <xf numFmtId="171" fontId="289" fillId="0" borderId="282" xfId="0" applyNumberFormat="1" applyFont="1" applyBorder="1" applyAlignment="1">
      <alignment horizontal="center" vertical="center"/>
    </xf>
    <xf numFmtId="171" fontId="289" fillId="0" borderId="285" xfId="0" applyNumberFormat="1" applyFont="1" applyBorder="1" applyAlignment="1">
      <alignment horizontal="center" vertical="center"/>
    </xf>
    <xf numFmtId="171" fontId="36" fillId="0" borderId="285" xfId="0" applyNumberFormat="1" applyFont="1" applyBorder="1" applyAlignment="1">
      <alignment horizontal="center" vertical="center"/>
    </xf>
    <xf numFmtId="0" fontId="288" fillId="0" borderId="286" xfId="0" applyFont="1" applyFill="1" applyBorder="1" applyAlignment="1">
      <alignment horizontal="center" vertical="center" wrapText="1"/>
    </xf>
    <xf numFmtId="0" fontId="288" fillId="0" borderId="287" xfId="0" applyFont="1" applyFill="1" applyBorder="1" applyAlignment="1">
      <alignment horizontal="center" vertical="center"/>
    </xf>
    <xf numFmtId="177" fontId="288" fillId="34" borderId="288" xfId="0" applyNumberFormat="1" applyFont="1" applyFill="1" applyBorder="1" applyAlignment="1">
      <alignment horizontal="center" vertical="center" wrapText="1"/>
    </xf>
    <xf numFmtId="0" fontId="288" fillId="0" borderId="287" xfId="0" applyFont="1" applyFill="1" applyBorder="1"/>
    <xf numFmtId="177" fontId="289" fillId="0" borderId="287" xfId="0" applyNumberFormat="1" applyFont="1" applyFill="1" applyBorder="1" applyAlignment="1">
      <alignment horizontal="center" vertical="center" wrapText="1"/>
    </xf>
    <xf numFmtId="171" fontId="289" fillId="0" borderId="287" xfId="0" applyNumberFormat="1" applyFont="1" applyBorder="1" applyAlignment="1">
      <alignment horizontal="center" vertical="center"/>
    </xf>
    <xf numFmtId="171" fontId="289" fillId="0" borderId="287" xfId="0" applyNumberFormat="1" applyFont="1" applyFill="1" applyBorder="1" applyAlignment="1">
      <alignment horizontal="center" vertical="center"/>
    </xf>
    <xf numFmtId="171" fontId="36" fillId="0" borderId="287" xfId="0" applyNumberFormat="1" applyFont="1" applyBorder="1" applyAlignment="1">
      <alignment horizontal="center" vertical="center" wrapText="1"/>
    </xf>
    <xf numFmtId="0" fontId="288" fillId="0" borderId="289" xfId="0" applyFont="1" applyFill="1" applyBorder="1" applyAlignment="1">
      <alignment horizontal="center" vertical="center" wrapText="1"/>
    </xf>
    <xf numFmtId="171" fontId="288" fillId="0" borderId="275" xfId="0" applyNumberFormat="1" applyFont="1" applyFill="1" applyBorder="1" applyAlignment="1">
      <alignment horizontal="left" vertical="center"/>
    </xf>
    <xf numFmtId="171" fontId="288" fillId="0" borderId="61" xfId="0" applyNumberFormat="1" applyFont="1" applyFill="1" applyBorder="1" applyAlignment="1">
      <alignment horizontal="center" vertical="center" wrapText="1"/>
    </xf>
    <xf numFmtId="0" fontId="34" fillId="0" borderId="287" xfId="0" applyNumberFormat="1" applyFont="1" applyFill="1" applyBorder="1" applyAlignment="1">
      <alignment horizontal="center" vertical="center"/>
    </xf>
    <xf numFmtId="177" fontId="288" fillId="0" borderId="287" xfId="0" applyNumberFormat="1" applyFont="1" applyFill="1" applyBorder="1" applyAlignment="1">
      <alignment horizontal="center" vertical="center" wrapText="1"/>
    </xf>
    <xf numFmtId="171" fontId="36" fillId="0" borderId="287" xfId="0" applyNumberFormat="1" applyFont="1" applyBorder="1" applyAlignment="1">
      <alignment horizontal="center" vertical="center"/>
    </xf>
    <xf numFmtId="0" fontId="288" fillId="0" borderId="289" xfId="0" quotePrefix="1" applyFont="1" applyFill="1" applyBorder="1" applyAlignment="1">
      <alignment horizontal="center" vertical="center"/>
    </xf>
    <xf numFmtId="171" fontId="288" fillId="0" borderId="278" xfId="0" applyNumberFormat="1" applyFont="1" applyFill="1" applyBorder="1" applyAlignment="1">
      <alignment horizontal="left" vertical="center"/>
    </xf>
    <xf numFmtId="0" fontId="288" fillId="0" borderId="0" xfId="0" applyFont="1" applyFill="1" applyBorder="1" applyAlignment="1">
      <alignment horizontal="center" vertical="center"/>
    </xf>
    <xf numFmtId="3" fontId="34" fillId="0" borderId="118" xfId="0" applyNumberFormat="1" applyFont="1" applyFill="1" applyBorder="1" applyAlignment="1">
      <alignment horizontal="center" vertical="center"/>
    </xf>
    <xf numFmtId="9" fontId="34" fillId="0" borderId="287" xfId="0" applyNumberFormat="1" applyFont="1" applyFill="1" applyBorder="1" applyAlignment="1">
      <alignment horizontal="center" vertical="center"/>
    </xf>
    <xf numFmtId="0" fontId="288" fillId="0" borderId="287" xfId="0" applyFont="1" applyFill="1" applyBorder="1" applyAlignment="1">
      <alignment vertical="center"/>
    </xf>
    <xf numFmtId="9" fontId="288" fillId="0" borderId="287" xfId="983" applyFont="1" applyFill="1" applyBorder="1" applyAlignment="1">
      <alignment horizontal="center" vertical="center" wrapText="1"/>
    </xf>
    <xf numFmtId="168" fontId="289" fillId="0" borderId="287" xfId="982" applyFont="1" applyFill="1" applyBorder="1" applyAlignment="1">
      <alignment horizontal="center" vertical="center"/>
    </xf>
    <xf numFmtId="171" fontId="36" fillId="0" borderId="287" xfId="0" applyNumberFormat="1" applyFont="1" applyFill="1" applyBorder="1" applyAlignment="1">
      <alignment horizontal="center" vertical="center"/>
    </xf>
    <xf numFmtId="0" fontId="288" fillId="0" borderId="289" xfId="0" applyFont="1" applyFill="1" applyBorder="1" applyAlignment="1">
      <alignment horizontal="center" vertical="center"/>
    </xf>
    <xf numFmtId="0" fontId="289" fillId="0" borderId="274" xfId="0" applyFont="1" applyBorder="1" applyAlignment="1">
      <alignment vertical="center"/>
    </xf>
    <xf numFmtId="177" fontId="288" fillId="0" borderId="61" xfId="0" applyNumberFormat="1" applyFont="1" applyFill="1" applyBorder="1" applyAlignment="1">
      <alignment horizontal="center" vertical="center" wrapText="1"/>
    </xf>
    <xf numFmtId="0" fontId="34" fillId="0" borderId="61" xfId="0" applyNumberFormat="1" applyFont="1" applyFill="1" applyBorder="1" applyAlignment="1">
      <alignment horizontal="center" vertical="center"/>
    </xf>
    <xf numFmtId="0" fontId="288" fillId="0" borderId="61" xfId="0" applyFont="1" applyFill="1" applyBorder="1"/>
    <xf numFmtId="177" fontId="289" fillId="0" borderId="61" xfId="0" applyNumberFormat="1" applyFont="1" applyFill="1" applyBorder="1" applyAlignment="1">
      <alignment horizontal="center" vertical="center" wrapText="1"/>
    </xf>
    <xf numFmtId="171" fontId="289" fillId="0" borderId="61" xfId="0" applyNumberFormat="1" applyFont="1" applyBorder="1" applyAlignment="1">
      <alignment horizontal="center" vertical="center"/>
    </xf>
    <xf numFmtId="171" fontId="36" fillId="0" borderId="61" xfId="0" applyNumberFormat="1" applyFont="1" applyBorder="1" applyAlignment="1">
      <alignment horizontal="center" vertical="center"/>
    </xf>
    <xf numFmtId="0" fontId="288" fillId="0" borderId="81" xfId="0" quotePrefix="1" applyFont="1" applyFill="1" applyBorder="1" applyAlignment="1">
      <alignment horizontal="center" vertical="center"/>
    </xf>
    <xf numFmtId="0" fontId="120" fillId="0" borderId="65" xfId="0" applyFont="1" applyFill="1" applyBorder="1" applyAlignment="1">
      <alignment horizontal="center" vertical="center" wrapText="1"/>
    </xf>
    <xf numFmtId="0" fontId="283" fillId="0" borderId="23" xfId="0" applyFont="1" applyBorder="1" applyAlignment="1">
      <alignment wrapText="1"/>
    </xf>
    <xf numFmtId="171" fontId="15" fillId="0" borderId="22" xfId="0" applyNumberFormat="1" applyFont="1" applyFill="1" applyBorder="1" applyAlignment="1">
      <alignment horizontal="left" vertical="center" wrapText="1"/>
    </xf>
    <xf numFmtId="0" fontId="282" fillId="0" borderId="23" xfId="0" applyFont="1" applyBorder="1" applyAlignment="1">
      <alignment wrapText="1"/>
    </xf>
    <xf numFmtId="0" fontId="17" fillId="0" borderId="23" xfId="0" applyFont="1" applyFill="1" applyBorder="1" applyAlignment="1">
      <alignment vertical="center" wrapText="1"/>
    </xf>
    <xf numFmtId="0" fontId="120" fillId="0" borderId="0" xfId="0" applyFont="1" applyFill="1" applyBorder="1" applyAlignment="1">
      <alignment horizontal="center" vertical="center"/>
    </xf>
    <xf numFmtId="0" fontId="282" fillId="0" borderId="73" xfId="0" applyFont="1" applyBorder="1" applyAlignment="1">
      <alignment horizontal="center" vertical="center" wrapText="1"/>
    </xf>
    <xf numFmtId="0" fontId="292" fillId="0" borderId="117" xfId="0" applyFont="1" applyFill="1" applyBorder="1" applyAlignment="1">
      <alignment vertical="center" wrapText="1"/>
    </xf>
    <xf numFmtId="0" fontId="15" fillId="0" borderId="22" xfId="0" applyNumberFormat="1" applyFont="1" applyFill="1" applyBorder="1" applyAlignment="1">
      <alignment horizontal="left" vertical="center" wrapText="1"/>
    </xf>
    <xf numFmtId="0" fontId="292" fillId="47" borderId="117" xfId="0" applyFont="1" applyFill="1" applyBorder="1" applyAlignment="1">
      <alignment vertical="center" wrapText="1"/>
    </xf>
    <xf numFmtId="0" fontId="282" fillId="0" borderId="80" xfId="0" applyFont="1" applyBorder="1" applyAlignment="1">
      <alignment horizontal="center" vertical="center" wrapText="1"/>
    </xf>
    <xf numFmtId="0" fontId="17" fillId="0" borderId="61" xfId="0" applyFont="1" applyFill="1" applyBorder="1" applyAlignment="1">
      <alignment vertical="center" wrapText="1"/>
    </xf>
    <xf numFmtId="0" fontId="293" fillId="0" borderId="273" xfId="0" applyFont="1" applyBorder="1" applyAlignment="1">
      <alignment wrapText="1"/>
    </xf>
    <xf numFmtId="171" fontId="294" fillId="26" borderId="0" xfId="0" applyNumberFormat="1" applyFont="1" applyFill="1" applyBorder="1" applyAlignment="1">
      <alignment horizontal="center" vertical="center" wrapText="1"/>
    </xf>
    <xf numFmtId="171" fontId="294" fillId="26" borderId="0" xfId="0" applyNumberFormat="1" applyFont="1" applyFill="1" applyBorder="1" applyAlignment="1">
      <alignment horizontal="center" vertical="center"/>
    </xf>
    <xf numFmtId="0" fontId="120" fillId="0" borderId="0" xfId="0" applyFont="1" applyFill="1" applyBorder="1" applyAlignment="1">
      <alignment horizontal="left" vertical="center"/>
    </xf>
    <xf numFmtId="171" fontId="291" fillId="0" borderId="285" xfId="0" applyNumberFormat="1" applyFont="1" applyBorder="1" applyAlignment="1">
      <alignment horizontal="center" vertical="center"/>
    </xf>
    <xf numFmtId="171" fontId="291" fillId="0" borderId="61" xfId="0" applyNumberFormat="1" applyFont="1" applyBorder="1" applyAlignment="1">
      <alignment horizontal="center" vertical="center"/>
    </xf>
    <xf numFmtId="171" fontId="289" fillId="0" borderId="287" xfId="0" applyNumberFormat="1" applyFont="1" applyFill="1" applyBorder="1" applyAlignment="1">
      <alignment horizontal="center" vertical="center" wrapText="1"/>
    </xf>
    <xf numFmtId="171" fontId="291" fillId="34" borderId="284" xfId="0" applyNumberFormat="1" applyFont="1" applyFill="1" applyBorder="1" applyAlignment="1">
      <alignment horizontal="center" vertical="center" wrapText="1"/>
    </xf>
    <xf numFmtId="171" fontId="291" fillId="34" borderId="288" xfId="0" applyNumberFormat="1" applyFont="1" applyFill="1" applyBorder="1" applyAlignment="1">
      <alignment horizontal="center" vertical="center" wrapText="1"/>
    </xf>
    <xf numFmtId="171" fontId="291" fillId="34" borderId="281" xfId="0" applyNumberFormat="1" applyFont="1" applyFill="1" applyBorder="1" applyAlignment="1">
      <alignment horizontal="center" vertical="center" wrapText="1"/>
    </xf>
    <xf numFmtId="171" fontId="288" fillId="34" borderId="284" xfId="0" applyNumberFormat="1" applyFont="1" applyFill="1" applyBorder="1" applyAlignment="1">
      <alignment horizontal="center" vertical="center" wrapText="1"/>
    </xf>
    <xf numFmtId="171" fontId="288" fillId="34" borderId="288" xfId="0" applyNumberFormat="1" applyFont="1" applyFill="1" applyBorder="1" applyAlignment="1">
      <alignment horizontal="center" vertical="center" wrapText="1"/>
    </xf>
    <xf numFmtId="171" fontId="288" fillId="34" borderId="281" xfId="0" applyNumberFormat="1" applyFont="1" applyFill="1" applyBorder="1" applyAlignment="1">
      <alignment horizontal="center" vertical="center" wrapText="1"/>
    </xf>
    <xf numFmtId="0" fontId="34" fillId="34" borderId="61" xfId="0" applyNumberFormat="1" applyFont="1" applyFill="1" applyBorder="1" applyAlignment="1">
      <alignment horizontal="center" vertical="center"/>
    </xf>
    <xf numFmtId="171" fontId="290" fillId="34" borderId="55" xfId="0" applyNumberFormat="1" applyFont="1" applyFill="1" applyBorder="1" applyAlignment="1">
      <alignment horizontal="center" vertical="center" wrapText="1"/>
    </xf>
    <xf numFmtId="0" fontId="185" fillId="67" borderId="45" xfId="0" applyFont="1" applyFill="1" applyBorder="1" applyAlignment="1">
      <alignment horizontal="center" vertical="center" wrapText="1"/>
    </xf>
    <xf numFmtId="0" fontId="105" fillId="67" borderId="43" xfId="0" applyFont="1" applyFill="1" applyBorder="1" applyAlignment="1">
      <alignment horizontal="center" vertical="center" wrapText="1"/>
    </xf>
    <xf numFmtId="0" fontId="105" fillId="67" borderId="129" xfId="0" applyFont="1" applyFill="1" applyBorder="1" applyAlignment="1">
      <alignment horizontal="center" vertical="center" wrapText="1"/>
    </xf>
    <xf numFmtId="0" fontId="105" fillId="67" borderId="130" xfId="0" applyFont="1" applyFill="1" applyBorder="1" applyAlignment="1">
      <alignment horizontal="left" vertical="center" wrapText="1"/>
    </xf>
    <xf numFmtId="0" fontId="105" fillId="67" borderId="45" xfId="0" applyFont="1" applyFill="1" applyBorder="1" applyAlignment="1">
      <alignment horizontal="center" vertical="center" wrapText="1"/>
    </xf>
    <xf numFmtId="0" fontId="105" fillId="67" borderId="129" xfId="0" applyNumberFormat="1" applyFont="1" applyFill="1" applyBorder="1" applyAlignment="1">
      <alignment horizontal="center" vertical="center" wrapText="1"/>
    </xf>
    <xf numFmtId="0" fontId="105" fillId="67" borderId="76" xfId="0" applyFont="1" applyFill="1" applyBorder="1" applyAlignment="1">
      <alignment wrapText="1"/>
    </xf>
    <xf numFmtId="177" fontId="105" fillId="67" borderId="129" xfId="0" applyNumberFormat="1" applyFont="1" applyFill="1" applyBorder="1" applyAlignment="1">
      <alignment horizontal="center" vertical="center" wrapText="1"/>
    </xf>
    <xf numFmtId="0" fontId="105" fillId="67" borderId="76" xfId="0" applyFont="1" applyFill="1" applyBorder="1" applyAlignment="1">
      <alignment horizontal="center" vertical="center" wrapText="1"/>
    </xf>
    <xf numFmtId="0" fontId="105" fillId="67" borderId="131" xfId="0" applyFont="1" applyFill="1" applyBorder="1" applyAlignment="1">
      <alignment horizontal="center" vertical="center" wrapText="1"/>
    </xf>
    <xf numFmtId="0" fontId="74" fillId="67" borderId="129" xfId="0" applyFont="1" applyFill="1" applyBorder="1" applyAlignment="1">
      <alignment horizontal="center" vertical="center" wrapText="1"/>
    </xf>
    <xf numFmtId="0" fontId="74" fillId="67" borderId="43" xfId="0" applyFont="1" applyFill="1" applyBorder="1" applyAlignment="1">
      <alignment horizontal="center" vertical="center" wrapText="1"/>
    </xf>
    <xf numFmtId="0" fontId="54" fillId="67" borderId="45" xfId="0" applyFont="1" applyFill="1" applyBorder="1" applyAlignment="1">
      <alignment horizontal="center" vertical="center" wrapText="1"/>
    </xf>
    <xf numFmtId="0" fontId="54" fillId="67" borderId="76" xfId="0" applyFont="1" applyFill="1" applyBorder="1" applyAlignment="1">
      <alignment horizontal="center" vertical="center" wrapText="1"/>
    </xf>
    <xf numFmtId="0" fontId="28" fillId="67" borderId="129" xfId="0" applyNumberFormat="1" applyFont="1" applyFill="1" applyBorder="1" applyAlignment="1">
      <alignment horizontal="center" vertical="center"/>
    </xf>
    <xf numFmtId="0" fontId="223" fillId="67" borderId="129" xfId="0" applyNumberFormat="1" applyFont="1" applyFill="1" applyBorder="1" applyAlignment="1">
      <alignment horizontal="center" vertical="center" wrapText="1"/>
    </xf>
    <xf numFmtId="0" fontId="54" fillId="67" borderId="129" xfId="0" applyFont="1" applyFill="1" applyBorder="1" applyAlignment="1">
      <alignment horizontal="center" vertical="center" wrapText="1"/>
    </xf>
    <xf numFmtId="0" fontId="54" fillId="67" borderId="76" xfId="0" applyFont="1" applyFill="1" applyBorder="1"/>
    <xf numFmtId="177" fontId="74" fillId="67" borderId="129" xfId="0" applyNumberFormat="1" applyFont="1" applyFill="1" applyBorder="1" applyAlignment="1">
      <alignment horizontal="center" vertical="center" wrapText="1"/>
    </xf>
    <xf numFmtId="0" fontId="54" fillId="67" borderId="131" xfId="0" applyFont="1" applyFill="1" applyBorder="1" applyAlignment="1">
      <alignment horizontal="center" vertical="center"/>
    </xf>
    <xf numFmtId="171" fontId="53" fillId="34" borderId="180" xfId="0" applyNumberFormat="1" applyFont="1" applyFill="1" applyBorder="1" applyAlignment="1">
      <alignment horizontal="center" vertical="center" wrapText="1"/>
    </xf>
    <xf numFmtId="0" fontId="53" fillId="34" borderId="60" xfId="0" applyFont="1" applyFill="1" applyBorder="1" applyAlignment="1">
      <alignment horizontal="center" vertical="center" wrapText="1"/>
    </xf>
    <xf numFmtId="0" fontId="45" fillId="34" borderId="118" xfId="0" applyNumberFormat="1" applyFont="1" applyFill="1" applyBorder="1" applyAlignment="1">
      <alignment horizontal="center" vertical="center"/>
    </xf>
    <xf numFmtId="169" fontId="45" fillId="34" borderId="118" xfId="984" applyFont="1" applyFill="1" applyBorder="1" applyAlignment="1">
      <alignment horizontal="center" vertical="center"/>
    </xf>
    <xf numFmtId="0" fontId="254" fillId="0" borderId="29" xfId="0" applyFont="1" applyFill="1" applyBorder="1" applyAlignment="1">
      <alignment horizontal="left" vertical="center" wrapText="1"/>
    </xf>
    <xf numFmtId="0" fontId="254" fillId="0" borderId="17" xfId="0" applyFont="1" applyFill="1" applyBorder="1" applyAlignment="1">
      <alignment horizontal="left" vertical="center" wrapText="1"/>
    </xf>
    <xf numFmtId="0" fontId="254" fillId="0" borderId="52" xfId="0" applyFont="1" applyFill="1" applyBorder="1" applyAlignment="1">
      <alignment horizontal="left" vertical="center" wrapText="1"/>
    </xf>
    <xf numFmtId="9" fontId="81" fillId="0" borderId="118" xfId="983" applyFont="1" applyFill="1" applyBorder="1" applyAlignment="1">
      <alignment horizontal="center" vertical="center" wrapText="1"/>
    </xf>
    <xf numFmtId="0" fontId="38" fillId="0" borderId="0" xfId="0" applyFont="1" applyFill="1" applyBorder="1" applyAlignment="1">
      <alignment horizontal="right"/>
    </xf>
    <xf numFmtId="0" fontId="45" fillId="34" borderId="118" xfId="0" applyNumberFormat="1" applyFont="1" applyFill="1" applyBorder="1" applyAlignment="1">
      <alignment horizontal="center" vertical="center" wrapText="1"/>
    </xf>
    <xf numFmtId="171" fontId="97" fillId="23" borderId="2" xfId="0" applyNumberFormat="1" applyFont="1" applyFill="1" applyBorder="1" applyAlignment="1">
      <alignment horizontal="center" vertical="center" wrapText="1"/>
    </xf>
    <xf numFmtId="171" fontId="34" fillId="0" borderId="0" xfId="0" applyNumberFormat="1" applyFont="1" applyFill="1" applyBorder="1" applyAlignment="1">
      <alignment horizontal="center" vertical="center"/>
    </xf>
    <xf numFmtId="171" fontId="34" fillId="0" borderId="118" xfId="0" applyNumberFormat="1" applyFont="1" applyFill="1" applyBorder="1" applyAlignment="1">
      <alignment horizontal="center" vertical="center"/>
    </xf>
    <xf numFmtId="171" fontId="295" fillId="23" borderId="2" xfId="0" applyNumberFormat="1" applyFont="1" applyFill="1" applyBorder="1" applyAlignment="1">
      <alignment horizontal="center" vertical="center" wrapText="1"/>
    </xf>
    <xf numFmtId="171" fontId="36" fillId="0" borderId="0" xfId="0" applyNumberFormat="1" applyFont="1" applyFill="1" applyBorder="1" applyAlignment="1">
      <alignment horizontal="center" vertical="center"/>
    </xf>
    <xf numFmtId="171" fontId="36" fillId="0" borderId="118" xfId="0" applyNumberFormat="1" applyFont="1" applyFill="1" applyBorder="1" applyAlignment="1">
      <alignment horizontal="center" vertical="center"/>
    </xf>
    <xf numFmtId="0" fontId="70" fillId="0" borderId="60" xfId="0" applyFont="1" applyFill="1" applyBorder="1" applyAlignment="1">
      <alignment vertical="center"/>
    </xf>
    <xf numFmtId="0" fontId="70" fillId="0" borderId="59" xfId="0" applyFont="1" applyFill="1" applyBorder="1" applyAlignment="1">
      <alignment vertical="center"/>
    </xf>
    <xf numFmtId="0" fontId="44" fillId="0" borderId="291" xfId="0" applyFont="1" applyFill="1" applyBorder="1" applyAlignment="1">
      <alignment wrapText="1"/>
    </xf>
    <xf numFmtId="0" fontId="45" fillId="0" borderId="61" xfId="0" applyFont="1" applyFill="1" applyBorder="1" applyAlignment="1">
      <alignment vertical="center" wrapText="1"/>
    </xf>
    <xf numFmtId="0" fontId="29" fillId="0" borderId="14" xfId="0" applyFont="1" applyBorder="1" applyAlignment="1">
      <alignment horizontal="center" vertical="center" wrapText="1"/>
    </xf>
    <xf numFmtId="0" fontId="254" fillId="47" borderId="15" xfId="0" applyFont="1" applyFill="1" applyBorder="1" applyAlignment="1">
      <alignment vertical="center" wrapText="1"/>
    </xf>
    <xf numFmtId="0" fontId="29" fillId="0" borderId="294" xfId="0" applyFont="1" applyBorder="1" applyAlignment="1">
      <alignment horizontal="center" vertical="center" wrapText="1"/>
    </xf>
    <xf numFmtId="0" fontId="254" fillId="47" borderId="295" xfId="0" applyFont="1" applyFill="1" applyBorder="1" applyAlignment="1">
      <alignment vertical="center" wrapText="1"/>
    </xf>
    <xf numFmtId="0" fontId="45" fillId="0" borderId="294" xfId="0" applyFont="1" applyFill="1" applyBorder="1" applyAlignment="1">
      <alignment vertical="center" wrapText="1"/>
    </xf>
    <xf numFmtId="3" fontId="3" fillId="0" borderId="279" xfId="0" applyNumberFormat="1" applyFont="1" applyFill="1" applyBorder="1" applyAlignment="1">
      <alignment horizontal="center" vertical="center"/>
    </xf>
    <xf numFmtId="171" fontId="36" fillId="0" borderId="59" xfId="0" applyNumberFormat="1" applyFont="1" applyFill="1" applyBorder="1" applyAlignment="1">
      <alignment horizontal="center" vertical="center"/>
    </xf>
    <xf numFmtId="0" fontId="287" fillId="0" borderId="118" xfId="0" applyNumberFormat="1" applyFont="1" applyFill="1" applyBorder="1" applyAlignment="1">
      <alignment horizontal="center" vertical="center" wrapText="1"/>
    </xf>
    <xf numFmtId="0" fontId="29" fillId="0" borderId="30" xfId="0" applyFont="1" applyFill="1" applyBorder="1" applyAlignment="1">
      <alignment horizontal="center" vertical="center" wrapText="1"/>
    </xf>
    <xf numFmtId="0" fontId="282" fillId="0" borderId="0" xfId="0" applyFont="1" applyFill="1" applyBorder="1" applyAlignment="1">
      <alignment vertical="center" wrapText="1"/>
    </xf>
    <xf numFmtId="0" fontId="29" fillId="0" borderId="0" xfId="0" applyFont="1" applyFill="1" applyBorder="1" applyAlignment="1">
      <alignment vertical="center" wrapText="1"/>
    </xf>
    <xf numFmtId="171" fontId="290" fillId="23" borderId="2" xfId="0" applyNumberFormat="1" applyFont="1" applyFill="1" applyBorder="1" applyAlignment="1">
      <alignment horizontal="center" vertical="center" wrapText="1"/>
    </xf>
    <xf numFmtId="171" fontId="290" fillId="0" borderId="118" xfId="0" applyNumberFormat="1" applyFont="1" applyFill="1" applyBorder="1" applyAlignment="1">
      <alignment horizontal="center" vertical="center"/>
    </xf>
    <xf numFmtId="171" fontId="290" fillId="0" borderId="0" xfId="0" applyNumberFormat="1" applyFont="1" applyFill="1" applyBorder="1" applyAlignment="1">
      <alignment horizontal="center" vertical="center"/>
    </xf>
    <xf numFmtId="180" fontId="290" fillId="0" borderId="59" xfId="0" applyNumberFormat="1" applyFont="1" applyFill="1" applyBorder="1" applyAlignment="1">
      <alignment horizontal="center" vertical="center" wrapText="1"/>
    </xf>
    <xf numFmtId="0" fontId="54" fillId="0" borderId="117" xfId="0" applyFont="1" applyFill="1" applyBorder="1" applyAlignment="1">
      <alignment wrapText="1"/>
    </xf>
    <xf numFmtId="0" fontId="3" fillId="0" borderId="30" xfId="0" applyFont="1" applyBorder="1" applyAlignment="1">
      <alignment horizontal="left" vertical="center"/>
    </xf>
    <xf numFmtId="0" fontId="3" fillId="0" borderId="16" xfId="0" applyFont="1" applyBorder="1" applyAlignment="1">
      <alignment horizontal="left" vertical="center"/>
    </xf>
    <xf numFmtId="171" fontId="288" fillId="0" borderId="118" xfId="0" applyNumberFormat="1" applyFont="1" applyFill="1" applyBorder="1" applyAlignment="1">
      <alignment horizontal="center" vertical="center" wrapText="1"/>
    </xf>
    <xf numFmtId="171" fontId="288" fillId="0" borderId="59" xfId="0" applyNumberFormat="1" applyFont="1" applyFill="1" applyBorder="1" applyAlignment="1">
      <alignment horizontal="center" vertical="center" wrapText="1"/>
    </xf>
    <xf numFmtId="171" fontId="288" fillId="0" borderId="0" xfId="0" applyNumberFormat="1" applyFont="1" applyFill="1" applyBorder="1" applyAlignment="1">
      <alignment horizontal="center" vertical="center" wrapText="1"/>
    </xf>
    <xf numFmtId="3" fontId="34" fillId="34" borderId="118" xfId="0" applyNumberFormat="1" applyFont="1" applyFill="1" applyBorder="1" applyAlignment="1">
      <alignment horizontal="center" vertical="center"/>
    </xf>
    <xf numFmtId="3" fontId="34" fillId="0" borderId="279" xfId="0" applyNumberFormat="1" applyFont="1" applyFill="1" applyBorder="1" applyAlignment="1">
      <alignment horizontal="center" vertical="center"/>
    </xf>
    <xf numFmtId="178" fontId="34" fillId="0" borderId="118" xfId="982" applyNumberFormat="1" applyFont="1" applyFill="1" applyBorder="1" applyAlignment="1">
      <alignment horizontal="center" vertical="center"/>
    </xf>
    <xf numFmtId="3" fontId="288" fillId="34" borderId="118" xfId="0" applyNumberFormat="1" applyFont="1" applyFill="1" applyBorder="1" applyAlignment="1">
      <alignment horizontal="center" vertical="center"/>
    </xf>
    <xf numFmtId="3" fontId="34" fillId="34" borderId="59" xfId="0" applyNumberFormat="1" applyFont="1" applyFill="1" applyBorder="1" applyAlignment="1">
      <alignment horizontal="center" vertical="center"/>
    </xf>
    <xf numFmtId="171" fontId="36" fillId="0" borderId="0" xfId="0" applyNumberFormat="1" applyFont="1" applyBorder="1" applyAlignment="1">
      <alignment horizontal="center"/>
    </xf>
    <xf numFmtId="171" fontId="35" fillId="0" borderId="0" xfId="10" applyNumberFormat="1" applyFont="1" applyFill="1" applyBorder="1" applyAlignment="1">
      <alignment horizontal="left"/>
    </xf>
    <xf numFmtId="0" fontId="295" fillId="23" borderId="0" xfId="0" applyFont="1" applyFill="1" applyBorder="1"/>
    <xf numFmtId="0" fontId="289" fillId="0" borderId="0" xfId="0" applyFont="1" applyFill="1" applyBorder="1"/>
    <xf numFmtId="0" fontId="36" fillId="40" borderId="45" xfId="0" applyFont="1" applyFill="1" applyBorder="1" applyAlignment="1">
      <alignment vertical="center" wrapText="1"/>
    </xf>
    <xf numFmtId="0" fontId="36" fillId="43" borderId="45" xfId="0" applyFont="1" applyFill="1" applyBorder="1" applyAlignment="1">
      <alignment vertical="center" wrapText="1"/>
    </xf>
    <xf numFmtId="171" fontId="288" fillId="34" borderId="52" xfId="0" applyNumberFormat="1" applyFont="1" applyFill="1" applyBorder="1" applyAlignment="1">
      <alignment horizontal="center" vertical="center" wrapText="1"/>
    </xf>
    <xf numFmtId="0" fontId="295" fillId="23" borderId="61" xfId="0" applyFont="1" applyFill="1" applyBorder="1"/>
    <xf numFmtId="0" fontId="288" fillId="0" borderId="0" xfId="0" applyFont="1" applyFill="1" applyBorder="1"/>
    <xf numFmtId="177" fontId="288" fillId="0" borderId="0" xfId="0" applyNumberFormat="1" applyFont="1" applyFill="1" applyBorder="1" applyAlignment="1">
      <alignment horizontal="center" vertical="center" wrapText="1"/>
    </xf>
    <xf numFmtId="9" fontId="34" fillId="0" borderId="0" xfId="983" applyFont="1" applyBorder="1" applyAlignment="1">
      <alignment horizontal="center" vertical="center"/>
    </xf>
    <xf numFmtId="0" fontId="288" fillId="0" borderId="79" xfId="0" applyFont="1" applyFill="1" applyBorder="1" applyAlignment="1">
      <alignment horizontal="center" vertical="center"/>
    </xf>
    <xf numFmtId="177" fontId="288" fillId="0" borderId="118" xfId="0" applyNumberFormat="1" applyFont="1" applyFill="1" applyBorder="1" applyAlignment="1">
      <alignment horizontal="center" vertical="center" wrapText="1"/>
    </xf>
    <xf numFmtId="9" fontId="288" fillId="0" borderId="118" xfId="983" applyFont="1" applyFill="1" applyBorder="1" applyAlignment="1">
      <alignment horizontal="center" vertical="center" wrapText="1"/>
    </xf>
    <xf numFmtId="9" fontId="34" fillId="22" borderId="118" xfId="0" applyNumberFormat="1" applyFont="1" applyFill="1" applyBorder="1" applyAlignment="1">
      <alignment horizontal="center" vertical="center"/>
    </xf>
    <xf numFmtId="9" fontId="289" fillId="34" borderId="118" xfId="0" applyNumberFormat="1" applyFont="1" applyFill="1" applyBorder="1" applyAlignment="1">
      <alignment horizontal="center" vertical="center"/>
    </xf>
    <xf numFmtId="168" fontId="289" fillId="34" borderId="118" xfId="982" applyFont="1" applyFill="1" applyBorder="1" applyAlignment="1">
      <alignment horizontal="center" vertical="center"/>
    </xf>
    <xf numFmtId="171" fontId="288" fillId="34" borderId="119" xfId="0" applyNumberFormat="1" applyFont="1" applyFill="1" applyBorder="1" applyAlignment="1">
      <alignment horizontal="center" vertical="center" wrapText="1"/>
    </xf>
    <xf numFmtId="171" fontId="34" fillId="0" borderId="79" xfId="0" applyNumberFormat="1" applyFont="1" applyFill="1" applyBorder="1" applyAlignment="1">
      <alignment horizontal="center" vertical="center"/>
    </xf>
    <xf numFmtId="0" fontId="34" fillId="22" borderId="118" xfId="0" applyNumberFormat="1" applyFont="1" applyFill="1" applyBorder="1" applyAlignment="1">
      <alignment horizontal="center" vertical="center"/>
    </xf>
    <xf numFmtId="0" fontId="289" fillId="34" borderId="118" xfId="0" applyNumberFormat="1" applyFont="1" applyFill="1" applyBorder="1" applyAlignment="1">
      <alignment horizontal="center" vertical="center"/>
    </xf>
    <xf numFmtId="171" fontId="34" fillId="0" borderId="128" xfId="0" applyNumberFormat="1" applyFont="1" applyFill="1" applyBorder="1" applyAlignment="1">
      <alignment horizontal="center" vertical="center"/>
    </xf>
    <xf numFmtId="9" fontId="288" fillId="0" borderId="0" xfId="983" applyFont="1" applyFill="1" applyBorder="1"/>
    <xf numFmtId="177" fontId="288" fillId="0" borderId="0" xfId="0" applyNumberFormat="1" applyFont="1" applyFill="1" applyBorder="1"/>
    <xf numFmtId="2" fontId="288" fillId="0" borderId="118" xfId="0" applyNumberFormat="1" applyFont="1" applyFill="1" applyBorder="1" applyAlignment="1">
      <alignment horizontal="center" vertical="center" wrapText="1"/>
    </xf>
    <xf numFmtId="9" fontId="97" fillId="0" borderId="118" xfId="0" applyNumberFormat="1" applyFont="1" applyFill="1" applyBorder="1" applyAlignment="1">
      <alignment horizontal="center" vertical="center"/>
    </xf>
    <xf numFmtId="177" fontId="97" fillId="0" borderId="118" xfId="0" applyNumberFormat="1" applyFont="1" applyFill="1" applyBorder="1" applyAlignment="1">
      <alignment horizontal="center" vertical="center" wrapText="1"/>
    </xf>
    <xf numFmtId="0" fontId="288" fillId="0" borderId="128" xfId="0" applyFont="1" applyFill="1" applyBorder="1" applyAlignment="1">
      <alignment horizontal="center" vertical="center"/>
    </xf>
    <xf numFmtId="177" fontId="288" fillId="0" borderId="59" xfId="0" applyNumberFormat="1" applyFont="1" applyFill="1" applyBorder="1" applyAlignment="1">
      <alignment horizontal="center" vertical="center" wrapText="1"/>
    </xf>
    <xf numFmtId="9" fontId="288" fillId="0" borderId="59" xfId="983" applyFont="1" applyFill="1" applyBorder="1" applyAlignment="1">
      <alignment horizontal="center" vertical="center" wrapText="1"/>
    </xf>
    <xf numFmtId="0" fontId="34" fillId="22" borderId="59" xfId="0" applyNumberFormat="1" applyFont="1" applyFill="1" applyBorder="1" applyAlignment="1">
      <alignment horizontal="center" vertical="center"/>
    </xf>
    <xf numFmtId="0" fontId="289" fillId="34" borderId="59" xfId="0" applyNumberFormat="1" applyFont="1" applyFill="1" applyBorder="1" applyAlignment="1">
      <alignment horizontal="center" vertical="center"/>
    </xf>
    <xf numFmtId="168" fontId="289" fillId="34" borderId="59" xfId="982" applyFont="1" applyFill="1" applyBorder="1" applyAlignment="1">
      <alignment horizontal="center" vertical="center"/>
    </xf>
    <xf numFmtId="171" fontId="34" fillId="0" borderId="59" xfId="0" applyNumberFormat="1" applyFont="1" applyFill="1" applyBorder="1" applyAlignment="1">
      <alignment horizontal="center" vertical="center"/>
    </xf>
    <xf numFmtId="171" fontId="288" fillId="34" borderId="58" xfId="0" applyNumberFormat="1" applyFont="1" applyFill="1" applyBorder="1" applyAlignment="1">
      <alignment horizontal="center" vertical="center" wrapText="1"/>
    </xf>
    <xf numFmtId="171" fontId="34" fillId="0" borderId="127" xfId="0" applyNumberFormat="1" applyFont="1" applyFill="1" applyBorder="1" applyAlignment="1">
      <alignment horizontal="center" vertical="center"/>
    </xf>
    <xf numFmtId="9" fontId="288" fillId="0" borderId="0" xfId="983" applyFont="1" applyFill="1" applyBorder="1" applyAlignment="1">
      <alignment horizontal="center" vertical="center" wrapText="1"/>
    </xf>
    <xf numFmtId="0" fontId="34" fillId="0" borderId="0" xfId="0" applyNumberFormat="1" applyFont="1" applyFill="1" applyBorder="1" applyAlignment="1">
      <alignment horizontal="center" vertical="center"/>
    </xf>
    <xf numFmtId="0" fontId="289" fillId="0" borderId="0" xfId="0" applyNumberFormat="1" applyFont="1" applyFill="1" applyBorder="1" applyAlignment="1">
      <alignment horizontal="center" vertical="center"/>
    </xf>
    <xf numFmtId="168" fontId="289" fillId="0" borderId="0" xfId="982" applyFont="1" applyFill="1" applyBorder="1" applyAlignment="1">
      <alignment horizontal="center" vertical="center"/>
    </xf>
    <xf numFmtId="2" fontId="288" fillId="0" borderId="0" xfId="0" applyNumberFormat="1" applyFont="1" applyFill="1" applyBorder="1" applyAlignment="1">
      <alignment horizontal="center" vertical="center" wrapText="1"/>
    </xf>
    <xf numFmtId="9" fontId="34" fillId="0" borderId="0" xfId="0" applyNumberFormat="1" applyFont="1" applyFill="1" applyBorder="1" applyAlignment="1">
      <alignment horizontal="center" vertical="center"/>
    </xf>
    <xf numFmtId="0" fontId="288" fillId="0" borderId="118" xfId="0" applyFont="1" applyFill="1" applyBorder="1"/>
    <xf numFmtId="9" fontId="34" fillId="0" borderId="118" xfId="0" applyNumberFormat="1" applyFont="1" applyFill="1" applyBorder="1" applyAlignment="1">
      <alignment horizontal="center" vertical="center"/>
    </xf>
    <xf numFmtId="0" fontId="288" fillId="0" borderId="117" xfId="0" applyFont="1" applyFill="1" applyBorder="1" applyAlignment="1">
      <alignment horizontal="center" vertical="center"/>
    </xf>
    <xf numFmtId="177" fontId="288" fillId="0" borderId="279" xfId="0" applyNumberFormat="1" applyFont="1" applyFill="1" applyBorder="1" applyAlignment="1">
      <alignment horizontal="center" vertical="center" wrapText="1"/>
    </xf>
    <xf numFmtId="0" fontId="288" fillId="0" borderId="295" xfId="0" applyFont="1" applyFill="1" applyBorder="1"/>
    <xf numFmtId="9" fontId="288" fillId="0" borderId="279" xfId="983" applyFont="1" applyFill="1" applyBorder="1" applyAlignment="1">
      <alignment horizontal="center" vertical="center" wrapText="1"/>
    </xf>
    <xf numFmtId="9" fontId="34" fillId="0" borderId="279" xfId="0" applyNumberFormat="1" applyFont="1" applyFill="1" applyBorder="1" applyAlignment="1">
      <alignment horizontal="center" vertical="center"/>
    </xf>
    <xf numFmtId="171" fontId="34" fillId="0" borderId="279" xfId="0" applyNumberFormat="1" applyFont="1" applyFill="1" applyBorder="1" applyAlignment="1">
      <alignment horizontal="center" vertical="center"/>
    </xf>
    <xf numFmtId="0" fontId="288" fillId="0" borderId="23" xfId="0" applyFont="1" applyFill="1" applyBorder="1" applyAlignment="1">
      <alignment horizontal="center" vertical="center"/>
    </xf>
    <xf numFmtId="186" fontId="288" fillId="0" borderId="118" xfId="0" applyNumberFormat="1" applyFont="1" applyFill="1" applyBorder="1" applyAlignment="1">
      <alignment horizontal="center" vertical="center" wrapText="1"/>
    </xf>
    <xf numFmtId="9" fontId="34" fillId="34" borderId="118" xfId="0" applyNumberFormat="1" applyFont="1" applyFill="1" applyBorder="1" applyAlignment="1">
      <alignment horizontal="center" vertical="center"/>
    </xf>
    <xf numFmtId="168" fontId="34" fillId="34" borderId="118" xfId="982" applyFont="1" applyFill="1" applyBorder="1" applyAlignment="1">
      <alignment horizontal="center" vertical="center"/>
    </xf>
    <xf numFmtId="171" fontId="34" fillId="0" borderId="118" xfId="0" applyNumberFormat="1" applyFont="1" applyBorder="1" applyAlignment="1">
      <alignment horizontal="center" vertical="center"/>
    </xf>
    <xf numFmtId="0" fontId="288" fillId="0" borderId="128" xfId="0" quotePrefix="1" applyFont="1" applyFill="1" applyBorder="1" applyAlignment="1">
      <alignment horizontal="center" vertical="center"/>
    </xf>
    <xf numFmtId="171" fontId="34" fillId="34" borderId="118" xfId="0" applyNumberFormat="1" applyFont="1" applyFill="1" applyBorder="1" applyAlignment="1">
      <alignment horizontal="center" vertical="center"/>
    </xf>
    <xf numFmtId="0" fontId="288" fillId="47" borderId="128" xfId="0" quotePrefix="1" applyFont="1" applyFill="1" applyBorder="1" applyAlignment="1">
      <alignment horizontal="center" vertical="center"/>
    </xf>
    <xf numFmtId="0" fontId="288" fillId="0" borderId="0" xfId="0" applyFont="1" applyFill="1" applyBorder="1" applyAlignment="1">
      <alignment vertical="center"/>
    </xf>
    <xf numFmtId="0" fontId="288" fillId="0" borderId="127" xfId="0" quotePrefix="1" applyFont="1" applyFill="1" applyBorder="1" applyAlignment="1">
      <alignment horizontal="center" vertical="center"/>
    </xf>
    <xf numFmtId="185" fontId="288" fillId="0" borderId="59" xfId="0" applyNumberFormat="1" applyFont="1" applyFill="1" applyBorder="1" applyAlignment="1">
      <alignment horizontal="center" vertical="center" wrapText="1"/>
    </xf>
    <xf numFmtId="171" fontId="34" fillId="0" borderId="59" xfId="0" applyNumberFormat="1" applyFont="1" applyBorder="1" applyAlignment="1">
      <alignment horizontal="center" vertical="center"/>
    </xf>
    <xf numFmtId="186" fontId="288" fillId="0" borderId="59" xfId="0" applyNumberFormat="1" applyFont="1" applyFill="1" applyBorder="1" applyAlignment="1">
      <alignment horizontal="center" vertical="center" wrapText="1"/>
    </xf>
    <xf numFmtId="180" fontId="288" fillId="0" borderId="59" xfId="0" applyNumberFormat="1" applyFont="1" applyFill="1" applyBorder="1" applyAlignment="1">
      <alignment horizontal="center" vertical="center" wrapText="1"/>
    </xf>
    <xf numFmtId="171" fontId="34" fillId="0" borderId="52" xfId="0" applyNumberFormat="1" applyFont="1" applyBorder="1" applyAlignment="1">
      <alignment horizontal="center" vertical="center"/>
    </xf>
    <xf numFmtId="0" fontId="288" fillId="0" borderId="61" xfId="0" applyFont="1" applyFill="1" applyBorder="1" applyAlignment="1">
      <alignment vertical="center"/>
    </xf>
    <xf numFmtId="0" fontId="291" fillId="0" borderId="0" xfId="0" applyFont="1" applyFill="1" applyBorder="1"/>
    <xf numFmtId="171" fontId="36" fillId="0" borderId="0" xfId="0" applyNumberFormat="1" applyFont="1" applyBorder="1" applyAlignment="1">
      <alignment horizontal="center" vertical="center"/>
    </xf>
    <xf numFmtId="0" fontId="35" fillId="0" borderId="0" xfId="10" applyFont="1" applyFill="1" applyBorder="1" applyAlignment="1">
      <alignment horizontal="right"/>
    </xf>
    <xf numFmtId="0" fontId="35" fillId="0" borderId="0" xfId="10" applyFont="1" applyFill="1" applyBorder="1" applyAlignment="1">
      <alignment horizontal="left"/>
    </xf>
    <xf numFmtId="9" fontId="35" fillId="0" borderId="0" xfId="10" applyNumberFormat="1" applyFont="1" applyFill="1" applyBorder="1" applyAlignment="1">
      <alignment horizontal="right"/>
    </xf>
    <xf numFmtId="171" fontId="35" fillId="0" borderId="0" xfId="10" applyNumberFormat="1" applyFont="1" applyFill="1" applyBorder="1" applyAlignment="1">
      <alignment horizontal="center" vertical="center"/>
    </xf>
    <xf numFmtId="0" fontId="35" fillId="0" borderId="0" xfId="10" applyFont="1" applyFill="1" applyBorder="1" applyAlignment="1">
      <alignment horizontal="left" vertical="center"/>
    </xf>
    <xf numFmtId="171" fontId="295" fillId="23" borderId="0" xfId="0" applyNumberFormat="1" applyFont="1" applyFill="1" applyBorder="1"/>
    <xf numFmtId="171" fontId="295" fillId="23" borderId="0" xfId="0" applyNumberFormat="1" applyFont="1" applyFill="1" applyBorder="1" applyAlignment="1">
      <alignment horizontal="center" vertical="center"/>
    </xf>
    <xf numFmtId="0" fontId="290" fillId="23" borderId="0" xfId="0" applyFont="1" applyFill="1" applyBorder="1" applyAlignment="1">
      <alignment horizontal="center" vertical="center"/>
    </xf>
    <xf numFmtId="0" fontId="290" fillId="0" borderId="0" xfId="0" applyFont="1" applyFill="1" applyBorder="1" applyAlignment="1">
      <alignment horizontal="center" vertical="center"/>
    </xf>
    <xf numFmtId="0" fontId="289" fillId="0" borderId="0" xfId="0" applyFont="1" applyFill="1" applyBorder="1" applyAlignment="1">
      <alignment horizontal="center" vertical="center"/>
    </xf>
    <xf numFmtId="0" fontId="34" fillId="40" borderId="45" xfId="0" applyFont="1" applyFill="1" applyBorder="1" applyAlignment="1">
      <alignment horizontal="center" vertical="center" wrapText="1"/>
    </xf>
    <xf numFmtId="0" fontId="34" fillId="40" borderId="45" xfId="0" quotePrefix="1" applyFont="1" applyFill="1" applyBorder="1" applyAlignment="1">
      <alignment horizontal="center" vertical="center" wrapText="1"/>
    </xf>
    <xf numFmtId="0" fontId="36" fillId="40" borderId="45" xfId="0" applyFont="1" applyFill="1" applyBorder="1" applyAlignment="1">
      <alignment horizontal="center" vertical="center" wrapText="1"/>
    </xf>
    <xf numFmtId="0" fontId="291" fillId="40" borderId="45" xfId="0" applyFont="1" applyFill="1" applyBorder="1" applyAlignment="1">
      <alignment horizontal="center" vertical="center" wrapText="1"/>
    </xf>
    <xf numFmtId="0" fontId="288" fillId="40" borderId="124" xfId="0" applyFont="1" applyFill="1" applyBorder="1" applyAlignment="1">
      <alignment horizontal="center" vertical="center"/>
    </xf>
    <xf numFmtId="0" fontId="34" fillId="43" borderId="45" xfId="0" applyFont="1" applyFill="1" applyBorder="1" applyAlignment="1">
      <alignment horizontal="center" vertical="center" wrapText="1"/>
    </xf>
    <xf numFmtId="0" fontId="34" fillId="43" borderId="45" xfId="0" quotePrefix="1" applyFont="1" applyFill="1" applyBorder="1" applyAlignment="1">
      <alignment horizontal="center" vertical="center" wrapText="1"/>
    </xf>
    <xf numFmtId="0" fontId="36" fillId="43" borderId="45" xfId="0" applyFont="1" applyFill="1" applyBorder="1" applyAlignment="1">
      <alignment horizontal="center" vertical="center" wrapText="1"/>
    </xf>
    <xf numFmtId="0" fontId="291" fillId="43" borderId="45" xfId="0" applyFont="1" applyFill="1" applyBorder="1" applyAlignment="1">
      <alignment horizontal="center" vertical="center" wrapText="1"/>
    </xf>
    <xf numFmtId="0" fontId="288" fillId="43" borderId="124" xfId="0" applyFont="1" applyFill="1" applyBorder="1" applyAlignment="1">
      <alignment horizontal="center" vertical="center"/>
    </xf>
    <xf numFmtId="0" fontId="288" fillId="0" borderId="29" xfId="0" applyFont="1" applyFill="1" applyBorder="1" applyAlignment="1">
      <alignment horizontal="left" vertical="center"/>
    </xf>
    <xf numFmtId="171" fontId="34" fillId="0" borderId="15" xfId="0" applyNumberFormat="1" applyFont="1" applyBorder="1" applyAlignment="1">
      <alignment horizontal="center" vertical="center"/>
    </xf>
    <xf numFmtId="171" fontId="288" fillId="34" borderId="24" xfId="0" applyNumberFormat="1" applyFont="1" applyFill="1" applyBorder="1" applyAlignment="1">
      <alignment horizontal="center" vertical="center" wrapText="1"/>
    </xf>
    <xf numFmtId="171" fontId="34" fillId="0" borderId="29" xfId="0" applyNumberFormat="1" applyFont="1" applyBorder="1" applyAlignment="1">
      <alignment horizontal="center" vertical="center"/>
    </xf>
    <xf numFmtId="0" fontId="291" fillId="0" borderId="29" xfId="0" applyFont="1" applyFill="1" applyBorder="1" applyAlignment="1">
      <alignment horizontal="left" vertical="center"/>
    </xf>
    <xf numFmtId="0" fontId="288" fillId="0" borderId="29" xfId="0" applyFont="1" applyFill="1" applyBorder="1" applyAlignment="1">
      <alignment horizontal="center" vertical="center"/>
    </xf>
    <xf numFmtId="0" fontId="288" fillId="0" borderId="17" xfId="0" applyFont="1" applyFill="1" applyBorder="1" applyAlignment="1">
      <alignment horizontal="left" vertical="center"/>
    </xf>
    <xf numFmtId="171" fontId="34" fillId="0" borderId="17" xfId="0" applyNumberFormat="1" applyFont="1" applyBorder="1" applyAlignment="1">
      <alignment horizontal="center"/>
    </xf>
    <xf numFmtId="171" fontId="34" fillId="0" borderId="61" xfId="0" applyNumberFormat="1" applyFont="1" applyBorder="1" applyAlignment="1">
      <alignment horizontal="center" vertical="center"/>
    </xf>
    <xf numFmtId="171" fontId="288" fillId="0" borderId="52" xfId="982" applyNumberFormat="1" applyFont="1" applyFill="1" applyBorder="1" applyAlignment="1">
      <alignment horizontal="center" vertical="center"/>
    </xf>
    <xf numFmtId="171" fontId="295" fillId="23" borderId="61" xfId="0" applyNumberFormat="1" applyFont="1" applyFill="1" applyBorder="1" applyAlignment="1">
      <alignment horizontal="center" vertical="center"/>
    </xf>
    <xf numFmtId="0" fontId="295" fillId="23" borderId="61" xfId="0" applyFont="1" applyFill="1" applyBorder="1" applyAlignment="1">
      <alignment horizontal="center" vertical="center"/>
    </xf>
    <xf numFmtId="0" fontId="295" fillId="23" borderId="81" xfId="0" applyFont="1" applyFill="1" applyBorder="1" applyAlignment="1">
      <alignment horizontal="center" vertical="center"/>
    </xf>
    <xf numFmtId="0" fontId="5" fillId="0" borderId="118" xfId="0" applyNumberFormat="1" applyFont="1" applyFill="1" applyBorder="1" applyAlignment="1">
      <alignment horizontal="center" vertical="center" wrapText="1"/>
    </xf>
    <xf numFmtId="171" fontId="120" fillId="34" borderId="119" xfId="0" applyNumberFormat="1" applyFont="1" applyFill="1" applyBorder="1" applyAlignment="1">
      <alignment horizontal="center" vertical="center" wrapText="1"/>
    </xf>
    <xf numFmtId="9" fontId="5" fillId="0" borderId="118" xfId="983" applyFont="1" applyFill="1" applyBorder="1" applyAlignment="1">
      <alignment horizontal="center" vertical="center" wrapText="1"/>
    </xf>
    <xf numFmtId="0" fontId="105" fillId="0" borderId="80" xfId="0" applyFont="1" applyFill="1" applyBorder="1" applyAlignment="1">
      <alignment horizontal="center" vertical="center" wrapText="1"/>
    </xf>
    <xf numFmtId="0" fontId="5" fillId="0" borderId="59" xfId="0" applyNumberFormat="1" applyFont="1" applyFill="1" applyBorder="1" applyAlignment="1">
      <alignment horizontal="center" vertical="center" wrapText="1"/>
    </xf>
    <xf numFmtId="171" fontId="120" fillId="34" borderId="58" xfId="0"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171" fontId="120" fillId="0" borderId="0" xfId="0" applyNumberFormat="1" applyFont="1" applyFill="1" applyBorder="1" applyAlignment="1">
      <alignment horizontal="center" vertical="center" wrapText="1"/>
    </xf>
    <xf numFmtId="9" fontId="5" fillId="0" borderId="118" xfId="0" applyNumberFormat="1" applyFont="1" applyFill="1" applyBorder="1" applyAlignment="1">
      <alignment horizontal="center" vertical="center"/>
    </xf>
    <xf numFmtId="0" fontId="5" fillId="0" borderId="118" xfId="0" applyNumberFormat="1" applyFont="1" applyFill="1" applyBorder="1" applyAlignment="1">
      <alignment horizontal="center" vertical="center"/>
    </xf>
    <xf numFmtId="9" fontId="5" fillId="0" borderId="279" xfId="0" applyNumberFormat="1" applyFont="1" applyFill="1" applyBorder="1" applyAlignment="1">
      <alignment horizontal="center" vertical="center"/>
    </xf>
    <xf numFmtId="0" fontId="5" fillId="0" borderId="279" xfId="0" applyNumberFormat="1" applyFont="1" applyFill="1" applyBorder="1" applyAlignment="1">
      <alignment horizontal="center" vertical="center"/>
    </xf>
    <xf numFmtId="9" fontId="120" fillId="34" borderId="136" xfId="983" applyFont="1" applyFill="1" applyBorder="1" applyAlignment="1">
      <alignment horizontal="center" vertical="center"/>
    </xf>
    <xf numFmtId="9" fontId="5" fillId="34" borderId="118" xfId="0" applyNumberFormat="1" applyFont="1" applyFill="1" applyBorder="1" applyAlignment="1">
      <alignment horizontal="center" vertical="center"/>
    </xf>
    <xf numFmtId="0" fontId="95" fillId="34" borderId="118" xfId="0" applyNumberFormat="1" applyFont="1" applyFill="1" applyBorder="1" applyAlignment="1">
      <alignment horizontal="center" vertical="center"/>
    </xf>
    <xf numFmtId="0" fontId="5" fillId="47" borderId="118" xfId="0" applyNumberFormat="1" applyFont="1" applyFill="1" applyBorder="1" applyAlignment="1">
      <alignment horizontal="center" vertical="center" wrapText="1"/>
    </xf>
    <xf numFmtId="185" fontId="120" fillId="0" borderId="59" xfId="0" applyNumberFormat="1" applyFont="1" applyFill="1" applyBorder="1" applyAlignment="1">
      <alignment horizontal="center" vertical="center" wrapText="1"/>
    </xf>
    <xf numFmtId="0" fontId="5" fillId="0" borderId="59" xfId="0" applyNumberFormat="1" applyFont="1" applyFill="1" applyBorder="1" applyAlignment="1">
      <alignment horizontal="center" vertical="center"/>
    </xf>
    <xf numFmtId="0" fontId="191" fillId="0" borderId="0" xfId="10" applyFont="1" applyFill="1" applyBorder="1" applyAlignment="1">
      <alignment horizontal="center" vertical="center" wrapText="1"/>
    </xf>
    <xf numFmtId="0" fontId="191" fillId="0" borderId="0" xfId="10" applyFont="1" applyFill="1" applyBorder="1" applyAlignment="1">
      <alignment horizontal="center" vertical="center" shrinkToFit="1"/>
    </xf>
    <xf numFmtId="0" fontId="15" fillId="0" borderId="0" xfId="10" applyFont="1" applyFill="1" applyBorder="1" applyAlignment="1">
      <alignment horizontal="left"/>
    </xf>
    <xf numFmtId="0" fontId="105" fillId="23" borderId="0" xfId="0" applyFont="1" applyFill="1" applyBorder="1" applyAlignment="1">
      <alignment horizontal="center" vertical="center"/>
    </xf>
    <xf numFmtId="0" fontId="70" fillId="0" borderId="0" xfId="0" applyFont="1" applyFill="1" applyBorder="1" applyAlignment="1">
      <alignment horizontal="center" vertical="center"/>
    </xf>
    <xf numFmtId="0" fontId="5" fillId="40" borderId="45" xfId="0" applyFont="1" applyFill="1" applyBorder="1" applyAlignment="1">
      <alignment horizontal="center" vertical="center" wrapText="1"/>
    </xf>
    <xf numFmtId="0" fontId="5" fillId="40" borderId="45" xfId="0" quotePrefix="1" applyFont="1" applyFill="1" applyBorder="1" applyAlignment="1">
      <alignment horizontal="center" vertical="center" wrapText="1"/>
    </xf>
    <xf numFmtId="0" fontId="5" fillId="43" borderId="45" xfId="0" applyFont="1" applyFill="1" applyBorder="1" applyAlignment="1">
      <alignment horizontal="center" vertical="center" wrapText="1"/>
    </xf>
    <xf numFmtId="0" fontId="5" fillId="43" borderId="45" xfId="0" quotePrefix="1" applyFont="1" applyFill="1" applyBorder="1" applyAlignment="1">
      <alignment horizontal="center" vertical="center" wrapText="1"/>
    </xf>
    <xf numFmtId="0" fontId="120" fillId="0" borderId="29" xfId="0" applyFont="1" applyFill="1" applyBorder="1" applyAlignment="1">
      <alignment horizontal="center" vertical="center"/>
    </xf>
    <xf numFmtId="0" fontId="120" fillId="0" borderId="17" xfId="0" applyFont="1" applyFill="1" applyBorder="1" applyAlignment="1">
      <alignment horizontal="center" vertical="center"/>
    </xf>
    <xf numFmtId="0" fontId="120" fillId="0" borderId="52" xfId="0" applyFont="1" applyFill="1" applyBorder="1" applyAlignment="1">
      <alignment horizontal="center" vertical="center"/>
    </xf>
    <xf numFmtId="0" fontId="105" fillId="23" borderId="61" xfId="0" applyFont="1" applyFill="1" applyBorder="1" applyAlignment="1">
      <alignment horizontal="center" vertical="center"/>
    </xf>
    <xf numFmtId="0" fontId="5" fillId="38" borderId="292" xfId="0" applyFont="1" applyFill="1" applyBorder="1" applyAlignment="1">
      <alignment horizontal="left" vertical="center" wrapText="1"/>
    </xf>
    <xf numFmtId="0" fontId="223" fillId="67" borderId="293" xfId="0" applyFont="1" applyFill="1" applyBorder="1" applyAlignment="1">
      <alignment horizontal="center" vertical="center" wrapText="1"/>
    </xf>
    <xf numFmtId="0" fontId="223" fillId="67" borderId="185" xfId="0" applyFont="1" applyFill="1" applyBorder="1" applyAlignment="1">
      <alignment horizontal="center" vertical="center" wrapText="1"/>
    </xf>
    <xf numFmtId="0" fontId="97" fillId="67" borderId="185" xfId="0" applyFont="1" applyFill="1" applyBorder="1" applyAlignment="1">
      <alignment horizontal="center" vertical="center" wrapText="1"/>
    </xf>
    <xf numFmtId="0" fontId="185" fillId="67" borderId="185" xfId="0" applyFont="1" applyFill="1" applyBorder="1" applyAlignment="1">
      <alignment horizontal="center" vertical="center" wrapText="1"/>
    </xf>
    <xf numFmtId="0" fontId="97" fillId="67" borderId="280" xfId="0" applyFont="1" applyFill="1" applyBorder="1" applyAlignment="1">
      <alignment horizontal="center" vertical="center" wrapText="1"/>
    </xf>
    <xf numFmtId="9" fontId="28" fillId="0" borderId="0" xfId="983" applyFont="1" applyFill="1" applyBorder="1" applyAlignment="1">
      <alignment horizontal="center" wrapText="1"/>
    </xf>
    <xf numFmtId="0" fontId="97" fillId="67" borderId="45" xfId="0" applyFont="1" applyFill="1" applyBorder="1" applyAlignment="1">
      <alignment horizontal="center" vertical="center" wrapText="1"/>
    </xf>
    <xf numFmtId="0" fontId="97" fillId="67" borderId="124" xfId="0" applyFont="1" applyFill="1" applyBorder="1" applyAlignment="1">
      <alignment horizontal="center" vertical="center"/>
    </xf>
    <xf numFmtId="0" fontId="223" fillId="67" borderId="43" xfId="0" applyFont="1" applyFill="1" applyBorder="1" applyAlignment="1">
      <alignment horizontal="center" vertical="center" wrapText="1"/>
    </xf>
    <xf numFmtId="0" fontId="296" fillId="67" borderId="68" xfId="0" applyFont="1" applyFill="1" applyBorder="1" applyAlignment="1">
      <alignment horizontal="left" vertical="center" wrapText="1"/>
    </xf>
    <xf numFmtId="0" fontId="296" fillId="67" borderId="44" xfId="0" applyFont="1" applyFill="1" applyBorder="1" applyAlignment="1">
      <alignment horizontal="left" vertical="center" wrapText="1"/>
    </xf>
    <xf numFmtId="0" fontId="296" fillId="67" borderId="45" xfId="0" applyFont="1" applyFill="1" applyBorder="1" applyAlignment="1">
      <alignment horizontal="left" vertical="center" wrapText="1"/>
    </xf>
    <xf numFmtId="0" fontId="28" fillId="67" borderId="45" xfId="0" applyFont="1" applyFill="1" applyBorder="1" applyAlignment="1">
      <alignment horizontal="center" vertical="center" wrapText="1"/>
    </xf>
    <xf numFmtId="177" fontId="120" fillId="0" borderId="59" xfId="0" applyNumberFormat="1" applyFont="1" applyFill="1" applyBorder="1" applyAlignment="1">
      <alignment horizontal="center" vertical="center" wrapText="1"/>
    </xf>
    <xf numFmtId="0" fontId="198" fillId="0" borderId="0" xfId="0" applyFont="1" applyFill="1" applyBorder="1" applyAlignment="1">
      <alignment horizontal="left"/>
    </xf>
    <xf numFmtId="0" fontId="198" fillId="0" borderId="0" xfId="0" applyFont="1" applyFill="1" applyBorder="1"/>
    <xf numFmtId="0" fontId="198" fillId="0" borderId="0" xfId="0" applyFont="1" applyFill="1" applyBorder="1" applyAlignment="1">
      <alignment horizontal="center"/>
    </xf>
    <xf numFmtId="0" fontId="63" fillId="23" borderId="5" xfId="0" applyFont="1" applyFill="1" applyBorder="1" applyAlignment="1">
      <alignment horizontal="center"/>
    </xf>
    <xf numFmtId="0" fontId="63" fillId="23" borderId="7" xfId="0" applyFont="1" applyFill="1" applyBorder="1" applyAlignment="1">
      <alignment horizontal="center"/>
    </xf>
    <xf numFmtId="0" fontId="63" fillId="23" borderId="6" xfId="0" applyFont="1" applyFill="1" applyBorder="1" applyAlignment="1">
      <alignment horizontal="center"/>
    </xf>
    <xf numFmtId="0" fontId="234" fillId="0" borderId="0" xfId="0" applyFont="1" applyFill="1" applyBorder="1" applyAlignment="1">
      <alignment horizontal="left"/>
    </xf>
    <xf numFmtId="0" fontId="297" fillId="0" borderId="0" xfId="0" applyFont="1" applyFill="1" applyBorder="1" applyAlignment="1">
      <alignment vertical="center" wrapText="1"/>
    </xf>
    <xf numFmtId="171" fontId="45" fillId="0" borderId="17" xfId="0" applyNumberFormat="1" applyFont="1" applyBorder="1" applyAlignment="1">
      <alignment horizontal="center"/>
    </xf>
    <xf numFmtId="9" fontId="259" fillId="0" borderId="45" xfId="983" applyFont="1" applyFill="1" applyBorder="1" applyAlignment="1">
      <alignment horizontal="center" vertical="center" wrapText="1"/>
    </xf>
    <xf numFmtId="171" fontId="45" fillId="0" borderId="34" xfId="0" applyNumberFormat="1" applyFont="1" applyFill="1" applyBorder="1" applyAlignment="1">
      <alignment horizontal="center" vertical="center" wrapText="1"/>
    </xf>
    <xf numFmtId="171" fontId="38" fillId="0" borderId="190" xfId="0" applyNumberFormat="1" applyFont="1" applyFill="1" applyBorder="1" applyAlignment="1">
      <alignment horizontal="center" vertical="center"/>
    </xf>
    <xf numFmtId="171" fontId="45" fillId="0" borderId="21" xfId="0" applyNumberFormat="1" applyFont="1" applyFill="1" applyBorder="1" applyAlignment="1">
      <alignment horizontal="center" vertical="center" wrapText="1"/>
    </xf>
    <xf numFmtId="0" fontId="298" fillId="0" borderId="71" xfId="0" applyFont="1" applyFill="1" applyBorder="1" applyAlignment="1">
      <alignment horizontal="center" vertical="center"/>
    </xf>
    <xf numFmtId="0" fontId="4" fillId="0" borderId="0" xfId="0" applyFont="1" applyBorder="1" applyAlignment="1">
      <alignment horizontal="left" vertical="center"/>
    </xf>
    <xf numFmtId="0" fontId="4" fillId="0" borderId="0" xfId="0" applyFont="1" applyBorder="1" applyAlignment="1">
      <alignment vertical="center"/>
    </xf>
    <xf numFmtId="0" fontId="289" fillId="0" borderId="123" xfId="0" applyFont="1" applyFill="1" applyBorder="1" applyAlignment="1">
      <alignment vertical="center" wrapText="1"/>
    </xf>
    <xf numFmtId="0" fontId="69" fillId="0" borderId="0" xfId="0" applyFont="1" applyFill="1" applyBorder="1" applyAlignment="1">
      <alignment horizontal="left" vertical="center"/>
    </xf>
    <xf numFmtId="0" fontId="38" fillId="0" borderId="0" xfId="0" applyFont="1" applyFill="1" applyBorder="1" applyAlignment="1">
      <alignment horizontal="left" vertical="center"/>
    </xf>
    <xf numFmtId="0" fontId="134" fillId="0" borderId="0" xfId="0" applyFont="1" applyFill="1" applyBorder="1" applyAlignment="1">
      <alignment horizontal="left" wrapText="1"/>
    </xf>
    <xf numFmtId="171" fontId="288" fillId="0" borderId="0" xfId="0" applyNumberFormat="1" applyFont="1" applyFill="1" applyBorder="1"/>
    <xf numFmtId="0" fontId="164" fillId="0" borderId="4" xfId="0" applyFont="1" applyBorder="1" applyAlignment="1">
      <alignment horizontal="left" vertical="center" wrapText="1"/>
    </xf>
    <xf numFmtId="0" fontId="164" fillId="0" borderId="262" xfId="0" applyFont="1" applyBorder="1" applyAlignment="1">
      <alignment horizontal="left" vertical="center" wrapText="1"/>
    </xf>
    <xf numFmtId="0" fontId="120" fillId="0" borderId="0" xfId="0" applyFont="1" applyFill="1" applyBorder="1" applyAlignment="1">
      <alignment horizontal="left" vertical="center" indent="1"/>
    </xf>
    <xf numFmtId="178" fontId="104" fillId="0" borderId="62" xfId="982" applyNumberFormat="1" applyFont="1" applyFill="1" applyBorder="1" applyAlignment="1">
      <alignment horizontal="center" vertical="center" wrapText="1"/>
    </xf>
    <xf numFmtId="0" fontId="38" fillId="0" borderId="217" xfId="0" applyFont="1" applyFill="1" applyBorder="1" applyAlignment="1">
      <alignment horizontal="center" vertical="center"/>
    </xf>
    <xf numFmtId="0" fontId="276" fillId="0" borderId="62" xfId="0" applyFont="1" applyBorder="1" applyAlignment="1">
      <alignment vertical="center" wrapText="1"/>
    </xf>
    <xf numFmtId="9" fontId="275" fillId="0" borderId="62" xfId="0" applyNumberFormat="1" applyFont="1" applyFill="1" applyBorder="1" applyAlignment="1">
      <alignment horizontal="center" vertical="center" wrapText="1"/>
    </xf>
    <xf numFmtId="178" fontId="197" fillId="0" borderId="0" xfId="982" applyNumberFormat="1" applyFont="1" applyFill="1" applyBorder="1" applyAlignment="1">
      <alignment horizontal="left" vertical="center"/>
    </xf>
    <xf numFmtId="0" fontId="104" fillId="0" borderId="211" xfId="0" applyFont="1" applyBorder="1" applyAlignment="1">
      <alignment vertical="center" wrapText="1"/>
    </xf>
    <xf numFmtId="0" fontId="38" fillId="67" borderId="0" xfId="0" applyFont="1" applyFill="1" applyBorder="1"/>
    <xf numFmtId="0" fontId="104" fillId="0" borderId="0" xfId="0" applyFont="1" applyFill="1" applyBorder="1" applyAlignment="1">
      <alignment vertical="center" wrapText="1"/>
    </xf>
    <xf numFmtId="9" fontId="275" fillId="0" borderId="0" xfId="0" applyNumberFormat="1" applyFont="1" applyFill="1" applyBorder="1" applyAlignment="1">
      <alignment horizontal="center" vertical="center" wrapText="1"/>
    </xf>
    <xf numFmtId="0" fontId="266" fillId="0" borderId="0" xfId="0" applyFont="1" applyFill="1" applyBorder="1" applyAlignment="1">
      <alignment horizontal="left"/>
    </xf>
    <xf numFmtId="0" fontId="96" fillId="0" borderId="0" xfId="0" applyFont="1" applyFill="1" applyBorder="1" applyAlignment="1">
      <alignment horizontal="left"/>
    </xf>
    <xf numFmtId="0" fontId="96" fillId="0" borderId="0" xfId="0" applyFont="1" applyFill="1" applyBorder="1"/>
    <xf numFmtId="0" fontId="96" fillId="0" borderId="0" xfId="0" applyFont="1" applyFill="1" applyBorder="1" applyAlignment="1">
      <alignment horizontal="center"/>
    </xf>
    <xf numFmtId="0" fontId="120" fillId="0" borderId="245" xfId="10" applyFont="1" applyFill="1" applyBorder="1" applyAlignment="1">
      <alignment horizontal="center" vertical="center" wrapText="1" shrinkToFit="1"/>
    </xf>
    <xf numFmtId="0" fontId="134" fillId="0" borderId="276" xfId="0" applyFont="1" applyFill="1" applyBorder="1" applyAlignment="1">
      <alignment wrapText="1"/>
    </xf>
    <xf numFmtId="0" fontId="134" fillId="0" borderId="277" xfId="0" applyFont="1" applyFill="1" applyBorder="1" applyAlignment="1">
      <alignment wrapText="1"/>
    </xf>
    <xf numFmtId="0" fontId="134" fillId="0" borderId="276" xfId="0" applyFont="1" applyFill="1" applyBorder="1" applyAlignment="1"/>
    <xf numFmtId="0" fontId="263" fillId="0" borderId="271" xfId="0" applyFont="1" applyBorder="1" applyAlignment="1">
      <alignment horizontal="right" vertical="center" wrapText="1"/>
    </xf>
    <xf numFmtId="0" fontId="299" fillId="0" borderId="123" xfId="0" applyFont="1" applyFill="1" applyBorder="1" applyAlignment="1">
      <alignment vertical="center" wrapText="1"/>
    </xf>
    <xf numFmtId="0" fontId="52" fillId="0" borderId="212" xfId="0" applyFont="1" applyBorder="1" applyAlignment="1">
      <alignment horizontal="center" vertical="center"/>
    </xf>
    <xf numFmtId="0" fontId="37" fillId="0" borderId="62" xfId="0" applyFont="1" applyBorder="1" applyAlignment="1">
      <alignment horizontal="left" vertical="center"/>
    </xf>
    <xf numFmtId="0" fontId="52" fillId="0" borderId="218" xfId="0" applyFont="1" applyFill="1" applyBorder="1" applyAlignment="1">
      <alignment vertical="center"/>
    </xf>
    <xf numFmtId="0" fontId="6" fillId="0" borderId="62" xfId="0" applyFont="1" applyBorder="1" applyAlignment="1">
      <alignment horizontal="center" vertical="center" wrapText="1"/>
    </xf>
    <xf numFmtId="0" fontId="6" fillId="0" borderId="62" xfId="0" applyFont="1" applyBorder="1" applyAlignment="1">
      <alignment horizontal="center" vertical="center"/>
    </xf>
    <xf numFmtId="0" fontId="6" fillId="0" borderId="263" xfId="0" applyFont="1" applyBorder="1" applyAlignment="1">
      <alignment horizontal="center" vertical="center"/>
    </xf>
    <xf numFmtId="0" fontId="6" fillId="0" borderId="233" xfId="0" applyFont="1" applyBorder="1" applyAlignment="1">
      <alignment horizontal="left" vertical="center" wrapText="1"/>
    </xf>
    <xf numFmtId="0" fontId="6" fillId="0" borderId="296" xfId="0" applyFont="1" applyBorder="1" applyAlignment="1">
      <alignment horizontal="center" vertical="center"/>
    </xf>
    <xf numFmtId="0" fontId="6" fillId="0" borderId="297" xfId="0" applyFont="1" applyBorder="1" applyAlignment="1">
      <alignment horizontal="center" vertical="center" wrapText="1"/>
    </xf>
    <xf numFmtId="0" fontId="6" fillId="0" borderId="260" xfId="0" applyFont="1" applyBorder="1" applyAlignment="1">
      <alignment horizontal="center" vertical="center"/>
    </xf>
    <xf numFmtId="0" fontId="281" fillId="0" borderId="249" xfId="0" applyFont="1" applyBorder="1" applyAlignment="1"/>
    <xf numFmtId="0" fontId="63" fillId="23" borderId="0" xfId="0" applyFont="1" applyFill="1" applyProtection="1"/>
    <xf numFmtId="0" fontId="120" fillId="0" borderId="0" xfId="0" applyFont="1" applyFill="1" applyBorder="1" applyAlignment="1">
      <alignment horizontal="right" vertical="center" indent="1"/>
    </xf>
    <xf numFmtId="9" fontId="120" fillId="0" borderId="0" xfId="983" applyFont="1" applyFill="1" applyBorder="1" applyAlignment="1">
      <alignment horizontal="left" vertical="center"/>
    </xf>
    <xf numFmtId="0" fontId="263" fillId="0" borderId="271" xfId="0" applyFont="1" applyBorder="1" applyAlignment="1">
      <alignment horizontal="right" vertical="center"/>
    </xf>
    <xf numFmtId="0" fontId="279" fillId="0" borderId="0" xfId="0" applyNumberFormat="1" applyFont="1" applyFill="1" applyBorder="1" applyAlignment="1">
      <alignment horizontal="left" vertical="center"/>
    </xf>
    <xf numFmtId="0" fontId="52" fillId="0" borderId="62" xfId="0" applyFont="1" applyBorder="1" applyAlignment="1">
      <alignment vertical="center"/>
    </xf>
    <xf numFmtId="0" fontId="120" fillId="0" borderId="0" xfId="0" applyNumberFormat="1" applyFont="1" applyFill="1" applyBorder="1" applyAlignment="1">
      <alignment horizontal="left" vertical="center"/>
    </xf>
    <xf numFmtId="0" fontId="175" fillId="47" borderId="115" xfId="0" applyFont="1" applyFill="1" applyBorder="1" applyAlignment="1" applyProtection="1">
      <alignment vertical="center" wrapText="1"/>
    </xf>
    <xf numFmtId="0" fontId="175" fillId="47" borderId="111" xfId="0" applyFont="1" applyFill="1" applyBorder="1" applyAlignment="1" applyProtection="1">
      <alignment vertical="center" wrapText="1"/>
    </xf>
    <xf numFmtId="0" fontId="140" fillId="38" borderId="176" xfId="0" applyFont="1" applyFill="1" applyBorder="1" applyAlignment="1" applyProtection="1">
      <alignment horizontal="center" vertical="center" wrapText="1"/>
    </xf>
    <xf numFmtId="178" fontId="69" fillId="15" borderId="4" xfId="982" applyNumberFormat="1" applyFont="1" applyFill="1" applyBorder="1" applyAlignment="1">
      <alignment horizontal="center" vertical="center" wrapText="1"/>
    </xf>
    <xf numFmtId="0" fontId="6" fillId="30" borderId="4" xfId="0" applyFont="1" applyFill="1" applyBorder="1" applyAlignment="1">
      <alignment horizontal="left" vertical="center" wrapText="1"/>
    </xf>
    <xf numFmtId="0" fontId="47" fillId="0" borderId="260" xfId="0" applyFont="1" applyFill="1" applyBorder="1" applyAlignment="1">
      <alignment horizontal="left" vertical="center" wrapText="1"/>
    </xf>
    <xf numFmtId="0" fontId="54" fillId="0" borderId="0" xfId="0" applyFont="1" applyBorder="1"/>
    <xf numFmtId="0" fontId="287" fillId="0" borderId="0" xfId="0" applyFont="1" applyFill="1" applyBorder="1" applyAlignment="1">
      <alignment wrapText="1"/>
    </xf>
    <xf numFmtId="0" fontId="276" fillId="47" borderId="0" xfId="0" applyFont="1" applyFill="1" applyBorder="1" applyAlignment="1">
      <alignment horizontal="center" vertical="center" wrapText="1"/>
    </xf>
    <xf numFmtId="0" fontId="301" fillId="47" borderId="0" xfId="0" applyFont="1" applyFill="1" applyBorder="1" applyAlignment="1">
      <alignment horizontal="center" vertical="center" wrapText="1"/>
    </xf>
    <xf numFmtId="0" fontId="27" fillId="0" borderId="0" xfId="0" applyFont="1" applyFill="1" applyBorder="1" applyAlignment="1">
      <alignment horizontal="center" vertical="center" wrapText="1"/>
    </xf>
    <xf numFmtId="0" fontId="163" fillId="0" borderId="0" xfId="0" applyFont="1" applyFill="1" applyBorder="1" applyAlignment="1">
      <alignment horizontal="right" vertical="center"/>
    </xf>
    <xf numFmtId="0" fontId="266" fillId="0" borderId="0" xfId="0" applyFont="1" applyFill="1" applyBorder="1" applyAlignment="1">
      <alignment horizontal="right" vertical="center"/>
    </xf>
    <xf numFmtId="0" fontId="61" fillId="0" borderId="0" xfId="0" applyFont="1" applyFill="1" applyBorder="1" applyAlignment="1">
      <alignment horizontal="right" vertical="center"/>
    </xf>
    <xf numFmtId="0" fontId="0" fillId="0" borderId="0" xfId="0" applyFill="1" applyBorder="1" applyAlignment="1">
      <alignment wrapText="1"/>
    </xf>
    <xf numFmtId="0" fontId="47" fillId="0" borderId="0" xfId="0" applyFont="1" applyFill="1" applyBorder="1" applyAlignment="1">
      <alignment horizontal="right"/>
    </xf>
    <xf numFmtId="0" fontId="0" fillId="47" borderId="2" xfId="0" applyFill="1" applyBorder="1" applyAlignment="1">
      <alignment horizontal="center" vertical="center" wrapText="1"/>
    </xf>
    <xf numFmtId="0" fontId="300" fillId="47" borderId="2" xfId="0" applyFont="1" applyFill="1" applyBorder="1" applyAlignment="1">
      <alignment horizontal="center" vertical="center" wrapText="1"/>
    </xf>
    <xf numFmtId="0" fontId="53" fillId="0" borderId="260" xfId="0" applyFont="1" applyFill="1" applyBorder="1" applyAlignment="1">
      <alignment horizontal="left" vertical="center"/>
    </xf>
    <xf numFmtId="0" fontId="4" fillId="0" borderId="76" xfId="0" applyFont="1" applyBorder="1" applyAlignment="1">
      <alignment vertical="center" wrapText="1"/>
    </xf>
    <xf numFmtId="0" fontId="41" fillId="0" borderId="76" xfId="0" applyFont="1" applyFill="1" applyBorder="1" applyAlignment="1">
      <alignment horizontal="center" vertical="center" wrapText="1"/>
    </xf>
    <xf numFmtId="0" fontId="41" fillId="0" borderId="77" xfId="0" applyFont="1" applyFill="1" applyBorder="1" applyAlignment="1">
      <alignment vertical="center" wrapText="1"/>
    </xf>
    <xf numFmtId="0" fontId="54" fillId="0" borderId="78" xfId="0" applyFont="1" applyBorder="1" applyAlignment="1">
      <alignment vertical="center" wrapText="1"/>
    </xf>
    <xf numFmtId="0" fontId="0" fillId="0" borderId="0" xfId="0" applyBorder="1" applyAlignment="1">
      <alignment horizontal="right" vertical="center"/>
    </xf>
    <xf numFmtId="9" fontId="41" fillId="0" borderId="79" xfId="983" applyFont="1" applyFill="1" applyBorder="1" applyAlignment="1">
      <alignment vertical="center" wrapText="1"/>
    </xf>
    <xf numFmtId="0" fontId="0" fillId="0" borderId="0" xfId="0" applyBorder="1" applyAlignment="1">
      <alignment horizontal="left" vertical="center"/>
    </xf>
    <xf numFmtId="9" fontId="41" fillId="0" borderId="79" xfId="0" applyNumberFormat="1" applyFont="1" applyFill="1" applyBorder="1" applyAlignment="1">
      <alignment vertical="center" wrapText="1"/>
    </xf>
    <xf numFmtId="0" fontId="54" fillId="0" borderId="78" xfId="0" applyFont="1" applyFill="1" applyBorder="1" applyAlignment="1">
      <alignment vertical="center" wrapText="1"/>
    </xf>
    <xf numFmtId="9" fontId="41" fillId="0" borderId="79" xfId="0" applyNumberFormat="1" applyFont="1" applyFill="1" applyBorder="1" applyAlignment="1">
      <alignment vertical="center"/>
    </xf>
    <xf numFmtId="0" fontId="53" fillId="0" borderId="80" xfId="0" applyFont="1" applyFill="1" applyBorder="1" applyAlignment="1">
      <alignment vertical="center" wrapText="1"/>
    </xf>
    <xf numFmtId="14" fontId="38" fillId="47" borderId="61" xfId="0" applyNumberFormat="1" applyFont="1" applyFill="1" applyBorder="1" applyAlignment="1">
      <alignment vertical="center"/>
    </xf>
    <xf numFmtId="0" fontId="41" fillId="0" borderId="61" xfId="0" applyFont="1" applyFill="1" applyBorder="1" applyAlignment="1">
      <alignment vertical="center" wrapText="1"/>
    </xf>
    <xf numFmtId="9" fontId="41" fillId="0" borderId="81" xfId="0" applyNumberFormat="1" applyFont="1" applyFill="1" applyBorder="1" applyAlignment="1">
      <alignment vertical="center" wrapText="1"/>
    </xf>
    <xf numFmtId="0" fontId="2" fillId="22" borderId="2" xfId="10" applyFont="1" applyFill="1" applyBorder="1" applyAlignment="1" applyProtection="1">
      <alignment horizontal="center" vertical="center" wrapText="1"/>
      <protection locked="0"/>
    </xf>
    <xf numFmtId="0" fontId="89" fillId="19" borderId="2" xfId="0" applyFont="1" applyFill="1" applyBorder="1" applyAlignment="1" applyProtection="1">
      <alignment horizontal="center" vertical="center" wrapText="1"/>
    </xf>
    <xf numFmtId="9" fontId="45" fillId="22" borderId="2" xfId="983" applyFont="1" applyFill="1" applyBorder="1"/>
    <xf numFmtId="171" fontId="45" fillId="0" borderId="2" xfId="0" applyNumberFormat="1" applyFont="1" applyFill="1" applyBorder="1"/>
    <xf numFmtId="9" fontId="104" fillId="0" borderId="2" xfId="0" applyNumberFormat="1" applyFont="1" applyFill="1" applyBorder="1"/>
    <xf numFmtId="0" fontId="54" fillId="36" borderId="0" xfId="0" applyFont="1" applyFill="1" applyBorder="1"/>
    <xf numFmtId="171" fontId="52" fillId="0" borderId="0" xfId="0" applyNumberFormat="1" applyFont="1" applyFill="1" applyBorder="1"/>
    <xf numFmtId="0" fontId="53" fillId="0" borderId="0" xfId="0" applyFont="1" applyFill="1" applyBorder="1" applyAlignment="1">
      <alignment horizontal="center" vertical="center"/>
    </xf>
    <xf numFmtId="0" fontId="302" fillId="0" borderId="2" xfId="0" applyFont="1" applyBorder="1" applyAlignment="1" applyProtection="1">
      <alignment horizontal="left"/>
    </xf>
    <xf numFmtId="171" fontId="69" fillId="0" borderId="2" xfId="0" applyNumberFormat="1" applyFont="1" applyFill="1" applyBorder="1" applyAlignment="1">
      <alignment horizontal="center" vertical="center"/>
    </xf>
    <xf numFmtId="0" fontId="104" fillId="0" borderId="2" xfId="0" applyFont="1" applyFill="1" applyBorder="1" applyAlignment="1">
      <alignment horizontal="center" vertical="center"/>
    </xf>
    <xf numFmtId="9" fontId="104" fillId="0" borderId="2" xfId="0" applyNumberFormat="1" applyFont="1" applyFill="1" applyBorder="1" applyAlignment="1">
      <alignment horizontal="center"/>
    </xf>
    <xf numFmtId="0" fontId="0" fillId="0" borderId="61" xfId="0" applyFont="1" applyFill="1" applyBorder="1" applyAlignment="1">
      <alignment vertical="center" wrapText="1"/>
    </xf>
    <xf numFmtId="0" fontId="304" fillId="32" borderId="0" xfId="0" applyFont="1" applyFill="1" applyBorder="1" applyAlignment="1"/>
    <xf numFmtId="0" fontId="305" fillId="0" borderId="0" xfId="0" applyFont="1" applyAlignment="1">
      <alignment horizontal="left"/>
    </xf>
    <xf numFmtId="171" fontId="258" fillId="0" borderId="0" xfId="0" applyNumberFormat="1" applyFont="1" applyBorder="1" applyAlignment="1">
      <alignment horizontal="left" vertical="center" wrapText="1"/>
    </xf>
    <xf numFmtId="0" fontId="40" fillId="40" borderId="0" xfId="0" applyFont="1" applyFill="1" applyBorder="1" applyAlignment="1">
      <alignment wrapText="1"/>
    </xf>
    <xf numFmtId="0" fontId="34" fillId="0" borderId="0" xfId="0" applyFont="1" applyBorder="1" applyAlignment="1">
      <alignment horizontal="center"/>
    </xf>
    <xf numFmtId="171" fontId="34" fillId="0" borderId="17" xfId="0" applyNumberFormat="1" applyFont="1" applyFill="1" applyBorder="1" applyAlignment="1">
      <alignment horizontal="center"/>
    </xf>
    <xf numFmtId="9" fontId="229" fillId="0" borderId="250" xfId="0" applyNumberFormat="1" applyFont="1" applyBorder="1"/>
    <xf numFmtId="9" fontId="229" fillId="0" borderId="250" xfId="0" applyNumberFormat="1" applyFont="1" applyBorder="1" applyAlignment="1"/>
    <xf numFmtId="9" fontId="243" fillId="0" borderId="250" xfId="0" applyNumberFormat="1" applyFont="1" applyBorder="1" applyAlignment="1">
      <alignment horizontal="right"/>
    </xf>
    <xf numFmtId="9" fontId="229" fillId="0" borderId="247" xfId="983" applyFont="1" applyBorder="1" applyAlignment="1">
      <alignment horizontal="right"/>
    </xf>
    <xf numFmtId="0" fontId="140" fillId="15" borderId="176" xfId="0" applyFont="1" applyFill="1" applyBorder="1" applyAlignment="1" applyProtection="1">
      <alignment horizontal="center" vertical="center" wrapText="1"/>
    </xf>
    <xf numFmtId="0" fontId="81" fillId="43" borderId="0" xfId="0" quotePrefix="1" applyFont="1" applyFill="1" applyBorder="1"/>
    <xf numFmtId="179" fontId="0" fillId="0" borderId="0" xfId="0" applyNumberFormat="1"/>
    <xf numFmtId="179" fontId="0" fillId="0" borderId="27" xfId="0" applyNumberFormat="1" applyBorder="1" applyAlignment="1">
      <alignment horizontal="center"/>
    </xf>
    <xf numFmtId="179" fontId="0" fillId="0" borderId="27" xfId="982" applyNumberFormat="1" applyFont="1" applyBorder="1" applyAlignment="1">
      <alignment horizontal="center" vertical="center"/>
    </xf>
    <xf numFmtId="179" fontId="0" fillId="0" borderId="28" xfId="982" applyNumberFormat="1" applyFont="1" applyBorder="1" applyAlignment="1">
      <alignment horizontal="center" vertical="center"/>
    </xf>
    <xf numFmtId="0" fontId="0" fillId="0" borderId="0" xfId="0" applyNumberFormat="1"/>
    <xf numFmtId="0" fontId="2" fillId="15" borderId="0" xfId="0" applyFont="1" applyFill="1"/>
    <xf numFmtId="9" fontId="2" fillId="15" borderId="0" xfId="0" applyNumberFormat="1" applyFont="1" applyFill="1"/>
    <xf numFmtId="0" fontId="2" fillId="22" borderId="2" xfId="0" applyFont="1" applyFill="1" applyBorder="1"/>
    <xf numFmtId="9" fontId="2" fillId="22" borderId="2" xfId="983" applyFont="1" applyFill="1" applyBorder="1"/>
    <xf numFmtId="0" fontId="45" fillId="0" borderId="45" xfId="0" applyFont="1" applyFill="1" applyBorder="1" applyAlignment="1">
      <alignment horizontal="center" vertical="center" wrapText="1"/>
    </xf>
    <xf numFmtId="176" fontId="45" fillId="26" borderId="85" xfId="0" applyNumberFormat="1" applyFont="1" applyFill="1" applyBorder="1" applyAlignment="1">
      <alignment horizontal="center" vertical="center" wrapText="1"/>
    </xf>
    <xf numFmtId="176" fontId="45" fillId="0" borderId="56" xfId="0" applyNumberFormat="1" applyFont="1" applyFill="1" applyBorder="1" applyAlignment="1">
      <alignment horizontal="center" vertical="center" wrapText="1"/>
    </xf>
    <xf numFmtId="176" fontId="45" fillId="26" borderId="17" xfId="0" applyNumberFormat="1" applyFont="1" applyFill="1" applyBorder="1" applyAlignment="1">
      <alignment horizontal="center" vertical="center" wrapText="1"/>
    </xf>
    <xf numFmtId="2" fontId="38" fillId="0" borderId="29" xfId="0" applyNumberFormat="1" applyFont="1" applyFill="1" applyBorder="1" applyAlignment="1">
      <alignment horizontal="center" vertical="center" wrapText="1"/>
    </xf>
    <xf numFmtId="2" fontId="85" fillId="26" borderId="17" xfId="0" applyNumberFormat="1" applyFont="1" applyFill="1" applyBorder="1" applyAlignment="1">
      <alignment horizontal="center" vertical="center" wrapText="1"/>
    </xf>
    <xf numFmtId="0" fontId="2" fillId="19" borderId="2" xfId="0" applyFont="1" applyFill="1" applyBorder="1" applyAlignment="1">
      <alignment wrapText="1"/>
    </xf>
    <xf numFmtId="0" fontId="0" fillId="69" borderId="2" xfId="0" applyFill="1" applyBorder="1"/>
    <xf numFmtId="168" fontId="0" fillId="69" borderId="2" xfId="982" applyFont="1" applyFill="1" applyBorder="1"/>
    <xf numFmtId="178" fontId="45" fillId="0" borderId="52" xfId="982" applyNumberFormat="1" applyFont="1" applyFill="1" applyBorder="1" applyAlignment="1">
      <alignment horizontal="center" vertical="center" wrapText="1"/>
    </xf>
    <xf numFmtId="178" fontId="0" fillId="0" borderId="2" xfId="982" applyNumberFormat="1" applyFont="1" applyBorder="1"/>
    <xf numFmtId="1" fontId="0" fillId="0" borderId="2" xfId="0" applyNumberFormat="1" applyBorder="1"/>
    <xf numFmtId="0" fontId="2" fillId="40" borderId="74" xfId="0" applyFont="1" applyFill="1" applyBorder="1"/>
    <xf numFmtId="9" fontId="0" fillId="40" borderId="74" xfId="0" applyNumberFormat="1" applyFill="1" applyBorder="1"/>
    <xf numFmtId="0" fontId="120" fillId="0" borderId="0" xfId="0" applyFont="1" applyFill="1" applyBorder="1" applyAlignment="1">
      <alignment horizontal="left" vertical="center" wrapText="1"/>
    </xf>
    <xf numFmtId="0" fontId="120" fillId="0" borderId="268" xfId="0" applyFont="1" applyFill="1" applyBorder="1" applyAlignment="1">
      <alignment horizontal="left" vertical="center" wrapText="1"/>
    </xf>
    <xf numFmtId="171" fontId="104" fillId="0" borderId="0" xfId="0" applyNumberFormat="1" applyFont="1" applyBorder="1" applyAlignment="1">
      <alignment horizontal="center"/>
    </xf>
    <xf numFmtId="0" fontId="59" fillId="0" borderId="0" xfId="0" applyFont="1" applyBorder="1" applyAlignment="1">
      <alignment horizontal="center" vertical="center"/>
    </xf>
    <xf numFmtId="0" fontId="185" fillId="0" borderId="0" xfId="0" applyFont="1" applyBorder="1" applyAlignment="1">
      <alignment horizontal="center"/>
    </xf>
    <xf numFmtId="0" fontId="105" fillId="0" borderId="0" xfId="0" applyFont="1" applyBorder="1" applyAlignment="1">
      <alignment horizontal="center" vertical="center"/>
    </xf>
    <xf numFmtId="0" fontId="308" fillId="0" borderId="0" xfId="0" applyFont="1" applyBorder="1" applyAlignment="1">
      <alignment horizontal="center" vertical="center"/>
    </xf>
    <xf numFmtId="171" fontId="28" fillId="0" borderId="0" xfId="0" applyNumberFormat="1" applyFont="1" applyBorder="1" applyAlignment="1">
      <alignment horizontal="center"/>
    </xf>
    <xf numFmtId="171" fontId="296" fillId="0" borderId="0" xfId="0" applyNumberFormat="1" applyFont="1" applyBorder="1" applyAlignment="1">
      <alignment horizontal="center"/>
    </xf>
    <xf numFmtId="171" fontId="162" fillId="0" borderId="0" xfId="0" applyNumberFormat="1" applyFont="1" applyBorder="1" applyAlignment="1">
      <alignment horizontal="center" vertical="center"/>
    </xf>
    <xf numFmtId="171" fontId="309" fillId="0" borderId="0" xfId="0" applyNumberFormat="1" applyFont="1" applyBorder="1" applyAlignment="1">
      <alignment horizontal="center"/>
    </xf>
    <xf numFmtId="171" fontId="162" fillId="0" borderId="0" xfId="0" applyNumberFormat="1" applyFont="1" applyFill="1" applyBorder="1" applyAlignment="1">
      <alignment horizontal="center"/>
    </xf>
    <xf numFmtId="0" fontId="284" fillId="0" borderId="0" xfId="0" applyFont="1" applyBorder="1" applyAlignment="1">
      <alignment horizontal="center" vertical="center"/>
    </xf>
    <xf numFmtId="0" fontId="28" fillId="0" borderId="0" xfId="0" applyFont="1" applyBorder="1" applyAlignment="1">
      <alignment horizontal="center" vertical="center"/>
    </xf>
    <xf numFmtId="0" fontId="28" fillId="0" borderId="0" xfId="0" applyFont="1" applyBorder="1" applyAlignment="1">
      <alignment horizontal="center" vertical="top"/>
    </xf>
    <xf numFmtId="0" fontId="119" fillId="0" borderId="0" xfId="0" applyFont="1" applyBorder="1" applyAlignment="1">
      <alignment horizontal="center"/>
    </xf>
    <xf numFmtId="0" fontId="54" fillId="0" borderId="0" xfId="0" applyFont="1" applyBorder="1" applyAlignment="1">
      <alignment horizontal="center" vertical="center"/>
    </xf>
    <xf numFmtId="0" fontId="28" fillId="0" borderId="0" xfId="0" applyFont="1" applyFill="1" applyBorder="1" applyAlignment="1">
      <alignment horizontal="center"/>
    </xf>
    <xf numFmtId="171" fontId="186" fillId="0" borderId="0" xfId="0" applyNumberFormat="1" applyFont="1" applyBorder="1" applyAlignment="1">
      <alignment horizontal="center"/>
    </xf>
    <xf numFmtId="0" fontId="162" fillId="0" borderId="0" xfId="0" applyFont="1" applyBorder="1" applyAlignment="1">
      <alignment horizontal="center"/>
    </xf>
    <xf numFmtId="0" fontId="59" fillId="0" borderId="0" xfId="0" applyFont="1" applyBorder="1" applyAlignment="1">
      <alignment vertical="center"/>
    </xf>
    <xf numFmtId="0" fontId="185" fillId="0" borderId="0" xfId="0" applyFont="1" applyBorder="1"/>
    <xf numFmtId="171" fontId="162" fillId="0" borderId="0" xfId="0" applyNumberFormat="1" applyFont="1" applyBorder="1" applyAlignment="1">
      <alignment horizontal="left" vertical="center"/>
    </xf>
    <xf numFmtId="0" fontId="284" fillId="0" borderId="0" xfId="0" applyFont="1" applyBorder="1" applyAlignment="1">
      <alignment vertical="center"/>
    </xf>
    <xf numFmtId="0" fontId="28" fillId="0" borderId="0" xfId="0" applyFont="1" applyBorder="1" applyAlignment="1">
      <alignment vertical="center"/>
    </xf>
    <xf numFmtId="0" fontId="28" fillId="0" borderId="0" xfId="0" applyFont="1" applyBorder="1" applyAlignment="1">
      <alignment vertical="top"/>
    </xf>
    <xf numFmtId="0" fontId="118" fillId="0" borderId="0" xfId="0" applyFont="1" applyBorder="1" applyAlignment="1">
      <alignment wrapText="1"/>
    </xf>
    <xf numFmtId="171" fontId="307" fillId="0" borderId="0" xfId="0" applyNumberFormat="1" applyFont="1" applyBorder="1" applyAlignment="1">
      <alignment horizontal="center" vertical="center"/>
    </xf>
    <xf numFmtId="0" fontId="74" fillId="0" borderId="0" xfId="0" applyFont="1" applyFill="1" applyBorder="1"/>
    <xf numFmtId="178" fontId="162" fillId="0" borderId="0" xfId="982" applyNumberFormat="1" applyFont="1" applyFill="1" applyBorder="1"/>
    <xf numFmtId="178" fontId="223" fillId="0" borderId="0" xfId="982" applyNumberFormat="1" applyFont="1" applyBorder="1" applyAlignment="1">
      <alignment vertical="center" wrapText="1"/>
    </xf>
    <xf numFmtId="178" fontId="310" fillId="0" borderId="0" xfId="982" applyNumberFormat="1" applyFont="1" applyBorder="1"/>
    <xf numFmtId="0" fontId="186" fillId="0" borderId="0" xfId="0" applyFont="1" applyBorder="1"/>
    <xf numFmtId="0" fontId="162" fillId="0" borderId="0" xfId="0" applyFont="1" applyBorder="1"/>
    <xf numFmtId="0" fontId="223" fillId="0" borderId="0" xfId="0" applyFont="1" applyFill="1" applyBorder="1"/>
    <xf numFmtId="0" fontId="311" fillId="0" borderId="0" xfId="0" applyFont="1" applyFill="1" applyBorder="1"/>
    <xf numFmtId="0" fontId="257" fillId="0" borderId="0" xfId="10" applyFont="1" applyFill="1" applyBorder="1" applyAlignment="1">
      <alignment horizontal="center" vertical="center" wrapText="1"/>
    </xf>
    <xf numFmtId="0" fontId="312" fillId="24" borderId="0" xfId="0" applyFont="1" applyFill="1" applyBorder="1"/>
    <xf numFmtId="171" fontId="52" fillId="0" borderId="0" xfId="0" applyNumberFormat="1" applyFont="1" applyBorder="1" applyAlignment="1">
      <alignment horizontal="center"/>
    </xf>
    <xf numFmtId="0" fontId="61" fillId="0" borderId="247" xfId="0" applyFont="1" applyBorder="1" applyAlignment="1">
      <alignment horizontal="left"/>
    </xf>
    <xf numFmtId="171" fontId="266" fillId="0" borderId="247" xfId="0" applyNumberFormat="1" applyFont="1" applyBorder="1" applyAlignment="1">
      <alignment horizontal="left"/>
    </xf>
    <xf numFmtId="0" fontId="47" fillId="0" borderId="247" xfId="0" applyFont="1" applyBorder="1"/>
    <xf numFmtId="171" fontId="266" fillId="0" borderId="247" xfId="0" applyNumberFormat="1" applyFont="1" applyBorder="1" applyAlignment="1">
      <alignment horizontal="center"/>
    </xf>
    <xf numFmtId="171" fontId="266" fillId="0" borderId="0" xfId="0" applyNumberFormat="1" applyFont="1" applyFill="1" applyBorder="1" applyAlignment="1">
      <alignment horizontal="center"/>
    </xf>
    <xf numFmtId="0" fontId="47" fillId="0" borderId="0" xfId="0" applyFont="1" applyBorder="1"/>
    <xf numFmtId="0" fontId="47" fillId="40" borderId="0" xfId="0" applyFont="1" applyFill="1" applyBorder="1"/>
    <xf numFmtId="0" fontId="47" fillId="43" borderId="0" xfId="0" applyFont="1" applyFill="1" applyBorder="1"/>
    <xf numFmtId="0" fontId="258" fillId="0" borderId="0" xfId="0" applyFont="1" applyBorder="1" applyAlignment="1">
      <alignment horizontal="left"/>
    </xf>
    <xf numFmtId="0" fontId="3" fillId="0" borderId="0" xfId="0" applyFont="1" applyBorder="1" applyAlignment="1">
      <alignment horizontal="center"/>
    </xf>
    <xf numFmtId="0" fontId="234" fillId="0" borderId="0" xfId="0" applyFont="1" applyFill="1" applyBorder="1" applyAlignment="1">
      <alignment vertical="center" wrapText="1"/>
    </xf>
    <xf numFmtId="9" fontId="273" fillId="0" borderId="0" xfId="0" applyNumberFormat="1" applyFont="1" applyFill="1" applyBorder="1" applyAlignment="1">
      <alignment horizontal="left" vertical="center"/>
    </xf>
    <xf numFmtId="0" fontId="38" fillId="26" borderId="258" xfId="0" applyFont="1" applyFill="1" applyBorder="1" applyAlignment="1">
      <alignment horizontal="center" vertical="center" wrapText="1"/>
    </xf>
    <xf numFmtId="10" fontId="0" fillId="0" borderId="0" xfId="0" applyNumberFormat="1"/>
    <xf numFmtId="0" fontId="0" fillId="22" borderId="0" xfId="0" applyFill="1"/>
    <xf numFmtId="178" fontId="0" fillId="22" borderId="0" xfId="0" applyNumberFormat="1" applyFill="1"/>
    <xf numFmtId="0" fontId="38" fillId="0" borderId="256" xfId="0" applyFont="1" applyFill="1" applyBorder="1" applyAlignment="1">
      <alignment wrapText="1"/>
    </xf>
    <xf numFmtId="180" fontId="3" fillId="0" borderId="0" xfId="0" applyNumberFormat="1" applyFont="1" applyBorder="1"/>
    <xf numFmtId="177" fontId="3" fillId="0" borderId="0" xfId="0" applyNumberFormat="1" applyFont="1" applyBorder="1"/>
    <xf numFmtId="180" fontId="198" fillId="0" borderId="0" xfId="0" applyNumberFormat="1" applyFont="1" applyBorder="1" applyAlignment="1">
      <alignment horizontal="center"/>
    </xf>
    <xf numFmtId="180" fontId="233" fillId="0" borderId="0" xfId="0" applyNumberFormat="1" applyFont="1" applyBorder="1" applyAlignment="1">
      <alignment horizontal="center"/>
    </xf>
    <xf numFmtId="180" fontId="3" fillId="0" borderId="0" xfId="0" applyNumberFormat="1" applyFont="1" applyBorder="1" applyAlignment="1">
      <alignment horizontal="center"/>
    </xf>
    <xf numFmtId="180" fontId="229" fillId="0" borderId="0" xfId="0" applyNumberFormat="1" applyFont="1" applyBorder="1" applyAlignment="1">
      <alignment horizontal="center"/>
    </xf>
    <xf numFmtId="180" fontId="198" fillId="0" borderId="0" xfId="0" applyNumberFormat="1" applyFont="1" applyBorder="1"/>
    <xf numFmtId="180" fontId="198" fillId="0" borderId="0" xfId="0" applyNumberFormat="1" applyFont="1" applyFill="1" applyBorder="1" applyAlignment="1">
      <alignment horizontal="left"/>
    </xf>
    <xf numFmtId="180" fontId="198" fillId="0" borderId="0" xfId="0" applyNumberFormat="1" applyFont="1" applyBorder="1" applyAlignment="1">
      <alignment horizontal="left"/>
    </xf>
    <xf numFmtId="180" fontId="234" fillId="0" borderId="0" xfId="0" applyNumberFormat="1" applyFont="1" applyFill="1" applyBorder="1" applyAlignment="1">
      <alignment horizontal="center" wrapText="1"/>
    </xf>
    <xf numFmtId="180" fontId="34" fillId="0" borderId="0" xfId="0" applyNumberFormat="1" applyFont="1" applyBorder="1" applyAlignment="1">
      <alignment horizontal="center"/>
    </xf>
    <xf numFmtId="180" fontId="252" fillId="0" borderId="0" xfId="0" applyNumberFormat="1" applyFont="1" applyBorder="1" applyAlignment="1">
      <alignment horizontal="left" vertical="top" wrapText="1"/>
    </xf>
    <xf numFmtId="180" fontId="233" fillId="0" borderId="0" xfId="0" applyNumberFormat="1" applyFont="1" applyBorder="1" applyAlignment="1">
      <alignment horizontal="left" vertical="center" wrapText="1"/>
    </xf>
    <xf numFmtId="180" fontId="64" fillId="0" borderId="0" xfId="0" applyNumberFormat="1" applyFont="1" applyBorder="1" applyAlignment="1"/>
    <xf numFmtId="180" fontId="198" fillId="0" borderId="187" xfId="0" applyNumberFormat="1" applyFont="1" applyBorder="1" applyAlignment="1"/>
    <xf numFmtId="180" fontId="198" fillId="0" borderId="0" xfId="0" applyNumberFormat="1" applyFont="1" applyBorder="1" applyAlignment="1"/>
    <xf numFmtId="180" fontId="37" fillId="0" borderId="0" xfId="0" applyNumberFormat="1" applyFont="1" applyBorder="1" applyAlignment="1">
      <alignment horizontal="left"/>
    </xf>
    <xf numFmtId="180" fontId="198" fillId="0" borderId="188" xfId="0" applyNumberFormat="1" applyFont="1" applyBorder="1" applyAlignment="1"/>
    <xf numFmtId="180" fontId="3" fillId="0" borderId="0" xfId="0" applyNumberFormat="1" applyFont="1" applyBorder="1" applyAlignment="1">
      <alignment vertical="top"/>
    </xf>
    <xf numFmtId="180" fontId="117" fillId="0" borderId="0" xfId="0" applyNumberFormat="1" applyFont="1" applyBorder="1" applyAlignment="1">
      <alignment horizontal="center" vertical="center"/>
    </xf>
    <xf numFmtId="180" fontId="107" fillId="0" borderId="0" xfId="0" applyNumberFormat="1" applyFont="1" applyBorder="1"/>
    <xf numFmtId="180" fontId="4" fillId="0" borderId="0" xfId="0" applyNumberFormat="1" applyFont="1" applyBorder="1" applyAlignment="1">
      <alignment horizontal="center" vertical="center"/>
    </xf>
    <xf numFmtId="180" fontId="61" fillId="0" borderId="0" xfId="0" applyNumberFormat="1" applyFont="1" applyBorder="1" applyAlignment="1">
      <alignment horizontal="center" vertical="center"/>
    </xf>
    <xf numFmtId="180" fontId="3" fillId="0" borderId="0" xfId="0" applyNumberFormat="1" applyFont="1" applyFill="1" applyBorder="1"/>
    <xf numFmtId="180" fontId="82" fillId="0" borderId="0" xfId="0" applyNumberFormat="1" applyFont="1" applyBorder="1"/>
    <xf numFmtId="180" fontId="130" fillId="0" borderId="0" xfId="0" applyNumberFormat="1" applyFont="1" applyBorder="1" applyAlignment="1">
      <alignment horizontal="center" vertical="center"/>
    </xf>
    <xf numFmtId="180" fontId="198" fillId="0" borderId="0" xfId="0" applyNumberFormat="1" applyFont="1" applyBorder="1" applyAlignment="1">
      <alignment horizontal="left" vertical="center" wrapText="1"/>
    </xf>
    <xf numFmtId="180" fontId="198" fillId="0" borderId="0" xfId="0" applyNumberFormat="1" applyFont="1" applyBorder="1" applyAlignment="1">
      <alignment horizontal="left" vertical="top" wrapText="1"/>
    </xf>
    <xf numFmtId="180" fontId="232" fillId="0" borderId="0" xfId="0" applyNumberFormat="1" applyFont="1" applyBorder="1" applyAlignment="1">
      <alignment horizontal="center"/>
    </xf>
    <xf numFmtId="180" fontId="96" fillId="0" borderId="0" xfId="0" applyNumberFormat="1" applyFont="1" applyFill="1" applyBorder="1" applyAlignment="1">
      <alignment horizontal="left"/>
    </xf>
    <xf numFmtId="180" fontId="234" fillId="0" borderId="0" xfId="0" applyNumberFormat="1" applyFont="1" applyFill="1" applyBorder="1" applyAlignment="1">
      <alignment horizontal="center" vertical="center"/>
    </xf>
    <xf numFmtId="180" fontId="229" fillId="0" borderId="247" xfId="0" applyNumberFormat="1" applyFont="1" applyBorder="1" applyAlignment="1">
      <alignment horizontal="center"/>
    </xf>
    <xf numFmtId="180" fontId="198" fillId="0" borderId="247" xfId="0" applyNumberFormat="1" applyFont="1" applyFill="1" applyBorder="1" applyAlignment="1">
      <alignment horizontal="center" vertical="center"/>
    </xf>
    <xf numFmtId="180" fontId="34" fillId="0" borderId="0" xfId="0" applyNumberFormat="1" applyFont="1" applyBorder="1" applyAlignment="1">
      <alignment horizontal="left" vertical="center" wrapText="1"/>
    </xf>
    <xf numFmtId="180" fontId="34" fillId="0" borderId="0" xfId="0" applyNumberFormat="1" applyFont="1" applyBorder="1" applyAlignment="1"/>
    <xf numFmtId="180" fontId="5" fillId="0" borderId="187" xfId="0" applyNumberFormat="1" applyFont="1" applyBorder="1" applyAlignment="1"/>
    <xf numFmtId="180" fontId="5" fillId="0" borderId="0" xfId="0" applyNumberFormat="1" applyFont="1" applyBorder="1" applyAlignment="1"/>
    <xf numFmtId="180" fontId="36" fillId="0" borderId="0" xfId="0" applyNumberFormat="1" applyFont="1" applyBorder="1" applyAlignment="1">
      <alignment horizontal="left"/>
    </xf>
    <xf numFmtId="180" fontId="72" fillId="0" borderId="0" xfId="0" applyNumberFormat="1" applyFont="1" applyBorder="1" applyAlignment="1">
      <alignment horizontal="center" vertical="top" wrapText="1"/>
    </xf>
    <xf numFmtId="180" fontId="119" fillId="0" borderId="0" xfId="0" applyNumberFormat="1" applyFont="1" applyBorder="1"/>
    <xf numFmtId="180" fontId="81" fillId="0" borderId="0" xfId="0" applyNumberFormat="1" applyFont="1" applyFill="1" applyBorder="1"/>
    <xf numFmtId="180" fontId="6" fillId="0" borderId="0" xfId="0" applyNumberFormat="1" applyFont="1" applyFill="1" applyBorder="1"/>
    <xf numFmtId="180" fontId="51" fillId="0" borderId="0" xfId="0" applyNumberFormat="1" applyFont="1" applyFill="1" applyBorder="1" applyAlignment="1">
      <alignment horizontal="center" vertical="center"/>
    </xf>
    <xf numFmtId="180" fontId="130" fillId="0" borderId="0" xfId="0" applyNumberFormat="1" applyFont="1" applyBorder="1" applyAlignment="1">
      <alignment horizontal="center" vertical="center" wrapText="1"/>
    </xf>
    <xf numFmtId="180" fontId="97" fillId="0" borderId="0" xfId="0" applyNumberFormat="1" applyFont="1" applyBorder="1" applyAlignment="1">
      <alignment horizontal="center"/>
    </xf>
    <xf numFmtId="180" fontId="166" fillId="0" borderId="0" xfId="0" applyNumberFormat="1" applyFont="1" applyBorder="1" applyAlignment="1">
      <alignment horizontal="center" vertical="center"/>
    </xf>
    <xf numFmtId="180" fontId="5" fillId="0" borderId="0" xfId="0" applyNumberFormat="1" applyFont="1" applyBorder="1" applyAlignment="1">
      <alignment horizontal="left" vertical="center" wrapText="1"/>
    </xf>
    <xf numFmtId="180" fontId="5" fillId="0" borderId="0" xfId="0" applyNumberFormat="1" applyFont="1" applyBorder="1" applyAlignment="1">
      <alignment horizontal="left" vertical="top" wrapText="1"/>
    </xf>
    <xf numFmtId="180" fontId="5" fillId="0" borderId="0" xfId="0" applyNumberFormat="1" applyFont="1" applyBorder="1" applyAlignment="1">
      <alignment horizontal="left" vertical="top"/>
    </xf>
    <xf numFmtId="180" fontId="6" fillId="0" borderId="0" xfId="0" applyNumberFormat="1" applyFont="1" applyBorder="1" applyAlignment="1">
      <alignment horizontal="center"/>
    </xf>
    <xf numFmtId="182" fontId="34" fillId="0" borderId="0" xfId="983" applyNumberFormat="1" applyFont="1" applyBorder="1" applyAlignment="1">
      <alignment horizontal="center"/>
    </xf>
    <xf numFmtId="182" fontId="233" fillId="0" borderId="0" xfId="983" applyNumberFormat="1" applyFont="1" applyBorder="1" applyAlignment="1">
      <alignment horizontal="center"/>
    </xf>
    <xf numFmtId="171" fontId="229" fillId="0" borderId="0" xfId="0" applyNumberFormat="1" applyFont="1" applyBorder="1" applyAlignment="1">
      <alignment horizontal="center"/>
    </xf>
    <xf numFmtId="171" fontId="198" fillId="0" borderId="247" xfId="0" applyNumberFormat="1" applyFont="1" applyFill="1" applyBorder="1" applyAlignment="1">
      <alignment horizontal="center"/>
    </xf>
    <xf numFmtId="171" fontId="239" fillId="0" borderId="247" xfId="0" applyNumberFormat="1" applyFont="1" applyBorder="1" applyAlignment="1">
      <alignment horizontal="center"/>
    </xf>
    <xf numFmtId="171" fontId="198" fillId="0" borderId="247" xfId="0" applyNumberFormat="1" applyFont="1" applyFill="1" applyBorder="1" applyAlignment="1">
      <alignment horizontal="center" vertical="center"/>
    </xf>
    <xf numFmtId="171" fontId="266" fillId="0" borderId="247" xfId="0" applyNumberFormat="1" applyFont="1" applyFill="1" applyBorder="1" applyAlignment="1">
      <alignment horizontal="center"/>
    </xf>
    <xf numFmtId="171" fontId="239" fillId="0" borderId="248" xfId="0" applyNumberFormat="1" applyFont="1" applyBorder="1" applyAlignment="1">
      <alignment horizontal="center"/>
    </xf>
    <xf numFmtId="171" fontId="198" fillId="0" borderId="250" xfId="0" applyNumberFormat="1" applyFont="1" applyFill="1" applyBorder="1" applyAlignment="1">
      <alignment horizontal="center"/>
    </xf>
    <xf numFmtId="171" fontId="198" fillId="0" borderId="250" xfId="0" applyNumberFormat="1" applyFont="1" applyFill="1" applyBorder="1" applyAlignment="1">
      <alignment horizontal="center" vertical="center"/>
    </xf>
    <xf numFmtId="171" fontId="233" fillId="0" borderId="0" xfId="0" applyNumberFormat="1" applyFont="1" applyFill="1" applyBorder="1" applyAlignment="1">
      <alignment horizontal="center"/>
    </xf>
    <xf numFmtId="37" fontId="104" fillId="0" borderId="2" xfId="982" applyNumberFormat="1" applyFont="1" applyBorder="1" applyAlignment="1" applyProtection="1">
      <alignment horizontal="center" vertical="top" wrapText="1"/>
    </xf>
    <xf numFmtId="0" fontId="104" fillId="0" borderId="2" xfId="0" applyFont="1" applyBorder="1" applyAlignment="1">
      <alignment horizontal="center" vertical="center" wrapText="1"/>
    </xf>
    <xf numFmtId="0" fontId="313" fillId="0" borderId="0" xfId="0" applyFont="1"/>
    <xf numFmtId="0" fontId="251" fillId="0" borderId="247" xfId="0" applyFont="1" applyBorder="1"/>
    <xf numFmtId="0" fontId="251" fillId="0" borderId="250" xfId="0" applyFont="1" applyBorder="1"/>
    <xf numFmtId="0" fontId="253" fillId="0" borderId="0" xfId="0" applyFont="1" applyBorder="1" applyAlignment="1">
      <alignment horizontal="left" vertical="center" wrapText="1"/>
    </xf>
    <xf numFmtId="0" fontId="253" fillId="0" borderId="0" xfId="0" applyFont="1" applyFill="1" applyBorder="1"/>
    <xf numFmtId="0" fontId="253" fillId="23" borderId="0" xfId="0" applyFont="1" applyFill="1" applyBorder="1"/>
    <xf numFmtId="0" fontId="253" fillId="0" borderId="257" xfId="0" applyFont="1" applyFill="1" applyBorder="1" applyAlignment="1">
      <alignment horizontal="center" vertical="center"/>
    </xf>
    <xf numFmtId="0" fontId="275" fillId="0" borderId="0" xfId="0" applyFont="1" applyFill="1" applyBorder="1"/>
    <xf numFmtId="0" fontId="314" fillId="0" borderId="0" xfId="0" applyFont="1" applyFill="1" applyBorder="1"/>
    <xf numFmtId="9" fontId="314" fillId="0" borderId="0" xfId="983" applyFont="1" applyFill="1" applyBorder="1" applyAlignment="1">
      <alignment horizontal="center" vertical="center" wrapText="1"/>
    </xf>
    <xf numFmtId="0" fontId="315" fillId="0" borderId="258" xfId="0" applyFont="1" applyFill="1" applyBorder="1" applyAlignment="1">
      <alignment horizontal="center"/>
    </xf>
    <xf numFmtId="0" fontId="253" fillId="0" borderId="0" xfId="0" applyFont="1" applyFill="1" applyBorder="1" applyAlignment="1">
      <alignment horizontal="right"/>
    </xf>
    <xf numFmtId="0" fontId="315" fillId="0" borderId="0" xfId="0" applyFont="1" applyFill="1" applyBorder="1" applyAlignment="1">
      <alignment horizontal="center" vertical="center" wrapText="1"/>
    </xf>
    <xf numFmtId="0" fontId="316" fillId="0" borderId="0" xfId="0" applyFont="1" applyFill="1" applyBorder="1" applyAlignment="1">
      <alignment horizontal="center" vertical="center"/>
    </xf>
    <xf numFmtId="0" fontId="253" fillId="0" borderId="0" xfId="0" applyFont="1" applyFill="1" applyBorder="1" applyAlignment="1">
      <alignment horizontal="center" vertical="center"/>
    </xf>
    <xf numFmtId="0" fontId="317" fillId="0" borderId="0" xfId="0" applyFont="1" applyFill="1" applyBorder="1" applyAlignment="1">
      <alignment horizontal="left" vertical="center"/>
    </xf>
    <xf numFmtId="0" fontId="318" fillId="0" borderId="211" xfId="0" applyFont="1" applyBorder="1" applyAlignment="1">
      <alignment vertical="center" wrapText="1"/>
    </xf>
    <xf numFmtId="9" fontId="318" fillId="0" borderId="0" xfId="983" applyFont="1" applyFill="1" applyBorder="1" applyAlignment="1">
      <alignment horizontal="center" vertical="center" wrapText="1"/>
    </xf>
    <xf numFmtId="9" fontId="318" fillId="0" borderId="298" xfId="983" applyFont="1" applyFill="1" applyBorder="1" applyAlignment="1">
      <alignment horizontal="center" vertical="center" wrapText="1"/>
    </xf>
    <xf numFmtId="0" fontId="134" fillId="0" borderId="2" xfId="0" applyFont="1" applyBorder="1" applyAlignment="1">
      <alignment wrapText="1"/>
    </xf>
    <xf numFmtId="0" fontId="140" fillId="19" borderId="176" xfId="0" applyFont="1" applyFill="1" applyBorder="1" applyAlignment="1" applyProtection="1">
      <alignment horizontal="center" vertical="center" wrapText="1"/>
    </xf>
    <xf numFmtId="9" fontId="0" fillId="0" borderId="0" xfId="983" applyFont="1"/>
    <xf numFmtId="182" fontId="0" fillId="0" borderId="0" xfId="983" applyNumberFormat="1" applyFont="1"/>
    <xf numFmtId="0" fontId="0" fillId="0" borderId="5" xfId="0" applyBorder="1" applyAlignment="1">
      <alignment horizontal="center" vertical="center"/>
    </xf>
    <xf numFmtId="0" fontId="0" fillId="38" borderId="2" xfId="0" applyFill="1" applyBorder="1"/>
    <xf numFmtId="0" fontId="0" fillId="38" borderId="2" xfId="0" applyFill="1" applyBorder="1" applyAlignment="1">
      <alignment horizontal="center" vertical="center"/>
    </xf>
    <xf numFmtId="0" fontId="0" fillId="38" borderId="2" xfId="0" applyFill="1" applyBorder="1" applyAlignment="1">
      <alignment vertical="center"/>
    </xf>
    <xf numFmtId="9" fontId="2" fillId="15" borderId="2" xfId="983" applyFont="1" applyFill="1" applyBorder="1" applyAlignment="1">
      <alignment horizontal="center" vertical="center"/>
    </xf>
    <xf numFmtId="182" fontId="4" fillId="0" borderId="56" xfId="983" applyNumberFormat="1" applyFont="1" applyFill="1" applyBorder="1" applyAlignment="1">
      <alignment horizontal="center" vertical="center" wrapText="1"/>
    </xf>
    <xf numFmtId="171" fontId="15" fillId="0" borderId="290" xfId="0" applyNumberFormat="1" applyFont="1" applyFill="1" applyBorder="1" applyAlignment="1">
      <alignment horizontal="center" vertical="center" wrapText="1"/>
    </xf>
    <xf numFmtId="171" fontId="60" fillId="0" borderId="0" xfId="0" applyNumberFormat="1" applyFont="1" applyFill="1" applyBorder="1" applyAlignment="1">
      <alignment vertical="center"/>
    </xf>
    <xf numFmtId="171" fontId="15" fillId="0" borderId="290" xfId="0" applyNumberFormat="1" applyFont="1" applyFill="1" applyBorder="1" applyAlignment="1">
      <alignment horizontal="center" vertical="center"/>
    </xf>
    <xf numFmtId="171" fontId="15" fillId="0" borderId="0" xfId="0" applyNumberFormat="1" applyFont="1" applyFill="1" applyBorder="1" applyAlignment="1">
      <alignment horizontal="right" vertical="center"/>
    </xf>
    <xf numFmtId="177" fontId="4" fillId="0" borderId="56" xfId="0" applyNumberFormat="1" applyFont="1" applyFill="1" applyBorder="1" applyAlignment="1">
      <alignment horizontal="center" vertical="center" wrapText="1"/>
    </xf>
    <xf numFmtId="178" fontId="38" fillId="0" borderId="0" xfId="982" applyNumberFormat="1" applyFont="1" applyFill="1" applyBorder="1" applyAlignment="1">
      <alignment horizontal="left" vertical="center" wrapText="1"/>
    </xf>
    <xf numFmtId="1" fontId="14" fillId="0" borderId="0" xfId="10" applyNumberFormat="1" applyFont="1" applyFill="1" applyBorder="1" applyAlignment="1">
      <alignment horizontal="left"/>
    </xf>
    <xf numFmtId="0" fontId="245" fillId="0" borderId="247" xfId="0" applyFont="1" applyBorder="1"/>
    <xf numFmtId="0" fontId="245" fillId="0" borderId="250" xfId="0" applyFont="1" applyBorder="1"/>
    <xf numFmtId="0" fontId="198" fillId="0" borderId="188" xfId="0" applyFont="1" applyBorder="1" applyAlignment="1">
      <alignment horizontal="left"/>
    </xf>
    <xf numFmtId="0" fontId="45" fillId="0" borderId="2" xfId="0" applyFont="1" applyBorder="1" applyAlignment="1">
      <alignment vertical="center"/>
    </xf>
    <xf numFmtId="197" fontId="71" fillId="0" borderId="0" xfId="984" applyNumberFormat="1" applyFont="1" applyProtection="1"/>
    <xf numFmtId="0" fontId="89" fillId="0" borderId="0" xfId="0" applyFont="1" applyAlignment="1" applyProtection="1">
      <alignment vertical="center" wrapText="1"/>
    </xf>
    <xf numFmtId="0" fontId="89" fillId="70" borderId="162" xfId="0" applyFont="1" applyFill="1" applyBorder="1" applyAlignment="1" applyProtection="1">
      <alignment vertical="center" wrapText="1"/>
    </xf>
    <xf numFmtId="0" fontId="89" fillId="70" borderId="160" xfId="0" applyFont="1" applyFill="1" applyBorder="1" applyAlignment="1" applyProtection="1">
      <alignment vertical="center" wrapText="1"/>
    </xf>
    <xf numFmtId="0" fontId="89" fillId="70" borderId="154" xfId="0" applyFont="1" applyFill="1" applyBorder="1" applyAlignment="1" applyProtection="1">
      <alignment vertical="center" wrapText="1"/>
    </xf>
    <xf numFmtId="0" fontId="89" fillId="70" borderId="114" xfId="0" applyFont="1" applyFill="1" applyBorder="1" applyAlignment="1" applyProtection="1">
      <alignment vertical="center" wrapText="1"/>
    </xf>
    <xf numFmtId="0" fontId="89" fillId="70" borderId="10" xfId="0" applyFont="1" applyFill="1" applyBorder="1" applyAlignment="1" applyProtection="1">
      <alignment vertical="center" wrapText="1"/>
    </xf>
    <xf numFmtId="0" fontId="89" fillId="0" borderId="145" xfId="0" applyFont="1" applyBorder="1" applyProtection="1"/>
    <xf numFmtId="197" fontId="89" fillId="0" borderId="145" xfId="984" applyNumberFormat="1" applyFont="1" applyBorder="1" applyAlignment="1" applyProtection="1">
      <alignment horizontal="center" vertical="center"/>
    </xf>
    <xf numFmtId="197" fontId="89" fillId="0" borderId="98" xfId="984" applyNumberFormat="1" applyFont="1" applyBorder="1" applyAlignment="1" applyProtection="1">
      <alignment horizontal="center" vertical="center"/>
    </xf>
    <xf numFmtId="197" fontId="89" fillId="0" borderId="159" xfId="984" applyNumberFormat="1" applyFont="1" applyBorder="1" applyAlignment="1" applyProtection="1">
      <alignment horizontal="center" vertical="center"/>
    </xf>
    <xf numFmtId="0" fontId="89" fillId="0" borderId="0" xfId="0" applyFont="1" applyProtection="1"/>
    <xf numFmtId="0" fontId="89" fillId="0" borderId="166" xfId="0" applyFont="1" applyBorder="1" applyProtection="1"/>
    <xf numFmtId="0" fontId="71" fillId="0" borderId="25" xfId="0" applyFont="1" applyBorder="1" applyProtection="1"/>
    <xf numFmtId="197" fontId="71" fillId="0" borderId="25" xfId="984" applyNumberFormat="1" applyFont="1" applyBorder="1" applyAlignment="1" applyProtection="1">
      <alignment horizontal="center" vertical="center"/>
    </xf>
    <xf numFmtId="197" fontId="71" fillId="0" borderId="0" xfId="984" applyNumberFormat="1" applyFont="1" applyBorder="1" applyAlignment="1" applyProtection="1">
      <alignment horizontal="center" vertical="center"/>
    </xf>
    <xf numFmtId="197" fontId="71" fillId="0" borderId="26" xfId="984" applyNumberFormat="1" applyFont="1" applyBorder="1" applyAlignment="1" applyProtection="1">
      <alignment horizontal="center" vertical="center"/>
    </xf>
    <xf numFmtId="197" fontId="71" fillId="0" borderId="27" xfId="984" applyNumberFormat="1" applyFont="1" applyBorder="1" applyAlignment="1" applyProtection="1">
      <alignment horizontal="center" vertical="center"/>
    </xf>
    <xf numFmtId="197" fontId="71" fillId="0" borderId="28" xfId="984" applyNumberFormat="1" applyFont="1" applyBorder="1" applyAlignment="1" applyProtection="1">
      <alignment horizontal="center" vertical="center"/>
    </xf>
    <xf numFmtId="0" fontId="71" fillId="0" borderId="5" xfId="0" applyFont="1" applyBorder="1" applyProtection="1"/>
    <xf numFmtId="0" fontId="71" fillId="71" borderId="6" xfId="0" applyFont="1" applyFill="1" applyBorder="1" applyAlignment="1" applyProtection="1">
      <alignment horizontal="center"/>
    </xf>
    <xf numFmtId="0" fontId="71" fillId="72" borderId="2" xfId="0" applyFont="1" applyFill="1" applyBorder="1" applyProtection="1"/>
    <xf numFmtId="0" fontId="71" fillId="72" borderId="6" xfId="0" applyFont="1" applyFill="1" applyBorder="1" applyProtection="1"/>
    <xf numFmtId="0" fontId="71" fillId="0" borderId="25" xfId="0" applyFont="1" applyBorder="1" applyAlignment="1" applyProtection="1">
      <alignment horizontal="right"/>
    </xf>
    <xf numFmtId="197" fontId="71" fillId="0" borderId="0" xfId="984" applyNumberFormat="1" applyFont="1" applyBorder="1" applyProtection="1"/>
    <xf numFmtId="197" fontId="71" fillId="0" borderId="26" xfId="984" applyNumberFormat="1" applyFont="1" applyBorder="1" applyProtection="1"/>
    <xf numFmtId="0" fontId="71" fillId="0" borderId="0" xfId="0" applyFont="1" applyBorder="1" applyProtection="1"/>
    <xf numFmtId="3" fontId="71" fillId="0" borderId="26" xfId="0" applyNumberFormat="1" applyFont="1" applyBorder="1" applyProtection="1"/>
    <xf numFmtId="0" fontId="71" fillId="0" borderId="11" xfId="0" applyFont="1" applyBorder="1" applyAlignment="1" applyProtection="1">
      <alignment horizontal="right"/>
    </xf>
    <xf numFmtId="197" fontId="71" fillId="0" borderId="3" xfId="984" applyNumberFormat="1" applyFont="1" applyBorder="1" applyProtection="1"/>
    <xf numFmtId="197" fontId="71" fillId="0" borderId="12" xfId="984" applyNumberFormat="1" applyFont="1" applyBorder="1" applyProtection="1"/>
    <xf numFmtId="3" fontId="71" fillId="0" borderId="3" xfId="0" applyNumberFormat="1" applyFont="1" applyBorder="1" applyProtection="1"/>
    <xf numFmtId="3" fontId="71" fillId="0" borderId="12" xfId="0" applyNumberFormat="1" applyFont="1" applyBorder="1" applyProtection="1"/>
    <xf numFmtId="0" fontId="89" fillId="70" borderId="9" xfId="0" applyFont="1" applyFill="1" applyBorder="1" applyAlignment="1" applyProtection="1">
      <alignment vertical="center" wrapText="1"/>
    </xf>
    <xf numFmtId="0" fontId="89" fillId="70" borderId="13" xfId="0" applyFont="1" applyFill="1" applyBorder="1" applyAlignment="1" applyProtection="1">
      <alignment vertical="center" wrapText="1"/>
    </xf>
    <xf numFmtId="197" fontId="89" fillId="0" borderId="9" xfId="984" applyNumberFormat="1" applyFont="1" applyBorder="1" applyAlignment="1" applyProtection="1">
      <alignment horizontal="center" vertical="center"/>
    </xf>
    <xf numFmtId="197" fontId="89" fillId="0" borderId="13" xfId="984" applyNumberFormat="1" applyFont="1" applyBorder="1" applyAlignment="1" applyProtection="1">
      <alignment horizontal="center" vertical="center"/>
    </xf>
    <xf numFmtId="197" fontId="89" fillId="0" borderId="10" xfId="984" applyNumberFormat="1" applyFont="1" applyBorder="1" applyAlignment="1" applyProtection="1">
      <alignment horizontal="center" vertical="center"/>
    </xf>
    <xf numFmtId="197" fontId="71" fillId="0" borderId="11" xfId="984" applyNumberFormat="1" applyFont="1" applyBorder="1" applyAlignment="1" applyProtection="1">
      <alignment horizontal="center" vertical="center"/>
    </xf>
    <xf numFmtId="197" fontId="71" fillId="0" borderId="3" xfId="984" applyNumberFormat="1" applyFont="1" applyBorder="1" applyAlignment="1" applyProtection="1">
      <alignment horizontal="center" vertical="center"/>
    </xf>
    <xf numFmtId="197" fontId="71" fillId="0" borderId="12" xfId="984" applyNumberFormat="1" applyFont="1" applyBorder="1" applyAlignment="1" applyProtection="1">
      <alignment horizontal="center" vertical="center"/>
    </xf>
    <xf numFmtId="197" fontId="71" fillId="71" borderId="5" xfId="984" applyNumberFormat="1" applyFont="1" applyFill="1" applyBorder="1" applyAlignment="1" applyProtection="1"/>
    <xf numFmtId="197" fontId="71" fillId="71" borderId="7" xfId="984" applyNumberFormat="1" applyFont="1" applyFill="1" applyBorder="1" applyAlignment="1" applyProtection="1"/>
    <xf numFmtId="197" fontId="71" fillId="71" borderId="6" xfId="984" applyNumberFormat="1" applyFont="1" applyFill="1" applyBorder="1" applyAlignment="1" applyProtection="1"/>
    <xf numFmtId="0" fontId="71" fillId="71" borderId="5" xfId="0" applyFont="1" applyFill="1" applyBorder="1" applyAlignment="1" applyProtection="1"/>
    <xf numFmtId="0" fontId="71" fillId="71" borderId="7" xfId="0" applyFont="1" applyFill="1" applyBorder="1" applyAlignment="1" applyProtection="1"/>
    <xf numFmtId="0" fontId="71" fillId="0" borderId="27" xfId="0" applyFont="1" applyBorder="1" applyAlignment="1">
      <alignment horizontal="center" vertical="center"/>
    </xf>
    <xf numFmtId="0" fontId="71" fillId="0" borderId="0" xfId="0" applyFont="1" applyBorder="1" applyAlignment="1">
      <alignment horizontal="center" vertical="center"/>
    </xf>
    <xf numFmtId="0" fontId="71" fillId="0" borderId="25" xfId="0" applyFont="1" applyBorder="1" applyAlignment="1">
      <alignment horizontal="center" vertical="center"/>
    </xf>
    <xf numFmtId="0" fontId="71" fillId="0" borderId="28" xfId="0" applyFont="1" applyBorder="1" applyAlignment="1">
      <alignment horizontal="center" vertical="center"/>
    </xf>
    <xf numFmtId="0" fontId="71" fillId="0" borderId="3" xfId="0" applyFont="1" applyBorder="1" applyAlignment="1">
      <alignment horizontal="center" vertical="center"/>
    </xf>
    <xf numFmtId="0" fontId="71" fillId="0" borderId="11" xfId="0" applyFont="1" applyBorder="1" applyAlignment="1">
      <alignment horizontal="center" vertical="center"/>
    </xf>
    <xf numFmtId="0" fontId="89" fillId="23" borderId="0" xfId="0" applyFont="1" applyFill="1" applyBorder="1"/>
    <xf numFmtId="0" fontId="71" fillId="0" borderId="0" xfId="0" applyFont="1" applyBorder="1"/>
    <xf numFmtId="2" fontId="71" fillId="20" borderId="0" xfId="0" applyNumberFormat="1" applyFont="1" applyFill="1"/>
    <xf numFmtId="197" fontId="89" fillId="0" borderId="0" xfId="984" applyNumberFormat="1" applyFont="1" applyProtection="1"/>
    <xf numFmtId="0" fontId="2" fillId="0" borderId="74" xfId="0" applyFont="1" applyBorder="1" applyAlignment="1">
      <alignment horizontal="center" wrapText="1"/>
    </xf>
    <xf numFmtId="0" fontId="2" fillId="0" borderId="2" xfId="0" applyFont="1" applyBorder="1" applyAlignment="1">
      <alignment horizontal="center" wrapText="1"/>
    </xf>
    <xf numFmtId="0" fontId="89" fillId="0" borderId="0" xfId="0" applyFont="1" applyAlignment="1" applyProtection="1">
      <alignment horizontal="center"/>
    </xf>
    <xf numFmtId="9" fontId="71" fillId="0" borderId="2" xfId="983" applyFont="1" applyBorder="1" applyProtection="1"/>
    <xf numFmtId="178" fontId="71" fillId="0" borderId="2" xfId="982" applyNumberFormat="1" applyFont="1" applyBorder="1" applyProtection="1"/>
    <xf numFmtId="178" fontId="0" fillId="0" borderId="0" xfId="982" applyNumberFormat="1" applyFont="1" applyBorder="1"/>
    <xf numFmtId="1" fontId="0" fillId="0" borderId="0" xfId="0" applyNumberFormat="1" applyBorder="1"/>
    <xf numFmtId="178" fontId="2" fillId="22" borderId="2" xfId="982" applyNumberFormat="1" applyFont="1" applyFill="1" applyBorder="1"/>
    <xf numFmtId="9" fontId="71" fillId="0" borderId="0" xfId="0" applyNumberFormat="1" applyFont="1" applyProtection="1"/>
    <xf numFmtId="178" fontId="1" fillId="0" borderId="0" xfId="982" applyNumberFormat="1" applyFont="1"/>
    <xf numFmtId="0" fontId="71" fillId="0" borderId="0" xfId="0" applyFont="1"/>
    <xf numFmtId="0" fontId="71" fillId="0" borderId="2" xfId="0" applyFont="1" applyBorder="1"/>
    <xf numFmtId="0" fontId="71" fillId="0" borderId="5" xfId="0" applyFont="1" applyBorder="1"/>
    <xf numFmtId="9" fontId="71" fillId="0" borderId="6" xfId="0" applyNumberFormat="1" applyFont="1" applyBorder="1"/>
    <xf numFmtId="0" fontId="71" fillId="0" borderId="25" xfId="0" applyFont="1" applyBorder="1"/>
    <xf numFmtId="9" fontId="71" fillId="0" borderId="26" xfId="0" applyNumberFormat="1" applyFont="1" applyBorder="1"/>
    <xf numFmtId="0" fontId="71" fillId="0" borderId="11" xfId="0" applyFont="1" applyBorder="1"/>
    <xf numFmtId="9" fontId="71" fillId="0" borderId="12" xfId="0" applyNumberFormat="1" applyFont="1" applyBorder="1"/>
    <xf numFmtId="9" fontId="71" fillId="23" borderId="2" xfId="983" applyFont="1" applyFill="1" applyBorder="1"/>
    <xf numFmtId="178" fontId="71" fillId="23" borderId="2" xfId="982" applyNumberFormat="1" applyFont="1" applyFill="1" applyBorder="1"/>
    <xf numFmtId="0" fontId="71" fillId="23" borderId="2" xfId="0" applyFont="1" applyFill="1" applyBorder="1"/>
    <xf numFmtId="0" fontId="53" fillId="0" borderId="2" xfId="0" applyFont="1" applyBorder="1" applyAlignment="1">
      <alignment horizontal="center" vertical="center" wrapText="1"/>
    </xf>
    <xf numFmtId="178" fontId="71" fillId="0" borderId="2" xfId="982" applyNumberFormat="1" applyFont="1" applyBorder="1"/>
    <xf numFmtId="178" fontId="89" fillId="23" borderId="6" xfId="982" applyNumberFormat="1" applyFont="1" applyFill="1" applyBorder="1"/>
    <xf numFmtId="0" fontId="89" fillId="35" borderId="2" xfId="0" applyFont="1" applyFill="1" applyBorder="1" applyAlignment="1">
      <alignment horizontal="center"/>
    </xf>
    <xf numFmtId="0" fontId="71" fillId="23" borderId="2" xfId="0" applyFont="1" applyFill="1" applyBorder="1" applyAlignment="1">
      <alignment horizontal="center"/>
    </xf>
    <xf numFmtId="0" fontId="71" fillId="0" borderId="6" xfId="0" applyFont="1" applyBorder="1"/>
    <xf numFmtId="0" fontId="89" fillId="0" borderId="0" xfId="0" applyFont="1" applyFill="1" applyBorder="1" applyAlignment="1">
      <alignment horizontal="center" wrapText="1"/>
    </xf>
    <xf numFmtId="0" fontId="71" fillId="0" borderId="28" xfId="0" applyFont="1" applyBorder="1"/>
    <xf numFmtId="0" fontId="89" fillId="0" borderId="2" xfId="0" applyFont="1" applyBorder="1" applyAlignment="1">
      <alignment vertical="center"/>
    </xf>
    <xf numFmtId="0" fontId="89" fillId="23" borderId="2" xfId="0" applyFont="1" applyFill="1" applyBorder="1" applyAlignment="1">
      <alignment horizontal="center" vertical="center"/>
    </xf>
    <xf numFmtId="0" fontId="89" fillId="0" borderId="0" xfId="0" applyFont="1" applyFill="1" applyBorder="1" applyAlignment="1">
      <alignment horizontal="center" vertical="center" wrapText="1"/>
    </xf>
    <xf numFmtId="0" fontId="89" fillId="0" borderId="2" xfId="0" applyFont="1" applyBorder="1"/>
    <xf numFmtId="0" fontId="89" fillId="0" borderId="0" xfId="0" applyFont="1" applyFill="1" applyBorder="1" applyAlignment="1"/>
    <xf numFmtId="0" fontId="71" fillId="0" borderId="2" xfId="0" applyFont="1" applyFill="1" applyBorder="1"/>
    <xf numFmtId="165" fontId="8" fillId="0" borderId="0" xfId="0" applyNumberFormat="1" applyFont="1" applyFill="1" applyBorder="1" applyProtection="1"/>
    <xf numFmtId="0" fontId="71" fillId="0" borderId="26" xfId="0" quotePrefix="1" applyFont="1" applyBorder="1"/>
    <xf numFmtId="0" fontId="71" fillId="0" borderId="0" xfId="0" applyFont="1" applyFill="1" applyBorder="1" applyAlignment="1">
      <alignment horizontal="center" vertical="center"/>
    </xf>
    <xf numFmtId="178" fontId="10" fillId="0" borderId="299" xfId="982" applyNumberFormat="1" applyFont="1" applyBorder="1" applyProtection="1"/>
    <xf numFmtId="0" fontId="89" fillId="23" borderId="0" xfId="0" applyFont="1" applyFill="1"/>
    <xf numFmtId="178" fontId="89" fillId="23" borderId="0" xfId="982" applyNumberFormat="1" applyFont="1" applyFill="1" applyAlignment="1">
      <alignment horizontal="left"/>
    </xf>
    <xf numFmtId="0" fontId="71" fillId="23" borderId="115" xfId="0" applyFont="1" applyFill="1" applyBorder="1"/>
    <xf numFmtId="178" fontId="71" fillId="23" borderId="116" xfId="982" applyNumberFormat="1" applyFont="1" applyFill="1" applyBorder="1" applyAlignment="1">
      <alignment horizontal="left"/>
    </xf>
    <xf numFmtId="168" fontId="89" fillId="52" borderId="2" xfId="982" applyFont="1" applyFill="1" applyBorder="1" applyAlignment="1">
      <alignment vertical="center"/>
    </xf>
    <xf numFmtId="178" fontId="71" fillId="52" borderId="2" xfId="982" applyNumberFormat="1" applyFont="1" applyFill="1" applyBorder="1" applyAlignment="1">
      <alignment horizontal="left"/>
    </xf>
    <xf numFmtId="168" fontId="89" fillId="22" borderId="2" xfId="982" applyFont="1" applyFill="1" applyBorder="1" applyAlignment="1">
      <alignment vertical="center"/>
    </xf>
    <xf numFmtId="0" fontId="89" fillId="0" borderId="0" xfId="0" applyFont="1" applyBorder="1" applyAlignment="1">
      <alignment horizontal="center" wrapText="1"/>
    </xf>
    <xf numFmtId="2" fontId="89" fillId="22" borderId="2" xfId="982" applyNumberFormat="1" applyFont="1" applyFill="1" applyBorder="1" applyAlignment="1">
      <alignment horizontal="left" vertical="center"/>
    </xf>
    <xf numFmtId="9" fontId="89" fillId="22" borderId="2" xfId="983" applyFont="1" applyFill="1" applyBorder="1" applyAlignment="1">
      <alignment horizontal="left" vertical="center"/>
    </xf>
    <xf numFmtId="171" fontId="89" fillId="22" borderId="2" xfId="982" applyNumberFormat="1" applyFont="1" applyFill="1" applyBorder="1" applyAlignment="1">
      <alignment horizontal="left" vertical="center"/>
    </xf>
    <xf numFmtId="168" fontId="89" fillId="0" borderId="0" xfId="982" applyFont="1" applyFill="1" applyBorder="1" applyAlignment="1">
      <alignment vertical="center"/>
    </xf>
    <xf numFmtId="2" fontId="89" fillId="0" borderId="0" xfId="982" applyNumberFormat="1" applyFont="1" applyFill="1" applyBorder="1" applyAlignment="1">
      <alignment horizontal="left" vertical="center"/>
    </xf>
    <xf numFmtId="0" fontId="71" fillId="0" borderId="0" xfId="0" applyFont="1" applyFill="1"/>
    <xf numFmtId="171" fontId="89" fillId="0" borderId="0" xfId="982" applyNumberFormat="1" applyFont="1" applyFill="1" applyBorder="1" applyAlignment="1">
      <alignment horizontal="left" vertical="center"/>
    </xf>
    <xf numFmtId="168" fontId="89" fillId="19" borderId="2" xfId="982" applyFont="1" applyFill="1" applyBorder="1" applyAlignment="1">
      <alignment vertical="center"/>
    </xf>
    <xf numFmtId="2" fontId="89" fillId="19" borderId="2" xfId="982" applyNumberFormat="1" applyFont="1" applyFill="1" applyBorder="1" applyAlignment="1">
      <alignment horizontal="left" vertical="center"/>
    </xf>
    <xf numFmtId="171" fontId="89" fillId="19" borderId="2" xfId="982" applyNumberFormat="1" applyFont="1" applyFill="1" applyBorder="1" applyAlignment="1">
      <alignment horizontal="left" vertical="center"/>
    </xf>
    <xf numFmtId="168" fontId="89" fillId="19" borderId="74" xfId="982" applyFont="1" applyFill="1" applyBorder="1" applyAlignment="1">
      <alignment vertical="center"/>
    </xf>
    <xf numFmtId="0" fontId="53" fillId="47" borderId="2" xfId="0" applyFont="1" applyFill="1" applyBorder="1" applyAlignment="1">
      <alignment vertical="center"/>
    </xf>
    <xf numFmtId="168" fontId="89" fillId="47" borderId="2" xfId="982" applyFont="1" applyFill="1" applyBorder="1" applyAlignment="1">
      <alignment vertical="center"/>
    </xf>
    <xf numFmtId="2" fontId="89" fillId="47" borderId="2" xfId="982" applyNumberFormat="1" applyFont="1" applyFill="1" applyBorder="1" applyAlignment="1">
      <alignment horizontal="left" vertical="center"/>
    </xf>
    <xf numFmtId="10" fontId="89" fillId="47" borderId="2" xfId="983" applyNumberFormat="1" applyFont="1" applyFill="1" applyBorder="1" applyAlignment="1">
      <alignment horizontal="left" vertical="center"/>
    </xf>
    <xf numFmtId="171" fontId="89" fillId="47" borderId="2" xfId="982" applyNumberFormat="1" applyFont="1" applyFill="1" applyBorder="1" applyAlignment="1">
      <alignment horizontal="left" vertical="center"/>
    </xf>
    <xf numFmtId="168" fontId="89" fillId="47" borderId="74" xfId="982" applyFont="1" applyFill="1" applyBorder="1" applyAlignment="1">
      <alignment vertical="center"/>
    </xf>
    <xf numFmtId="168" fontId="89" fillId="68" borderId="2" xfId="982" applyFont="1" applyFill="1" applyBorder="1" applyAlignment="1">
      <alignment vertical="center"/>
    </xf>
    <xf numFmtId="165" fontId="89" fillId="68" borderId="2" xfId="982" applyNumberFormat="1" applyFont="1" applyFill="1" applyBorder="1" applyAlignment="1">
      <alignment vertical="center"/>
    </xf>
    <xf numFmtId="2" fontId="89" fillId="68" borderId="2" xfId="982" applyNumberFormat="1" applyFont="1" applyFill="1" applyBorder="1" applyAlignment="1">
      <alignment horizontal="left" vertical="center"/>
    </xf>
    <xf numFmtId="10" fontId="89" fillId="68" borderId="2" xfId="983" applyNumberFormat="1" applyFont="1" applyFill="1" applyBorder="1" applyAlignment="1">
      <alignment horizontal="left" vertical="center"/>
    </xf>
    <xf numFmtId="171" fontId="89" fillId="68" borderId="2" xfId="982" applyNumberFormat="1" applyFont="1" applyFill="1" applyBorder="1" applyAlignment="1">
      <alignment horizontal="left" vertical="center"/>
    </xf>
    <xf numFmtId="168" fontId="89" fillId="68" borderId="74" xfId="982" applyFont="1" applyFill="1" applyBorder="1" applyAlignment="1">
      <alignment vertical="center"/>
    </xf>
    <xf numFmtId="0" fontId="45" fillId="73" borderId="2" xfId="0" applyFont="1" applyFill="1" applyBorder="1" applyAlignment="1">
      <alignment horizontal="center" vertical="center" wrapText="1"/>
    </xf>
    <xf numFmtId="168" fontId="89" fillId="73" borderId="2" xfId="982" applyFont="1" applyFill="1" applyBorder="1" applyAlignment="1">
      <alignment vertical="center"/>
    </xf>
    <xf numFmtId="178" fontId="89" fillId="73" borderId="2" xfId="982" applyNumberFormat="1" applyFont="1" applyFill="1" applyBorder="1" applyAlignment="1">
      <alignment vertical="center"/>
    </xf>
    <xf numFmtId="165" fontId="89" fillId="73" borderId="2" xfId="982" applyNumberFormat="1" applyFont="1" applyFill="1" applyBorder="1" applyAlignment="1">
      <alignment vertical="center"/>
    </xf>
    <xf numFmtId="2" fontId="89" fillId="73" borderId="2" xfId="982" applyNumberFormat="1" applyFont="1" applyFill="1" applyBorder="1" applyAlignment="1">
      <alignment horizontal="left" vertical="center"/>
    </xf>
    <xf numFmtId="10" fontId="89" fillId="73" borderId="2" xfId="983" applyNumberFormat="1" applyFont="1" applyFill="1" applyBorder="1" applyAlignment="1">
      <alignment horizontal="left" vertical="center"/>
    </xf>
    <xf numFmtId="168" fontId="89" fillId="73" borderId="74" xfId="982" applyFont="1" applyFill="1" applyBorder="1" applyAlignment="1">
      <alignment vertical="center"/>
    </xf>
    <xf numFmtId="0" fontId="45" fillId="20" borderId="2" xfId="0" applyFont="1" applyFill="1" applyBorder="1" applyAlignment="1">
      <alignment horizontal="center" vertical="center"/>
    </xf>
    <xf numFmtId="168" fontId="89" fillId="20" borderId="2" xfId="982" applyFont="1" applyFill="1" applyBorder="1" applyAlignment="1">
      <alignment vertical="center"/>
    </xf>
    <xf numFmtId="165" fontId="89" fillId="20" borderId="2" xfId="982" applyNumberFormat="1" applyFont="1" applyFill="1" applyBorder="1" applyAlignment="1">
      <alignment vertical="center"/>
    </xf>
    <xf numFmtId="2" fontId="89" fillId="20" borderId="2" xfId="982" applyNumberFormat="1" applyFont="1" applyFill="1" applyBorder="1" applyAlignment="1">
      <alignment horizontal="left" vertical="center"/>
    </xf>
    <xf numFmtId="10" fontId="89" fillId="20" borderId="2" xfId="983" applyNumberFormat="1" applyFont="1" applyFill="1" applyBorder="1" applyAlignment="1">
      <alignment horizontal="left" vertical="center"/>
    </xf>
    <xf numFmtId="168" fontId="89" fillId="20" borderId="74" xfId="982" applyFont="1" applyFill="1" applyBorder="1" applyAlignment="1">
      <alignment vertical="center"/>
    </xf>
    <xf numFmtId="178" fontId="89" fillId="23" borderId="2" xfId="982" applyNumberFormat="1" applyFont="1" applyFill="1" applyBorder="1" applyAlignment="1">
      <alignment vertical="center"/>
    </xf>
    <xf numFmtId="10" fontId="89" fillId="19" borderId="2" xfId="983" applyNumberFormat="1" applyFont="1" applyFill="1" applyBorder="1" applyAlignment="1">
      <alignment horizontal="left" vertical="center"/>
    </xf>
    <xf numFmtId="165" fontId="89" fillId="73" borderId="2" xfId="982" applyNumberFormat="1" applyFont="1" applyFill="1" applyBorder="1" applyAlignment="1">
      <alignment horizontal="left" vertical="center"/>
    </xf>
    <xf numFmtId="178" fontId="89" fillId="22" borderId="2" xfId="982" applyNumberFormat="1" applyFont="1" applyFill="1" applyBorder="1" applyAlignment="1">
      <alignment vertical="center"/>
    </xf>
    <xf numFmtId="178" fontId="89" fillId="19" borderId="2" xfId="982" applyNumberFormat="1" applyFont="1" applyFill="1" applyBorder="1" applyAlignment="1">
      <alignment vertical="center"/>
    </xf>
    <xf numFmtId="165" fontId="89" fillId="47" borderId="2" xfId="982" applyNumberFormat="1" applyFont="1" applyFill="1" applyBorder="1" applyAlignment="1">
      <alignment vertical="center"/>
    </xf>
    <xf numFmtId="0" fontId="319" fillId="0" borderId="0" xfId="3250"/>
    <xf numFmtId="178" fontId="319" fillId="0" borderId="0" xfId="982" applyNumberFormat="1" applyFont="1"/>
    <xf numFmtId="0" fontId="319" fillId="47" borderId="0" xfId="3250" applyFill="1"/>
    <xf numFmtId="178" fontId="1" fillId="0" borderId="0" xfId="982" applyNumberFormat="1" applyFont="1" applyFill="1" applyBorder="1" applyAlignment="1">
      <alignment wrapText="1"/>
    </xf>
    <xf numFmtId="178" fontId="0" fillId="0" borderId="0" xfId="0" applyNumberFormat="1" applyFont="1" applyFill="1" applyBorder="1" applyAlignment="1">
      <alignment wrapText="1"/>
    </xf>
    <xf numFmtId="178" fontId="319" fillId="47" borderId="0" xfId="982" applyNumberFormat="1" applyFont="1" applyFill="1"/>
    <xf numFmtId="178" fontId="0" fillId="47" borderId="0" xfId="0" applyNumberFormat="1" applyFill="1"/>
    <xf numFmtId="182" fontId="45" fillId="0" borderId="56" xfId="983" applyNumberFormat="1" applyFont="1" applyFill="1" applyBorder="1" applyAlignment="1">
      <alignment horizontal="center" vertical="center" wrapText="1"/>
    </xf>
    <xf numFmtId="9" fontId="71" fillId="23" borderId="0" xfId="983" applyFont="1" applyFill="1"/>
    <xf numFmtId="2" fontId="0" fillId="0" borderId="25" xfId="0" applyNumberFormat="1" applyFill="1" applyBorder="1"/>
    <xf numFmtId="178" fontId="5" fillId="20" borderId="0" xfId="982" applyNumberFormat="1" applyFont="1" applyFill="1" applyBorder="1" applyAlignment="1">
      <alignment horizontal="center"/>
    </xf>
    <xf numFmtId="0" fontId="140" fillId="32" borderId="2" xfId="0" applyFont="1" applyFill="1" applyBorder="1" applyAlignment="1" applyProtection="1">
      <alignment horizontal="left" wrapText="1"/>
    </xf>
    <xf numFmtId="0" fontId="176" fillId="32" borderId="2" xfId="0" applyFont="1" applyFill="1" applyBorder="1" applyAlignment="1" applyProtection="1">
      <alignment horizontal="left" wrapText="1"/>
    </xf>
    <xf numFmtId="0" fontId="177" fillId="32" borderId="2" xfId="0" applyFont="1" applyFill="1" applyBorder="1" applyAlignment="1" applyProtection="1">
      <alignment horizontal="left" wrapText="1"/>
    </xf>
    <xf numFmtId="0" fontId="184" fillId="32" borderId="2" xfId="0" applyFont="1" applyFill="1" applyBorder="1" applyAlignment="1" applyProtection="1">
      <alignment horizontal="left" wrapText="1"/>
    </xf>
    <xf numFmtId="0" fontId="140" fillId="32" borderId="2" xfId="0" applyFont="1" applyFill="1" applyBorder="1" applyAlignment="1" applyProtection="1"/>
    <xf numFmtId="0" fontId="140" fillId="32" borderId="2" xfId="0" applyFont="1" applyFill="1" applyBorder="1" applyAlignment="1" applyProtection="1">
      <alignment horizontal="left" vertical="center" wrapText="1"/>
    </xf>
    <xf numFmtId="0" fontId="134" fillId="32" borderId="2" xfId="0" applyFont="1" applyFill="1" applyBorder="1" applyAlignment="1">
      <alignment wrapText="1"/>
    </xf>
    <xf numFmtId="0" fontId="176" fillId="32" borderId="2" xfId="0" applyFont="1" applyFill="1" applyBorder="1" applyAlignment="1" applyProtection="1">
      <alignment horizontal="left" vertical="center" wrapText="1"/>
    </xf>
    <xf numFmtId="0" fontId="306" fillId="32" borderId="2" xfId="0" applyFont="1" applyFill="1" applyBorder="1" applyAlignment="1">
      <alignment wrapText="1"/>
    </xf>
    <xf numFmtId="0" fontId="44" fillId="32" borderId="2" xfId="0" applyFont="1" applyFill="1" applyBorder="1" applyAlignment="1">
      <alignment wrapText="1"/>
    </xf>
    <xf numFmtId="0" fontId="134" fillId="32" borderId="2" xfId="0" applyFont="1" applyFill="1" applyBorder="1" applyAlignment="1"/>
    <xf numFmtId="0" fontId="287" fillId="0" borderId="0" xfId="0" applyFont="1" applyFill="1" applyBorder="1" applyAlignment="1">
      <alignment horizontal="center" vertical="center"/>
    </xf>
    <xf numFmtId="178" fontId="38" fillId="0" borderId="0" xfId="982" applyNumberFormat="1" applyFont="1" applyFill="1" applyBorder="1" applyAlignment="1">
      <alignment horizontal="center" vertical="center"/>
    </xf>
    <xf numFmtId="0" fontId="320" fillId="0" borderId="0" xfId="10" applyFont="1" applyFill="1" applyBorder="1" applyAlignment="1">
      <alignment vertical="center"/>
    </xf>
    <xf numFmtId="0" fontId="98" fillId="0" borderId="0" xfId="0" applyFont="1" applyBorder="1" applyAlignment="1">
      <alignment horizontal="center" vertical="center" wrapText="1"/>
    </xf>
    <xf numFmtId="0" fontId="98" fillId="0" borderId="0" xfId="0" applyFont="1" applyBorder="1" applyAlignment="1">
      <alignment horizontal="center" vertical="center"/>
    </xf>
    <xf numFmtId="0" fontId="98" fillId="0" borderId="0" xfId="0" applyFont="1" applyBorder="1" applyAlignment="1">
      <alignment vertical="center" wrapText="1"/>
    </xf>
    <xf numFmtId="0" fontId="98" fillId="0" borderId="0" xfId="0" applyFont="1" applyBorder="1" applyAlignment="1">
      <alignment horizontal="left" vertical="center" wrapText="1"/>
    </xf>
    <xf numFmtId="0" fontId="104" fillId="0" borderId="0" xfId="0" applyFont="1" applyAlignment="1">
      <alignment horizontal="center" vertical="center"/>
    </xf>
    <xf numFmtId="9" fontId="104" fillId="0" borderId="0" xfId="983" applyFont="1" applyAlignment="1">
      <alignment horizontal="center" vertical="center"/>
    </xf>
    <xf numFmtId="0" fontId="104" fillId="0" borderId="0" xfId="0" applyFont="1" applyAlignment="1">
      <alignment horizontal="center" vertical="center" wrapText="1"/>
    </xf>
    <xf numFmtId="182" fontId="104" fillId="0" borderId="0" xfId="983" applyNumberFormat="1" applyFont="1" applyAlignment="1">
      <alignment horizontal="center" vertical="center"/>
    </xf>
    <xf numFmtId="178" fontId="104" fillId="0" borderId="0" xfId="982" applyNumberFormat="1" applyFont="1" applyAlignment="1">
      <alignment horizontal="center" vertical="center"/>
    </xf>
    <xf numFmtId="37" fontId="104" fillId="0" borderId="0" xfId="982" applyNumberFormat="1" applyFont="1" applyAlignment="1">
      <alignment horizontal="center" vertical="center"/>
    </xf>
    <xf numFmtId="37" fontId="162" fillId="66" borderId="0" xfId="982" applyNumberFormat="1" applyFont="1" applyFill="1" applyAlignment="1">
      <alignment horizontal="center" vertical="top"/>
    </xf>
    <xf numFmtId="37" fontId="73" fillId="66" borderId="0" xfId="982" applyNumberFormat="1" applyFont="1" applyFill="1" applyAlignment="1">
      <alignment horizontal="right" vertical="top"/>
    </xf>
    <xf numFmtId="37" fontId="73" fillId="66" borderId="0" xfId="982" applyNumberFormat="1" applyFont="1" applyFill="1" applyAlignment="1">
      <alignment horizontal="left" vertical="top"/>
    </xf>
    <xf numFmtId="37" fontId="73" fillId="66" borderId="0" xfId="982" applyNumberFormat="1" applyFont="1" applyFill="1" applyAlignment="1">
      <alignment horizontal="center" vertical="top" wrapText="1"/>
    </xf>
    <xf numFmtId="37" fontId="162" fillId="66" borderId="0" xfId="982" applyNumberFormat="1" applyFont="1" applyFill="1" applyAlignment="1">
      <alignment horizontal="center" vertical="top" wrapText="1"/>
    </xf>
    <xf numFmtId="0" fontId="98" fillId="0" borderId="0" xfId="0" applyFont="1" applyFill="1" applyBorder="1" applyAlignment="1">
      <alignment vertical="center"/>
    </xf>
    <xf numFmtId="0" fontId="98" fillId="0" borderId="0" xfId="0" applyFont="1" applyAlignment="1">
      <alignment vertical="center"/>
    </xf>
    <xf numFmtId="0" fontId="26" fillId="74" borderId="2" xfId="5" applyFont="1" applyFill="1" applyBorder="1" applyAlignment="1" applyProtection="1">
      <alignment horizontal="center" vertical="center" wrapText="1"/>
    </xf>
    <xf numFmtId="0" fontId="32" fillId="19" borderId="2" xfId="5" applyFont="1" applyFill="1" applyBorder="1" applyAlignment="1" applyProtection="1">
      <alignment horizontal="center" vertical="center" wrapText="1"/>
    </xf>
    <xf numFmtId="0" fontId="32" fillId="19" borderId="2" xfId="5" applyFont="1" applyFill="1" applyBorder="1" applyAlignment="1" applyProtection="1">
      <alignment horizontal="left" vertical="center" wrapText="1"/>
    </xf>
    <xf numFmtId="0" fontId="276" fillId="0" borderId="2" xfId="0" applyFont="1" applyBorder="1" applyAlignment="1">
      <alignment horizontal="center" vertical="center" wrapText="1"/>
    </xf>
    <xf numFmtId="9" fontId="276" fillId="19" borderId="2" xfId="983" applyFont="1" applyFill="1" applyBorder="1" applyAlignment="1">
      <alignment horizontal="center" vertical="center" wrapText="1"/>
    </xf>
    <xf numFmtId="0" fontId="104" fillId="19" borderId="2" xfId="0" applyFont="1" applyFill="1" applyBorder="1" applyAlignment="1">
      <alignment horizontal="center" vertical="center" wrapText="1"/>
    </xf>
    <xf numFmtId="0" fontId="276" fillId="0" borderId="5" xfId="0" applyFont="1" applyBorder="1" applyAlignment="1">
      <alignment horizontal="center" vertical="center" wrapText="1"/>
    </xf>
    <xf numFmtId="177" fontId="276" fillId="20" borderId="109" xfId="982" applyNumberFormat="1" applyFont="1" applyFill="1" applyBorder="1" applyAlignment="1" applyProtection="1">
      <alignment horizontal="center" vertical="center" wrapText="1"/>
    </xf>
    <xf numFmtId="0" fontId="276" fillId="20" borderId="114" xfId="0" applyFont="1" applyFill="1" applyBorder="1" applyAlignment="1" applyProtection="1">
      <alignment horizontal="center" vertical="center" wrapText="1"/>
    </xf>
    <xf numFmtId="9" fontId="276" fillId="22" borderId="114" xfId="983" applyFont="1" applyFill="1" applyBorder="1" applyAlignment="1" applyProtection="1">
      <alignment horizontal="center" vertical="center" wrapText="1"/>
    </xf>
    <xf numFmtId="0" fontId="276" fillId="20" borderId="113" xfId="0" applyFont="1" applyFill="1" applyBorder="1" applyAlignment="1" applyProtection="1">
      <alignment horizontal="center" vertical="center" wrapText="1"/>
    </xf>
    <xf numFmtId="0" fontId="276" fillId="0" borderId="6" xfId="0" applyFont="1" applyBorder="1" applyAlignment="1">
      <alignment horizontal="center" vertical="center" wrapText="1"/>
    </xf>
    <xf numFmtId="182" fontId="276" fillId="19" borderId="2" xfId="983" applyNumberFormat="1" applyFont="1" applyFill="1" applyBorder="1" applyAlignment="1">
      <alignment horizontal="center" vertical="center" wrapText="1"/>
    </xf>
    <xf numFmtId="178" fontId="276" fillId="0" borderId="2" xfId="982" applyNumberFormat="1" applyFont="1" applyBorder="1" applyAlignment="1">
      <alignment horizontal="center" vertical="center" wrapText="1"/>
    </xf>
    <xf numFmtId="0" fontId="276" fillId="19" borderId="2" xfId="0" applyFont="1" applyFill="1" applyBorder="1" applyAlignment="1">
      <alignment horizontal="center" vertical="center" wrapText="1"/>
    </xf>
    <xf numFmtId="178" fontId="276" fillId="19" borderId="2" xfId="982" applyNumberFormat="1" applyFont="1" applyFill="1" applyBorder="1" applyAlignment="1">
      <alignment horizontal="center" vertical="center" wrapText="1"/>
    </xf>
    <xf numFmtId="37" fontId="276" fillId="19" borderId="2" xfId="982" applyNumberFormat="1" applyFont="1" applyFill="1" applyBorder="1" applyAlignment="1">
      <alignment horizontal="center" vertical="center" wrapText="1"/>
    </xf>
    <xf numFmtId="37" fontId="276" fillId="19" borderId="2" xfId="982" applyNumberFormat="1" applyFont="1" applyFill="1" applyBorder="1" applyAlignment="1">
      <alignment horizontal="center" vertical="top" wrapText="1"/>
    </xf>
    <xf numFmtId="0" fontId="73" fillId="74" borderId="2" xfId="3" applyFont="1" applyFill="1" applyBorder="1" applyAlignment="1" applyProtection="1">
      <alignment horizontal="center" vertical="center" wrapText="1"/>
    </xf>
    <xf numFmtId="0" fontId="321" fillId="0" borderId="0" xfId="0" applyFont="1" applyFill="1" applyBorder="1" applyAlignment="1">
      <alignment vertical="center" wrapText="1"/>
    </xf>
    <xf numFmtId="0" fontId="321" fillId="0" borderId="0" xfId="0" applyFont="1" applyFill="1" applyBorder="1" applyAlignment="1">
      <alignment vertical="center"/>
    </xf>
    <xf numFmtId="0" fontId="321" fillId="0" borderId="0" xfId="0" applyFont="1" applyAlignment="1">
      <alignment vertical="center"/>
    </xf>
    <xf numFmtId="0" fontId="104" fillId="34" borderId="2" xfId="0" applyFont="1" applyFill="1" applyBorder="1" applyAlignment="1" applyProtection="1">
      <alignment horizontal="center" vertical="center"/>
    </xf>
    <xf numFmtId="0" fontId="104" fillId="34" borderId="2" xfId="0" applyFont="1" applyFill="1" applyBorder="1" applyAlignment="1" applyProtection="1">
      <alignment horizontal="center" vertical="center" wrapText="1"/>
    </xf>
    <xf numFmtId="0" fontId="104" fillId="34" borderId="2" xfId="0" applyFont="1" applyFill="1" applyBorder="1" applyAlignment="1" applyProtection="1">
      <alignment vertical="center" wrapText="1"/>
    </xf>
    <xf numFmtId="0" fontId="104" fillId="34" borderId="2" xfId="0" applyFont="1" applyFill="1" applyBorder="1" applyAlignment="1" applyProtection="1">
      <alignment horizontal="left" vertical="center" wrapText="1"/>
    </xf>
    <xf numFmtId="0" fontId="104" fillId="0" borderId="2" xfId="0" applyFont="1" applyBorder="1" applyAlignment="1">
      <alignment horizontal="center" vertical="center"/>
    </xf>
    <xf numFmtId="9" fontId="104" fillId="34" borderId="2" xfId="983" applyFont="1" applyFill="1" applyBorder="1" applyAlignment="1">
      <alignment horizontal="center" vertical="center"/>
    </xf>
    <xf numFmtId="0" fontId="71" fillId="35" borderId="2" xfId="0" applyFont="1" applyFill="1" applyBorder="1" applyAlignment="1">
      <alignment horizontal="center" vertical="center" wrapText="1"/>
    </xf>
    <xf numFmtId="0" fontId="104" fillId="34" borderId="2" xfId="0" applyFont="1" applyFill="1" applyBorder="1" applyAlignment="1">
      <alignment horizontal="center" vertical="center" wrapText="1"/>
    </xf>
    <xf numFmtId="0" fontId="104" fillId="34" borderId="28" xfId="0" applyFont="1" applyFill="1" applyBorder="1" applyAlignment="1">
      <alignment horizontal="center" vertical="center"/>
    </xf>
    <xf numFmtId="9" fontId="104" fillId="34" borderId="28" xfId="10" applyNumberFormat="1" applyFont="1" applyFill="1" applyBorder="1" applyAlignment="1" applyProtection="1">
      <alignment horizontal="center" vertical="center"/>
    </xf>
    <xf numFmtId="9" fontId="104" fillId="34" borderId="28" xfId="983" applyFont="1" applyFill="1" applyBorder="1" applyAlignment="1" applyProtection="1">
      <alignment horizontal="center" vertical="center"/>
    </xf>
    <xf numFmtId="182" fontId="104" fillId="34" borderId="2" xfId="983" applyNumberFormat="1" applyFont="1" applyFill="1" applyBorder="1" applyAlignment="1">
      <alignment horizontal="center" vertical="center"/>
    </xf>
    <xf numFmtId="178" fontId="104" fillId="34" borderId="2" xfId="982" applyNumberFormat="1" applyFont="1" applyFill="1" applyBorder="1" applyAlignment="1">
      <alignment horizontal="center" vertical="center"/>
    </xf>
    <xf numFmtId="0" fontId="104" fillId="34" borderId="2" xfId="0" applyFont="1" applyFill="1" applyBorder="1" applyAlignment="1">
      <alignment horizontal="center" vertical="center"/>
    </xf>
    <xf numFmtId="178" fontId="104" fillId="34" borderId="2" xfId="982" quotePrefix="1" applyNumberFormat="1" applyFont="1" applyFill="1" applyBorder="1" applyAlignment="1">
      <alignment horizontal="center" vertical="center"/>
    </xf>
    <xf numFmtId="178" fontId="104" fillId="34" borderId="2" xfId="982" quotePrefix="1" applyNumberFormat="1" applyFont="1" applyFill="1" applyBorder="1" applyAlignment="1">
      <alignment horizontal="center" vertical="center" wrapText="1"/>
    </xf>
    <xf numFmtId="178" fontId="104" fillId="34" borderId="2" xfId="982" applyNumberFormat="1" applyFont="1" applyFill="1" applyBorder="1" applyAlignment="1" applyProtection="1">
      <alignment horizontal="center" vertical="center" wrapText="1"/>
    </xf>
    <xf numFmtId="37" fontId="104" fillId="34" borderId="2" xfId="982" applyNumberFormat="1" applyFont="1" applyFill="1" applyBorder="1" applyAlignment="1" applyProtection="1">
      <alignment horizontal="center" vertical="center" wrapText="1"/>
    </xf>
    <xf numFmtId="37" fontId="104" fillId="34" borderId="2" xfId="982" applyNumberFormat="1" applyFont="1" applyFill="1" applyBorder="1" applyAlignment="1" applyProtection="1">
      <alignment horizontal="center" vertical="top" wrapText="1"/>
    </xf>
    <xf numFmtId="0" fontId="322" fillId="28" borderId="2" xfId="0" applyFont="1" applyFill="1" applyBorder="1" applyAlignment="1" applyProtection="1">
      <alignment horizontal="center" vertical="top" wrapText="1"/>
    </xf>
    <xf numFmtId="0" fontId="104" fillId="0" borderId="2" xfId="0" applyFont="1" applyBorder="1" applyAlignment="1" applyProtection="1">
      <alignment horizontal="center" vertical="center" wrapText="1"/>
    </xf>
    <xf numFmtId="0" fontId="104" fillId="0" borderId="2" xfId="0" applyFont="1" applyBorder="1" applyAlignment="1" applyProtection="1">
      <alignment horizontal="center" vertical="center"/>
    </xf>
    <xf numFmtId="0" fontId="104" fillId="0" borderId="2" xfId="0" applyFont="1" applyBorder="1" applyAlignment="1" applyProtection="1">
      <alignment vertical="center" wrapText="1"/>
    </xf>
    <xf numFmtId="0" fontId="104" fillId="0" borderId="2" xfId="0" applyFont="1" applyBorder="1" applyAlignment="1" applyProtection="1">
      <alignment horizontal="left" vertical="center" wrapText="1"/>
    </xf>
    <xf numFmtId="9" fontId="104" fillId="0" borderId="2" xfId="983" applyFont="1" applyBorder="1" applyAlignment="1">
      <alignment horizontal="center" vertical="center"/>
    </xf>
    <xf numFmtId="9" fontId="104" fillId="0" borderId="2" xfId="10" applyNumberFormat="1" applyFont="1" applyFill="1" applyBorder="1" applyAlignment="1" applyProtection="1">
      <alignment horizontal="center" vertical="center"/>
    </xf>
    <xf numFmtId="182" fontId="104" fillId="0" borderId="2" xfId="983" applyNumberFormat="1" applyFont="1" applyBorder="1" applyAlignment="1">
      <alignment horizontal="center" vertical="center"/>
    </xf>
    <xf numFmtId="178" fontId="104" fillId="0" borderId="2" xfId="982" applyNumberFormat="1" applyFont="1" applyBorder="1" applyAlignment="1">
      <alignment horizontal="center" vertical="center"/>
    </xf>
    <xf numFmtId="178" fontId="104" fillId="0" borderId="2" xfId="982" quotePrefix="1" applyNumberFormat="1" applyFont="1" applyBorder="1" applyAlignment="1">
      <alignment horizontal="center" vertical="center" wrapText="1"/>
    </xf>
    <xf numFmtId="37" fontId="104" fillId="0" borderId="2" xfId="982" applyNumberFormat="1" applyFont="1" applyBorder="1" applyAlignment="1" applyProtection="1">
      <alignment horizontal="center" vertical="center" wrapText="1"/>
    </xf>
    <xf numFmtId="0" fontId="162" fillId="66" borderId="2" xfId="0" applyFont="1" applyFill="1" applyBorder="1" applyAlignment="1" applyProtection="1">
      <alignment horizontal="center" vertical="center" wrapText="1"/>
    </xf>
    <xf numFmtId="9" fontId="104" fillId="34" borderId="2" xfId="10" applyNumberFormat="1" applyFont="1" applyFill="1" applyBorder="1" applyAlignment="1" applyProtection="1">
      <alignment horizontal="center" vertical="center"/>
    </xf>
    <xf numFmtId="9" fontId="104" fillId="34" borderId="2" xfId="983" applyFont="1" applyFill="1" applyBorder="1" applyAlignment="1" applyProtection="1">
      <alignment horizontal="center" vertical="center"/>
    </xf>
    <xf numFmtId="0" fontId="89" fillId="0" borderId="0" xfId="0" applyFont="1" applyAlignment="1" applyProtection="1">
      <alignment vertical="center"/>
    </xf>
    <xf numFmtId="178" fontId="162" fillId="66" borderId="2" xfId="982" applyNumberFormat="1" applyFont="1" applyFill="1" applyBorder="1" applyAlignment="1">
      <alignment horizontal="center" vertical="center"/>
    </xf>
    <xf numFmtId="0" fontId="31" fillId="28" borderId="2" xfId="0" applyFont="1" applyFill="1" applyBorder="1" applyAlignment="1" applyProtection="1">
      <alignment horizontal="center" vertical="center" wrapText="1"/>
    </xf>
    <xf numFmtId="182" fontId="162" fillId="66" borderId="2" xfId="983" applyNumberFormat="1" applyFont="1" applyFill="1" applyBorder="1" applyAlignment="1">
      <alignment horizontal="center" vertical="center"/>
    </xf>
    <xf numFmtId="178" fontId="104" fillId="0" borderId="2" xfId="982" quotePrefix="1" applyNumberFormat="1" applyFont="1" applyBorder="1" applyAlignment="1">
      <alignment horizontal="center" vertical="center"/>
    </xf>
    <xf numFmtId="0" fontId="162" fillId="66" borderId="2" xfId="0" applyFont="1" applyFill="1" applyBorder="1" applyAlignment="1">
      <alignment horizontal="center" vertical="center"/>
    </xf>
    <xf numFmtId="178" fontId="162" fillId="66" borderId="2" xfId="982" quotePrefix="1" applyNumberFormat="1" applyFont="1" applyFill="1" applyBorder="1" applyAlignment="1">
      <alignment horizontal="center" vertical="center" wrapText="1"/>
    </xf>
    <xf numFmtId="178" fontId="162" fillId="66" borderId="2" xfId="982" quotePrefix="1" applyNumberFormat="1" applyFont="1" applyFill="1" applyBorder="1" applyAlignment="1">
      <alignment horizontal="center" vertical="center"/>
    </xf>
    <xf numFmtId="178" fontId="70" fillId="0" borderId="2" xfId="982" quotePrefix="1" applyNumberFormat="1" applyFont="1" applyBorder="1" applyAlignment="1">
      <alignment horizontal="center" vertical="center"/>
    </xf>
    <xf numFmtId="178" fontId="162" fillId="66" borderId="2" xfId="982" applyNumberFormat="1" applyFont="1" applyFill="1" applyBorder="1" applyAlignment="1" applyProtection="1">
      <alignment horizontal="center" vertical="center" wrapText="1"/>
    </xf>
    <xf numFmtId="9" fontId="162" fillId="66" borderId="2" xfId="983" applyFont="1" applyFill="1" applyBorder="1" applyAlignment="1">
      <alignment horizontal="center" vertical="center"/>
    </xf>
    <xf numFmtId="0" fontId="162" fillId="66" borderId="2" xfId="0" applyFont="1" applyFill="1" applyBorder="1" applyAlignment="1">
      <alignment horizontal="center" vertical="center" wrapText="1"/>
    </xf>
    <xf numFmtId="37" fontId="104" fillId="0" borderId="0" xfId="982" applyNumberFormat="1" applyFont="1" applyAlignment="1">
      <alignment horizontal="center" vertical="top"/>
    </xf>
    <xf numFmtId="37" fontId="104" fillId="0" borderId="0" xfId="982" applyNumberFormat="1" applyFont="1" applyAlignment="1">
      <alignment horizontal="center" vertical="top" wrapText="1"/>
    </xf>
    <xf numFmtId="0" fontId="104" fillId="15" borderId="115" xfId="0" applyFont="1" applyFill="1" applyBorder="1" applyAlignment="1">
      <alignment horizontal="center" vertical="center"/>
    </xf>
    <xf numFmtId="0" fontId="104" fillId="15" borderId="98" xfId="0" applyFont="1" applyFill="1" applyBorder="1" applyAlignment="1">
      <alignment horizontal="center" vertical="center"/>
    </xf>
    <xf numFmtId="9" fontId="276" fillId="15" borderId="98" xfId="983" applyFont="1" applyFill="1" applyBorder="1" applyAlignment="1">
      <alignment horizontal="center" vertical="center"/>
    </xf>
    <xf numFmtId="9" fontId="104" fillId="15" borderId="98" xfId="983" applyFont="1" applyFill="1" applyBorder="1" applyAlignment="1">
      <alignment horizontal="center" vertical="center"/>
    </xf>
    <xf numFmtId="0" fontId="104" fillId="15" borderId="116" xfId="0" applyFont="1" applyFill="1" applyBorder="1" applyAlignment="1">
      <alignment horizontal="center" vertical="center"/>
    </xf>
    <xf numFmtId="1" fontId="0" fillId="0" borderId="0" xfId="0" applyNumberFormat="1"/>
    <xf numFmtId="178" fontId="71" fillId="0" borderId="0" xfId="0" applyNumberFormat="1" applyFont="1" applyProtection="1"/>
    <xf numFmtId="0" fontId="71" fillId="0" borderId="0" xfId="0" applyFont="1" applyBorder="1" applyAlignment="1">
      <alignment horizontal="center" vertical="center" wrapText="1"/>
    </xf>
    <xf numFmtId="9" fontId="71" fillId="0" borderId="0" xfId="0" applyNumberFormat="1" applyFont="1" applyFill="1"/>
    <xf numFmtId="9" fontId="71" fillId="0" borderId="0" xfId="0" applyNumberFormat="1" applyFont="1"/>
    <xf numFmtId="9" fontId="71" fillId="0" borderId="0" xfId="0" applyNumberFormat="1" applyFont="1" applyFill="1" applyBorder="1"/>
    <xf numFmtId="0" fontId="71" fillId="0" borderId="0" xfId="0" applyFont="1" applyAlignment="1"/>
    <xf numFmtId="0" fontId="71" fillId="0" borderId="0" xfId="0" applyFont="1" applyBorder="1" applyAlignment="1">
      <alignment horizontal="center" wrapText="1"/>
    </xf>
    <xf numFmtId="171" fontId="323" fillId="0" borderId="118" xfId="0" applyNumberFormat="1" applyFont="1" applyFill="1" applyBorder="1" applyAlignment="1">
      <alignment horizontal="left" vertical="center"/>
    </xf>
    <xf numFmtId="171" fontId="324" fillId="0" borderId="118" xfId="0" applyNumberFormat="1" applyFont="1" applyFill="1" applyBorder="1" applyAlignment="1">
      <alignment horizontal="left" vertical="center"/>
    </xf>
    <xf numFmtId="177" fontId="324" fillId="0" borderId="301" xfId="0" applyNumberFormat="1" applyFont="1" applyFill="1" applyBorder="1" applyAlignment="1">
      <alignment horizontal="left" vertical="center"/>
    </xf>
    <xf numFmtId="177" fontId="323" fillId="0" borderId="301" xfId="0" applyNumberFormat="1" applyFont="1" applyFill="1" applyBorder="1" applyAlignment="1">
      <alignment horizontal="left" vertical="center"/>
    </xf>
    <xf numFmtId="0" fontId="325" fillId="0" borderId="0" xfId="0" applyFont="1"/>
    <xf numFmtId="0" fontId="326" fillId="0" borderId="0" xfId="0" applyFont="1"/>
    <xf numFmtId="177" fontId="323" fillId="15" borderId="301" xfId="0" applyNumberFormat="1" applyFont="1" applyFill="1" applyBorder="1" applyAlignment="1">
      <alignment horizontal="left" vertical="center"/>
    </xf>
    <xf numFmtId="171" fontId="14" fillId="0" borderId="0" xfId="10" applyNumberFormat="1" applyFont="1" applyFill="1" applyBorder="1" applyAlignment="1">
      <alignment horizontal="center" vertical="center"/>
    </xf>
    <xf numFmtId="0" fontId="101" fillId="38" borderId="0" xfId="0" applyFont="1" applyFill="1" applyAlignment="1">
      <alignment vertical="center" wrapText="1"/>
    </xf>
    <xf numFmtId="0" fontId="101" fillId="38" borderId="300" xfId="0" applyFont="1" applyFill="1" applyBorder="1" applyAlignment="1">
      <alignment vertical="center" wrapText="1"/>
    </xf>
    <xf numFmtId="0" fontId="101" fillId="38" borderId="300" xfId="0" applyFont="1" applyFill="1" applyBorder="1" applyAlignment="1">
      <alignment horizontal="left" vertical="center" wrapText="1"/>
    </xf>
    <xf numFmtId="0" fontId="53" fillId="15" borderId="0" xfId="0" applyFont="1" applyFill="1" applyBorder="1"/>
    <xf numFmtId="171" fontId="44" fillId="0" borderId="14" xfId="0" applyNumberFormat="1" applyFont="1" applyBorder="1" applyAlignment="1">
      <alignment vertical="center" wrapText="1"/>
    </xf>
    <xf numFmtId="171" fontId="29" fillId="0" borderId="19" xfId="0" applyNumberFormat="1" applyFont="1" applyBorder="1" applyAlignment="1">
      <alignment vertical="center" wrapText="1"/>
    </xf>
    <xf numFmtId="171" fontId="327" fillId="0" borderId="118" xfId="0" applyNumberFormat="1" applyFont="1" applyFill="1" applyBorder="1" applyAlignment="1">
      <alignment horizontal="left" vertical="center"/>
    </xf>
    <xf numFmtId="9" fontId="288" fillId="34" borderId="283" xfId="983" applyFont="1" applyFill="1" applyBorder="1" applyAlignment="1">
      <alignment horizontal="center" vertical="center" wrapText="1"/>
    </xf>
    <xf numFmtId="9" fontId="38" fillId="0" borderId="0" xfId="983" applyFont="1" applyFill="1" applyBorder="1" applyAlignment="1">
      <alignment horizontal="left"/>
    </xf>
    <xf numFmtId="0" fontId="326" fillId="0" borderId="0" xfId="0" applyFont="1" applyFill="1"/>
    <xf numFmtId="0" fontId="325" fillId="0" borderId="0" xfId="0" applyFont="1" applyFill="1"/>
    <xf numFmtId="0" fontId="328" fillId="0" borderId="0" xfId="0" applyFont="1"/>
    <xf numFmtId="9" fontId="327" fillId="0" borderId="118" xfId="983" applyNumberFormat="1" applyFont="1" applyFill="1" applyBorder="1" applyAlignment="1">
      <alignment horizontal="left" vertical="center"/>
    </xf>
    <xf numFmtId="9" fontId="323" fillId="0" borderId="118" xfId="983" applyNumberFormat="1" applyFont="1" applyFill="1" applyBorder="1" applyAlignment="1">
      <alignment horizontal="left" vertical="center"/>
    </xf>
    <xf numFmtId="9" fontId="45" fillId="47" borderId="50" xfId="983" applyFont="1" applyFill="1" applyBorder="1" applyAlignment="1">
      <alignment horizontal="center" vertical="center" wrapText="1"/>
    </xf>
    <xf numFmtId="165" fontId="8" fillId="15" borderId="0" xfId="0" applyNumberFormat="1" applyFont="1" applyFill="1" applyBorder="1" applyProtection="1"/>
    <xf numFmtId="178" fontId="71" fillId="0" borderId="0" xfId="982" applyNumberFormat="1" applyFont="1"/>
    <xf numFmtId="0" fontId="89" fillId="15" borderId="0" xfId="0" applyFont="1" applyFill="1" applyBorder="1" applyAlignment="1">
      <alignment horizontal="left" vertical="center" wrapText="1"/>
    </xf>
    <xf numFmtId="0" fontId="71" fillId="0" borderId="302" xfId="0" applyFont="1" applyBorder="1"/>
    <xf numFmtId="0" fontId="89" fillId="0" borderId="303" xfId="0" applyFont="1" applyBorder="1" applyProtection="1"/>
    <xf numFmtId="0" fontId="71" fillId="15" borderId="9" xfId="0" applyFont="1" applyFill="1" applyBorder="1" applyAlignment="1">
      <alignment horizontal="left" vertical="center" wrapText="1"/>
    </xf>
    <xf numFmtId="9" fontId="71" fillId="15" borderId="10" xfId="983" applyFont="1" applyFill="1" applyBorder="1" applyAlignment="1">
      <alignment horizontal="center" vertical="center"/>
    </xf>
    <xf numFmtId="0" fontId="71" fillId="15" borderId="11" xfId="0" applyFont="1" applyFill="1" applyBorder="1" applyAlignment="1">
      <alignment horizontal="left" vertical="center" wrapText="1"/>
    </xf>
    <xf numFmtId="178" fontId="71" fillId="15" borderId="12" xfId="982" applyNumberFormat="1" applyFont="1" applyFill="1" applyBorder="1" applyAlignment="1">
      <alignment horizontal="center" vertical="center"/>
    </xf>
    <xf numFmtId="0" fontId="89" fillId="15" borderId="9" xfId="0" applyFont="1" applyFill="1" applyBorder="1" applyAlignment="1">
      <alignment horizontal="left" vertical="center" wrapText="1"/>
    </xf>
    <xf numFmtId="0" fontId="71" fillId="15" borderId="10" xfId="0" applyFont="1" applyFill="1" applyBorder="1" applyAlignment="1">
      <alignment horizontal="center" vertical="center"/>
    </xf>
    <xf numFmtId="0" fontId="89" fillId="15" borderId="11" xfId="0" applyFont="1" applyFill="1" applyBorder="1" applyAlignment="1">
      <alignment horizontal="left" vertical="center" wrapText="1"/>
    </xf>
    <xf numFmtId="0" fontId="71" fillId="15" borderId="11" xfId="0" applyFont="1" applyFill="1" applyBorder="1" applyAlignment="1">
      <alignment horizontal="center" vertical="center"/>
    </xf>
    <xf numFmtId="9" fontId="71" fillId="15" borderId="12" xfId="983" applyFont="1" applyFill="1" applyBorder="1" applyAlignment="1">
      <alignment horizontal="center" vertical="center"/>
    </xf>
    <xf numFmtId="178" fontId="71" fillId="15" borderId="10" xfId="0" applyNumberFormat="1" applyFont="1" applyFill="1" applyBorder="1" applyAlignment="1">
      <alignment horizontal="center" vertical="center"/>
    </xf>
    <xf numFmtId="0" fontId="71" fillId="15" borderId="9" xfId="0" applyFont="1" applyFill="1" applyBorder="1"/>
    <xf numFmtId="178" fontId="71" fillId="15" borderId="10" xfId="982" applyNumberFormat="1" applyFont="1" applyFill="1" applyBorder="1"/>
    <xf numFmtId="0" fontId="71" fillId="15" borderId="25" xfId="0" applyFont="1" applyFill="1" applyBorder="1" applyAlignment="1">
      <alignment horizontal="center" vertical="center"/>
    </xf>
    <xf numFmtId="9" fontId="89" fillId="15" borderId="26" xfId="983" applyFont="1" applyFill="1" applyBorder="1" applyAlignment="1">
      <alignment horizontal="center" vertical="center"/>
    </xf>
    <xf numFmtId="0" fontId="89" fillId="15" borderId="11" xfId="0" applyFont="1" applyFill="1" applyBorder="1" applyAlignment="1">
      <alignment horizontal="center" vertical="center"/>
    </xf>
    <xf numFmtId="0" fontId="89" fillId="15" borderId="5" xfId="0" applyFont="1" applyFill="1" applyBorder="1" applyAlignment="1">
      <alignment horizontal="center"/>
    </xf>
    <xf numFmtId="0" fontId="71" fillId="0" borderId="7" xfId="0" applyFont="1" applyBorder="1"/>
    <xf numFmtId="0" fontId="71" fillId="0" borderId="9" xfId="0" applyFont="1" applyBorder="1" applyAlignment="1">
      <alignment horizontal="center" wrapText="1"/>
    </xf>
    <xf numFmtId="9" fontId="71" fillId="0" borderId="10" xfId="983" applyFont="1" applyBorder="1" applyAlignment="1">
      <alignment horizontal="center"/>
    </xf>
    <xf numFmtId="0" fontId="71" fillId="19" borderId="11" xfId="0" applyFont="1" applyFill="1" applyBorder="1"/>
    <xf numFmtId="9" fontId="71" fillId="19" borderId="12" xfId="983" applyFont="1" applyFill="1" applyBorder="1" applyAlignment="1">
      <alignment horizontal="center"/>
    </xf>
    <xf numFmtId="168" fontId="71" fillId="0" borderId="0" xfId="0" applyNumberFormat="1" applyFont="1" applyFill="1" applyBorder="1" applyAlignment="1">
      <alignment horizontal="center" vertical="center"/>
    </xf>
    <xf numFmtId="9" fontId="89" fillId="15" borderId="6" xfId="983" applyNumberFormat="1" applyFont="1" applyFill="1" applyBorder="1" applyAlignment="1">
      <alignment horizontal="center"/>
    </xf>
    <xf numFmtId="171" fontId="3" fillId="0" borderId="0" xfId="0" applyNumberFormat="1" applyFont="1" applyBorder="1" applyAlignment="1">
      <alignment horizontal="center" vertical="center" wrapText="1"/>
    </xf>
    <xf numFmtId="0" fontId="38" fillId="0" borderId="25" xfId="0" applyNumberFormat="1" applyFont="1" applyFill="1" applyBorder="1" applyAlignment="1">
      <alignment horizontal="center" vertical="center" wrapText="1"/>
    </xf>
    <xf numFmtId="171" fontId="3" fillId="0" borderId="26" xfId="0" applyNumberFormat="1" applyFont="1" applyBorder="1" applyAlignment="1">
      <alignment horizontal="center" vertical="center" wrapText="1"/>
    </xf>
    <xf numFmtId="179" fontId="38" fillId="0" borderId="25" xfId="0" applyNumberFormat="1" applyFont="1" applyFill="1" applyBorder="1" applyAlignment="1">
      <alignment horizontal="center" vertical="center" wrapText="1"/>
    </xf>
    <xf numFmtId="2" fontId="38" fillId="0" borderId="304" xfId="0" applyNumberFormat="1" applyFont="1" applyFill="1" applyBorder="1" applyAlignment="1">
      <alignment horizontal="center" vertical="center" wrapText="1"/>
    </xf>
    <xf numFmtId="176" fontId="38" fillId="0" borderId="304" xfId="0" applyNumberFormat="1" applyFont="1" applyFill="1" applyBorder="1" applyAlignment="1">
      <alignment horizontal="center" vertical="center" wrapText="1"/>
    </xf>
    <xf numFmtId="0" fontId="38" fillId="75" borderId="0" xfId="0" applyFont="1" applyFill="1" applyBorder="1" applyAlignment="1">
      <alignment horizontal="center" vertical="center" wrapText="1"/>
    </xf>
    <xf numFmtId="0" fontId="4" fillId="75" borderId="0" xfId="0" applyFont="1" applyFill="1" applyBorder="1" applyAlignment="1">
      <alignment horizontal="center" vertical="center" wrapText="1"/>
    </xf>
    <xf numFmtId="171" fontId="3" fillId="75" borderId="0" xfId="0" applyNumberFormat="1" applyFont="1" applyFill="1" applyBorder="1" applyAlignment="1">
      <alignment horizontal="center" vertical="center" wrapText="1"/>
    </xf>
    <xf numFmtId="0" fontId="57" fillId="75" borderId="0" xfId="10" applyFont="1" applyFill="1" applyBorder="1" applyAlignment="1">
      <alignment horizontal="center" vertical="center" wrapText="1" shrinkToFit="1"/>
    </xf>
    <xf numFmtId="171" fontId="81" fillId="75" borderId="0" xfId="0" applyNumberFormat="1" applyFont="1" applyFill="1" applyBorder="1" applyAlignment="1">
      <alignment horizontal="center" vertical="center" wrapText="1"/>
    </xf>
    <xf numFmtId="0" fontId="59" fillId="75" borderId="0" xfId="0" applyFont="1" applyFill="1" applyBorder="1" applyAlignment="1">
      <alignment horizontal="center" vertical="center" wrapText="1"/>
    </xf>
    <xf numFmtId="182" fontId="4" fillId="75" borderId="0" xfId="983"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171" fontId="3" fillId="47" borderId="0" xfId="0" applyNumberFormat="1" applyFont="1" applyFill="1" applyBorder="1" applyAlignment="1">
      <alignment horizontal="center" vertical="center" wrapText="1"/>
    </xf>
    <xf numFmtId="0" fontId="81" fillId="75" borderId="0" xfId="0" applyFont="1" applyFill="1" applyBorder="1" applyAlignment="1">
      <alignment horizontal="center" vertical="center" wrapText="1"/>
    </xf>
    <xf numFmtId="177" fontId="4" fillId="0" borderId="0" xfId="0" applyNumberFormat="1" applyFont="1" applyBorder="1" applyAlignment="1">
      <alignment horizontal="center" vertical="center"/>
    </xf>
    <xf numFmtId="9" fontId="4" fillId="0" borderId="0" xfId="983" applyFont="1" applyBorder="1" applyAlignment="1">
      <alignment horizontal="center" vertical="center"/>
    </xf>
    <xf numFmtId="177" fontId="4" fillId="19" borderId="0" xfId="0" applyNumberFormat="1" applyFont="1" applyFill="1" applyBorder="1" applyAlignment="1">
      <alignment horizontal="center" vertical="center"/>
    </xf>
    <xf numFmtId="171" fontId="4" fillId="40" borderId="0" xfId="0" applyNumberFormat="1" applyFont="1" applyFill="1" applyBorder="1" applyAlignment="1">
      <alignment horizontal="center" vertical="center"/>
    </xf>
    <xf numFmtId="171" fontId="4" fillId="43" borderId="0" xfId="0" applyNumberFormat="1" applyFont="1" applyFill="1" applyBorder="1" applyAlignment="1">
      <alignment horizontal="center" vertical="center"/>
    </xf>
    <xf numFmtId="171" fontId="4" fillId="0" borderId="11" xfId="0" applyNumberFormat="1" applyFont="1" applyBorder="1" applyAlignment="1">
      <alignment horizontal="center" vertical="center"/>
    </xf>
    <xf numFmtId="171" fontId="4" fillId="0" borderId="3" xfId="0" applyNumberFormat="1" applyFont="1" applyBorder="1" applyAlignment="1">
      <alignment horizontal="center" vertical="center"/>
    </xf>
    <xf numFmtId="171" fontId="4" fillId="0" borderId="12" xfId="0" applyNumberFormat="1" applyFont="1" applyBorder="1" applyAlignment="1">
      <alignment horizontal="center" vertical="center"/>
    </xf>
    <xf numFmtId="171" fontId="4" fillId="0" borderId="28" xfId="0" applyNumberFormat="1" applyFont="1" applyBorder="1" applyAlignment="1">
      <alignment horizontal="center" vertical="center"/>
    </xf>
    <xf numFmtId="0" fontId="287" fillId="15" borderId="0" xfId="0" applyFont="1" applyFill="1" applyBorder="1" applyAlignment="1">
      <alignment horizontal="center" vertical="center"/>
    </xf>
    <xf numFmtId="0" fontId="320" fillId="15" borderId="0" xfId="0" applyFont="1" applyFill="1" applyBorder="1" applyAlignment="1">
      <alignment horizontal="left" vertical="center"/>
    </xf>
    <xf numFmtId="171" fontId="320" fillId="0" borderId="0" xfId="0" applyNumberFormat="1" applyFont="1" applyBorder="1" applyAlignment="1">
      <alignment horizontal="left" vertical="center"/>
    </xf>
    <xf numFmtId="171" fontId="198" fillId="0" borderId="0" xfId="982" applyNumberFormat="1" applyFont="1" applyFill="1" applyBorder="1" applyAlignment="1">
      <alignment horizontal="left"/>
    </xf>
    <xf numFmtId="0" fontId="75" fillId="0" borderId="0" xfId="0" applyFont="1" applyFill="1" applyBorder="1" applyAlignment="1">
      <alignment horizontal="center" vertical="center" wrapText="1"/>
    </xf>
    <xf numFmtId="9" fontId="71" fillId="15" borderId="0" xfId="0" applyNumberFormat="1" applyFont="1" applyFill="1"/>
    <xf numFmtId="9" fontId="71" fillId="15" borderId="0" xfId="983" applyFont="1" applyFill="1" applyBorder="1" applyAlignment="1">
      <alignment horizontal="center" vertical="center"/>
    </xf>
    <xf numFmtId="9" fontId="72" fillId="0" borderId="0" xfId="983" applyFont="1" applyFill="1" applyBorder="1" applyAlignment="1">
      <alignment horizontal="center" vertical="center"/>
    </xf>
    <xf numFmtId="0" fontId="142" fillId="15" borderId="0" xfId="0" applyFont="1" applyFill="1" applyAlignment="1">
      <alignment horizontal="left" wrapText="1"/>
    </xf>
    <xf numFmtId="37" fontId="301" fillId="76" borderId="2" xfId="982" applyNumberFormat="1" applyFont="1" applyFill="1" applyBorder="1" applyAlignment="1" applyProtection="1">
      <alignment horizontal="left" vertical="top" wrapText="1"/>
    </xf>
    <xf numFmtId="37" fontId="104" fillId="76" borderId="2" xfId="982" applyNumberFormat="1" applyFont="1" applyFill="1" applyBorder="1" applyAlignment="1" applyProtection="1">
      <alignment horizontal="center" vertical="top" wrapText="1"/>
    </xf>
    <xf numFmtId="178" fontId="319" fillId="22" borderId="0" xfId="982" applyNumberFormat="1" applyFont="1" applyFill="1"/>
    <xf numFmtId="0" fontId="319" fillId="22" borderId="0" xfId="3250" applyFill="1"/>
    <xf numFmtId="0" fontId="3" fillId="0" borderId="0" xfId="0" applyFont="1" applyFill="1" applyBorder="1" applyAlignment="1">
      <alignment horizontal="center"/>
    </xf>
    <xf numFmtId="0" fontId="53" fillId="0" borderId="0" xfId="0" applyFont="1" applyFill="1" applyBorder="1" applyAlignment="1">
      <alignment horizontal="left" vertical="center"/>
    </xf>
    <xf numFmtId="0" fontId="47" fillId="0" borderId="0" xfId="0" applyFont="1" applyFill="1" applyBorder="1" applyAlignment="1">
      <alignment horizontal="left" vertical="center" wrapText="1"/>
    </xf>
    <xf numFmtId="0" fontId="78" fillId="0" borderId="0" xfId="0" applyFont="1" applyFill="1" applyBorder="1"/>
    <xf numFmtId="171" fontId="112" fillId="0" borderId="0" xfId="0" applyNumberFormat="1" applyFont="1" applyFill="1" applyBorder="1" applyAlignment="1">
      <alignment horizontal="center"/>
    </xf>
    <xf numFmtId="0" fontId="78" fillId="0" borderId="0" xfId="0" applyFont="1" applyFill="1" applyBorder="1" applyAlignment="1"/>
    <xf numFmtId="0" fontId="3" fillId="0" borderId="0" xfId="0" applyFont="1" applyFill="1" applyBorder="1" applyAlignment="1">
      <alignment horizontal="left" vertical="center" wrapText="1"/>
    </xf>
    <xf numFmtId="9" fontId="71" fillId="0" borderId="0" xfId="983" applyFont="1" applyFill="1" applyBorder="1"/>
    <xf numFmtId="166" fontId="71" fillId="0" borderId="0" xfId="0" applyNumberFormat="1" applyFont="1"/>
    <xf numFmtId="0" fontId="10" fillId="0" borderId="2" xfId="0" applyFont="1" applyBorder="1" applyAlignment="1">
      <alignment horizontal="center" vertical="top" wrapText="1"/>
    </xf>
    <xf numFmtId="197" fontId="2" fillId="0" borderId="0" xfId="984" applyNumberFormat="1" applyFont="1"/>
    <xf numFmtId="197" fontId="8" fillId="0" borderId="2" xfId="984" applyNumberFormat="1" applyFont="1" applyBorder="1"/>
    <xf numFmtId="197" fontId="8" fillId="0" borderId="2" xfId="984" applyNumberFormat="1" applyFont="1" applyBorder="1" applyAlignment="1">
      <alignment horizontal="center" vertical="top" wrapText="1"/>
    </xf>
    <xf numFmtId="197" fontId="8" fillId="25" borderId="2" xfId="984" applyNumberFormat="1" applyFont="1" applyFill="1" applyBorder="1" applyAlignment="1">
      <alignment horizontal="center" vertical="top" wrapText="1"/>
    </xf>
    <xf numFmtId="197" fontId="8" fillId="18" borderId="2" xfId="984" applyNumberFormat="1" applyFont="1" applyFill="1" applyBorder="1" applyProtection="1"/>
    <xf numFmtId="0" fontId="27" fillId="0" borderId="0" xfId="10" applyFont="1" applyAlignment="1" applyProtection="1">
      <alignment horizontal="center"/>
    </xf>
    <xf numFmtId="165" fontId="8" fillId="0" borderId="2" xfId="0" applyNumberFormat="1" applyFont="1" applyBorder="1" applyAlignment="1" applyProtection="1">
      <alignment horizontal="center"/>
    </xf>
    <xf numFmtId="0" fontId="0" fillId="0" borderId="6" xfId="0" applyBorder="1" applyAlignment="1">
      <alignment horizontal="center"/>
    </xf>
    <xf numFmtId="165" fontId="8" fillId="0" borderId="28" xfId="0" applyNumberFormat="1" applyFont="1" applyBorder="1" applyAlignment="1" applyProtection="1">
      <alignment horizontal="center"/>
    </xf>
    <xf numFmtId="0" fontId="0" fillId="0" borderId="7" xfId="0" applyBorder="1" applyAlignment="1">
      <alignment horizontal="center"/>
    </xf>
    <xf numFmtId="178" fontId="63" fillId="27" borderId="3" xfId="982" applyNumberFormat="1" applyFont="1" applyFill="1" applyBorder="1" applyAlignment="1">
      <alignment horizontal="center"/>
    </xf>
    <xf numFmtId="0" fontId="0" fillId="0" borderId="0" xfId="0" applyBorder="1" applyAlignment="1">
      <alignment horizontal="center"/>
    </xf>
    <xf numFmtId="165" fontId="10" fillId="0" borderId="13" xfId="0" applyNumberFormat="1" applyFont="1" applyBorder="1" applyAlignment="1" applyProtection="1">
      <alignment horizontal="center"/>
    </xf>
    <xf numFmtId="171" fontId="10" fillId="0" borderId="0" xfId="16" applyNumberFormat="1" applyFont="1" applyFill="1" applyBorder="1" applyAlignment="1" applyProtection="1">
      <alignment horizontal="center"/>
    </xf>
    <xf numFmtId="171" fontId="10" fillId="0" borderId="3" xfId="16" applyNumberFormat="1" applyFont="1" applyFill="1" applyBorder="1" applyAlignment="1" applyProtection="1">
      <alignment horizontal="center"/>
    </xf>
    <xf numFmtId="0" fontId="63" fillId="37" borderId="0" xfId="0" applyFont="1" applyFill="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15" borderId="2" xfId="0" applyFill="1" applyBorder="1" applyAlignment="1">
      <alignment horizontal="center"/>
    </xf>
    <xf numFmtId="0" fontId="31" fillId="17" borderId="0" xfId="10" applyFont="1" applyFill="1" applyAlignment="1" applyProtection="1">
      <alignment horizontal="center"/>
    </xf>
    <xf numFmtId="0" fontId="10" fillId="0" borderId="0" xfId="0" applyFont="1" applyAlignment="1" applyProtection="1">
      <alignment horizontal="center"/>
    </xf>
    <xf numFmtId="0" fontId="10" fillId="0" borderId="0" xfId="3" applyFont="1" applyFill="1" applyAlignment="1" applyProtection="1">
      <alignment horizontal="center"/>
    </xf>
    <xf numFmtId="0" fontId="0" fillId="0" borderId="5" xfId="0" applyBorder="1" applyAlignment="1">
      <alignment horizontal="center"/>
    </xf>
    <xf numFmtId="178" fontId="10" fillId="0" borderId="25" xfId="982" applyNumberFormat="1" applyFont="1" applyBorder="1" applyAlignment="1" applyProtection="1">
      <alignment horizontal="center"/>
    </xf>
    <xf numFmtId="178" fontId="10" fillId="0" borderId="11" xfId="982" applyNumberFormat="1" applyFont="1" applyBorder="1" applyAlignment="1" applyProtection="1">
      <alignment horizontal="center"/>
    </xf>
    <xf numFmtId="178" fontId="10" fillId="15" borderId="0" xfId="982" applyNumberFormat="1" applyFont="1" applyFill="1" applyBorder="1" applyAlignment="1" applyProtection="1">
      <alignment horizontal="center"/>
    </xf>
    <xf numFmtId="165" fontId="8" fillId="0" borderId="11" xfId="0" applyNumberFormat="1" applyFont="1" applyBorder="1" applyAlignment="1" applyProtection="1">
      <alignment horizontal="center"/>
    </xf>
    <xf numFmtId="196" fontId="0" fillId="0" borderId="0" xfId="0" applyNumberFormat="1" applyAlignment="1">
      <alignment horizontal="center"/>
    </xf>
    <xf numFmtId="0" fontId="63" fillId="27" borderId="11" xfId="0" applyFont="1" applyFill="1" applyBorder="1" applyAlignment="1">
      <alignment horizontal="center"/>
    </xf>
    <xf numFmtId="0" fontId="0" fillId="0" borderId="25" xfId="0" applyBorder="1" applyAlignment="1">
      <alignment horizontal="center"/>
    </xf>
    <xf numFmtId="0" fontId="3" fillId="0" borderId="9" xfId="0" applyFont="1" applyBorder="1" applyAlignment="1">
      <alignment horizontal="center"/>
    </xf>
    <xf numFmtId="0" fontId="3" fillId="0" borderId="25" xfId="0" applyFont="1" applyBorder="1" applyAlignment="1">
      <alignment horizontal="center"/>
    </xf>
    <xf numFmtId="0" fontId="3" fillId="0" borderId="11" xfId="0" applyFont="1" applyBorder="1" applyAlignment="1">
      <alignment horizontal="center"/>
    </xf>
    <xf numFmtId="0" fontId="0" fillId="0" borderId="10" xfId="0" applyBorder="1" applyAlignment="1">
      <alignment horizontal="center"/>
    </xf>
    <xf numFmtId="0" fontId="0" fillId="0" borderId="26" xfId="0" applyBorder="1" applyAlignment="1">
      <alignment horizontal="center"/>
    </xf>
    <xf numFmtId="0" fontId="0" fillId="0" borderId="12" xfId="0" applyBorder="1" applyAlignment="1">
      <alignment horizontal="center"/>
    </xf>
    <xf numFmtId="44" fontId="92" fillId="17" borderId="0" xfId="0" applyNumberFormat="1" applyFont="1" applyFill="1" applyBorder="1" applyAlignment="1" applyProtection="1">
      <alignment horizontal="center"/>
    </xf>
    <xf numFmtId="0" fontId="0" fillId="38" borderId="26" xfId="0" applyFill="1" applyBorder="1" applyAlignment="1">
      <alignment horizontal="center"/>
    </xf>
    <xf numFmtId="0" fontId="81" fillId="40" borderId="0" xfId="0" applyFont="1" applyFill="1" applyBorder="1" applyAlignment="1">
      <alignment horizontal="center"/>
    </xf>
    <xf numFmtId="0" fontId="81" fillId="43" borderId="0" xfId="0" applyFont="1" applyFill="1" applyBorder="1" applyAlignment="1">
      <alignment horizontal="center"/>
    </xf>
    <xf numFmtId="178" fontId="10" fillId="0" borderId="0" xfId="982" applyNumberFormat="1" applyFont="1" applyProtection="1"/>
    <xf numFmtId="178" fontId="10" fillId="0" borderId="0" xfId="982" applyNumberFormat="1" applyFont="1" applyAlignment="1" applyProtection="1">
      <alignment vertical="center"/>
    </xf>
    <xf numFmtId="0" fontId="329" fillId="73" borderId="0" xfId="0" applyFont="1" applyFill="1" applyAlignment="1">
      <alignment horizontal="left"/>
    </xf>
    <xf numFmtId="0" fontId="329" fillId="73" borderId="0" xfId="0" applyFont="1" applyFill="1"/>
    <xf numFmtId="0" fontId="329" fillId="73" borderId="305" xfId="0" applyFont="1" applyFill="1" applyBorder="1" applyAlignment="1">
      <alignment horizontal="center"/>
    </xf>
    <xf numFmtId="0" fontId="329" fillId="19" borderId="306" xfId="0" applyFont="1" applyFill="1" applyBorder="1"/>
    <xf numFmtId="0" fontId="329" fillId="19" borderId="0" xfId="0" applyFont="1" applyFill="1"/>
    <xf numFmtId="0" fontId="329" fillId="19" borderId="0" xfId="0" applyFont="1" applyFill="1" applyAlignment="1">
      <alignment horizontal="center"/>
    </xf>
    <xf numFmtId="0" fontId="329" fillId="29" borderId="306" xfId="0" applyFont="1" applyFill="1" applyBorder="1"/>
    <xf numFmtId="0" fontId="329" fillId="29" borderId="0" xfId="0" applyFont="1" applyFill="1"/>
    <xf numFmtId="0" fontId="329" fillId="28" borderId="306" xfId="0" applyFont="1" applyFill="1" applyBorder="1"/>
    <xf numFmtId="0" fontId="329" fillId="39" borderId="306" xfId="0" applyFont="1" applyFill="1" applyBorder="1"/>
    <xf numFmtId="0" fontId="329" fillId="39" borderId="0" xfId="0" applyFont="1" applyFill="1"/>
    <xf numFmtId="0" fontId="329" fillId="39" borderId="305" xfId="0" applyFont="1" applyFill="1" applyBorder="1"/>
    <xf numFmtId="0" fontId="329" fillId="0" borderId="0" xfId="0" applyFont="1"/>
    <xf numFmtId="3" fontId="329" fillId="0" borderId="0" xfId="0" applyNumberFormat="1" applyFont="1"/>
    <xf numFmtId="0" fontId="329" fillId="0" borderId="305" xfId="0" applyFont="1" applyBorder="1"/>
    <xf numFmtId="0" fontId="0" fillId="73" borderId="104" xfId="0" applyFill="1" applyBorder="1" applyAlignment="1">
      <alignment horizontal="left" vertical="top" wrapText="1"/>
    </xf>
    <xf numFmtId="0" fontId="0" fillId="29" borderId="307" xfId="0" applyFill="1" applyBorder="1"/>
    <xf numFmtId="0" fontId="0" fillId="29" borderId="104" xfId="0" applyFill="1" applyBorder="1" applyAlignment="1">
      <alignment vertical="top" wrapText="1"/>
    </xf>
    <xf numFmtId="0" fontId="0" fillId="0" borderId="104" xfId="0" applyBorder="1" applyAlignment="1">
      <alignment vertical="top" wrapText="1"/>
    </xf>
    <xf numFmtId="0" fontId="0" fillId="0" borderId="305" xfId="0" applyBorder="1" applyAlignment="1">
      <alignment horizontal="center"/>
    </xf>
    <xf numFmtId="0" fontId="0" fillId="0" borderId="306" xfId="0" applyBorder="1"/>
    <xf numFmtId="0" fontId="0" fillId="0" borderId="0" xfId="0" applyAlignment="1">
      <alignment horizontal="left" vertical="top" wrapText="1"/>
    </xf>
    <xf numFmtId="0" fontId="222" fillId="0" borderId="306" xfId="0" applyFont="1" applyBorder="1" applyAlignment="1">
      <alignment horizontal="left"/>
    </xf>
    <xf numFmtId="0" fontId="0" fillId="0" borderId="305" xfId="0" applyBorder="1"/>
    <xf numFmtId="3" fontId="0" fillId="0" borderId="0" xfId="0" applyNumberFormat="1"/>
    <xf numFmtId="0" fontId="0" fillId="0" borderId="309" xfId="0" applyBorder="1" applyAlignment="1">
      <alignment horizontal="left"/>
    </xf>
    <xf numFmtId="0" fontId="0" fillId="0" borderId="309" xfId="0" applyBorder="1"/>
    <xf numFmtId="0" fontId="0" fillId="0" borderId="310" xfId="0" applyBorder="1" applyAlignment="1">
      <alignment horizontal="center"/>
    </xf>
    <xf numFmtId="0" fontId="0" fillId="0" borderId="0" xfId="0" applyAlignment="1">
      <alignment horizontal="left"/>
    </xf>
    <xf numFmtId="0" fontId="2" fillId="0" borderId="311" xfId="0" applyFont="1" applyBorder="1" applyAlignment="1">
      <alignment horizontal="center"/>
    </xf>
    <xf numFmtId="0" fontId="2" fillId="0" borderId="3" xfId="0" applyFont="1" applyBorder="1" applyAlignment="1">
      <alignment horizontal="center"/>
    </xf>
    <xf numFmtId="0" fontId="2" fillId="0" borderId="312" xfId="0" applyFont="1" applyBorder="1"/>
    <xf numFmtId="0" fontId="2" fillId="0" borderId="310" xfId="0" applyFont="1" applyBorder="1" applyAlignment="1">
      <alignment horizontal="center"/>
    </xf>
    <xf numFmtId="0" fontId="2" fillId="0" borderId="309" xfId="0" applyFont="1" applyBorder="1"/>
    <xf numFmtId="3" fontId="0" fillId="0" borderId="0" xfId="0" applyNumberFormat="1" applyAlignment="1">
      <alignment horizontal="center"/>
    </xf>
    <xf numFmtId="0" fontId="0" fillId="0" borderId="313" xfId="0" applyBorder="1"/>
    <xf numFmtId="0" fontId="0" fillId="15" borderId="314" xfId="0" applyFill="1" applyBorder="1" applyAlignment="1">
      <alignment horizontal="center"/>
    </xf>
    <xf numFmtId="0" fontId="0" fillId="0" borderId="315" xfId="0" applyBorder="1"/>
    <xf numFmtId="0" fontId="0" fillId="0" borderId="277" xfId="0" applyBorder="1"/>
    <xf numFmtId="0" fontId="0" fillId="0" borderId="316" xfId="0" applyBorder="1" applyAlignment="1">
      <alignment horizontal="center"/>
    </xf>
    <xf numFmtId="0" fontId="71" fillId="15" borderId="316" xfId="0" applyFont="1" applyFill="1" applyBorder="1" applyAlignment="1">
      <alignment horizontal="center"/>
    </xf>
    <xf numFmtId="3" fontId="0" fillId="0" borderId="316" xfId="0" applyNumberFormat="1" applyBorder="1" applyAlignment="1">
      <alignment horizontal="center"/>
    </xf>
    <xf numFmtId="0" fontId="0" fillId="32" borderId="104" xfId="0" applyFill="1" applyBorder="1" applyAlignment="1">
      <alignment horizontal="left" vertical="top" wrapText="1"/>
    </xf>
    <xf numFmtId="0" fontId="0" fillId="32" borderId="104" xfId="0" applyFill="1" applyBorder="1" applyAlignment="1">
      <alignment vertical="top" wrapText="1"/>
    </xf>
    <xf numFmtId="0" fontId="0" fillId="32" borderId="104" xfId="0" applyFill="1" applyBorder="1" applyAlignment="1">
      <alignment horizontal="center" vertical="top" wrapText="1"/>
    </xf>
    <xf numFmtId="0" fontId="7" fillId="0" borderId="0" xfId="3" applyAlignment="1">
      <alignment horizontal="left" vertical="top"/>
    </xf>
    <xf numFmtId="0" fontId="71" fillId="15" borderId="316" xfId="983" applyNumberFormat="1" applyFont="1" applyFill="1" applyBorder="1" applyAlignment="1">
      <alignment horizontal="center"/>
    </xf>
    <xf numFmtId="0" fontId="0" fillId="0" borderId="317" xfId="0" applyBorder="1" applyAlignment="1">
      <alignment horizontal="left"/>
    </xf>
    <xf numFmtId="0" fontId="0" fillId="0" borderId="318" xfId="0" applyBorder="1"/>
    <xf numFmtId="0" fontId="0" fillId="0" borderId="318" xfId="0" applyBorder="1" applyAlignment="1">
      <alignment horizontal="center"/>
    </xf>
    <xf numFmtId="0" fontId="0" fillId="0" borderId="315" xfId="0" applyBorder="1" applyAlignment="1">
      <alignment horizontal="left"/>
    </xf>
    <xf numFmtId="0" fontId="0" fillId="0" borderId="277" xfId="0" applyBorder="1" applyAlignment="1">
      <alignment horizontal="center"/>
    </xf>
    <xf numFmtId="0" fontId="0" fillId="0" borderId="277" xfId="983" applyNumberFormat="1" applyFont="1" applyFill="1" applyBorder="1" applyAlignment="1">
      <alignment horizontal="center"/>
    </xf>
    <xf numFmtId="9" fontId="71" fillId="15" borderId="316" xfId="0" applyNumberFormat="1" applyFont="1" applyFill="1" applyBorder="1" applyAlignment="1">
      <alignment horizontal="center"/>
    </xf>
    <xf numFmtId="0" fontId="0" fillId="0" borderId="319" xfId="0" applyBorder="1"/>
    <xf numFmtId="3" fontId="0" fillId="0" borderId="13" xfId="0" applyNumberFormat="1" applyBorder="1" applyAlignment="1">
      <alignment horizontal="center"/>
    </xf>
    <xf numFmtId="0" fontId="0" fillId="0" borderId="320" xfId="0" applyBorder="1"/>
    <xf numFmtId="0" fontId="0" fillId="0" borderId="277" xfId="0" applyBorder="1" applyAlignment="1">
      <alignment horizontal="left"/>
    </xf>
    <xf numFmtId="0" fontId="71" fillId="0" borderId="316" xfId="0" applyFont="1" applyBorder="1" applyAlignment="1">
      <alignment horizontal="center"/>
    </xf>
    <xf numFmtId="0" fontId="0" fillId="0" borderId="277" xfId="0" quotePrefix="1" applyBorder="1"/>
    <xf numFmtId="3" fontId="71" fillId="15" borderId="316" xfId="0" applyNumberFormat="1" applyFont="1" applyFill="1" applyBorder="1" applyAlignment="1">
      <alignment horizontal="center"/>
    </xf>
    <xf numFmtId="1" fontId="71" fillId="15" borderId="316" xfId="0" applyNumberFormat="1" applyFont="1" applyFill="1" applyBorder="1" applyAlignment="1">
      <alignment horizontal="center"/>
    </xf>
    <xf numFmtId="9" fontId="0" fillId="0" borderId="316" xfId="983" applyFont="1" applyFill="1" applyBorder="1" applyAlignment="1">
      <alignment horizontal="center"/>
    </xf>
    <xf numFmtId="9" fontId="0" fillId="0" borderId="277" xfId="0" applyNumberFormat="1" applyBorder="1" applyAlignment="1">
      <alignment horizontal="center"/>
    </xf>
    <xf numFmtId="1" fontId="0" fillId="0" borderId="277" xfId="0" applyNumberFormat="1" applyBorder="1" applyAlignment="1">
      <alignment horizontal="center"/>
    </xf>
    <xf numFmtId="3" fontId="0" fillId="0" borderId="277" xfId="0" applyNumberFormat="1" applyBorder="1" applyAlignment="1">
      <alignment horizontal="center"/>
    </xf>
    <xf numFmtId="0" fontId="71" fillId="0" borderId="277" xfId="0" applyFont="1" applyBorder="1"/>
    <xf numFmtId="9" fontId="71" fillId="0" borderId="277" xfId="983" applyFont="1" applyFill="1" applyBorder="1" applyAlignment="1">
      <alignment horizontal="center"/>
    </xf>
    <xf numFmtId="9" fontId="0" fillId="0" borderId="277" xfId="983" applyFont="1" applyFill="1" applyBorder="1" applyAlignment="1">
      <alignment horizontal="center"/>
    </xf>
    <xf numFmtId="0" fontId="2" fillId="0" borderId="315" xfId="0" applyFont="1" applyBorder="1" applyAlignment="1">
      <alignment horizontal="left"/>
    </xf>
    <xf numFmtId="9" fontId="0" fillId="0" borderId="0" xfId="983" applyFont="1" applyAlignment="1">
      <alignment horizontal="center"/>
    </xf>
    <xf numFmtId="0" fontId="0" fillId="0" borderId="306" xfId="0" applyBorder="1" applyAlignment="1">
      <alignment horizontal="left"/>
    </xf>
    <xf numFmtId="0" fontId="0" fillId="0" borderId="321" xfId="0" applyBorder="1"/>
    <xf numFmtId="0" fontId="222" fillId="0" borderId="306" xfId="0" applyFont="1" applyBorder="1"/>
    <xf numFmtId="3" fontId="0" fillId="0" borderId="277" xfId="0" quotePrefix="1" applyNumberFormat="1" applyBorder="1"/>
    <xf numFmtId="0" fontId="0" fillId="0" borderId="323" xfId="0" applyBorder="1"/>
    <xf numFmtId="3" fontId="0" fillId="0" borderId="324" xfId="0" applyNumberFormat="1" applyBorder="1" applyAlignment="1">
      <alignment horizontal="center"/>
    </xf>
    <xf numFmtId="165" fontId="71" fillId="15" borderId="316" xfId="0" applyNumberFormat="1" applyFont="1" applyFill="1" applyBorder="1" applyAlignment="1">
      <alignment horizontal="center"/>
    </xf>
    <xf numFmtId="0" fontId="2" fillId="0" borderId="306" xfId="0" applyFont="1" applyBorder="1"/>
    <xf numFmtId="0" fontId="189" fillId="0" borderId="0" xfId="0" applyFont="1" applyAlignment="1">
      <alignment horizontal="right"/>
    </xf>
    <xf numFmtId="0" fontId="189" fillId="0" borderId="0" xfId="0" applyFont="1" applyAlignment="1">
      <alignment horizontal="center"/>
    </xf>
    <xf numFmtId="165" fontId="0" fillId="15" borderId="0" xfId="0" applyNumberFormat="1" applyFill="1"/>
    <xf numFmtId="3" fontId="0" fillId="32" borderId="0" xfId="0" applyNumberFormat="1" applyFill="1" applyAlignment="1">
      <alignment horizontal="right"/>
    </xf>
    <xf numFmtId="3" fontId="0" fillId="0" borderId="0" xfId="0" applyNumberFormat="1" applyAlignment="1">
      <alignment horizontal="right"/>
    </xf>
    <xf numFmtId="178" fontId="71" fillId="15" borderId="316" xfId="982" applyNumberFormat="1" applyFont="1" applyFill="1" applyBorder="1" applyAlignment="1">
      <alignment horizontal="center"/>
    </xf>
    <xf numFmtId="165" fontId="0" fillId="15" borderId="0" xfId="0" applyNumberFormat="1" applyFill="1" applyAlignment="1">
      <alignment horizontal="right"/>
    </xf>
    <xf numFmtId="1" fontId="0" fillId="15" borderId="0" xfId="0" applyNumberFormat="1" applyFill="1"/>
    <xf numFmtId="3" fontId="0" fillId="15" borderId="0" xfId="0" applyNumberFormat="1" applyFill="1"/>
    <xf numFmtId="9" fontId="275" fillId="15" borderId="4" xfId="0" applyNumberFormat="1" applyFont="1" applyFill="1" applyBorder="1" applyAlignment="1">
      <alignment horizontal="center" vertical="center" wrapText="1"/>
    </xf>
    <xf numFmtId="0" fontId="275" fillId="15" borderId="4" xfId="0" applyFont="1" applyFill="1" applyBorder="1" applyAlignment="1">
      <alignment horizontal="left" vertical="center" wrapText="1"/>
    </xf>
    <xf numFmtId="1" fontId="276" fillId="15" borderId="4" xfId="984" applyNumberFormat="1" applyFont="1" applyFill="1" applyBorder="1" applyAlignment="1">
      <alignment horizontal="center" wrapText="1"/>
    </xf>
    <xf numFmtId="178" fontId="104" fillId="15" borderId="4" xfId="982" applyNumberFormat="1" applyFont="1" applyFill="1" applyBorder="1" applyAlignment="1">
      <alignment horizontal="center" vertical="center" wrapText="1"/>
    </xf>
    <xf numFmtId="178" fontId="104" fillId="15" borderId="62" xfId="982" applyNumberFormat="1" applyFont="1" applyFill="1" applyBorder="1" applyAlignment="1">
      <alignment horizontal="center" vertical="center" wrapText="1"/>
    </xf>
    <xf numFmtId="0" fontId="104" fillId="15" borderId="4" xfId="982" applyNumberFormat="1" applyFont="1" applyFill="1" applyBorder="1" applyAlignment="1">
      <alignment horizontal="center" vertical="center" wrapText="1"/>
    </xf>
    <xf numFmtId="178" fontId="104" fillId="15" borderId="211" xfId="982" applyNumberFormat="1" applyFont="1" applyFill="1" applyBorder="1" applyAlignment="1">
      <alignment horizontal="center" vertical="center" wrapText="1"/>
    </xf>
    <xf numFmtId="171" fontId="38" fillId="15" borderId="8" xfId="0" applyNumberFormat="1" applyFont="1" applyFill="1" applyBorder="1" applyAlignment="1">
      <alignment horizontal="center" wrapText="1"/>
    </xf>
    <xf numFmtId="0" fontId="254" fillId="15" borderId="15" xfId="0" applyFont="1" applyFill="1" applyBorder="1" applyAlignment="1">
      <alignment horizontal="left" vertical="center" wrapText="1"/>
    </xf>
    <xf numFmtId="0" fontId="254" fillId="15" borderId="17" xfId="0" applyFont="1" applyFill="1" applyBorder="1" applyAlignment="1">
      <alignment horizontal="left" vertical="center" wrapText="1"/>
    </xf>
    <xf numFmtId="0" fontId="254" fillId="15" borderId="17" xfId="0" applyFont="1" applyFill="1" applyBorder="1" applyAlignment="1">
      <alignment horizontal="left" vertical="center" wrapText="1" indent="2"/>
    </xf>
    <xf numFmtId="9" fontId="38" fillId="0" borderId="0" xfId="0" applyNumberFormat="1" applyFont="1" applyFill="1" applyBorder="1"/>
    <xf numFmtId="0" fontId="0" fillId="0" borderId="324" xfId="0" applyBorder="1" applyAlignment="1">
      <alignment horizontal="center"/>
    </xf>
    <xf numFmtId="1" fontId="0" fillId="0" borderId="0" xfId="0" applyNumberFormat="1" applyAlignment="1">
      <alignment horizontal="center"/>
    </xf>
    <xf numFmtId="1" fontId="0" fillId="0" borderId="0" xfId="983" applyNumberFormat="1" applyFont="1" applyAlignment="1">
      <alignment horizontal="center"/>
    </xf>
    <xf numFmtId="3" fontId="0" fillId="0" borderId="324" xfId="983" applyNumberFormat="1" applyFont="1" applyBorder="1" applyAlignment="1">
      <alignment horizontal="center"/>
    </xf>
    <xf numFmtId="9" fontId="69" fillId="77" borderId="4" xfId="983" applyFont="1" applyFill="1" applyBorder="1" applyAlignment="1">
      <alignment horizontal="center" vertical="center" wrapText="1"/>
    </xf>
    <xf numFmtId="9" fontId="69" fillId="77" borderId="252" xfId="983" applyFont="1" applyFill="1" applyBorder="1" applyAlignment="1">
      <alignment horizontal="center" vertical="center" wrapText="1"/>
    </xf>
    <xf numFmtId="9" fontId="69" fillId="77" borderId="211" xfId="983" applyFont="1" applyFill="1" applyBorder="1" applyAlignment="1">
      <alignment horizontal="center" vertical="center" wrapText="1"/>
    </xf>
    <xf numFmtId="0" fontId="0" fillId="77" borderId="315" xfId="0" applyFill="1" applyBorder="1"/>
    <xf numFmtId="1" fontId="0" fillId="77" borderId="316" xfId="983" applyNumberFormat="1" applyFont="1" applyFill="1" applyBorder="1" applyAlignment="1">
      <alignment horizontal="center"/>
    </xf>
    <xf numFmtId="9" fontId="0" fillId="77" borderId="316" xfId="0" applyNumberFormat="1" applyFill="1" applyBorder="1" applyAlignment="1">
      <alignment horizontal="center"/>
    </xf>
    <xf numFmtId="9" fontId="274" fillId="77" borderId="4" xfId="983" applyFont="1" applyFill="1" applyBorder="1" applyAlignment="1">
      <alignment horizontal="center" vertical="center" wrapText="1"/>
    </xf>
    <xf numFmtId="0" fontId="0" fillId="77" borderId="316" xfId="0" applyFill="1" applyBorder="1" applyAlignment="1">
      <alignment horizontal="center"/>
    </xf>
    <xf numFmtId="0" fontId="69" fillId="77" borderId="4" xfId="0" applyFont="1" applyFill="1" applyBorder="1" applyAlignment="1">
      <alignment horizontal="center" vertical="center" wrapText="1"/>
    </xf>
    <xf numFmtId="9" fontId="69" fillId="77" borderId="4" xfId="0" applyNumberFormat="1" applyFont="1" applyFill="1" applyBorder="1" applyAlignment="1">
      <alignment horizontal="center" vertical="center" wrapText="1"/>
    </xf>
    <xf numFmtId="0" fontId="275" fillId="77" borderId="4" xfId="0" applyFont="1" applyFill="1" applyBorder="1" applyAlignment="1">
      <alignment horizontal="left" vertical="center" wrapText="1"/>
    </xf>
    <xf numFmtId="0" fontId="69" fillId="77" borderId="0" xfId="0" applyFont="1" applyFill="1" applyBorder="1" applyAlignment="1">
      <alignment horizontal="left" vertical="center" wrapText="1"/>
    </xf>
    <xf numFmtId="0" fontId="53" fillId="77" borderId="0" xfId="0" applyFont="1" applyFill="1" applyBorder="1" applyAlignment="1">
      <alignment horizontal="center" vertical="center"/>
    </xf>
    <xf numFmtId="178" fontId="69" fillId="77" borderId="4" xfId="982" applyNumberFormat="1" applyFont="1" applyFill="1" applyBorder="1" applyAlignment="1">
      <alignment horizontal="center" vertical="center" wrapText="1"/>
    </xf>
    <xf numFmtId="178" fontId="104" fillId="77" borderId="4" xfId="982" applyNumberFormat="1" applyFont="1" applyFill="1" applyBorder="1" applyAlignment="1">
      <alignment horizontal="center" vertical="center" wrapText="1"/>
    </xf>
    <xf numFmtId="3" fontId="0" fillId="15" borderId="0" xfId="0" applyNumberFormat="1" applyFill="1" applyAlignment="1">
      <alignment horizontal="center"/>
    </xf>
    <xf numFmtId="165" fontId="0" fillId="0" borderId="0" xfId="0" applyNumberFormat="1" applyFill="1" applyAlignment="1">
      <alignment horizontal="right"/>
    </xf>
    <xf numFmtId="0" fontId="0" fillId="0" borderId="0" xfId="0" applyFill="1" applyAlignment="1">
      <alignment horizontal="right"/>
    </xf>
    <xf numFmtId="178" fontId="104" fillId="77" borderId="211" xfId="982" applyNumberFormat="1" applyFont="1" applyFill="1" applyBorder="1" applyAlignment="1">
      <alignment horizontal="center" vertical="center" wrapText="1"/>
    </xf>
    <xf numFmtId="9" fontId="275" fillId="77" borderId="4" xfId="0" applyNumberFormat="1" applyFont="1" applyFill="1" applyBorder="1" applyAlignment="1">
      <alignment horizontal="center" vertical="center" wrapText="1"/>
    </xf>
    <xf numFmtId="0" fontId="0" fillId="0" borderId="315" xfId="0" applyFill="1" applyBorder="1"/>
    <xf numFmtId="178" fontId="0" fillId="0" borderId="316" xfId="982" applyNumberFormat="1" applyFont="1" applyFill="1" applyBorder="1" applyAlignment="1">
      <alignment horizontal="center"/>
    </xf>
    <xf numFmtId="0" fontId="71" fillId="15" borderId="316" xfId="0" applyNumberFormat="1" applyFont="1" applyFill="1" applyBorder="1" applyAlignment="1">
      <alignment horizontal="center"/>
    </xf>
    <xf numFmtId="0" fontId="0" fillId="15" borderId="0" xfId="0" applyFill="1" applyAlignment="1">
      <alignment horizontal="left"/>
    </xf>
    <xf numFmtId="0" fontId="274" fillId="77" borderId="118" xfId="0" applyNumberFormat="1" applyFont="1" applyFill="1" applyBorder="1" applyAlignment="1">
      <alignment horizontal="center" vertical="center" wrapText="1"/>
    </xf>
    <xf numFmtId="0" fontId="69" fillId="77" borderId="0" xfId="0" applyFont="1" applyFill="1" applyBorder="1" applyAlignment="1">
      <alignment horizontal="center" vertical="center"/>
    </xf>
    <xf numFmtId="0" fontId="69" fillId="77" borderId="0" xfId="0" applyFont="1" applyFill="1" applyBorder="1"/>
    <xf numFmtId="9" fontId="38" fillId="77" borderId="0" xfId="983" applyFont="1" applyFill="1" applyBorder="1" applyAlignment="1">
      <alignment horizontal="center" vertical="center" wrapText="1"/>
    </xf>
    <xf numFmtId="0" fontId="55" fillId="77" borderId="0" xfId="0" applyFont="1" applyFill="1" applyBorder="1" applyAlignment="1">
      <alignment horizontal="center" vertical="center"/>
    </xf>
    <xf numFmtId="0" fontId="279" fillId="77" borderId="118" xfId="0" applyNumberFormat="1" applyFont="1" applyFill="1" applyBorder="1" applyAlignment="1">
      <alignment horizontal="left" vertical="center"/>
    </xf>
    <xf numFmtId="171" fontId="277" fillId="77" borderId="0" xfId="0" applyNumberFormat="1" applyFont="1" applyFill="1" applyBorder="1" applyAlignment="1">
      <alignment horizontal="center" vertical="center" wrapText="1"/>
    </xf>
    <xf numFmtId="0" fontId="254" fillId="77" borderId="196" xfId="0" applyFont="1" applyFill="1" applyBorder="1" applyAlignment="1">
      <alignment horizontal="left" vertical="center" wrapText="1"/>
    </xf>
    <xf numFmtId="3" fontId="189" fillId="0" borderId="0" xfId="0" applyNumberFormat="1" applyFont="1" applyAlignment="1">
      <alignment horizontal="center"/>
    </xf>
    <xf numFmtId="0" fontId="0" fillId="0" borderId="306" xfId="0" applyFill="1" applyBorder="1"/>
    <xf numFmtId="0" fontId="254" fillId="77" borderId="17" xfId="0" applyFont="1" applyFill="1" applyBorder="1" applyAlignment="1">
      <alignment wrapText="1"/>
    </xf>
    <xf numFmtId="178" fontId="38" fillId="77" borderId="20" xfId="982" applyNumberFormat="1" applyFont="1" applyFill="1" applyBorder="1" applyAlignment="1">
      <alignment horizontal="center" vertical="center"/>
    </xf>
    <xf numFmtId="165" fontId="0" fillId="0" borderId="0" xfId="0" applyNumberFormat="1" applyFill="1"/>
    <xf numFmtId="0" fontId="0" fillId="0" borderId="0" xfId="0" applyAlignment="1">
      <alignment horizontal="left"/>
    </xf>
    <xf numFmtId="0" fontId="253" fillId="77" borderId="29" xfId="0" applyFont="1" applyFill="1" applyBorder="1" applyAlignment="1">
      <alignment horizontal="left" vertical="center" wrapText="1"/>
    </xf>
    <xf numFmtId="0" fontId="253" fillId="77" borderId="17" xfId="0" applyFont="1" applyFill="1" applyBorder="1" applyAlignment="1">
      <alignment horizontal="left" vertical="center" wrapText="1"/>
    </xf>
    <xf numFmtId="171" fontId="34" fillId="77" borderId="15" xfId="0" applyNumberFormat="1" applyFont="1" applyFill="1" applyBorder="1" applyAlignment="1">
      <alignment horizontal="center" vertical="center"/>
    </xf>
    <xf numFmtId="171" fontId="288" fillId="77" borderId="8" xfId="0" applyNumberFormat="1" applyFont="1" applyFill="1" applyBorder="1" applyAlignment="1">
      <alignment horizontal="center" wrapText="1"/>
    </xf>
    <xf numFmtId="165" fontId="0" fillId="15" borderId="0" xfId="0" applyNumberFormat="1" applyFill="1" applyAlignment="1">
      <alignment horizontal="left"/>
    </xf>
    <xf numFmtId="165" fontId="0" fillId="0" borderId="0" xfId="0" applyNumberFormat="1" applyAlignment="1">
      <alignment horizontal="center"/>
    </xf>
    <xf numFmtId="171" fontId="288" fillId="77" borderId="52" xfId="0" applyNumberFormat="1" applyFont="1" applyFill="1" applyBorder="1" applyAlignment="1">
      <alignment horizontal="center" vertical="center" wrapText="1"/>
    </xf>
    <xf numFmtId="0" fontId="253" fillId="77" borderId="52" xfId="0" applyFont="1" applyFill="1" applyBorder="1" applyAlignment="1">
      <alignment horizontal="left" vertical="center" wrapText="1"/>
    </xf>
    <xf numFmtId="0" fontId="329" fillId="28" borderId="305" xfId="0" applyFont="1" applyFill="1" applyBorder="1" applyAlignment="1">
      <alignment horizontal="center"/>
    </xf>
    <xf numFmtId="0" fontId="0" fillId="0" borderId="322" xfId="0" applyBorder="1" applyAlignment="1">
      <alignment horizontal="center"/>
    </xf>
    <xf numFmtId="9" fontId="0" fillId="0" borderId="316" xfId="983" applyFont="1" applyBorder="1" applyAlignment="1">
      <alignment horizontal="center"/>
    </xf>
    <xf numFmtId="182" fontId="0" fillId="0" borderId="316" xfId="983" applyNumberFormat="1" applyFont="1" applyBorder="1" applyAlignment="1">
      <alignment horizontal="center"/>
    </xf>
    <xf numFmtId="198" fontId="0" fillId="0" borderId="316" xfId="0" applyNumberFormat="1" applyBorder="1" applyAlignment="1">
      <alignment horizontal="center"/>
    </xf>
    <xf numFmtId="171" fontId="198" fillId="15" borderId="247" xfId="0" applyNumberFormat="1" applyFont="1" applyFill="1" applyBorder="1" applyAlignment="1">
      <alignment horizontal="center"/>
    </xf>
    <xf numFmtId="171" fontId="229" fillId="15" borderId="247" xfId="0" applyNumberFormat="1" applyFont="1" applyFill="1" applyBorder="1" applyAlignment="1">
      <alignment horizontal="center"/>
    </xf>
    <xf numFmtId="9" fontId="229" fillId="15" borderId="247" xfId="0" applyNumberFormat="1" applyFont="1" applyFill="1" applyBorder="1"/>
    <xf numFmtId="171" fontId="198" fillId="15" borderId="247" xfId="0" applyNumberFormat="1" applyFont="1" applyFill="1" applyBorder="1" applyAlignment="1">
      <alignment horizontal="center" vertical="center"/>
    </xf>
    <xf numFmtId="0" fontId="7" fillId="0" borderId="0" xfId="3"/>
    <xf numFmtId="198" fontId="0" fillId="0" borderId="0" xfId="0" applyNumberFormat="1" applyAlignment="1">
      <alignment horizontal="center"/>
    </xf>
    <xf numFmtId="0" fontId="222" fillId="0" borderId="306" xfId="977" applyFont="1" applyBorder="1"/>
    <xf numFmtId="0" fontId="1" fillId="0" borderId="0" xfId="977"/>
    <xf numFmtId="0" fontId="2" fillId="0" borderId="306" xfId="977" applyFont="1" applyBorder="1"/>
    <xf numFmtId="0" fontId="189" fillId="0" borderId="0" xfId="977" applyFont="1" applyAlignment="1">
      <alignment horizontal="right"/>
    </xf>
    <xf numFmtId="0" fontId="189" fillId="0" borderId="0" xfId="977" applyFont="1" applyAlignment="1">
      <alignment horizontal="center"/>
    </xf>
    <xf numFmtId="0" fontId="1" fillId="0" borderId="0" xfId="977" applyAlignment="1">
      <alignment horizontal="center"/>
    </xf>
    <xf numFmtId="0" fontId="189" fillId="0" borderId="0" xfId="977" applyFont="1"/>
    <xf numFmtId="0" fontId="1" fillId="0" borderId="306" xfId="977" applyBorder="1"/>
    <xf numFmtId="165" fontId="1" fillId="15" borderId="0" xfId="977" applyNumberFormat="1" applyFill="1" applyAlignment="1">
      <alignment horizontal="right"/>
    </xf>
    <xf numFmtId="3" fontId="1" fillId="15" borderId="0" xfId="977" applyNumberFormat="1" applyFill="1" applyAlignment="1">
      <alignment horizontal="center"/>
    </xf>
    <xf numFmtId="199" fontId="1" fillId="15" borderId="0" xfId="977" applyNumberFormat="1" applyFill="1" applyAlignment="1">
      <alignment horizontal="right"/>
    </xf>
    <xf numFmtId="3" fontId="6" fillId="77" borderId="118" xfId="0" applyNumberFormat="1" applyFont="1" applyFill="1" applyBorder="1" applyAlignment="1">
      <alignment horizontal="center" vertical="center"/>
    </xf>
    <xf numFmtId="0" fontId="0" fillId="32" borderId="104" xfId="0" applyFill="1" applyBorder="1" applyAlignment="1">
      <alignment horizontal="left" vertical="top" wrapText="1"/>
    </xf>
    <xf numFmtId="182" fontId="0" fillId="0" borderId="0" xfId="983" applyNumberFormat="1" applyFont="1" applyAlignment="1">
      <alignment horizontal="center"/>
    </xf>
    <xf numFmtId="0" fontId="177" fillId="78" borderId="2" xfId="0" applyFont="1" applyFill="1" applyBorder="1" applyAlignment="1" applyProtection="1">
      <alignment horizontal="left" wrapText="1"/>
    </xf>
    <xf numFmtId="0" fontId="140" fillId="78" borderId="2" xfId="0" applyFont="1" applyFill="1" applyBorder="1" applyAlignment="1" applyProtection="1">
      <alignment horizontal="left" wrapText="1"/>
    </xf>
    <xf numFmtId="0" fontId="140" fillId="0" borderId="2" xfId="0" applyFont="1" applyFill="1" applyBorder="1" applyAlignment="1" applyProtection="1">
      <alignment horizontal="left" wrapText="1"/>
    </xf>
    <xf numFmtId="0" fontId="134" fillId="78" borderId="2" xfId="0" applyFont="1" applyFill="1" applyBorder="1" applyAlignment="1">
      <alignment wrapText="1"/>
    </xf>
    <xf numFmtId="0" fontId="2" fillId="0" borderId="0" xfId="0" applyFont="1" applyFill="1" applyBorder="1" applyAlignment="1">
      <alignment horizontal="center"/>
    </xf>
    <xf numFmtId="1" fontId="0" fillId="0" borderId="324" xfId="983" applyNumberFormat="1" applyFont="1" applyBorder="1" applyAlignment="1">
      <alignment horizontal="center"/>
    </xf>
    <xf numFmtId="1" fontId="0" fillId="15" borderId="0" xfId="0" applyNumberFormat="1" applyFill="1" applyAlignment="1">
      <alignment horizontal="center"/>
    </xf>
    <xf numFmtId="0" fontId="1" fillId="15" borderId="0" xfId="977" applyFill="1" applyAlignment="1">
      <alignment horizontal="right"/>
    </xf>
    <xf numFmtId="0" fontId="0" fillId="0" borderId="325" xfId="0" applyBorder="1"/>
    <xf numFmtId="0" fontId="0" fillId="15" borderId="326" xfId="0" applyFill="1" applyBorder="1" applyAlignment="1">
      <alignment horizontal="center"/>
    </xf>
    <xf numFmtId="3" fontId="104" fillId="0" borderId="0" xfId="0" applyNumberFormat="1" applyFont="1" applyBorder="1"/>
    <xf numFmtId="0" fontId="2" fillId="0" borderId="307" xfId="0" applyFont="1" applyBorder="1" applyAlignment="1">
      <alignment horizontal="left" vertical="top" wrapText="1"/>
    </xf>
    <xf numFmtId="0" fontId="2" fillId="0" borderId="104" xfId="0" applyFont="1" applyBorder="1" applyAlignment="1">
      <alignment horizontal="left" vertical="top" wrapText="1"/>
    </xf>
    <xf numFmtId="0" fontId="2" fillId="0" borderId="308" xfId="0" applyFont="1" applyBorder="1" applyAlignment="1">
      <alignment horizontal="left" vertical="top" wrapText="1"/>
    </xf>
    <xf numFmtId="0" fontId="331" fillId="0" borderId="0" xfId="0" applyFont="1" applyAlignment="1">
      <alignment horizontal="left" vertical="center" wrapText="1"/>
    </xf>
    <xf numFmtId="0" fontId="331" fillId="0" borderId="305" xfId="0" applyFont="1" applyBorder="1" applyAlignment="1">
      <alignment horizontal="left" vertical="center" wrapText="1"/>
    </xf>
    <xf numFmtId="0" fontId="0" fillId="32" borderId="104" xfId="0" applyFill="1" applyBorder="1" applyAlignment="1">
      <alignment horizontal="left" vertical="top" wrapText="1"/>
    </xf>
    <xf numFmtId="0" fontId="0" fillId="73" borderId="104" xfId="0" applyFill="1" applyBorder="1" applyAlignment="1">
      <alignment horizontal="left" vertical="top" wrapText="1"/>
    </xf>
    <xf numFmtId="0" fontId="0" fillId="73" borderId="84" xfId="0" applyFill="1" applyBorder="1" applyAlignment="1">
      <alignment horizontal="left" vertical="top" wrapText="1"/>
    </xf>
    <xf numFmtId="0" fontId="0" fillId="19" borderId="112" xfId="0" applyFill="1" applyBorder="1" applyAlignment="1">
      <alignment horizontal="left" vertical="top" wrapText="1"/>
    </xf>
    <xf numFmtId="0" fontId="0" fillId="19" borderId="104" xfId="0" applyFill="1" applyBorder="1" applyAlignment="1">
      <alignment horizontal="left" vertical="top" wrapText="1"/>
    </xf>
    <xf numFmtId="0" fontId="0" fillId="28" borderId="307" xfId="0" applyFill="1" applyBorder="1" applyAlignment="1">
      <alignment horizontal="left" vertical="top" wrapText="1"/>
    </xf>
    <xf numFmtId="0" fontId="0" fillId="28" borderId="308" xfId="0" applyFill="1" applyBorder="1" applyAlignment="1">
      <alignment horizontal="left" vertical="top" wrapText="1"/>
    </xf>
    <xf numFmtId="0" fontId="0" fillId="39" borderId="307" xfId="0" applyFill="1" applyBorder="1" applyAlignment="1">
      <alignment horizontal="left" vertical="top" wrapText="1"/>
    </xf>
    <xf numFmtId="0" fontId="0" fillId="39" borderId="104" xfId="0" applyFill="1" applyBorder="1" applyAlignment="1">
      <alignment horizontal="left" vertical="top" wrapText="1"/>
    </xf>
    <xf numFmtId="0" fontId="0" fillId="39" borderId="308" xfId="0" applyFill="1" applyBorder="1" applyAlignment="1">
      <alignment horizontal="left" vertical="top" wrapText="1"/>
    </xf>
    <xf numFmtId="0" fontId="256" fillId="34" borderId="62" xfId="0" applyFont="1" applyFill="1" applyBorder="1" applyAlignment="1">
      <alignment horizontal="left" vertical="center" wrapText="1"/>
    </xf>
    <xf numFmtId="0" fontId="256" fillId="34" borderId="62" xfId="0" quotePrefix="1" applyFont="1" applyFill="1" applyBorder="1" applyAlignment="1">
      <alignment horizontal="left" vertical="center" wrapText="1"/>
    </xf>
    <xf numFmtId="0" fontId="256" fillId="34" borderId="4" xfId="0" applyFont="1" applyFill="1" applyBorder="1" applyAlignment="1">
      <alignment horizontal="left" vertical="center" wrapText="1"/>
    </xf>
    <xf numFmtId="0" fontId="269" fillId="34" borderId="233" xfId="0" applyFont="1" applyFill="1" applyBorder="1" applyAlignment="1">
      <alignment horizontal="center" vertical="center"/>
    </xf>
    <xf numFmtId="0" fontId="5" fillId="0" borderId="0" xfId="0" applyFont="1" applyFill="1" applyBorder="1" applyAlignment="1">
      <alignment horizontal="left" vertical="center" wrapText="1"/>
    </xf>
    <xf numFmtId="0" fontId="264" fillId="34" borderId="234" xfId="0" applyFont="1" applyFill="1" applyBorder="1" applyAlignment="1">
      <alignment horizontal="center" vertical="center" wrapText="1"/>
    </xf>
    <xf numFmtId="0" fontId="264" fillId="34" borderId="264" xfId="0" applyFont="1" applyFill="1" applyBorder="1" applyAlignment="1">
      <alignment horizontal="center" vertical="center" wrapText="1"/>
    </xf>
    <xf numFmtId="0" fontId="264" fillId="34" borderId="235" xfId="0" applyFont="1" applyFill="1" applyBorder="1" applyAlignment="1">
      <alignment horizontal="center" vertical="center" wrapText="1"/>
    </xf>
    <xf numFmtId="0" fontId="171" fillId="67" borderId="0" xfId="0" applyFont="1" applyFill="1" applyBorder="1" applyAlignment="1">
      <alignment horizontal="center" vertical="center" wrapText="1"/>
    </xf>
    <xf numFmtId="9" fontId="318" fillId="0" borderId="298" xfId="983" applyFont="1" applyFill="1" applyBorder="1" applyAlignment="1">
      <alignment horizontal="center" vertical="center" wrapText="1"/>
    </xf>
    <xf numFmtId="0" fontId="69" fillId="0" borderId="0" xfId="0" applyFont="1" applyFill="1" applyBorder="1" applyAlignment="1">
      <alignment horizontal="left" vertical="center"/>
    </xf>
    <xf numFmtId="0" fontId="69" fillId="0" borderId="268" xfId="0" applyFont="1" applyFill="1" applyBorder="1" applyAlignment="1">
      <alignment horizontal="left" vertical="center"/>
    </xf>
    <xf numFmtId="0" fontId="120" fillId="0" borderId="0" xfId="0" applyFont="1" applyFill="1" applyBorder="1" applyAlignment="1">
      <alignment horizontal="left" vertical="center" wrapText="1"/>
    </xf>
    <xf numFmtId="0" fontId="120" fillId="0" borderId="268" xfId="0" applyFont="1" applyFill="1" applyBorder="1" applyAlignment="1">
      <alignment horizontal="left" vertical="center" wrapText="1"/>
    </xf>
    <xf numFmtId="0" fontId="258" fillId="0" borderId="0" xfId="10" applyFont="1" applyFill="1" applyBorder="1" applyAlignment="1">
      <alignment horizontal="center" vertical="center" wrapText="1"/>
    </xf>
    <xf numFmtId="0" fontId="191" fillId="0" borderId="0" xfId="10" applyFont="1" applyFill="1" applyBorder="1" applyAlignment="1">
      <alignment horizontal="center" vertical="center"/>
    </xf>
    <xf numFmtId="0" fontId="303" fillId="0" borderId="61" xfId="0" applyFont="1" applyFill="1" applyBorder="1" applyAlignment="1">
      <alignment horizontal="center"/>
    </xf>
    <xf numFmtId="0" fontId="4" fillId="0" borderId="75" xfId="0" applyFont="1" applyBorder="1" applyAlignment="1">
      <alignment horizontal="center" vertical="center" wrapText="1"/>
    </xf>
    <xf numFmtId="0" fontId="4" fillId="0" borderId="76" xfId="0" applyFont="1" applyBorder="1" applyAlignment="1">
      <alignment horizontal="center" vertical="center" wrapText="1"/>
    </xf>
    <xf numFmtId="0" fontId="38" fillId="0" borderId="0" xfId="0" applyFont="1" applyFill="1" applyBorder="1" applyAlignment="1">
      <alignment horizontal="left" vertical="center"/>
    </xf>
    <xf numFmtId="0" fontId="53" fillId="0" borderId="255" xfId="0" applyFont="1" applyBorder="1" applyAlignment="1">
      <alignment horizontal="center" vertical="center" wrapText="1"/>
    </xf>
    <xf numFmtId="171" fontId="14" fillId="0" borderId="0" xfId="10" applyNumberFormat="1" applyFont="1" applyFill="1" applyBorder="1" applyAlignment="1">
      <alignment horizontal="center" vertical="center"/>
    </xf>
    <xf numFmtId="0" fontId="38" fillId="0" borderId="5" xfId="0" applyFont="1" applyFill="1" applyBorder="1" applyAlignment="1">
      <alignment horizontal="center" vertical="center" wrapText="1"/>
    </xf>
    <xf numFmtId="0" fontId="38" fillId="0" borderId="6" xfId="0" applyFont="1" applyFill="1" applyBorder="1" applyAlignment="1">
      <alignment horizontal="center" vertical="center" wrapText="1"/>
    </xf>
    <xf numFmtId="0" fontId="3" fillId="0" borderId="0" xfId="0" applyFont="1" applyBorder="1" applyAlignment="1">
      <alignment horizontal="center"/>
    </xf>
    <xf numFmtId="0" fontId="10" fillId="0" borderId="2" xfId="0" applyFont="1" applyBorder="1" applyAlignment="1">
      <alignment horizontal="center" vertical="top" wrapText="1"/>
    </xf>
    <xf numFmtId="0" fontId="63" fillId="23" borderId="13" xfId="0" applyFont="1" applyFill="1" applyBorder="1" applyAlignment="1">
      <alignment horizontal="center"/>
    </xf>
    <xf numFmtId="0" fontId="62" fillId="23" borderId="5" xfId="0" applyFont="1" applyFill="1" applyBorder="1" applyAlignment="1">
      <alignment horizontal="center"/>
    </xf>
    <xf numFmtId="0" fontId="62" fillId="23" borderId="6" xfId="0" applyFont="1" applyFill="1" applyBorder="1" applyAlignment="1">
      <alignment horizontal="center"/>
    </xf>
    <xf numFmtId="0" fontId="62" fillId="0" borderId="5" xfId="0" applyFont="1" applyFill="1" applyBorder="1" applyAlignment="1">
      <alignment horizontal="center"/>
    </xf>
    <xf numFmtId="0" fontId="62" fillId="0" borderId="6" xfId="0" applyFont="1" applyFill="1" applyBorder="1" applyAlignment="1">
      <alignment horizontal="center"/>
    </xf>
    <xf numFmtId="0" fontId="2" fillId="0" borderId="5" xfId="0" applyFont="1" applyBorder="1" applyAlignment="1">
      <alignment horizontal="center"/>
    </xf>
    <xf numFmtId="0" fontId="2" fillId="0" borderId="7" xfId="0" applyFont="1" applyBorder="1" applyAlignment="1">
      <alignment horizontal="center"/>
    </xf>
    <xf numFmtId="0" fontId="2" fillId="0" borderId="6" xfId="0" applyFont="1" applyBorder="1" applyAlignment="1">
      <alignment horizontal="center"/>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center" wrapText="1"/>
    </xf>
    <xf numFmtId="0" fontId="65" fillId="0" borderId="0" xfId="0" applyFont="1" applyAlignment="1">
      <alignment horizontal="center"/>
    </xf>
    <xf numFmtId="171" fontId="297" fillId="0" borderId="17" xfId="0" quotePrefix="1" applyNumberFormat="1" applyFont="1" applyFill="1" applyBorder="1" applyAlignment="1">
      <alignment horizontal="center" vertical="center" shrinkToFit="1"/>
    </xf>
    <xf numFmtId="0" fontId="140" fillId="0" borderId="3" xfId="0" applyFont="1" applyFill="1" applyBorder="1" applyAlignment="1" applyProtection="1">
      <alignment horizontal="left" wrapText="1"/>
    </xf>
    <xf numFmtId="0" fontId="5" fillId="0" borderId="0" xfId="0" applyFont="1" applyBorder="1" applyAlignment="1">
      <alignment horizontal="left" wrapText="1"/>
    </xf>
    <xf numFmtId="0" fontId="77" fillId="0" borderId="0" xfId="0" applyFont="1" applyBorder="1" applyAlignment="1"/>
    <xf numFmtId="0" fontId="5" fillId="20" borderId="209" xfId="0" applyFont="1" applyFill="1" applyBorder="1" applyAlignment="1">
      <alignment horizontal="left" vertical="center"/>
    </xf>
    <xf numFmtId="0" fontId="4" fillId="0" borderId="0" xfId="0" applyFont="1" applyBorder="1" applyAlignment="1">
      <alignment horizontal="center" vertical="top" wrapText="1"/>
    </xf>
    <xf numFmtId="0" fontId="33" fillId="0" borderId="0" xfId="0" applyFont="1" applyBorder="1" applyAlignment="1">
      <alignment horizontal="center" vertical="top" wrapText="1"/>
    </xf>
    <xf numFmtId="0" fontId="4" fillId="0" borderId="0" xfId="0" applyFont="1" applyFill="1" applyBorder="1" applyAlignment="1">
      <alignment horizontal="center" vertical="top" wrapText="1"/>
    </xf>
    <xf numFmtId="0" fontId="4" fillId="0" borderId="0" xfId="0" applyFont="1" applyFill="1" applyBorder="1" applyAlignment="1">
      <alignment horizontal="center" vertical="top"/>
    </xf>
    <xf numFmtId="0" fontId="57" fillId="0" borderId="0" xfId="0" applyFont="1" applyFill="1" applyBorder="1" applyAlignment="1">
      <alignment horizontal="left" vertical="center" wrapText="1"/>
    </xf>
    <xf numFmtId="0" fontId="168" fillId="0" borderId="0" xfId="0" applyFont="1" applyFill="1" applyBorder="1" applyAlignment="1">
      <alignment horizontal="center" vertical="center"/>
    </xf>
    <xf numFmtId="0" fontId="125" fillId="0" borderId="0" xfId="0" applyFont="1" applyBorder="1" applyAlignment="1">
      <alignment horizontal="center" vertical="top" wrapText="1"/>
    </xf>
    <xf numFmtId="0" fontId="198" fillId="0" borderId="0" xfId="0" applyFont="1" applyBorder="1" applyAlignment="1">
      <alignment horizontal="left" vertical="center" wrapText="1"/>
    </xf>
    <xf numFmtId="0" fontId="231" fillId="0" borderId="0" xfId="0" applyFont="1" applyBorder="1" applyAlignment="1">
      <alignment horizontal="center" vertical="center"/>
    </xf>
    <xf numFmtId="0" fontId="279" fillId="0" borderId="0" xfId="0" applyFont="1" applyBorder="1" applyAlignment="1"/>
    <xf numFmtId="0" fontId="114" fillId="0" borderId="0" xfId="0" applyFont="1" applyBorder="1" applyAlignment="1"/>
    <xf numFmtId="0" fontId="34" fillId="0" borderId="0" xfId="0" applyFont="1" applyBorder="1" applyAlignment="1">
      <alignment horizontal="left" vertical="top" wrapText="1"/>
    </xf>
    <xf numFmtId="0" fontId="5" fillId="26" borderId="0" xfId="0" applyFont="1" applyFill="1" applyBorder="1" applyAlignment="1">
      <alignment horizontal="left" vertical="center" wrapText="1"/>
    </xf>
    <xf numFmtId="0" fontId="266" fillId="0" borderId="0" xfId="0" applyFont="1" applyFill="1" applyBorder="1" applyAlignment="1">
      <alignment vertical="center" wrapText="1"/>
    </xf>
    <xf numFmtId="171" fontId="266" fillId="0" borderId="0" xfId="0" applyNumberFormat="1" applyFont="1" applyBorder="1" applyAlignment="1">
      <alignment horizontal="left" vertical="center" wrapText="1"/>
    </xf>
    <xf numFmtId="0" fontId="87" fillId="0" borderId="0" xfId="0" applyFont="1" applyBorder="1" applyAlignment="1">
      <alignment horizontal="left"/>
    </xf>
    <xf numFmtId="0" fontId="198" fillId="0" borderId="0" xfId="0" applyFont="1" applyBorder="1" applyAlignment="1">
      <alignment horizontal="left" vertical="top" wrapText="1"/>
    </xf>
    <xf numFmtId="0" fontId="233" fillId="0" borderId="0" xfId="0" applyFont="1" applyBorder="1" applyAlignment="1">
      <alignment horizontal="left" vertical="top" wrapText="1"/>
    </xf>
    <xf numFmtId="0" fontId="4" fillId="0" borderId="0" xfId="0" applyFont="1" applyBorder="1" applyAlignment="1">
      <alignment horizontal="center" vertical="top"/>
    </xf>
    <xf numFmtId="0" fontId="233" fillId="0" borderId="0" xfId="0" applyFont="1" applyBorder="1" applyAlignment="1">
      <alignment horizontal="center"/>
    </xf>
    <xf numFmtId="171" fontId="229" fillId="0" borderId="0" xfId="0" applyNumberFormat="1" applyFont="1" applyBorder="1" applyAlignment="1">
      <alignment horizontal="center"/>
    </xf>
    <xf numFmtId="0" fontId="16" fillId="0" borderId="0" xfId="0" applyFont="1" applyBorder="1" applyAlignment="1">
      <alignment horizontal="left" vertical="center" wrapText="1" indent="9"/>
    </xf>
    <xf numFmtId="0" fontId="122" fillId="0" borderId="0" xfId="0" applyFont="1" applyFill="1" applyBorder="1" applyAlignment="1">
      <alignment horizontal="left" vertical="center" wrapText="1"/>
    </xf>
    <xf numFmtId="0" fontId="51" fillId="0" borderId="0" xfId="0" applyFont="1" applyFill="1" applyBorder="1" applyAlignment="1">
      <alignment horizontal="center" vertical="center"/>
    </xf>
    <xf numFmtId="0" fontId="34" fillId="0" borderId="0" xfId="0" applyFont="1" applyBorder="1" applyAlignment="1">
      <alignment horizontal="center"/>
    </xf>
    <xf numFmtId="0" fontId="125" fillId="0" borderId="0" xfId="0" applyFont="1" applyBorder="1" applyAlignment="1">
      <alignment horizontal="left" vertical="top" wrapText="1" indent="10"/>
    </xf>
    <xf numFmtId="0" fontId="16" fillId="0" borderId="0" xfId="0" applyFont="1" applyBorder="1" applyAlignment="1">
      <alignment horizontal="center" vertical="top" wrapText="1"/>
    </xf>
    <xf numFmtId="0" fontId="198" fillId="26" borderId="0" xfId="0" applyFont="1" applyFill="1" applyBorder="1" applyAlignment="1">
      <alignment horizontal="left"/>
    </xf>
    <xf numFmtId="0" fontId="229" fillId="0" borderId="0" xfId="0" applyFont="1" applyBorder="1" applyAlignment="1">
      <alignment horizontal="left" wrapText="1"/>
    </xf>
    <xf numFmtId="171" fontId="258" fillId="0" borderId="0" xfId="0" applyNumberFormat="1" applyFont="1" applyBorder="1" applyAlignment="1">
      <alignment horizontal="left" vertical="center" wrapText="1"/>
    </xf>
    <xf numFmtId="0" fontId="3" fillId="0" borderId="0" xfId="0" applyFont="1" applyBorder="1" applyAlignment="1">
      <alignment horizontal="left"/>
    </xf>
    <xf numFmtId="0" fontId="234" fillId="0" borderId="0" xfId="0" applyFont="1" applyFill="1" applyBorder="1" applyAlignment="1">
      <alignment horizontal="left" vertical="center" wrapText="1"/>
    </xf>
    <xf numFmtId="0" fontId="89" fillId="23" borderId="0" xfId="0" applyFont="1" applyFill="1" applyBorder="1" applyAlignment="1">
      <alignment horizontal="center"/>
    </xf>
    <xf numFmtId="0" fontId="89" fillId="70" borderId="160" xfId="0" applyFont="1" applyFill="1" applyBorder="1" applyAlignment="1" applyProtection="1">
      <alignment horizontal="center" vertical="center" wrapText="1"/>
    </xf>
    <xf numFmtId="0" fontId="89" fillId="70" borderId="154" xfId="0" applyFont="1" applyFill="1" applyBorder="1" applyAlignment="1" applyProtection="1">
      <alignment horizontal="center" vertical="center" wrapText="1"/>
    </xf>
    <xf numFmtId="197" fontId="71" fillId="71" borderId="5" xfId="984" applyNumberFormat="1" applyFont="1" applyFill="1" applyBorder="1" applyAlignment="1" applyProtection="1">
      <alignment horizontal="center"/>
    </xf>
    <xf numFmtId="197" fontId="71" fillId="71" borderId="7" xfId="984" applyNumberFormat="1" applyFont="1" applyFill="1" applyBorder="1" applyAlignment="1" applyProtection="1">
      <alignment horizontal="center"/>
    </xf>
    <xf numFmtId="197" fontId="71" fillId="71" borderId="6" xfId="984" applyNumberFormat="1" applyFont="1" applyFill="1" applyBorder="1" applyAlignment="1" applyProtection="1">
      <alignment horizontal="center"/>
    </xf>
    <xf numFmtId="0" fontId="71" fillId="71" borderId="7" xfId="0" applyFont="1" applyFill="1" applyBorder="1" applyAlignment="1" applyProtection="1">
      <alignment horizontal="center"/>
    </xf>
    <xf numFmtId="0" fontId="89" fillId="70" borderId="13" xfId="0" applyFont="1" applyFill="1" applyBorder="1" applyAlignment="1" applyProtection="1">
      <alignment horizontal="center" vertical="center" wrapText="1"/>
    </xf>
    <xf numFmtId="0" fontId="89" fillId="70" borderId="10" xfId="0" applyFont="1" applyFill="1" applyBorder="1" applyAlignment="1" applyProtection="1">
      <alignment horizontal="center" vertical="center" wrapText="1"/>
    </xf>
    <xf numFmtId="0" fontId="120" fillId="51" borderId="227" xfId="0" applyFont="1" applyFill="1" applyBorder="1" applyAlignment="1">
      <alignment horizontal="center" vertical="center" wrapText="1"/>
    </xf>
    <xf numFmtId="0" fontId="120" fillId="51" borderId="225" xfId="0" applyFont="1" applyFill="1" applyBorder="1" applyAlignment="1">
      <alignment horizontal="center" vertical="center" wrapText="1"/>
    </xf>
    <xf numFmtId="0" fontId="120" fillId="51" borderId="228" xfId="0" applyFont="1" applyFill="1" applyBorder="1" applyAlignment="1">
      <alignment horizontal="center" vertical="center" wrapText="1"/>
    </xf>
    <xf numFmtId="0" fontId="120" fillId="0" borderId="227" xfId="0" applyFont="1" applyBorder="1" applyAlignment="1">
      <alignment horizontal="center" vertical="center" wrapText="1"/>
    </xf>
    <xf numFmtId="0" fontId="120" fillId="0" borderId="225" xfId="0" applyFont="1" applyBorder="1" applyAlignment="1">
      <alignment horizontal="center" vertical="center" wrapText="1"/>
    </xf>
    <xf numFmtId="0" fontId="120" fillId="0" borderId="228" xfId="0" applyFont="1" applyBorder="1" applyAlignment="1">
      <alignment horizontal="center" vertical="center" wrapText="1"/>
    </xf>
    <xf numFmtId="0" fontId="63" fillId="23" borderId="5" xfId="0" applyFont="1" applyFill="1" applyBorder="1" applyAlignment="1">
      <alignment horizontal="center"/>
    </xf>
    <xf numFmtId="0" fontId="63" fillId="23" borderId="7" xfId="0" applyFont="1" applyFill="1" applyBorder="1" applyAlignment="1">
      <alignment horizontal="center"/>
    </xf>
    <xf numFmtId="0" fontId="63" fillId="23" borderId="6" xfId="0" applyFont="1" applyFill="1" applyBorder="1" applyAlignment="1">
      <alignment horizontal="center"/>
    </xf>
    <xf numFmtId="0" fontId="133" fillId="39" borderId="0" xfId="0" applyFont="1" applyFill="1" applyAlignment="1" applyProtection="1">
      <alignment horizontal="center" vertical="center"/>
    </xf>
    <xf numFmtId="0" fontId="133" fillId="40" borderId="0" xfId="0" applyFont="1" applyFill="1" applyAlignment="1" applyProtection="1">
      <alignment horizontal="left" vertical="center"/>
    </xf>
    <xf numFmtId="0" fontId="147" fillId="0" borderId="156" xfId="0" applyFont="1" applyBorder="1" applyAlignment="1">
      <alignment horizontal="left"/>
    </xf>
    <xf numFmtId="0" fontId="147" fillId="0" borderId="157" xfId="0" applyFont="1" applyBorder="1" applyAlignment="1">
      <alignment horizontal="left"/>
    </xf>
    <xf numFmtId="0" fontId="147" fillId="0" borderId="158" xfId="0" applyFont="1" applyBorder="1" applyAlignment="1">
      <alignment horizontal="left"/>
    </xf>
    <xf numFmtId="0" fontId="0" fillId="0" borderId="0" xfId="0" applyBorder="1" applyAlignment="1">
      <alignment horizontal="center" wrapText="1"/>
    </xf>
    <xf numFmtId="9" fontId="89" fillId="45" borderId="168" xfId="0" applyNumberFormat="1" applyFont="1" applyFill="1" applyBorder="1" applyAlignment="1">
      <alignment horizontal="center" vertical="center" wrapText="1"/>
    </xf>
    <xf numFmtId="0" fontId="89" fillId="45" borderId="168" xfId="0" applyFont="1" applyFill="1" applyBorder="1" applyAlignment="1">
      <alignment horizontal="center" vertical="center"/>
    </xf>
    <xf numFmtId="0" fontId="89" fillId="45" borderId="147" xfId="0" applyFont="1" applyFill="1" applyBorder="1" applyAlignment="1">
      <alignment horizontal="center" vertical="center"/>
    </xf>
    <xf numFmtId="191" fontId="2" fillId="0" borderId="94" xfId="0" applyNumberFormat="1" applyFont="1" applyFill="1" applyBorder="1" applyAlignment="1"/>
    <xf numFmtId="0" fontId="0" fillId="0" borderId="95" xfId="0" applyFill="1" applyBorder="1" applyAlignment="1"/>
    <xf numFmtId="0" fontId="0" fillId="0" borderId="95" xfId="0" applyBorder="1" applyAlignment="1"/>
    <xf numFmtId="0" fontId="0" fillId="0" borderId="82" xfId="0" applyBorder="1" applyAlignment="1"/>
    <xf numFmtId="191" fontId="2" fillId="0" borderId="95" xfId="0" applyNumberFormat="1" applyFont="1" applyFill="1" applyBorder="1" applyAlignment="1"/>
    <xf numFmtId="191" fontId="2" fillId="41" borderId="95" xfId="0" applyNumberFormat="1" applyFont="1" applyFill="1" applyBorder="1" applyAlignment="1">
      <alignment horizontal="center"/>
    </xf>
    <xf numFmtId="0" fontId="2" fillId="41" borderId="82" xfId="0" applyFont="1" applyFill="1" applyBorder="1" applyAlignment="1">
      <alignment horizontal="center"/>
    </xf>
    <xf numFmtId="0" fontId="2" fillId="42" borderId="94" xfId="0" applyFont="1" applyFill="1" applyBorder="1" applyAlignment="1">
      <alignment horizontal="center"/>
    </xf>
    <xf numFmtId="0" fontId="2" fillId="42" borderId="82" xfId="0" applyFont="1" applyFill="1" applyBorder="1" applyAlignment="1">
      <alignment horizontal="center"/>
    </xf>
    <xf numFmtId="0" fontId="2" fillId="39" borderId="94" xfId="0" applyFont="1" applyFill="1" applyBorder="1" applyAlignment="1">
      <alignment horizontal="center"/>
    </xf>
    <xf numFmtId="0" fontId="2" fillId="39" borderId="82" xfId="0" applyFont="1" applyFill="1" applyBorder="1" applyAlignment="1">
      <alignment horizontal="center"/>
    </xf>
    <xf numFmtId="190" fontId="71" fillId="44" borderId="5" xfId="0" applyNumberFormat="1" applyFont="1" applyFill="1" applyBorder="1" applyAlignment="1">
      <alignment horizontal="center"/>
    </xf>
    <xf numFmtId="0" fontId="0" fillId="44" borderId="122" xfId="0" applyFill="1" applyBorder="1" applyAlignment="1">
      <alignment horizontal="center"/>
    </xf>
    <xf numFmtId="191" fontId="2" fillId="0" borderId="2" xfId="0" applyNumberFormat="1" applyFont="1" applyFill="1" applyBorder="1" applyAlignment="1">
      <alignment horizontal="center"/>
    </xf>
    <xf numFmtId="190" fontId="71" fillId="41" borderId="2" xfId="0" applyNumberFormat="1" applyFont="1" applyFill="1" applyBorder="1" applyAlignment="1">
      <alignment horizontal="center"/>
    </xf>
    <xf numFmtId="191" fontId="2" fillId="0" borderId="5" xfId="0" applyNumberFormat="1" applyFont="1" applyFill="1" applyBorder="1" applyAlignment="1">
      <alignment horizontal="center"/>
    </xf>
    <xf numFmtId="191" fontId="2" fillId="0" borderId="7" xfId="0" applyNumberFormat="1" applyFont="1" applyFill="1" applyBorder="1" applyAlignment="1">
      <alignment horizontal="center"/>
    </xf>
    <xf numFmtId="191" fontId="2" fillId="0" borderId="6" xfId="0" applyNumberFormat="1" applyFont="1" applyFill="1" applyBorder="1" applyAlignment="1">
      <alignment horizontal="center"/>
    </xf>
    <xf numFmtId="191" fontId="2" fillId="0" borderId="9" xfId="0" applyNumberFormat="1" applyFont="1" applyFill="1" applyBorder="1" applyAlignment="1">
      <alignment horizontal="center"/>
    </xf>
    <xf numFmtId="191" fontId="2" fillId="0" borderId="13" xfId="0" applyNumberFormat="1" applyFont="1" applyFill="1" applyBorder="1" applyAlignment="1">
      <alignment horizontal="center"/>
    </xf>
    <xf numFmtId="0" fontId="332" fillId="0" borderId="0" xfId="0" applyFont="1"/>
    <xf numFmtId="15" fontId="0" fillId="0" borderId="313" xfId="0" applyNumberFormat="1" applyBorder="1" applyAlignment="1">
      <alignment vertical="top"/>
    </xf>
    <xf numFmtId="0" fontId="0" fillId="0" borderId="313" xfId="0" applyBorder="1" applyAlignment="1">
      <alignment vertical="top" wrapText="1"/>
    </xf>
    <xf numFmtId="0" fontId="0" fillId="0" borderId="313" xfId="0" applyBorder="1" applyAlignment="1">
      <alignment vertical="top"/>
    </xf>
    <xf numFmtId="0" fontId="0" fillId="0" borderId="0" xfId="0" applyAlignment="1">
      <alignment vertical="top"/>
    </xf>
    <xf numFmtId="0" fontId="0" fillId="0" borderId="277" xfId="0" applyBorder="1" applyAlignment="1">
      <alignment vertical="top"/>
    </xf>
    <xf numFmtId="0" fontId="0" fillId="0" borderId="327" xfId="0" applyBorder="1" applyAlignment="1">
      <alignment vertical="top"/>
    </xf>
  </cellXfs>
  <cellStyles count="3251">
    <cellStyle name="20 % - Accent1 2" xfId="33" xr:uid="{00000000-0005-0000-0000-000000000000}"/>
    <cellStyle name="20 % - Accent1 2 2" xfId="34" xr:uid="{00000000-0005-0000-0000-000001000000}"/>
    <cellStyle name="20 % - Accent1 2 2 2" xfId="35" xr:uid="{00000000-0005-0000-0000-000002000000}"/>
    <cellStyle name="20 % - Accent1 2 2 2 2" xfId="1018" xr:uid="{00000000-0005-0000-0000-000003000000}"/>
    <cellStyle name="20 % - Accent1 2 2 3" xfId="36" xr:uid="{00000000-0005-0000-0000-000004000000}"/>
    <cellStyle name="20 % - Accent1 2 2 3 2" xfId="1019" xr:uid="{00000000-0005-0000-0000-000005000000}"/>
    <cellStyle name="20 % - Accent1 2 2 4" xfId="1020" xr:uid="{00000000-0005-0000-0000-000006000000}"/>
    <cellStyle name="20 % - Accent1 2 3" xfId="37" xr:uid="{00000000-0005-0000-0000-000007000000}"/>
    <cellStyle name="20 % - Accent1 2 3 2" xfId="1021" xr:uid="{00000000-0005-0000-0000-000008000000}"/>
    <cellStyle name="20 % - Accent1 2 4" xfId="38" xr:uid="{00000000-0005-0000-0000-000009000000}"/>
    <cellStyle name="20 % - Accent1 2 4 2" xfId="1022" xr:uid="{00000000-0005-0000-0000-00000A000000}"/>
    <cellStyle name="20 % - Accent1 2 5" xfId="1023" xr:uid="{00000000-0005-0000-0000-00000B000000}"/>
    <cellStyle name="20 % - Accent1 2_Premium Estimator" xfId="988" xr:uid="{00000000-0005-0000-0000-00000C000000}"/>
    <cellStyle name="20 % - Accent1 3" xfId="39" xr:uid="{00000000-0005-0000-0000-00000D000000}"/>
    <cellStyle name="20 % - Accent1 3 2" xfId="40" xr:uid="{00000000-0005-0000-0000-00000E000000}"/>
    <cellStyle name="20 % - Accent1 3 2 2" xfId="1024" xr:uid="{00000000-0005-0000-0000-00000F000000}"/>
    <cellStyle name="20 % - Accent1 3 3" xfId="41" xr:uid="{00000000-0005-0000-0000-000010000000}"/>
    <cellStyle name="20 % - Accent1 3 3 2" xfId="1025" xr:uid="{00000000-0005-0000-0000-000011000000}"/>
    <cellStyle name="20 % - Accent1 3 4" xfId="1026" xr:uid="{00000000-0005-0000-0000-000012000000}"/>
    <cellStyle name="20 % - Accent1 4" xfId="1027" xr:uid="{00000000-0005-0000-0000-000013000000}"/>
    <cellStyle name="20 % - Accent1 4 2" xfId="2183" xr:uid="{00000000-0005-0000-0000-000014000000}"/>
    <cellStyle name="20 % - Accent1 5" xfId="2184" xr:uid="{00000000-0005-0000-0000-000015000000}"/>
    <cellStyle name="20 % - Accent1 5 2" xfId="2185" xr:uid="{00000000-0005-0000-0000-000016000000}"/>
    <cellStyle name="20 % - Accent2 2" xfId="42" xr:uid="{00000000-0005-0000-0000-000017000000}"/>
    <cellStyle name="20 % - Accent2 2 2" xfId="43" xr:uid="{00000000-0005-0000-0000-000018000000}"/>
    <cellStyle name="20 % - Accent2 2 2 2" xfId="44" xr:uid="{00000000-0005-0000-0000-000019000000}"/>
    <cellStyle name="20 % - Accent2 2 2 2 2" xfId="1028" xr:uid="{00000000-0005-0000-0000-00001A000000}"/>
    <cellStyle name="20 % - Accent2 2 2 3" xfId="45" xr:uid="{00000000-0005-0000-0000-00001B000000}"/>
    <cellStyle name="20 % - Accent2 2 2 3 2" xfId="1029" xr:uid="{00000000-0005-0000-0000-00001C000000}"/>
    <cellStyle name="20 % - Accent2 2 2 4" xfId="1030" xr:uid="{00000000-0005-0000-0000-00001D000000}"/>
    <cellStyle name="20 % - Accent2 2 3" xfId="46" xr:uid="{00000000-0005-0000-0000-00001E000000}"/>
    <cellStyle name="20 % - Accent2 2 3 2" xfId="1031" xr:uid="{00000000-0005-0000-0000-00001F000000}"/>
    <cellStyle name="20 % - Accent2 2 4" xfId="47" xr:uid="{00000000-0005-0000-0000-000020000000}"/>
    <cellStyle name="20 % - Accent2 2 4 2" xfId="1032" xr:uid="{00000000-0005-0000-0000-000021000000}"/>
    <cellStyle name="20 % - Accent2 2 5" xfId="1033" xr:uid="{00000000-0005-0000-0000-000022000000}"/>
    <cellStyle name="20 % - Accent2 2_Premium Estimator" xfId="989" xr:uid="{00000000-0005-0000-0000-000023000000}"/>
    <cellStyle name="20 % - Accent2 3" xfId="48" xr:uid="{00000000-0005-0000-0000-000024000000}"/>
    <cellStyle name="20 % - Accent2 3 2" xfId="49" xr:uid="{00000000-0005-0000-0000-000025000000}"/>
    <cellStyle name="20 % - Accent2 3 2 2" xfId="1034" xr:uid="{00000000-0005-0000-0000-000026000000}"/>
    <cellStyle name="20 % - Accent2 3 3" xfId="50" xr:uid="{00000000-0005-0000-0000-000027000000}"/>
    <cellStyle name="20 % - Accent2 3 3 2" xfId="1035" xr:uid="{00000000-0005-0000-0000-000028000000}"/>
    <cellStyle name="20 % - Accent2 3 4" xfId="1036" xr:uid="{00000000-0005-0000-0000-000029000000}"/>
    <cellStyle name="20 % - Accent2 4" xfId="1037" xr:uid="{00000000-0005-0000-0000-00002A000000}"/>
    <cellStyle name="20 % - Accent2 4 2" xfId="2186" xr:uid="{00000000-0005-0000-0000-00002B000000}"/>
    <cellStyle name="20 % - Accent2 5" xfId="2187" xr:uid="{00000000-0005-0000-0000-00002C000000}"/>
    <cellStyle name="20 % - Accent2 5 2" xfId="2188" xr:uid="{00000000-0005-0000-0000-00002D000000}"/>
    <cellStyle name="20 % - Accent3 2" xfId="51" xr:uid="{00000000-0005-0000-0000-00002E000000}"/>
    <cellStyle name="20 % - Accent3 2 2" xfId="52" xr:uid="{00000000-0005-0000-0000-00002F000000}"/>
    <cellStyle name="20 % - Accent3 2 2 2" xfId="53" xr:uid="{00000000-0005-0000-0000-000030000000}"/>
    <cellStyle name="20 % - Accent3 2 2 2 2" xfId="1038" xr:uid="{00000000-0005-0000-0000-000031000000}"/>
    <cellStyle name="20 % - Accent3 2 2 3" xfId="54" xr:uid="{00000000-0005-0000-0000-000032000000}"/>
    <cellStyle name="20 % - Accent3 2 2 3 2" xfId="1039" xr:uid="{00000000-0005-0000-0000-000033000000}"/>
    <cellStyle name="20 % - Accent3 2 2 4" xfId="1040" xr:uid="{00000000-0005-0000-0000-000034000000}"/>
    <cellStyle name="20 % - Accent3 2 3" xfId="55" xr:uid="{00000000-0005-0000-0000-000035000000}"/>
    <cellStyle name="20 % - Accent3 2 3 2" xfId="1041" xr:uid="{00000000-0005-0000-0000-000036000000}"/>
    <cellStyle name="20 % - Accent3 2 4" xfId="56" xr:uid="{00000000-0005-0000-0000-000037000000}"/>
    <cellStyle name="20 % - Accent3 2 4 2" xfId="1042" xr:uid="{00000000-0005-0000-0000-000038000000}"/>
    <cellStyle name="20 % - Accent3 2 5" xfId="1043" xr:uid="{00000000-0005-0000-0000-000039000000}"/>
    <cellStyle name="20 % - Accent3 2_Premium Estimator" xfId="990" xr:uid="{00000000-0005-0000-0000-00003A000000}"/>
    <cellStyle name="20 % - Accent3 3" xfId="57" xr:uid="{00000000-0005-0000-0000-00003B000000}"/>
    <cellStyle name="20 % - Accent3 3 2" xfId="58" xr:uid="{00000000-0005-0000-0000-00003C000000}"/>
    <cellStyle name="20 % - Accent3 3 2 2" xfId="1044" xr:uid="{00000000-0005-0000-0000-00003D000000}"/>
    <cellStyle name="20 % - Accent3 3 3" xfId="59" xr:uid="{00000000-0005-0000-0000-00003E000000}"/>
    <cellStyle name="20 % - Accent3 3 3 2" xfId="1045" xr:uid="{00000000-0005-0000-0000-00003F000000}"/>
    <cellStyle name="20 % - Accent3 3 4" xfId="1046" xr:uid="{00000000-0005-0000-0000-000040000000}"/>
    <cellStyle name="20 % - Accent3 4" xfId="1047" xr:uid="{00000000-0005-0000-0000-000041000000}"/>
    <cellStyle name="20 % - Accent3 4 2" xfId="2189" xr:uid="{00000000-0005-0000-0000-000042000000}"/>
    <cellStyle name="20 % - Accent3 5" xfId="2190" xr:uid="{00000000-0005-0000-0000-000043000000}"/>
    <cellStyle name="20 % - Accent3 5 2" xfId="2191" xr:uid="{00000000-0005-0000-0000-000044000000}"/>
    <cellStyle name="20 % - Accent4 2" xfId="60" xr:uid="{00000000-0005-0000-0000-000045000000}"/>
    <cellStyle name="20 % - Accent4 2 2" xfId="61" xr:uid="{00000000-0005-0000-0000-000046000000}"/>
    <cellStyle name="20 % - Accent4 2 2 2" xfId="62" xr:uid="{00000000-0005-0000-0000-000047000000}"/>
    <cellStyle name="20 % - Accent4 2 2 2 2" xfId="1048" xr:uid="{00000000-0005-0000-0000-000048000000}"/>
    <cellStyle name="20 % - Accent4 2 2 3" xfId="63" xr:uid="{00000000-0005-0000-0000-000049000000}"/>
    <cellStyle name="20 % - Accent4 2 2 3 2" xfId="1049" xr:uid="{00000000-0005-0000-0000-00004A000000}"/>
    <cellStyle name="20 % - Accent4 2 2 4" xfId="1050" xr:uid="{00000000-0005-0000-0000-00004B000000}"/>
    <cellStyle name="20 % - Accent4 2 3" xfId="64" xr:uid="{00000000-0005-0000-0000-00004C000000}"/>
    <cellStyle name="20 % - Accent4 2 3 2" xfId="1051" xr:uid="{00000000-0005-0000-0000-00004D000000}"/>
    <cellStyle name="20 % - Accent4 2 4" xfId="65" xr:uid="{00000000-0005-0000-0000-00004E000000}"/>
    <cellStyle name="20 % - Accent4 2 4 2" xfId="1052" xr:uid="{00000000-0005-0000-0000-00004F000000}"/>
    <cellStyle name="20 % - Accent4 2 5" xfId="1053" xr:uid="{00000000-0005-0000-0000-000050000000}"/>
    <cellStyle name="20 % - Accent4 2_Premium Estimator" xfId="991" xr:uid="{00000000-0005-0000-0000-000051000000}"/>
    <cellStyle name="20 % - Accent4 3" xfId="66" xr:uid="{00000000-0005-0000-0000-000052000000}"/>
    <cellStyle name="20 % - Accent4 3 2" xfId="67" xr:uid="{00000000-0005-0000-0000-000053000000}"/>
    <cellStyle name="20 % - Accent4 3 2 2" xfId="1054" xr:uid="{00000000-0005-0000-0000-000054000000}"/>
    <cellStyle name="20 % - Accent4 3 3" xfId="68" xr:uid="{00000000-0005-0000-0000-000055000000}"/>
    <cellStyle name="20 % - Accent4 3 3 2" xfId="1055" xr:uid="{00000000-0005-0000-0000-000056000000}"/>
    <cellStyle name="20 % - Accent4 3 4" xfId="1056" xr:uid="{00000000-0005-0000-0000-000057000000}"/>
    <cellStyle name="20 % - Accent4 4" xfId="1057" xr:uid="{00000000-0005-0000-0000-000058000000}"/>
    <cellStyle name="20 % - Accent4 4 2" xfId="2192" xr:uid="{00000000-0005-0000-0000-000059000000}"/>
    <cellStyle name="20 % - Accent4 5" xfId="2193" xr:uid="{00000000-0005-0000-0000-00005A000000}"/>
    <cellStyle name="20 % - Accent4 5 2" xfId="2194" xr:uid="{00000000-0005-0000-0000-00005B000000}"/>
    <cellStyle name="20 % - Accent5 2" xfId="69" xr:uid="{00000000-0005-0000-0000-00005C000000}"/>
    <cellStyle name="20 % - Accent5 2 2" xfId="70" xr:uid="{00000000-0005-0000-0000-00005D000000}"/>
    <cellStyle name="20 % - Accent5 2 2 2" xfId="71" xr:uid="{00000000-0005-0000-0000-00005E000000}"/>
    <cellStyle name="20 % - Accent5 2 2 2 2" xfId="1058" xr:uid="{00000000-0005-0000-0000-00005F000000}"/>
    <cellStyle name="20 % - Accent5 2 2 3" xfId="72" xr:uid="{00000000-0005-0000-0000-000060000000}"/>
    <cellStyle name="20 % - Accent5 2 2 3 2" xfId="1059" xr:uid="{00000000-0005-0000-0000-000061000000}"/>
    <cellStyle name="20 % - Accent5 2 2 4" xfId="1060" xr:uid="{00000000-0005-0000-0000-000062000000}"/>
    <cellStyle name="20 % - Accent5 2 3" xfId="73" xr:uid="{00000000-0005-0000-0000-000063000000}"/>
    <cellStyle name="20 % - Accent5 2 3 2" xfId="1061" xr:uid="{00000000-0005-0000-0000-000064000000}"/>
    <cellStyle name="20 % - Accent5 2 4" xfId="74" xr:uid="{00000000-0005-0000-0000-000065000000}"/>
    <cellStyle name="20 % - Accent5 2 4 2" xfId="1062" xr:uid="{00000000-0005-0000-0000-000066000000}"/>
    <cellStyle name="20 % - Accent5 2 5" xfId="1063" xr:uid="{00000000-0005-0000-0000-000067000000}"/>
    <cellStyle name="20 % - Accent5 2_Premium Estimator" xfId="992" xr:uid="{00000000-0005-0000-0000-000068000000}"/>
    <cellStyle name="20 % - Accent5 3" xfId="75" xr:uid="{00000000-0005-0000-0000-000069000000}"/>
    <cellStyle name="20 % - Accent5 3 2" xfId="76" xr:uid="{00000000-0005-0000-0000-00006A000000}"/>
    <cellStyle name="20 % - Accent5 3 2 2" xfId="1064" xr:uid="{00000000-0005-0000-0000-00006B000000}"/>
    <cellStyle name="20 % - Accent5 3 3" xfId="77" xr:uid="{00000000-0005-0000-0000-00006C000000}"/>
    <cellStyle name="20 % - Accent5 3 3 2" xfId="1065" xr:uid="{00000000-0005-0000-0000-00006D000000}"/>
    <cellStyle name="20 % - Accent5 3 4" xfId="1066" xr:uid="{00000000-0005-0000-0000-00006E000000}"/>
    <cellStyle name="20 % - Accent5 4" xfId="1067" xr:uid="{00000000-0005-0000-0000-00006F000000}"/>
    <cellStyle name="20 % - Accent5 4 2" xfId="2195" xr:uid="{00000000-0005-0000-0000-000070000000}"/>
    <cellStyle name="20 % - Accent5 5" xfId="2196" xr:uid="{00000000-0005-0000-0000-000071000000}"/>
    <cellStyle name="20 % - Accent5 5 2" xfId="2197" xr:uid="{00000000-0005-0000-0000-000072000000}"/>
    <cellStyle name="20 % - Accent6 2" xfId="78" xr:uid="{00000000-0005-0000-0000-000073000000}"/>
    <cellStyle name="20 % - Accent6 2 2" xfId="79" xr:uid="{00000000-0005-0000-0000-000074000000}"/>
    <cellStyle name="20 % - Accent6 2 2 2" xfId="80" xr:uid="{00000000-0005-0000-0000-000075000000}"/>
    <cellStyle name="20 % - Accent6 2 2 2 2" xfId="1068" xr:uid="{00000000-0005-0000-0000-000076000000}"/>
    <cellStyle name="20 % - Accent6 2 2 3" xfId="81" xr:uid="{00000000-0005-0000-0000-000077000000}"/>
    <cellStyle name="20 % - Accent6 2 2 3 2" xfId="1069" xr:uid="{00000000-0005-0000-0000-000078000000}"/>
    <cellStyle name="20 % - Accent6 2 2 4" xfId="1070" xr:uid="{00000000-0005-0000-0000-000079000000}"/>
    <cellStyle name="20 % - Accent6 2 3" xfId="82" xr:uid="{00000000-0005-0000-0000-00007A000000}"/>
    <cellStyle name="20 % - Accent6 2 3 2" xfId="1071" xr:uid="{00000000-0005-0000-0000-00007B000000}"/>
    <cellStyle name="20 % - Accent6 2 4" xfId="83" xr:uid="{00000000-0005-0000-0000-00007C000000}"/>
    <cellStyle name="20 % - Accent6 2 4 2" xfId="1072" xr:uid="{00000000-0005-0000-0000-00007D000000}"/>
    <cellStyle name="20 % - Accent6 2 5" xfId="1073" xr:uid="{00000000-0005-0000-0000-00007E000000}"/>
    <cellStyle name="20 % - Accent6 2_Premium Estimator" xfId="993" xr:uid="{00000000-0005-0000-0000-00007F000000}"/>
    <cellStyle name="20 % - Accent6 3" xfId="84" xr:uid="{00000000-0005-0000-0000-000080000000}"/>
    <cellStyle name="20 % - Accent6 3 2" xfId="85" xr:uid="{00000000-0005-0000-0000-000081000000}"/>
    <cellStyle name="20 % - Accent6 3 2 2" xfId="1074" xr:uid="{00000000-0005-0000-0000-000082000000}"/>
    <cellStyle name="20 % - Accent6 3 3" xfId="86" xr:uid="{00000000-0005-0000-0000-000083000000}"/>
    <cellStyle name="20 % - Accent6 3 3 2" xfId="1075" xr:uid="{00000000-0005-0000-0000-000084000000}"/>
    <cellStyle name="20 % - Accent6 3 4" xfId="1076" xr:uid="{00000000-0005-0000-0000-000085000000}"/>
    <cellStyle name="20 % - Accent6 4" xfId="1077" xr:uid="{00000000-0005-0000-0000-000086000000}"/>
    <cellStyle name="20 % - Accent6 4 2" xfId="2198" xr:uid="{00000000-0005-0000-0000-000087000000}"/>
    <cellStyle name="20 % - Accent6 5" xfId="2199" xr:uid="{00000000-0005-0000-0000-000088000000}"/>
    <cellStyle name="20 % - Accent6 5 2" xfId="2200" xr:uid="{00000000-0005-0000-0000-000089000000}"/>
    <cellStyle name="20% - Accent1" xfId="2021" xr:uid="{00000000-0005-0000-0000-00008A000000}"/>
    <cellStyle name="20% - Accent1 2" xfId="87" xr:uid="{00000000-0005-0000-0000-00008B000000}"/>
    <cellStyle name="20% - Accent1 2 2" xfId="88" xr:uid="{00000000-0005-0000-0000-00008C000000}"/>
    <cellStyle name="20% - Accent1 2 2 2" xfId="89" xr:uid="{00000000-0005-0000-0000-00008D000000}"/>
    <cellStyle name="20% - Accent1 2 2 2 2" xfId="1078" xr:uid="{00000000-0005-0000-0000-00008E000000}"/>
    <cellStyle name="20% - Accent1 2 2 2 2 2" xfId="2201" xr:uid="{00000000-0005-0000-0000-00008F000000}"/>
    <cellStyle name="20% - Accent1 2 2 2 3" xfId="2202" xr:uid="{00000000-0005-0000-0000-000090000000}"/>
    <cellStyle name="20% - Accent1 2 2 2 3 2" xfId="2203" xr:uid="{00000000-0005-0000-0000-000091000000}"/>
    <cellStyle name="20% - Accent1 2 2 2 4" xfId="2204" xr:uid="{00000000-0005-0000-0000-000092000000}"/>
    <cellStyle name="20% - Accent1 2 2 3" xfId="90" xr:uid="{00000000-0005-0000-0000-000093000000}"/>
    <cellStyle name="20% - Accent1 2 2 3 2" xfId="1079" xr:uid="{00000000-0005-0000-0000-000094000000}"/>
    <cellStyle name="20% - Accent1 2 2 3 2 2" xfId="2205" xr:uid="{00000000-0005-0000-0000-000095000000}"/>
    <cellStyle name="20% - Accent1 2 2 3 3" xfId="2206" xr:uid="{00000000-0005-0000-0000-000096000000}"/>
    <cellStyle name="20% - Accent1 2 2 3 3 2" xfId="2207" xr:uid="{00000000-0005-0000-0000-000097000000}"/>
    <cellStyle name="20% - Accent1 2 2 3 4" xfId="2208" xr:uid="{00000000-0005-0000-0000-000098000000}"/>
    <cellStyle name="20% - Accent1 2 2 4" xfId="1080" xr:uid="{00000000-0005-0000-0000-000099000000}"/>
    <cellStyle name="20% - Accent1 2 2 4 2" xfId="2209" xr:uid="{00000000-0005-0000-0000-00009A000000}"/>
    <cellStyle name="20% - Accent1 2 2 5" xfId="2210" xr:uid="{00000000-0005-0000-0000-00009B000000}"/>
    <cellStyle name="20% - Accent1 2 2 5 2" xfId="2211" xr:uid="{00000000-0005-0000-0000-00009C000000}"/>
    <cellStyle name="20% - Accent1 2 2 6" xfId="2212" xr:uid="{00000000-0005-0000-0000-00009D000000}"/>
    <cellStyle name="20% - Accent1 2 2_Bdx 1517" xfId="2083" xr:uid="{00000000-0005-0000-0000-00009E000000}"/>
    <cellStyle name="20% - Accent1 2 3" xfId="91" xr:uid="{00000000-0005-0000-0000-00009F000000}"/>
    <cellStyle name="20% - Accent1 2 3 2" xfId="1081" xr:uid="{00000000-0005-0000-0000-0000A0000000}"/>
    <cellStyle name="20% - Accent1 2 3 2 2" xfId="2213" xr:uid="{00000000-0005-0000-0000-0000A1000000}"/>
    <cellStyle name="20% - Accent1 2 3 2 2 2" xfId="2214" xr:uid="{00000000-0005-0000-0000-0000A2000000}"/>
    <cellStyle name="20% - Accent1 2 3 2 3" xfId="2215" xr:uid="{00000000-0005-0000-0000-0000A3000000}"/>
    <cellStyle name="20% - Accent1 2 3 2 3 2" xfId="2216" xr:uid="{00000000-0005-0000-0000-0000A4000000}"/>
    <cellStyle name="20% - Accent1 2 3 2 4" xfId="2217" xr:uid="{00000000-0005-0000-0000-0000A5000000}"/>
    <cellStyle name="20% - Accent1 2 3 3" xfId="2084" xr:uid="{00000000-0005-0000-0000-0000A6000000}"/>
    <cellStyle name="20% - Accent1 2 3 3 2" xfId="2218" xr:uid="{00000000-0005-0000-0000-0000A7000000}"/>
    <cellStyle name="20% - Accent1 2 3 3 2 2" xfId="2219" xr:uid="{00000000-0005-0000-0000-0000A8000000}"/>
    <cellStyle name="20% - Accent1 2 3 3 3" xfId="2220" xr:uid="{00000000-0005-0000-0000-0000A9000000}"/>
    <cellStyle name="20% - Accent1 2 3 3 3 2" xfId="2221" xr:uid="{00000000-0005-0000-0000-0000AA000000}"/>
    <cellStyle name="20% - Accent1 2 3 3 4" xfId="2222" xr:uid="{00000000-0005-0000-0000-0000AB000000}"/>
    <cellStyle name="20% - Accent1 2 3 4" xfId="2223" xr:uid="{00000000-0005-0000-0000-0000AC000000}"/>
    <cellStyle name="20% - Accent1 2 3 4 2" xfId="2224" xr:uid="{00000000-0005-0000-0000-0000AD000000}"/>
    <cellStyle name="20% - Accent1 2 3 5" xfId="2225" xr:uid="{00000000-0005-0000-0000-0000AE000000}"/>
    <cellStyle name="20% - Accent1 2 3 5 2" xfId="2226" xr:uid="{00000000-0005-0000-0000-0000AF000000}"/>
    <cellStyle name="20% - Accent1 2 3 6" xfId="2227" xr:uid="{00000000-0005-0000-0000-0000B0000000}"/>
    <cellStyle name="20% - Accent1 2 3_Bdx 1517" xfId="2085" xr:uid="{00000000-0005-0000-0000-0000B1000000}"/>
    <cellStyle name="20% - Accent1 2 4" xfId="92" xr:uid="{00000000-0005-0000-0000-0000B2000000}"/>
    <cellStyle name="20% - Accent1 2 4 2" xfId="1082" xr:uid="{00000000-0005-0000-0000-0000B3000000}"/>
    <cellStyle name="20% - Accent1 2 4 2 2" xfId="2228" xr:uid="{00000000-0005-0000-0000-0000B4000000}"/>
    <cellStyle name="20% - Accent1 2 4 3" xfId="2229" xr:uid="{00000000-0005-0000-0000-0000B5000000}"/>
    <cellStyle name="20% - Accent1 2 4 3 2" xfId="2230" xr:uid="{00000000-0005-0000-0000-0000B6000000}"/>
    <cellStyle name="20% - Accent1 2 4 4" xfId="2231" xr:uid="{00000000-0005-0000-0000-0000B7000000}"/>
    <cellStyle name="20% - Accent1 2 5" xfId="1083" xr:uid="{00000000-0005-0000-0000-0000B8000000}"/>
    <cellStyle name="20% - Accent1 2 5 2" xfId="2232" xr:uid="{00000000-0005-0000-0000-0000B9000000}"/>
    <cellStyle name="20% - Accent1 2 5 2 2" xfId="2233" xr:uid="{00000000-0005-0000-0000-0000BA000000}"/>
    <cellStyle name="20% - Accent1 2 5 3" xfId="2234" xr:uid="{00000000-0005-0000-0000-0000BB000000}"/>
    <cellStyle name="20% - Accent1 2 5 3 2" xfId="2235" xr:uid="{00000000-0005-0000-0000-0000BC000000}"/>
    <cellStyle name="20% - Accent1 2 5 4" xfId="2236" xr:uid="{00000000-0005-0000-0000-0000BD000000}"/>
    <cellStyle name="20% - Accent1 2 6" xfId="2237" xr:uid="{00000000-0005-0000-0000-0000BE000000}"/>
    <cellStyle name="20% - Accent1 2 6 2" xfId="2238" xr:uid="{00000000-0005-0000-0000-0000BF000000}"/>
    <cellStyle name="20% - Accent1 2 7" xfId="2239" xr:uid="{00000000-0005-0000-0000-0000C0000000}"/>
    <cellStyle name="20% - Accent1 2 7 2" xfId="2240" xr:uid="{00000000-0005-0000-0000-0000C1000000}"/>
    <cellStyle name="20% - Accent1 2 8" xfId="2241" xr:uid="{00000000-0005-0000-0000-0000C2000000}"/>
    <cellStyle name="20% - Accent1 2_Bdx 1517" xfId="2086" xr:uid="{00000000-0005-0000-0000-0000C3000000}"/>
    <cellStyle name="20% - Accent1 3" xfId="93" xr:uid="{00000000-0005-0000-0000-0000C4000000}"/>
    <cellStyle name="20% - Accent1 3 2" xfId="94" xr:uid="{00000000-0005-0000-0000-0000C5000000}"/>
    <cellStyle name="20% - Accent1 3 2 2" xfId="95" xr:uid="{00000000-0005-0000-0000-0000C6000000}"/>
    <cellStyle name="20% - Accent1 3 2 2 2" xfId="1084" xr:uid="{00000000-0005-0000-0000-0000C7000000}"/>
    <cellStyle name="20% - Accent1 3 2 2 2 2" xfId="2242" xr:uid="{00000000-0005-0000-0000-0000C8000000}"/>
    <cellStyle name="20% - Accent1 3 2 2 3" xfId="2243" xr:uid="{00000000-0005-0000-0000-0000C9000000}"/>
    <cellStyle name="20% - Accent1 3 2 2 3 2" xfId="2244" xr:uid="{00000000-0005-0000-0000-0000CA000000}"/>
    <cellStyle name="20% - Accent1 3 2 2 4" xfId="2245" xr:uid="{00000000-0005-0000-0000-0000CB000000}"/>
    <cellStyle name="20% - Accent1 3 2 3" xfId="96" xr:uid="{00000000-0005-0000-0000-0000CC000000}"/>
    <cellStyle name="20% - Accent1 3 2 3 2" xfId="1085" xr:uid="{00000000-0005-0000-0000-0000CD000000}"/>
    <cellStyle name="20% - Accent1 3 2 3 2 2" xfId="2246" xr:uid="{00000000-0005-0000-0000-0000CE000000}"/>
    <cellStyle name="20% - Accent1 3 2 3 3" xfId="2247" xr:uid="{00000000-0005-0000-0000-0000CF000000}"/>
    <cellStyle name="20% - Accent1 3 2 3 3 2" xfId="2248" xr:uid="{00000000-0005-0000-0000-0000D0000000}"/>
    <cellStyle name="20% - Accent1 3 2 3 4" xfId="2249" xr:uid="{00000000-0005-0000-0000-0000D1000000}"/>
    <cellStyle name="20% - Accent1 3 2 4" xfId="1086" xr:uid="{00000000-0005-0000-0000-0000D2000000}"/>
    <cellStyle name="20% - Accent1 3 2 4 2" xfId="2250" xr:uid="{00000000-0005-0000-0000-0000D3000000}"/>
    <cellStyle name="20% - Accent1 3 2 5" xfId="2251" xr:uid="{00000000-0005-0000-0000-0000D4000000}"/>
    <cellStyle name="20% - Accent1 3 2 5 2" xfId="2252" xr:uid="{00000000-0005-0000-0000-0000D5000000}"/>
    <cellStyle name="20% - Accent1 3 2 6" xfId="2253" xr:uid="{00000000-0005-0000-0000-0000D6000000}"/>
    <cellStyle name="20% - Accent1 3 2_Bdx 1517" xfId="2087" xr:uid="{00000000-0005-0000-0000-0000D7000000}"/>
    <cellStyle name="20% - Accent1 3 3" xfId="97" xr:uid="{00000000-0005-0000-0000-0000D8000000}"/>
    <cellStyle name="20% - Accent1 3 3 2" xfId="1087" xr:uid="{00000000-0005-0000-0000-0000D9000000}"/>
    <cellStyle name="20% - Accent1 3 3 2 2" xfId="2254" xr:uid="{00000000-0005-0000-0000-0000DA000000}"/>
    <cellStyle name="20% - Accent1 3 3 3" xfId="2255" xr:uid="{00000000-0005-0000-0000-0000DB000000}"/>
    <cellStyle name="20% - Accent1 3 3 3 2" xfId="2256" xr:uid="{00000000-0005-0000-0000-0000DC000000}"/>
    <cellStyle name="20% - Accent1 3 3 4" xfId="2257" xr:uid="{00000000-0005-0000-0000-0000DD000000}"/>
    <cellStyle name="20% - Accent1 3 4" xfId="98" xr:uid="{00000000-0005-0000-0000-0000DE000000}"/>
    <cellStyle name="20% - Accent1 3 4 2" xfId="1088" xr:uid="{00000000-0005-0000-0000-0000DF000000}"/>
    <cellStyle name="20% - Accent1 3 4 2 2" xfId="2258" xr:uid="{00000000-0005-0000-0000-0000E0000000}"/>
    <cellStyle name="20% - Accent1 3 4 3" xfId="2259" xr:uid="{00000000-0005-0000-0000-0000E1000000}"/>
    <cellStyle name="20% - Accent1 3 4 3 2" xfId="2260" xr:uid="{00000000-0005-0000-0000-0000E2000000}"/>
    <cellStyle name="20% - Accent1 3 4 4" xfId="2261" xr:uid="{00000000-0005-0000-0000-0000E3000000}"/>
    <cellStyle name="20% - Accent1 3 5" xfId="1089" xr:uid="{00000000-0005-0000-0000-0000E4000000}"/>
    <cellStyle name="20% - Accent1 3 5 2" xfId="2262" xr:uid="{00000000-0005-0000-0000-0000E5000000}"/>
    <cellStyle name="20% - Accent1 3 6" xfId="2263" xr:uid="{00000000-0005-0000-0000-0000E6000000}"/>
    <cellStyle name="20% - Accent1 3 6 2" xfId="2264" xr:uid="{00000000-0005-0000-0000-0000E7000000}"/>
    <cellStyle name="20% - Accent1 3 7" xfId="2265" xr:uid="{00000000-0005-0000-0000-0000E8000000}"/>
    <cellStyle name="20% - Accent1 3_Bdx 1517" xfId="2088" xr:uid="{00000000-0005-0000-0000-0000E9000000}"/>
    <cellStyle name="20% - Accent1 4" xfId="99" xr:uid="{00000000-0005-0000-0000-0000EA000000}"/>
    <cellStyle name="20% - Accent1 4 2" xfId="100" xr:uid="{00000000-0005-0000-0000-0000EB000000}"/>
    <cellStyle name="20% - Accent1 4 2 2" xfId="101" xr:uid="{00000000-0005-0000-0000-0000EC000000}"/>
    <cellStyle name="20% - Accent1 4 2 2 2" xfId="1090" xr:uid="{00000000-0005-0000-0000-0000ED000000}"/>
    <cellStyle name="20% - Accent1 4 2 3" xfId="102" xr:uid="{00000000-0005-0000-0000-0000EE000000}"/>
    <cellStyle name="20% - Accent1 4 2 3 2" xfId="1091" xr:uid="{00000000-0005-0000-0000-0000EF000000}"/>
    <cellStyle name="20% - Accent1 4 2 4" xfId="1092" xr:uid="{00000000-0005-0000-0000-0000F0000000}"/>
    <cellStyle name="20% - Accent1 4 3" xfId="103" xr:uid="{00000000-0005-0000-0000-0000F1000000}"/>
    <cellStyle name="20% - Accent1 4 3 2" xfId="1093" xr:uid="{00000000-0005-0000-0000-0000F2000000}"/>
    <cellStyle name="20% - Accent1 4 3 2 2" xfId="2266" xr:uid="{00000000-0005-0000-0000-0000F3000000}"/>
    <cellStyle name="20% - Accent1 4 3 3" xfId="2267" xr:uid="{00000000-0005-0000-0000-0000F4000000}"/>
    <cellStyle name="20% - Accent1 4 3 3 2" xfId="2268" xr:uid="{00000000-0005-0000-0000-0000F5000000}"/>
    <cellStyle name="20% - Accent1 4 3 4" xfId="2269" xr:uid="{00000000-0005-0000-0000-0000F6000000}"/>
    <cellStyle name="20% - Accent1 4 4" xfId="104" xr:uid="{00000000-0005-0000-0000-0000F7000000}"/>
    <cellStyle name="20% - Accent1 4 4 2" xfId="1094" xr:uid="{00000000-0005-0000-0000-0000F8000000}"/>
    <cellStyle name="20% - Accent1 4 5" xfId="1095" xr:uid="{00000000-0005-0000-0000-0000F9000000}"/>
    <cellStyle name="20% - Accent1 4 5 2" xfId="2270" xr:uid="{00000000-0005-0000-0000-0000FA000000}"/>
    <cellStyle name="20% - Accent1 4 6" xfId="2271" xr:uid="{00000000-0005-0000-0000-0000FB000000}"/>
    <cellStyle name="20% - Accent1 4_Bdx 1517" xfId="2089" xr:uid="{00000000-0005-0000-0000-0000FC000000}"/>
    <cellStyle name="20% - Accent1 5" xfId="2056" xr:uid="{00000000-0005-0000-0000-0000FD000000}"/>
    <cellStyle name="20% - Accent1 5 2" xfId="2272" xr:uid="{00000000-0005-0000-0000-0000FE000000}"/>
    <cellStyle name="20% - Accent1 5 2 2" xfId="2273" xr:uid="{00000000-0005-0000-0000-0000FF000000}"/>
    <cellStyle name="20% - Accent1 5 3" xfId="2274" xr:uid="{00000000-0005-0000-0000-000000010000}"/>
    <cellStyle name="20% - Accent1 5 3 2" xfId="2275" xr:uid="{00000000-0005-0000-0000-000001010000}"/>
    <cellStyle name="20% - Accent1 5 4" xfId="2276" xr:uid="{00000000-0005-0000-0000-000002010000}"/>
    <cellStyle name="20% - Accent1 6" xfId="2277" xr:uid="{00000000-0005-0000-0000-000003010000}"/>
    <cellStyle name="20% - Accent1 6 2" xfId="2278" xr:uid="{00000000-0005-0000-0000-000004010000}"/>
    <cellStyle name="20% - Accent1 7" xfId="2279" xr:uid="{00000000-0005-0000-0000-000005010000}"/>
    <cellStyle name="20% - Accent1 7 2" xfId="2280" xr:uid="{00000000-0005-0000-0000-000006010000}"/>
    <cellStyle name="20% - Accent1 8" xfId="2281" xr:uid="{00000000-0005-0000-0000-000007010000}"/>
    <cellStyle name="20% - Accent1_Bordereaux" xfId="2069" xr:uid="{00000000-0005-0000-0000-000008010000}"/>
    <cellStyle name="20% - Accent2" xfId="2022" xr:uid="{00000000-0005-0000-0000-000009010000}"/>
    <cellStyle name="20% - Accent2 2" xfId="105" xr:uid="{00000000-0005-0000-0000-00000A010000}"/>
    <cellStyle name="20% - Accent2 2 2" xfId="106" xr:uid="{00000000-0005-0000-0000-00000B010000}"/>
    <cellStyle name="20% - Accent2 2 2 2" xfId="107" xr:uid="{00000000-0005-0000-0000-00000C010000}"/>
    <cellStyle name="20% - Accent2 2 2 2 2" xfId="1096" xr:uid="{00000000-0005-0000-0000-00000D010000}"/>
    <cellStyle name="20% - Accent2 2 2 2 2 2" xfId="2282" xr:uid="{00000000-0005-0000-0000-00000E010000}"/>
    <cellStyle name="20% - Accent2 2 2 2 3" xfId="2283" xr:uid="{00000000-0005-0000-0000-00000F010000}"/>
    <cellStyle name="20% - Accent2 2 2 2 3 2" xfId="2284" xr:uid="{00000000-0005-0000-0000-000010010000}"/>
    <cellStyle name="20% - Accent2 2 2 2 4" xfId="2285" xr:uid="{00000000-0005-0000-0000-000011010000}"/>
    <cellStyle name="20% - Accent2 2 2 3" xfId="108" xr:uid="{00000000-0005-0000-0000-000012010000}"/>
    <cellStyle name="20% - Accent2 2 2 3 2" xfId="1097" xr:uid="{00000000-0005-0000-0000-000013010000}"/>
    <cellStyle name="20% - Accent2 2 2 3 2 2" xfId="2286" xr:uid="{00000000-0005-0000-0000-000014010000}"/>
    <cellStyle name="20% - Accent2 2 2 3 3" xfId="2287" xr:uid="{00000000-0005-0000-0000-000015010000}"/>
    <cellStyle name="20% - Accent2 2 2 3 3 2" xfId="2288" xr:uid="{00000000-0005-0000-0000-000016010000}"/>
    <cellStyle name="20% - Accent2 2 2 3 4" xfId="2289" xr:uid="{00000000-0005-0000-0000-000017010000}"/>
    <cellStyle name="20% - Accent2 2 2 4" xfId="1098" xr:uid="{00000000-0005-0000-0000-000018010000}"/>
    <cellStyle name="20% - Accent2 2 2 4 2" xfId="2290" xr:uid="{00000000-0005-0000-0000-000019010000}"/>
    <cellStyle name="20% - Accent2 2 2 5" xfId="2291" xr:uid="{00000000-0005-0000-0000-00001A010000}"/>
    <cellStyle name="20% - Accent2 2 2 5 2" xfId="2292" xr:uid="{00000000-0005-0000-0000-00001B010000}"/>
    <cellStyle name="20% - Accent2 2 2 6" xfId="2293" xr:uid="{00000000-0005-0000-0000-00001C010000}"/>
    <cellStyle name="20% - Accent2 2 2_Bdx 1517" xfId="2090" xr:uid="{00000000-0005-0000-0000-00001D010000}"/>
    <cellStyle name="20% - Accent2 2 3" xfId="109" xr:uid="{00000000-0005-0000-0000-00001E010000}"/>
    <cellStyle name="20% - Accent2 2 3 2" xfId="1099" xr:uid="{00000000-0005-0000-0000-00001F010000}"/>
    <cellStyle name="20% - Accent2 2 3 2 2" xfId="2294" xr:uid="{00000000-0005-0000-0000-000020010000}"/>
    <cellStyle name="20% - Accent2 2 3 2 2 2" xfId="2295" xr:uid="{00000000-0005-0000-0000-000021010000}"/>
    <cellStyle name="20% - Accent2 2 3 2 3" xfId="2296" xr:uid="{00000000-0005-0000-0000-000022010000}"/>
    <cellStyle name="20% - Accent2 2 3 2 3 2" xfId="2297" xr:uid="{00000000-0005-0000-0000-000023010000}"/>
    <cellStyle name="20% - Accent2 2 3 2 4" xfId="2298" xr:uid="{00000000-0005-0000-0000-000024010000}"/>
    <cellStyle name="20% - Accent2 2 3 3" xfId="2091" xr:uid="{00000000-0005-0000-0000-000025010000}"/>
    <cellStyle name="20% - Accent2 2 3 3 2" xfId="2299" xr:uid="{00000000-0005-0000-0000-000026010000}"/>
    <cellStyle name="20% - Accent2 2 3 3 2 2" xfId="2300" xr:uid="{00000000-0005-0000-0000-000027010000}"/>
    <cellStyle name="20% - Accent2 2 3 3 3" xfId="2301" xr:uid="{00000000-0005-0000-0000-000028010000}"/>
    <cellStyle name="20% - Accent2 2 3 3 3 2" xfId="2302" xr:uid="{00000000-0005-0000-0000-000029010000}"/>
    <cellStyle name="20% - Accent2 2 3 3 4" xfId="2303" xr:uid="{00000000-0005-0000-0000-00002A010000}"/>
    <cellStyle name="20% - Accent2 2 3 4" xfId="2304" xr:uid="{00000000-0005-0000-0000-00002B010000}"/>
    <cellStyle name="20% - Accent2 2 3 4 2" xfId="2305" xr:uid="{00000000-0005-0000-0000-00002C010000}"/>
    <cellStyle name="20% - Accent2 2 3 5" xfId="2306" xr:uid="{00000000-0005-0000-0000-00002D010000}"/>
    <cellStyle name="20% - Accent2 2 3 5 2" xfId="2307" xr:uid="{00000000-0005-0000-0000-00002E010000}"/>
    <cellStyle name="20% - Accent2 2 3 6" xfId="2308" xr:uid="{00000000-0005-0000-0000-00002F010000}"/>
    <cellStyle name="20% - Accent2 2 3_Bdx 1517" xfId="2092" xr:uid="{00000000-0005-0000-0000-000030010000}"/>
    <cellStyle name="20% - Accent2 2 4" xfId="110" xr:uid="{00000000-0005-0000-0000-000031010000}"/>
    <cellStyle name="20% - Accent2 2 4 2" xfId="1100" xr:uid="{00000000-0005-0000-0000-000032010000}"/>
    <cellStyle name="20% - Accent2 2 4 2 2" xfId="2309" xr:uid="{00000000-0005-0000-0000-000033010000}"/>
    <cellStyle name="20% - Accent2 2 4 3" xfId="2310" xr:uid="{00000000-0005-0000-0000-000034010000}"/>
    <cellStyle name="20% - Accent2 2 4 3 2" xfId="2311" xr:uid="{00000000-0005-0000-0000-000035010000}"/>
    <cellStyle name="20% - Accent2 2 4 4" xfId="2312" xr:uid="{00000000-0005-0000-0000-000036010000}"/>
    <cellStyle name="20% - Accent2 2 5" xfId="1101" xr:uid="{00000000-0005-0000-0000-000037010000}"/>
    <cellStyle name="20% - Accent2 2 5 2" xfId="2313" xr:uid="{00000000-0005-0000-0000-000038010000}"/>
    <cellStyle name="20% - Accent2 2 5 2 2" xfId="2314" xr:uid="{00000000-0005-0000-0000-000039010000}"/>
    <cellStyle name="20% - Accent2 2 5 3" xfId="2315" xr:uid="{00000000-0005-0000-0000-00003A010000}"/>
    <cellStyle name="20% - Accent2 2 5 3 2" xfId="2316" xr:uid="{00000000-0005-0000-0000-00003B010000}"/>
    <cellStyle name="20% - Accent2 2 5 4" xfId="2317" xr:uid="{00000000-0005-0000-0000-00003C010000}"/>
    <cellStyle name="20% - Accent2 2 6" xfId="2318" xr:uid="{00000000-0005-0000-0000-00003D010000}"/>
    <cellStyle name="20% - Accent2 2 6 2" xfId="2319" xr:uid="{00000000-0005-0000-0000-00003E010000}"/>
    <cellStyle name="20% - Accent2 2 7" xfId="2320" xr:uid="{00000000-0005-0000-0000-00003F010000}"/>
    <cellStyle name="20% - Accent2 2 7 2" xfId="2321" xr:uid="{00000000-0005-0000-0000-000040010000}"/>
    <cellStyle name="20% - Accent2 2 8" xfId="2322" xr:uid="{00000000-0005-0000-0000-000041010000}"/>
    <cellStyle name="20% - Accent2 2_Bdx 1517" xfId="2093" xr:uid="{00000000-0005-0000-0000-000042010000}"/>
    <cellStyle name="20% - Accent2 3" xfId="111" xr:uid="{00000000-0005-0000-0000-000043010000}"/>
    <cellStyle name="20% - Accent2 3 2" xfId="112" xr:uid="{00000000-0005-0000-0000-000044010000}"/>
    <cellStyle name="20% - Accent2 3 2 2" xfId="113" xr:uid="{00000000-0005-0000-0000-000045010000}"/>
    <cellStyle name="20% - Accent2 3 2 2 2" xfId="1102" xr:uid="{00000000-0005-0000-0000-000046010000}"/>
    <cellStyle name="20% - Accent2 3 2 2 2 2" xfId="2323" xr:uid="{00000000-0005-0000-0000-000047010000}"/>
    <cellStyle name="20% - Accent2 3 2 2 3" xfId="2324" xr:uid="{00000000-0005-0000-0000-000048010000}"/>
    <cellStyle name="20% - Accent2 3 2 2 3 2" xfId="2325" xr:uid="{00000000-0005-0000-0000-000049010000}"/>
    <cellStyle name="20% - Accent2 3 2 2 4" xfId="2326" xr:uid="{00000000-0005-0000-0000-00004A010000}"/>
    <cellStyle name="20% - Accent2 3 2 3" xfId="114" xr:uid="{00000000-0005-0000-0000-00004B010000}"/>
    <cellStyle name="20% - Accent2 3 2 3 2" xfId="1103" xr:uid="{00000000-0005-0000-0000-00004C010000}"/>
    <cellStyle name="20% - Accent2 3 2 3 2 2" xfId="2327" xr:uid="{00000000-0005-0000-0000-00004D010000}"/>
    <cellStyle name="20% - Accent2 3 2 3 3" xfId="2328" xr:uid="{00000000-0005-0000-0000-00004E010000}"/>
    <cellStyle name="20% - Accent2 3 2 3 3 2" xfId="2329" xr:uid="{00000000-0005-0000-0000-00004F010000}"/>
    <cellStyle name="20% - Accent2 3 2 3 4" xfId="2330" xr:uid="{00000000-0005-0000-0000-000050010000}"/>
    <cellStyle name="20% - Accent2 3 2 4" xfId="1104" xr:uid="{00000000-0005-0000-0000-000051010000}"/>
    <cellStyle name="20% - Accent2 3 2 4 2" xfId="2331" xr:uid="{00000000-0005-0000-0000-000052010000}"/>
    <cellStyle name="20% - Accent2 3 2 5" xfId="2332" xr:uid="{00000000-0005-0000-0000-000053010000}"/>
    <cellStyle name="20% - Accent2 3 2 5 2" xfId="2333" xr:uid="{00000000-0005-0000-0000-000054010000}"/>
    <cellStyle name="20% - Accent2 3 2 6" xfId="2334" xr:uid="{00000000-0005-0000-0000-000055010000}"/>
    <cellStyle name="20% - Accent2 3 2_Bdx 1517" xfId="2094" xr:uid="{00000000-0005-0000-0000-000056010000}"/>
    <cellStyle name="20% - Accent2 3 3" xfId="115" xr:uid="{00000000-0005-0000-0000-000057010000}"/>
    <cellStyle name="20% - Accent2 3 3 2" xfId="1105" xr:uid="{00000000-0005-0000-0000-000058010000}"/>
    <cellStyle name="20% - Accent2 3 3 2 2" xfId="2335" xr:uid="{00000000-0005-0000-0000-000059010000}"/>
    <cellStyle name="20% - Accent2 3 3 3" xfId="2336" xr:uid="{00000000-0005-0000-0000-00005A010000}"/>
    <cellStyle name="20% - Accent2 3 3 3 2" xfId="2337" xr:uid="{00000000-0005-0000-0000-00005B010000}"/>
    <cellStyle name="20% - Accent2 3 3 4" xfId="2338" xr:uid="{00000000-0005-0000-0000-00005C010000}"/>
    <cellStyle name="20% - Accent2 3 4" xfId="116" xr:uid="{00000000-0005-0000-0000-00005D010000}"/>
    <cellStyle name="20% - Accent2 3 4 2" xfId="1106" xr:uid="{00000000-0005-0000-0000-00005E010000}"/>
    <cellStyle name="20% - Accent2 3 4 2 2" xfId="2339" xr:uid="{00000000-0005-0000-0000-00005F010000}"/>
    <cellStyle name="20% - Accent2 3 4 3" xfId="2340" xr:uid="{00000000-0005-0000-0000-000060010000}"/>
    <cellStyle name="20% - Accent2 3 4 3 2" xfId="2341" xr:uid="{00000000-0005-0000-0000-000061010000}"/>
    <cellStyle name="20% - Accent2 3 4 4" xfId="2342" xr:uid="{00000000-0005-0000-0000-000062010000}"/>
    <cellStyle name="20% - Accent2 3 5" xfId="1107" xr:uid="{00000000-0005-0000-0000-000063010000}"/>
    <cellStyle name="20% - Accent2 3 5 2" xfId="2343" xr:uid="{00000000-0005-0000-0000-000064010000}"/>
    <cellStyle name="20% - Accent2 3 6" xfId="2344" xr:uid="{00000000-0005-0000-0000-000065010000}"/>
    <cellStyle name="20% - Accent2 3 6 2" xfId="2345" xr:uid="{00000000-0005-0000-0000-000066010000}"/>
    <cellStyle name="20% - Accent2 3 7" xfId="2346" xr:uid="{00000000-0005-0000-0000-000067010000}"/>
    <cellStyle name="20% - Accent2 3_Bdx 1517" xfId="2095" xr:uid="{00000000-0005-0000-0000-000068010000}"/>
    <cellStyle name="20% - Accent2 4" xfId="117" xr:uid="{00000000-0005-0000-0000-000069010000}"/>
    <cellStyle name="20% - Accent2 4 2" xfId="118" xr:uid="{00000000-0005-0000-0000-00006A010000}"/>
    <cellStyle name="20% - Accent2 4 2 2" xfId="119" xr:uid="{00000000-0005-0000-0000-00006B010000}"/>
    <cellStyle name="20% - Accent2 4 2 2 2" xfId="1108" xr:uid="{00000000-0005-0000-0000-00006C010000}"/>
    <cellStyle name="20% - Accent2 4 2 3" xfId="120" xr:uid="{00000000-0005-0000-0000-00006D010000}"/>
    <cellStyle name="20% - Accent2 4 2 3 2" xfId="1109" xr:uid="{00000000-0005-0000-0000-00006E010000}"/>
    <cellStyle name="20% - Accent2 4 2 4" xfId="1110" xr:uid="{00000000-0005-0000-0000-00006F010000}"/>
    <cellStyle name="20% - Accent2 4 3" xfId="121" xr:uid="{00000000-0005-0000-0000-000070010000}"/>
    <cellStyle name="20% - Accent2 4 3 2" xfId="1111" xr:uid="{00000000-0005-0000-0000-000071010000}"/>
    <cellStyle name="20% - Accent2 4 3 2 2" xfId="2347" xr:uid="{00000000-0005-0000-0000-000072010000}"/>
    <cellStyle name="20% - Accent2 4 3 3" xfId="2348" xr:uid="{00000000-0005-0000-0000-000073010000}"/>
    <cellStyle name="20% - Accent2 4 3 3 2" xfId="2349" xr:uid="{00000000-0005-0000-0000-000074010000}"/>
    <cellStyle name="20% - Accent2 4 3 4" xfId="2350" xr:uid="{00000000-0005-0000-0000-000075010000}"/>
    <cellStyle name="20% - Accent2 4 4" xfId="122" xr:uid="{00000000-0005-0000-0000-000076010000}"/>
    <cellStyle name="20% - Accent2 4 4 2" xfId="1112" xr:uid="{00000000-0005-0000-0000-000077010000}"/>
    <cellStyle name="20% - Accent2 4 5" xfId="1113" xr:uid="{00000000-0005-0000-0000-000078010000}"/>
    <cellStyle name="20% - Accent2 4 5 2" xfId="2351" xr:uid="{00000000-0005-0000-0000-000079010000}"/>
    <cellStyle name="20% - Accent2 4 6" xfId="2352" xr:uid="{00000000-0005-0000-0000-00007A010000}"/>
    <cellStyle name="20% - Accent2 4_Bdx 1517" xfId="2096" xr:uid="{00000000-0005-0000-0000-00007B010000}"/>
    <cellStyle name="20% - Accent2 5" xfId="2057" xr:uid="{00000000-0005-0000-0000-00007C010000}"/>
    <cellStyle name="20% - Accent2 5 2" xfId="2353" xr:uid="{00000000-0005-0000-0000-00007D010000}"/>
    <cellStyle name="20% - Accent2 5 2 2" xfId="2354" xr:uid="{00000000-0005-0000-0000-00007E010000}"/>
    <cellStyle name="20% - Accent2 5 3" xfId="2355" xr:uid="{00000000-0005-0000-0000-00007F010000}"/>
    <cellStyle name="20% - Accent2 5 3 2" xfId="2356" xr:uid="{00000000-0005-0000-0000-000080010000}"/>
    <cellStyle name="20% - Accent2 5 4" xfId="2357" xr:uid="{00000000-0005-0000-0000-000081010000}"/>
    <cellStyle name="20% - Accent2 6" xfId="2358" xr:uid="{00000000-0005-0000-0000-000082010000}"/>
    <cellStyle name="20% - Accent2 6 2" xfId="2359" xr:uid="{00000000-0005-0000-0000-000083010000}"/>
    <cellStyle name="20% - Accent2 7" xfId="2360" xr:uid="{00000000-0005-0000-0000-000084010000}"/>
    <cellStyle name="20% - Accent2 7 2" xfId="2361" xr:uid="{00000000-0005-0000-0000-000085010000}"/>
    <cellStyle name="20% - Accent2 8" xfId="2362" xr:uid="{00000000-0005-0000-0000-000086010000}"/>
    <cellStyle name="20% - Accent2_Bordereaux" xfId="2070" xr:uid="{00000000-0005-0000-0000-000087010000}"/>
    <cellStyle name="20% - Accent3" xfId="2023" xr:uid="{00000000-0005-0000-0000-000088010000}"/>
    <cellStyle name="20% - Accent3 2" xfId="123" xr:uid="{00000000-0005-0000-0000-000089010000}"/>
    <cellStyle name="20% - Accent3 2 2" xfId="124" xr:uid="{00000000-0005-0000-0000-00008A010000}"/>
    <cellStyle name="20% - Accent3 2 2 2" xfId="125" xr:uid="{00000000-0005-0000-0000-00008B010000}"/>
    <cellStyle name="20% - Accent3 2 2 2 2" xfId="1114" xr:uid="{00000000-0005-0000-0000-00008C010000}"/>
    <cellStyle name="20% - Accent3 2 2 2 2 2" xfId="2363" xr:uid="{00000000-0005-0000-0000-00008D010000}"/>
    <cellStyle name="20% - Accent3 2 2 2 3" xfId="2364" xr:uid="{00000000-0005-0000-0000-00008E010000}"/>
    <cellStyle name="20% - Accent3 2 2 2 3 2" xfId="2365" xr:uid="{00000000-0005-0000-0000-00008F010000}"/>
    <cellStyle name="20% - Accent3 2 2 2 4" xfId="2366" xr:uid="{00000000-0005-0000-0000-000090010000}"/>
    <cellStyle name="20% - Accent3 2 2 3" xfId="126" xr:uid="{00000000-0005-0000-0000-000091010000}"/>
    <cellStyle name="20% - Accent3 2 2 3 2" xfId="1115" xr:uid="{00000000-0005-0000-0000-000092010000}"/>
    <cellStyle name="20% - Accent3 2 2 3 2 2" xfId="2367" xr:uid="{00000000-0005-0000-0000-000093010000}"/>
    <cellStyle name="20% - Accent3 2 2 3 3" xfId="2368" xr:uid="{00000000-0005-0000-0000-000094010000}"/>
    <cellStyle name="20% - Accent3 2 2 3 3 2" xfId="2369" xr:uid="{00000000-0005-0000-0000-000095010000}"/>
    <cellStyle name="20% - Accent3 2 2 3 4" xfId="2370" xr:uid="{00000000-0005-0000-0000-000096010000}"/>
    <cellStyle name="20% - Accent3 2 2 4" xfId="1116" xr:uid="{00000000-0005-0000-0000-000097010000}"/>
    <cellStyle name="20% - Accent3 2 2 4 2" xfId="2371" xr:uid="{00000000-0005-0000-0000-000098010000}"/>
    <cellStyle name="20% - Accent3 2 2 5" xfId="2372" xr:uid="{00000000-0005-0000-0000-000099010000}"/>
    <cellStyle name="20% - Accent3 2 2 5 2" xfId="2373" xr:uid="{00000000-0005-0000-0000-00009A010000}"/>
    <cellStyle name="20% - Accent3 2 2 6" xfId="2374" xr:uid="{00000000-0005-0000-0000-00009B010000}"/>
    <cellStyle name="20% - Accent3 2 2_Bdx 1517" xfId="2097" xr:uid="{00000000-0005-0000-0000-00009C010000}"/>
    <cellStyle name="20% - Accent3 2 3" xfId="127" xr:uid="{00000000-0005-0000-0000-00009D010000}"/>
    <cellStyle name="20% - Accent3 2 3 2" xfId="1117" xr:uid="{00000000-0005-0000-0000-00009E010000}"/>
    <cellStyle name="20% - Accent3 2 3 2 2" xfId="2375" xr:uid="{00000000-0005-0000-0000-00009F010000}"/>
    <cellStyle name="20% - Accent3 2 3 2 2 2" xfId="2376" xr:uid="{00000000-0005-0000-0000-0000A0010000}"/>
    <cellStyle name="20% - Accent3 2 3 2 3" xfId="2377" xr:uid="{00000000-0005-0000-0000-0000A1010000}"/>
    <cellStyle name="20% - Accent3 2 3 2 3 2" xfId="2378" xr:uid="{00000000-0005-0000-0000-0000A2010000}"/>
    <cellStyle name="20% - Accent3 2 3 2 4" xfId="2379" xr:uid="{00000000-0005-0000-0000-0000A3010000}"/>
    <cellStyle name="20% - Accent3 2 3 3" xfId="2098" xr:uid="{00000000-0005-0000-0000-0000A4010000}"/>
    <cellStyle name="20% - Accent3 2 3 3 2" xfId="2380" xr:uid="{00000000-0005-0000-0000-0000A5010000}"/>
    <cellStyle name="20% - Accent3 2 3 3 2 2" xfId="2381" xr:uid="{00000000-0005-0000-0000-0000A6010000}"/>
    <cellStyle name="20% - Accent3 2 3 3 3" xfId="2382" xr:uid="{00000000-0005-0000-0000-0000A7010000}"/>
    <cellStyle name="20% - Accent3 2 3 3 3 2" xfId="2383" xr:uid="{00000000-0005-0000-0000-0000A8010000}"/>
    <cellStyle name="20% - Accent3 2 3 3 4" xfId="2384" xr:uid="{00000000-0005-0000-0000-0000A9010000}"/>
    <cellStyle name="20% - Accent3 2 3 4" xfId="2385" xr:uid="{00000000-0005-0000-0000-0000AA010000}"/>
    <cellStyle name="20% - Accent3 2 3 4 2" xfId="2386" xr:uid="{00000000-0005-0000-0000-0000AB010000}"/>
    <cellStyle name="20% - Accent3 2 3 5" xfId="2387" xr:uid="{00000000-0005-0000-0000-0000AC010000}"/>
    <cellStyle name="20% - Accent3 2 3 5 2" xfId="2388" xr:uid="{00000000-0005-0000-0000-0000AD010000}"/>
    <cellStyle name="20% - Accent3 2 3 6" xfId="2389" xr:uid="{00000000-0005-0000-0000-0000AE010000}"/>
    <cellStyle name="20% - Accent3 2 3_Bdx 1517" xfId="2099" xr:uid="{00000000-0005-0000-0000-0000AF010000}"/>
    <cellStyle name="20% - Accent3 2 4" xfId="128" xr:uid="{00000000-0005-0000-0000-0000B0010000}"/>
    <cellStyle name="20% - Accent3 2 4 2" xfId="1118" xr:uid="{00000000-0005-0000-0000-0000B1010000}"/>
    <cellStyle name="20% - Accent3 2 4 2 2" xfId="2390" xr:uid="{00000000-0005-0000-0000-0000B2010000}"/>
    <cellStyle name="20% - Accent3 2 4 3" xfId="2391" xr:uid="{00000000-0005-0000-0000-0000B3010000}"/>
    <cellStyle name="20% - Accent3 2 4 3 2" xfId="2392" xr:uid="{00000000-0005-0000-0000-0000B4010000}"/>
    <cellStyle name="20% - Accent3 2 4 4" xfId="2393" xr:uid="{00000000-0005-0000-0000-0000B5010000}"/>
    <cellStyle name="20% - Accent3 2 5" xfId="1119" xr:uid="{00000000-0005-0000-0000-0000B6010000}"/>
    <cellStyle name="20% - Accent3 2 5 2" xfId="2394" xr:uid="{00000000-0005-0000-0000-0000B7010000}"/>
    <cellStyle name="20% - Accent3 2 5 2 2" xfId="2395" xr:uid="{00000000-0005-0000-0000-0000B8010000}"/>
    <cellStyle name="20% - Accent3 2 5 3" xfId="2396" xr:uid="{00000000-0005-0000-0000-0000B9010000}"/>
    <cellStyle name="20% - Accent3 2 5 3 2" xfId="2397" xr:uid="{00000000-0005-0000-0000-0000BA010000}"/>
    <cellStyle name="20% - Accent3 2 5 4" xfId="2398" xr:uid="{00000000-0005-0000-0000-0000BB010000}"/>
    <cellStyle name="20% - Accent3 2 6" xfId="2399" xr:uid="{00000000-0005-0000-0000-0000BC010000}"/>
    <cellStyle name="20% - Accent3 2 6 2" xfId="2400" xr:uid="{00000000-0005-0000-0000-0000BD010000}"/>
    <cellStyle name="20% - Accent3 2 7" xfId="2401" xr:uid="{00000000-0005-0000-0000-0000BE010000}"/>
    <cellStyle name="20% - Accent3 2 7 2" xfId="2402" xr:uid="{00000000-0005-0000-0000-0000BF010000}"/>
    <cellStyle name="20% - Accent3 2 8" xfId="2403" xr:uid="{00000000-0005-0000-0000-0000C0010000}"/>
    <cellStyle name="20% - Accent3 2_Bdx 1517" xfId="2100" xr:uid="{00000000-0005-0000-0000-0000C1010000}"/>
    <cellStyle name="20% - Accent3 3" xfId="129" xr:uid="{00000000-0005-0000-0000-0000C2010000}"/>
    <cellStyle name="20% - Accent3 3 2" xfId="130" xr:uid="{00000000-0005-0000-0000-0000C3010000}"/>
    <cellStyle name="20% - Accent3 3 2 2" xfId="131" xr:uid="{00000000-0005-0000-0000-0000C4010000}"/>
    <cellStyle name="20% - Accent3 3 2 2 2" xfId="1120" xr:uid="{00000000-0005-0000-0000-0000C5010000}"/>
    <cellStyle name="20% - Accent3 3 2 2 2 2" xfId="2404" xr:uid="{00000000-0005-0000-0000-0000C6010000}"/>
    <cellStyle name="20% - Accent3 3 2 2 3" xfId="2405" xr:uid="{00000000-0005-0000-0000-0000C7010000}"/>
    <cellStyle name="20% - Accent3 3 2 2 3 2" xfId="2406" xr:uid="{00000000-0005-0000-0000-0000C8010000}"/>
    <cellStyle name="20% - Accent3 3 2 2 4" xfId="2407" xr:uid="{00000000-0005-0000-0000-0000C9010000}"/>
    <cellStyle name="20% - Accent3 3 2 3" xfId="132" xr:uid="{00000000-0005-0000-0000-0000CA010000}"/>
    <cellStyle name="20% - Accent3 3 2 3 2" xfId="1121" xr:uid="{00000000-0005-0000-0000-0000CB010000}"/>
    <cellStyle name="20% - Accent3 3 2 3 2 2" xfId="2408" xr:uid="{00000000-0005-0000-0000-0000CC010000}"/>
    <cellStyle name="20% - Accent3 3 2 3 3" xfId="2409" xr:uid="{00000000-0005-0000-0000-0000CD010000}"/>
    <cellStyle name="20% - Accent3 3 2 3 3 2" xfId="2410" xr:uid="{00000000-0005-0000-0000-0000CE010000}"/>
    <cellStyle name="20% - Accent3 3 2 3 4" xfId="2411" xr:uid="{00000000-0005-0000-0000-0000CF010000}"/>
    <cellStyle name="20% - Accent3 3 2 4" xfId="1122" xr:uid="{00000000-0005-0000-0000-0000D0010000}"/>
    <cellStyle name="20% - Accent3 3 2 4 2" xfId="2412" xr:uid="{00000000-0005-0000-0000-0000D1010000}"/>
    <cellStyle name="20% - Accent3 3 2 5" xfId="2413" xr:uid="{00000000-0005-0000-0000-0000D2010000}"/>
    <cellStyle name="20% - Accent3 3 2 5 2" xfId="2414" xr:uid="{00000000-0005-0000-0000-0000D3010000}"/>
    <cellStyle name="20% - Accent3 3 2 6" xfId="2415" xr:uid="{00000000-0005-0000-0000-0000D4010000}"/>
    <cellStyle name="20% - Accent3 3 2_Bdx 1517" xfId="2101" xr:uid="{00000000-0005-0000-0000-0000D5010000}"/>
    <cellStyle name="20% - Accent3 3 3" xfId="133" xr:uid="{00000000-0005-0000-0000-0000D6010000}"/>
    <cellStyle name="20% - Accent3 3 3 2" xfId="1123" xr:uid="{00000000-0005-0000-0000-0000D7010000}"/>
    <cellStyle name="20% - Accent3 3 3 2 2" xfId="2416" xr:uid="{00000000-0005-0000-0000-0000D8010000}"/>
    <cellStyle name="20% - Accent3 3 3 3" xfId="2417" xr:uid="{00000000-0005-0000-0000-0000D9010000}"/>
    <cellStyle name="20% - Accent3 3 3 3 2" xfId="2418" xr:uid="{00000000-0005-0000-0000-0000DA010000}"/>
    <cellStyle name="20% - Accent3 3 3 4" xfId="2419" xr:uid="{00000000-0005-0000-0000-0000DB010000}"/>
    <cellStyle name="20% - Accent3 3 4" xfId="134" xr:uid="{00000000-0005-0000-0000-0000DC010000}"/>
    <cellStyle name="20% - Accent3 3 4 2" xfId="1124" xr:uid="{00000000-0005-0000-0000-0000DD010000}"/>
    <cellStyle name="20% - Accent3 3 4 2 2" xfId="2420" xr:uid="{00000000-0005-0000-0000-0000DE010000}"/>
    <cellStyle name="20% - Accent3 3 4 3" xfId="2421" xr:uid="{00000000-0005-0000-0000-0000DF010000}"/>
    <cellStyle name="20% - Accent3 3 4 3 2" xfId="2422" xr:uid="{00000000-0005-0000-0000-0000E0010000}"/>
    <cellStyle name="20% - Accent3 3 4 4" xfId="2423" xr:uid="{00000000-0005-0000-0000-0000E1010000}"/>
    <cellStyle name="20% - Accent3 3 5" xfId="1125" xr:uid="{00000000-0005-0000-0000-0000E2010000}"/>
    <cellStyle name="20% - Accent3 3 5 2" xfId="2424" xr:uid="{00000000-0005-0000-0000-0000E3010000}"/>
    <cellStyle name="20% - Accent3 3 6" xfId="2425" xr:uid="{00000000-0005-0000-0000-0000E4010000}"/>
    <cellStyle name="20% - Accent3 3 6 2" xfId="2426" xr:uid="{00000000-0005-0000-0000-0000E5010000}"/>
    <cellStyle name="20% - Accent3 3 7" xfId="2427" xr:uid="{00000000-0005-0000-0000-0000E6010000}"/>
    <cellStyle name="20% - Accent3 3_Bdx 1517" xfId="2102" xr:uid="{00000000-0005-0000-0000-0000E7010000}"/>
    <cellStyle name="20% - Accent3 4" xfId="135" xr:uid="{00000000-0005-0000-0000-0000E8010000}"/>
    <cellStyle name="20% - Accent3 4 2" xfId="136" xr:uid="{00000000-0005-0000-0000-0000E9010000}"/>
    <cellStyle name="20% - Accent3 4 2 2" xfId="137" xr:uid="{00000000-0005-0000-0000-0000EA010000}"/>
    <cellStyle name="20% - Accent3 4 2 2 2" xfId="1126" xr:uid="{00000000-0005-0000-0000-0000EB010000}"/>
    <cellStyle name="20% - Accent3 4 2 3" xfId="138" xr:uid="{00000000-0005-0000-0000-0000EC010000}"/>
    <cellStyle name="20% - Accent3 4 2 3 2" xfId="1127" xr:uid="{00000000-0005-0000-0000-0000ED010000}"/>
    <cellStyle name="20% - Accent3 4 2 4" xfId="1128" xr:uid="{00000000-0005-0000-0000-0000EE010000}"/>
    <cellStyle name="20% - Accent3 4 3" xfId="139" xr:uid="{00000000-0005-0000-0000-0000EF010000}"/>
    <cellStyle name="20% - Accent3 4 3 2" xfId="1129" xr:uid="{00000000-0005-0000-0000-0000F0010000}"/>
    <cellStyle name="20% - Accent3 4 3 2 2" xfId="2428" xr:uid="{00000000-0005-0000-0000-0000F1010000}"/>
    <cellStyle name="20% - Accent3 4 3 3" xfId="2429" xr:uid="{00000000-0005-0000-0000-0000F2010000}"/>
    <cellStyle name="20% - Accent3 4 3 3 2" xfId="2430" xr:uid="{00000000-0005-0000-0000-0000F3010000}"/>
    <cellStyle name="20% - Accent3 4 3 4" xfId="2431" xr:uid="{00000000-0005-0000-0000-0000F4010000}"/>
    <cellStyle name="20% - Accent3 4 4" xfId="140" xr:uid="{00000000-0005-0000-0000-0000F5010000}"/>
    <cellStyle name="20% - Accent3 4 4 2" xfId="1130" xr:uid="{00000000-0005-0000-0000-0000F6010000}"/>
    <cellStyle name="20% - Accent3 4 5" xfId="1131" xr:uid="{00000000-0005-0000-0000-0000F7010000}"/>
    <cellStyle name="20% - Accent3 4 5 2" xfId="2432" xr:uid="{00000000-0005-0000-0000-0000F8010000}"/>
    <cellStyle name="20% - Accent3 4 6" xfId="2433" xr:uid="{00000000-0005-0000-0000-0000F9010000}"/>
    <cellStyle name="20% - Accent3 4_Bdx 1517" xfId="2103" xr:uid="{00000000-0005-0000-0000-0000FA010000}"/>
    <cellStyle name="20% - Accent3 5" xfId="2058" xr:uid="{00000000-0005-0000-0000-0000FB010000}"/>
    <cellStyle name="20% - Accent3 5 2" xfId="2434" xr:uid="{00000000-0005-0000-0000-0000FC010000}"/>
    <cellStyle name="20% - Accent3 5 2 2" xfId="2435" xr:uid="{00000000-0005-0000-0000-0000FD010000}"/>
    <cellStyle name="20% - Accent3 5 3" xfId="2436" xr:uid="{00000000-0005-0000-0000-0000FE010000}"/>
    <cellStyle name="20% - Accent3 5 3 2" xfId="2437" xr:uid="{00000000-0005-0000-0000-0000FF010000}"/>
    <cellStyle name="20% - Accent3 5 4" xfId="2438" xr:uid="{00000000-0005-0000-0000-000000020000}"/>
    <cellStyle name="20% - Accent3 6" xfId="2439" xr:uid="{00000000-0005-0000-0000-000001020000}"/>
    <cellStyle name="20% - Accent3 6 2" xfId="2440" xr:uid="{00000000-0005-0000-0000-000002020000}"/>
    <cellStyle name="20% - Accent3 7" xfId="2441" xr:uid="{00000000-0005-0000-0000-000003020000}"/>
    <cellStyle name="20% - Accent3 7 2" xfId="2442" xr:uid="{00000000-0005-0000-0000-000004020000}"/>
    <cellStyle name="20% - Accent3 8" xfId="2443" xr:uid="{00000000-0005-0000-0000-000005020000}"/>
    <cellStyle name="20% - Accent3_Bordereaux" xfId="2071" xr:uid="{00000000-0005-0000-0000-000006020000}"/>
    <cellStyle name="20% - Accent4" xfId="2024" xr:uid="{00000000-0005-0000-0000-000007020000}"/>
    <cellStyle name="20% - Accent4 2" xfId="141" xr:uid="{00000000-0005-0000-0000-000008020000}"/>
    <cellStyle name="20% - Accent4 2 2" xfId="142" xr:uid="{00000000-0005-0000-0000-000009020000}"/>
    <cellStyle name="20% - Accent4 2 2 2" xfId="143" xr:uid="{00000000-0005-0000-0000-00000A020000}"/>
    <cellStyle name="20% - Accent4 2 2 2 2" xfId="1132" xr:uid="{00000000-0005-0000-0000-00000B020000}"/>
    <cellStyle name="20% - Accent4 2 2 2 2 2" xfId="2444" xr:uid="{00000000-0005-0000-0000-00000C020000}"/>
    <cellStyle name="20% - Accent4 2 2 2 3" xfId="2445" xr:uid="{00000000-0005-0000-0000-00000D020000}"/>
    <cellStyle name="20% - Accent4 2 2 2 3 2" xfId="2446" xr:uid="{00000000-0005-0000-0000-00000E020000}"/>
    <cellStyle name="20% - Accent4 2 2 2 4" xfId="2447" xr:uid="{00000000-0005-0000-0000-00000F020000}"/>
    <cellStyle name="20% - Accent4 2 2 3" xfId="144" xr:uid="{00000000-0005-0000-0000-000010020000}"/>
    <cellStyle name="20% - Accent4 2 2 3 2" xfId="1133" xr:uid="{00000000-0005-0000-0000-000011020000}"/>
    <cellStyle name="20% - Accent4 2 2 3 2 2" xfId="2448" xr:uid="{00000000-0005-0000-0000-000012020000}"/>
    <cellStyle name="20% - Accent4 2 2 3 3" xfId="2449" xr:uid="{00000000-0005-0000-0000-000013020000}"/>
    <cellStyle name="20% - Accent4 2 2 3 3 2" xfId="2450" xr:uid="{00000000-0005-0000-0000-000014020000}"/>
    <cellStyle name="20% - Accent4 2 2 3 4" xfId="2451" xr:uid="{00000000-0005-0000-0000-000015020000}"/>
    <cellStyle name="20% - Accent4 2 2 4" xfId="1134" xr:uid="{00000000-0005-0000-0000-000016020000}"/>
    <cellStyle name="20% - Accent4 2 2 4 2" xfId="2452" xr:uid="{00000000-0005-0000-0000-000017020000}"/>
    <cellStyle name="20% - Accent4 2 2 5" xfId="2453" xr:uid="{00000000-0005-0000-0000-000018020000}"/>
    <cellStyle name="20% - Accent4 2 2 5 2" xfId="2454" xr:uid="{00000000-0005-0000-0000-000019020000}"/>
    <cellStyle name="20% - Accent4 2 2 6" xfId="2455" xr:uid="{00000000-0005-0000-0000-00001A020000}"/>
    <cellStyle name="20% - Accent4 2 2_Bdx 1517" xfId="2104" xr:uid="{00000000-0005-0000-0000-00001B020000}"/>
    <cellStyle name="20% - Accent4 2 3" xfId="145" xr:uid="{00000000-0005-0000-0000-00001C020000}"/>
    <cellStyle name="20% - Accent4 2 3 2" xfId="1135" xr:uid="{00000000-0005-0000-0000-00001D020000}"/>
    <cellStyle name="20% - Accent4 2 3 2 2" xfId="2456" xr:uid="{00000000-0005-0000-0000-00001E020000}"/>
    <cellStyle name="20% - Accent4 2 3 2 2 2" xfId="2457" xr:uid="{00000000-0005-0000-0000-00001F020000}"/>
    <cellStyle name="20% - Accent4 2 3 2 3" xfId="2458" xr:uid="{00000000-0005-0000-0000-000020020000}"/>
    <cellStyle name="20% - Accent4 2 3 2 3 2" xfId="2459" xr:uid="{00000000-0005-0000-0000-000021020000}"/>
    <cellStyle name="20% - Accent4 2 3 2 4" xfId="2460" xr:uid="{00000000-0005-0000-0000-000022020000}"/>
    <cellStyle name="20% - Accent4 2 3 3" xfId="2105" xr:uid="{00000000-0005-0000-0000-000023020000}"/>
    <cellStyle name="20% - Accent4 2 3 3 2" xfId="2461" xr:uid="{00000000-0005-0000-0000-000024020000}"/>
    <cellStyle name="20% - Accent4 2 3 3 2 2" xfId="2462" xr:uid="{00000000-0005-0000-0000-000025020000}"/>
    <cellStyle name="20% - Accent4 2 3 3 3" xfId="2463" xr:uid="{00000000-0005-0000-0000-000026020000}"/>
    <cellStyle name="20% - Accent4 2 3 3 3 2" xfId="2464" xr:uid="{00000000-0005-0000-0000-000027020000}"/>
    <cellStyle name="20% - Accent4 2 3 3 4" xfId="2465" xr:uid="{00000000-0005-0000-0000-000028020000}"/>
    <cellStyle name="20% - Accent4 2 3 4" xfId="2466" xr:uid="{00000000-0005-0000-0000-000029020000}"/>
    <cellStyle name="20% - Accent4 2 3 4 2" xfId="2467" xr:uid="{00000000-0005-0000-0000-00002A020000}"/>
    <cellStyle name="20% - Accent4 2 3 5" xfId="2468" xr:uid="{00000000-0005-0000-0000-00002B020000}"/>
    <cellStyle name="20% - Accent4 2 3 5 2" xfId="2469" xr:uid="{00000000-0005-0000-0000-00002C020000}"/>
    <cellStyle name="20% - Accent4 2 3 6" xfId="2470" xr:uid="{00000000-0005-0000-0000-00002D020000}"/>
    <cellStyle name="20% - Accent4 2 3_Bdx 1517" xfId="2106" xr:uid="{00000000-0005-0000-0000-00002E020000}"/>
    <cellStyle name="20% - Accent4 2 4" xfId="146" xr:uid="{00000000-0005-0000-0000-00002F020000}"/>
    <cellStyle name="20% - Accent4 2 4 2" xfId="1136" xr:uid="{00000000-0005-0000-0000-000030020000}"/>
    <cellStyle name="20% - Accent4 2 4 2 2" xfId="2471" xr:uid="{00000000-0005-0000-0000-000031020000}"/>
    <cellStyle name="20% - Accent4 2 4 3" xfId="2472" xr:uid="{00000000-0005-0000-0000-000032020000}"/>
    <cellStyle name="20% - Accent4 2 4 3 2" xfId="2473" xr:uid="{00000000-0005-0000-0000-000033020000}"/>
    <cellStyle name="20% - Accent4 2 4 4" xfId="2474" xr:uid="{00000000-0005-0000-0000-000034020000}"/>
    <cellStyle name="20% - Accent4 2 5" xfId="1137" xr:uid="{00000000-0005-0000-0000-000035020000}"/>
    <cellStyle name="20% - Accent4 2 5 2" xfId="2475" xr:uid="{00000000-0005-0000-0000-000036020000}"/>
    <cellStyle name="20% - Accent4 2 5 2 2" xfId="2476" xr:uid="{00000000-0005-0000-0000-000037020000}"/>
    <cellStyle name="20% - Accent4 2 5 3" xfId="2477" xr:uid="{00000000-0005-0000-0000-000038020000}"/>
    <cellStyle name="20% - Accent4 2 5 3 2" xfId="2478" xr:uid="{00000000-0005-0000-0000-000039020000}"/>
    <cellStyle name="20% - Accent4 2 5 4" xfId="2479" xr:uid="{00000000-0005-0000-0000-00003A020000}"/>
    <cellStyle name="20% - Accent4 2 6" xfId="2480" xr:uid="{00000000-0005-0000-0000-00003B020000}"/>
    <cellStyle name="20% - Accent4 2 6 2" xfId="2481" xr:uid="{00000000-0005-0000-0000-00003C020000}"/>
    <cellStyle name="20% - Accent4 2 7" xfId="2482" xr:uid="{00000000-0005-0000-0000-00003D020000}"/>
    <cellStyle name="20% - Accent4 2 7 2" xfId="2483" xr:uid="{00000000-0005-0000-0000-00003E020000}"/>
    <cellStyle name="20% - Accent4 2 8" xfId="2484" xr:uid="{00000000-0005-0000-0000-00003F020000}"/>
    <cellStyle name="20% - Accent4 2_Bdx 1517" xfId="2107" xr:uid="{00000000-0005-0000-0000-000040020000}"/>
    <cellStyle name="20% - Accent4 3" xfId="147" xr:uid="{00000000-0005-0000-0000-000041020000}"/>
    <cellStyle name="20% - Accent4 3 2" xfId="148" xr:uid="{00000000-0005-0000-0000-000042020000}"/>
    <cellStyle name="20% - Accent4 3 2 2" xfId="149" xr:uid="{00000000-0005-0000-0000-000043020000}"/>
    <cellStyle name="20% - Accent4 3 2 2 2" xfId="1138" xr:uid="{00000000-0005-0000-0000-000044020000}"/>
    <cellStyle name="20% - Accent4 3 2 2 2 2" xfId="2485" xr:uid="{00000000-0005-0000-0000-000045020000}"/>
    <cellStyle name="20% - Accent4 3 2 2 3" xfId="2486" xr:uid="{00000000-0005-0000-0000-000046020000}"/>
    <cellStyle name="20% - Accent4 3 2 2 3 2" xfId="2487" xr:uid="{00000000-0005-0000-0000-000047020000}"/>
    <cellStyle name="20% - Accent4 3 2 2 4" xfId="2488" xr:uid="{00000000-0005-0000-0000-000048020000}"/>
    <cellStyle name="20% - Accent4 3 2 3" xfId="150" xr:uid="{00000000-0005-0000-0000-000049020000}"/>
    <cellStyle name="20% - Accent4 3 2 3 2" xfId="1139" xr:uid="{00000000-0005-0000-0000-00004A020000}"/>
    <cellStyle name="20% - Accent4 3 2 3 2 2" xfId="2489" xr:uid="{00000000-0005-0000-0000-00004B020000}"/>
    <cellStyle name="20% - Accent4 3 2 3 3" xfId="2490" xr:uid="{00000000-0005-0000-0000-00004C020000}"/>
    <cellStyle name="20% - Accent4 3 2 3 3 2" xfId="2491" xr:uid="{00000000-0005-0000-0000-00004D020000}"/>
    <cellStyle name="20% - Accent4 3 2 3 4" xfId="2492" xr:uid="{00000000-0005-0000-0000-00004E020000}"/>
    <cellStyle name="20% - Accent4 3 2 4" xfId="1140" xr:uid="{00000000-0005-0000-0000-00004F020000}"/>
    <cellStyle name="20% - Accent4 3 2 4 2" xfId="2493" xr:uid="{00000000-0005-0000-0000-000050020000}"/>
    <cellStyle name="20% - Accent4 3 2 5" xfId="2494" xr:uid="{00000000-0005-0000-0000-000051020000}"/>
    <cellStyle name="20% - Accent4 3 2 5 2" xfId="2495" xr:uid="{00000000-0005-0000-0000-000052020000}"/>
    <cellStyle name="20% - Accent4 3 2 6" xfId="2496" xr:uid="{00000000-0005-0000-0000-000053020000}"/>
    <cellStyle name="20% - Accent4 3 2_Bdx 1517" xfId="2108" xr:uid="{00000000-0005-0000-0000-000054020000}"/>
    <cellStyle name="20% - Accent4 3 3" xfId="151" xr:uid="{00000000-0005-0000-0000-000055020000}"/>
    <cellStyle name="20% - Accent4 3 3 2" xfId="1141" xr:uid="{00000000-0005-0000-0000-000056020000}"/>
    <cellStyle name="20% - Accent4 3 3 2 2" xfId="2497" xr:uid="{00000000-0005-0000-0000-000057020000}"/>
    <cellStyle name="20% - Accent4 3 3 3" xfId="2498" xr:uid="{00000000-0005-0000-0000-000058020000}"/>
    <cellStyle name="20% - Accent4 3 3 3 2" xfId="2499" xr:uid="{00000000-0005-0000-0000-000059020000}"/>
    <cellStyle name="20% - Accent4 3 3 4" xfId="2500" xr:uid="{00000000-0005-0000-0000-00005A020000}"/>
    <cellStyle name="20% - Accent4 3 4" xfId="152" xr:uid="{00000000-0005-0000-0000-00005B020000}"/>
    <cellStyle name="20% - Accent4 3 4 2" xfId="1142" xr:uid="{00000000-0005-0000-0000-00005C020000}"/>
    <cellStyle name="20% - Accent4 3 4 2 2" xfId="2501" xr:uid="{00000000-0005-0000-0000-00005D020000}"/>
    <cellStyle name="20% - Accent4 3 4 3" xfId="2502" xr:uid="{00000000-0005-0000-0000-00005E020000}"/>
    <cellStyle name="20% - Accent4 3 4 3 2" xfId="2503" xr:uid="{00000000-0005-0000-0000-00005F020000}"/>
    <cellStyle name="20% - Accent4 3 4 4" xfId="2504" xr:uid="{00000000-0005-0000-0000-000060020000}"/>
    <cellStyle name="20% - Accent4 3 5" xfId="1143" xr:uid="{00000000-0005-0000-0000-000061020000}"/>
    <cellStyle name="20% - Accent4 3 5 2" xfId="2505" xr:uid="{00000000-0005-0000-0000-000062020000}"/>
    <cellStyle name="20% - Accent4 3 6" xfId="2506" xr:uid="{00000000-0005-0000-0000-000063020000}"/>
    <cellStyle name="20% - Accent4 3 6 2" xfId="2507" xr:uid="{00000000-0005-0000-0000-000064020000}"/>
    <cellStyle name="20% - Accent4 3 7" xfId="2508" xr:uid="{00000000-0005-0000-0000-000065020000}"/>
    <cellStyle name="20% - Accent4 3_Bdx 1517" xfId="2109" xr:uid="{00000000-0005-0000-0000-000066020000}"/>
    <cellStyle name="20% - Accent4 4" xfId="153" xr:uid="{00000000-0005-0000-0000-000067020000}"/>
    <cellStyle name="20% - Accent4 4 2" xfId="154" xr:uid="{00000000-0005-0000-0000-000068020000}"/>
    <cellStyle name="20% - Accent4 4 2 2" xfId="155" xr:uid="{00000000-0005-0000-0000-000069020000}"/>
    <cellStyle name="20% - Accent4 4 2 2 2" xfId="1144" xr:uid="{00000000-0005-0000-0000-00006A020000}"/>
    <cellStyle name="20% - Accent4 4 2 3" xfId="156" xr:uid="{00000000-0005-0000-0000-00006B020000}"/>
    <cellStyle name="20% - Accent4 4 2 3 2" xfId="1145" xr:uid="{00000000-0005-0000-0000-00006C020000}"/>
    <cellStyle name="20% - Accent4 4 2 4" xfId="1146" xr:uid="{00000000-0005-0000-0000-00006D020000}"/>
    <cellStyle name="20% - Accent4 4 3" xfId="157" xr:uid="{00000000-0005-0000-0000-00006E020000}"/>
    <cellStyle name="20% - Accent4 4 3 2" xfId="1147" xr:uid="{00000000-0005-0000-0000-00006F020000}"/>
    <cellStyle name="20% - Accent4 4 3 2 2" xfId="2509" xr:uid="{00000000-0005-0000-0000-000070020000}"/>
    <cellStyle name="20% - Accent4 4 3 3" xfId="2510" xr:uid="{00000000-0005-0000-0000-000071020000}"/>
    <cellStyle name="20% - Accent4 4 3 3 2" xfId="2511" xr:uid="{00000000-0005-0000-0000-000072020000}"/>
    <cellStyle name="20% - Accent4 4 3 4" xfId="2512" xr:uid="{00000000-0005-0000-0000-000073020000}"/>
    <cellStyle name="20% - Accent4 4 4" xfId="158" xr:uid="{00000000-0005-0000-0000-000074020000}"/>
    <cellStyle name="20% - Accent4 4 4 2" xfId="1148" xr:uid="{00000000-0005-0000-0000-000075020000}"/>
    <cellStyle name="20% - Accent4 4 5" xfId="1149" xr:uid="{00000000-0005-0000-0000-000076020000}"/>
    <cellStyle name="20% - Accent4 4 5 2" xfId="2513" xr:uid="{00000000-0005-0000-0000-000077020000}"/>
    <cellStyle name="20% - Accent4 4 6" xfId="2514" xr:uid="{00000000-0005-0000-0000-000078020000}"/>
    <cellStyle name="20% - Accent4 4_Bdx 1517" xfId="2110" xr:uid="{00000000-0005-0000-0000-000079020000}"/>
    <cellStyle name="20% - Accent4 5" xfId="2059" xr:uid="{00000000-0005-0000-0000-00007A020000}"/>
    <cellStyle name="20% - Accent4 5 2" xfId="2515" xr:uid="{00000000-0005-0000-0000-00007B020000}"/>
    <cellStyle name="20% - Accent4 5 2 2" xfId="2516" xr:uid="{00000000-0005-0000-0000-00007C020000}"/>
    <cellStyle name="20% - Accent4 5 3" xfId="2517" xr:uid="{00000000-0005-0000-0000-00007D020000}"/>
    <cellStyle name="20% - Accent4 5 3 2" xfId="2518" xr:uid="{00000000-0005-0000-0000-00007E020000}"/>
    <cellStyle name="20% - Accent4 5 4" xfId="2519" xr:uid="{00000000-0005-0000-0000-00007F020000}"/>
    <cellStyle name="20% - Accent4 6" xfId="2520" xr:uid="{00000000-0005-0000-0000-000080020000}"/>
    <cellStyle name="20% - Accent4 6 2" xfId="2521" xr:uid="{00000000-0005-0000-0000-000081020000}"/>
    <cellStyle name="20% - Accent4 7" xfId="2522" xr:uid="{00000000-0005-0000-0000-000082020000}"/>
    <cellStyle name="20% - Accent4 7 2" xfId="2523" xr:uid="{00000000-0005-0000-0000-000083020000}"/>
    <cellStyle name="20% - Accent4 8" xfId="2524" xr:uid="{00000000-0005-0000-0000-000084020000}"/>
    <cellStyle name="20% - Accent4_Bordereaux" xfId="2072" xr:uid="{00000000-0005-0000-0000-000085020000}"/>
    <cellStyle name="20% - Accent5" xfId="2025" xr:uid="{00000000-0005-0000-0000-000086020000}"/>
    <cellStyle name="20% - Accent5 2" xfId="159" xr:uid="{00000000-0005-0000-0000-000087020000}"/>
    <cellStyle name="20% - Accent5 2 2" xfId="160" xr:uid="{00000000-0005-0000-0000-000088020000}"/>
    <cellStyle name="20% - Accent5 2 2 2" xfId="161" xr:uid="{00000000-0005-0000-0000-000089020000}"/>
    <cellStyle name="20% - Accent5 2 2 2 2" xfId="1150" xr:uid="{00000000-0005-0000-0000-00008A020000}"/>
    <cellStyle name="20% - Accent5 2 2 2 2 2" xfId="2525" xr:uid="{00000000-0005-0000-0000-00008B020000}"/>
    <cellStyle name="20% - Accent5 2 2 2 3" xfId="2526" xr:uid="{00000000-0005-0000-0000-00008C020000}"/>
    <cellStyle name="20% - Accent5 2 2 2 3 2" xfId="2527" xr:uid="{00000000-0005-0000-0000-00008D020000}"/>
    <cellStyle name="20% - Accent5 2 2 2 4" xfId="2528" xr:uid="{00000000-0005-0000-0000-00008E020000}"/>
    <cellStyle name="20% - Accent5 2 2 3" xfId="162" xr:uid="{00000000-0005-0000-0000-00008F020000}"/>
    <cellStyle name="20% - Accent5 2 2 3 2" xfId="1151" xr:uid="{00000000-0005-0000-0000-000090020000}"/>
    <cellStyle name="20% - Accent5 2 2 3 2 2" xfId="2529" xr:uid="{00000000-0005-0000-0000-000091020000}"/>
    <cellStyle name="20% - Accent5 2 2 3 3" xfId="2530" xr:uid="{00000000-0005-0000-0000-000092020000}"/>
    <cellStyle name="20% - Accent5 2 2 3 3 2" xfId="2531" xr:uid="{00000000-0005-0000-0000-000093020000}"/>
    <cellStyle name="20% - Accent5 2 2 3 4" xfId="2532" xr:uid="{00000000-0005-0000-0000-000094020000}"/>
    <cellStyle name="20% - Accent5 2 2 4" xfId="1152" xr:uid="{00000000-0005-0000-0000-000095020000}"/>
    <cellStyle name="20% - Accent5 2 2 4 2" xfId="2533" xr:uid="{00000000-0005-0000-0000-000096020000}"/>
    <cellStyle name="20% - Accent5 2 2 5" xfId="2534" xr:uid="{00000000-0005-0000-0000-000097020000}"/>
    <cellStyle name="20% - Accent5 2 2 5 2" xfId="2535" xr:uid="{00000000-0005-0000-0000-000098020000}"/>
    <cellStyle name="20% - Accent5 2 2 6" xfId="2536" xr:uid="{00000000-0005-0000-0000-000099020000}"/>
    <cellStyle name="20% - Accent5 2 2_Bdx 1517" xfId="2111" xr:uid="{00000000-0005-0000-0000-00009A020000}"/>
    <cellStyle name="20% - Accent5 2 3" xfId="163" xr:uid="{00000000-0005-0000-0000-00009B020000}"/>
    <cellStyle name="20% - Accent5 2 3 2" xfId="1153" xr:uid="{00000000-0005-0000-0000-00009C020000}"/>
    <cellStyle name="20% - Accent5 2 3 2 2" xfId="2537" xr:uid="{00000000-0005-0000-0000-00009D020000}"/>
    <cellStyle name="20% - Accent5 2 3 2 2 2" xfId="2538" xr:uid="{00000000-0005-0000-0000-00009E020000}"/>
    <cellStyle name="20% - Accent5 2 3 2 3" xfId="2539" xr:uid="{00000000-0005-0000-0000-00009F020000}"/>
    <cellStyle name="20% - Accent5 2 3 2 3 2" xfId="2540" xr:uid="{00000000-0005-0000-0000-0000A0020000}"/>
    <cellStyle name="20% - Accent5 2 3 2 4" xfId="2541" xr:uid="{00000000-0005-0000-0000-0000A1020000}"/>
    <cellStyle name="20% - Accent5 2 3 3" xfId="2112" xr:uid="{00000000-0005-0000-0000-0000A2020000}"/>
    <cellStyle name="20% - Accent5 2 3 3 2" xfId="2542" xr:uid="{00000000-0005-0000-0000-0000A3020000}"/>
    <cellStyle name="20% - Accent5 2 3 3 2 2" xfId="2543" xr:uid="{00000000-0005-0000-0000-0000A4020000}"/>
    <cellStyle name="20% - Accent5 2 3 3 3" xfId="2544" xr:uid="{00000000-0005-0000-0000-0000A5020000}"/>
    <cellStyle name="20% - Accent5 2 3 3 3 2" xfId="2545" xr:uid="{00000000-0005-0000-0000-0000A6020000}"/>
    <cellStyle name="20% - Accent5 2 3 3 4" xfId="2546" xr:uid="{00000000-0005-0000-0000-0000A7020000}"/>
    <cellStyle name="20% - Accent5 2 3 4" xfId="2547" xr:uid="{00000000-0005-0000-0000-0000A8020000}"/>
    <cellStyle name="20% - Accent5 2 3 4 2" xfId="2548" xr:uid="{00000000-0005-0000-0000-0000A9020000}"/>
    <cellStyle name="20% - Accent5 2 3 5" xfId="2549" xr:uid="{00000000-0005-0000-0000-0000AA020000}"/>
    <cellStyle name="20% - Accent5 2 3 5 2" xfId="2550" xr:uid="{00000000-0005-0000-0000-0000AB020000}"/>
    <cellStyle name="20% - Accent5 2 3 6" xfId="2551" xr:uid="{00000000-0005-0000-0000-0000AC020000}"/>
    <cellStyle name="20% - Accent5 2 3_Bdx 1517" xfId="2113" xr:uid="{00000000-0005-0000-0000-0000AD020000}"/>
    <cellStyle name="20% - Accent5 2 4" xfId="164" xr:uid="{00000000-0005-0000-0000-0000AE020000}"/>
    <cellStyle name="20% - Accent5 2 4 2" xfId="1154" xr:uid="{00000000-0005-0000-0000-0000AF020000}"/>
    <cellStyle name="20% - Accent5 2 4 2 2" xfId="2552" xr:uid="{00000000-0005-0000-0000-0000B0020000}"/>
    <cellStyle name="20% - Accent5 2 4 3" xfId="2553" xr:uid="{00000000-0005-0000-0000-0000B1020000}"/>
    <cellStyle name="20% - Accent5 2 4 3 2" xfId="2554" xr:uid="{00000000-0005-0000-0000-0000B2020000}"/>
    <cellStyle name="20% - Accent5 2 4 4" xfId="2555" xr:uid="{00000000-0005-0000-0000-0000B3020000}"/>
    <cellStyle name="20% - Accent5 2 5" xfId="1155" xr:uid="{00000000-0005-0000-0000-0000B4020000}"/>
    <cellStyle name="20% - Accent5 2 5 2" xfId="2556" xr:uid="{00000000-0005-0000-0000-0000B5020000}"/>
    <cellStyle name="20% - Accent5 2 5 2 2" xfId="2557" xr:uid="{00000000-0005-0000-0000-0000B6020000}"/>
    <cellStyle name="20% - Accent5 2 5 3" xfId="2558" xr:uid="{00000000-0005-0000-0000-0000B7020000}"/>
    <cellStyle name="20% - Accent5 2 5 3 2" xfId="2559" xr:uid="{00000000-0005-0000-0000-0000B8020000}"/>
    <cellStyle name="20% - Accent5 2 5 4" xfId="2560" xr:uid="{00000000-0005-0000-0000-0000B9020000}"/>
    <cellStyle name="20% - Accent5 2 6" xfId="2561" xr:uid="{00000000-0005-0000-0000-0000BA020000}"/>
    <cellStyle name="20% - Accent5 2 6 2" xfId="2562" xr:uid="{00000000-0005-0000-0000-0000BB020000}"/>
    <cellStyle name="20% - Accent5 2 7" xfId="2563" xr:uid="{00000000-0005-0000-0000-0000BC020000}"/>
    <cellStyle name="20% - Accent5 2 7 2" xfId="2564" xr:uid="{00000000-0005-0000-0000-0000BD020000}"/>
    <cellStyle name="20% - Accent5 2 8" xfId="2565" xr:uid="{00000000-0005-0000-0000-0000BE020000}"/>
    <cellStyle name="20% - Accent5 2_Bdx 1517" xfId="2114" xr:uid="{00000000-0005-0000-0000-0000BF020000}"/>
    <cellStyle name="20% - Accent5 3" xfId="165" xr:uid="{00000000-0005-0000-0000-0000C0020000}"/>
    <cellStyle name="20% - Accent5 3 2" xfId="166" xr:uid="{00000000-0005-0000-0000-0000C1020000}"/>
    <cellStyle name="20% - Accent5 3 2 2" xfId="167" xr:uid="{00000000-0005-0000-0000-0000C2020000}"/>
    <cellStyle name="20% - Accent5 3 2 2 2" xfId="1156" xr:uid="{00000000-0005-0000-0000-0000C3020000}"/>
    <cellStyle name="20% - Accent5 3 2 2 2 2" xfId="2566" xr:uid="{00000000-0005-0000-0000-0000C4020000}"/>
    <cellStyle name="20% - Accent5 3 2 2 3" xfId="2567" xr:uid="{00000000-0005-0000-0000-0000C5020000}"/>
    <cellStyle name="20% - Accent5 3 2 2 3 2" xfId="2568" xr:uid="{00000000-0005-0000-0000-0000C6020000}"/>
    <cellStyle name="20% - Accent5 3 2 2 4" xfId="2569" xr:uid="{00000000-0005-0000-0000-0000C7020000}"/>
    <cellStyle name="20% - Accent5 3 2 3" xfId="168" xr:uid="{00000000-0005-0000-0000-0000C8020000}"/>
    <cellStyle name="20% - Accent5 3 2 3 2" xfId="1157" xr:uid="{00000000-0005-0000-0000-0000C9020000}"/>
    <cellStyle name="20% - Accent5 3 2 3 2 2" xfId="2570" xr:uid="{00000000-0005-0000-0000-0000CA020000}"/>
    <cellStyle name="20% - Accent5 3 2 3 3" xfId="2571" xr:uid="{00000000-0005-0000-0000-0000CB020000}"/>
    <cellStyle name="20% - Accent5 3 2 3 3 2" xfId="2572" xr:uid="{00000000-0005-0000-0000-0000CC020000}"/>
    <cellStyle name="20% - Accent5 3 2 3 4" xfId="2573" xr:uid="{00000000-0005-0000-0000-0000CD020000}"/>
    <cellStyle name="20% - Accent5 3 2 4" xfId="1158" xr:uid="{00000000-0005-0000-0000-0000CE020000}"/>
    <cellStyle name="20% - Accent5 3 2 4 2" xfId="2574" xr:uid="{00000000-0005-0000-0000-0000CF020000}"/>
    <cellStyle name="20% - Accent5 3 2 5" xfId="2575" xr:uid="{00000000-0005-0000-0000-0000D0020000}"/>
    <cellStyle name="20% - Accent5 3 2 5 2" xfId="2576" xr:uid="{00000000-0005-0000-0000-0000D1020000}"/>
    <cellStyle name="20% - Accent5 3 2 6" xfId="2577" xr:uid="{00000000-0005-0000-0000-0000D2020000}"/>
    <cellStyle name="20% - Accent5 3 2_Bdx 1517" xfId="2115" xr:uid="{00000000-0005-0000-0000-0000D3020000}"/>
    <cellStyle name="20% - Accent5 3 3" xfId="169" xr:uid="{00000000-0005-0000-0000-0000D4020000}"/>
    <cellStyle name="20% - Accent5 3 3 2" xfId="1159" xr:uid="{00000000-0005-0000-0000-0000D5020000}"/>
    <cellStyle name="20% - Accent5 3 3 2 2" xfId="2578" xr:uid="{00000000-0005-0000-0000-0000D6020000}"/>
    <cellStyle name="20% - Accent5 3 3 3" xfId="2579" xr:uid="{00000000-0005-0000-0000-0000D7020000}"/>
    <cellStyle name="20% - Accent5 3 3 3 2" xfId="2580" xr:uid="{00000000-0005-0000-0000-0000D8020000}"/>
    <cellStyle name="20% - Accent5 3 3 4" xfId="2581" xr:uid="{00000000-0005-0000-0000-0000D9020000}"/>
    <cellStyle name="20% - Accent5 3 4" xfId="170" xr:uid="{00000000-0005-0000-0000-0000DA020000}"/>
    <cellStyle name="20% - Accent5 3 4 2" xfId="1160" xr:uid="{00000000-0005-0000-0000-0000DB020000}"/>
    <cellStyle name="20% - Accent5 3 4 2 2" xfId="2582" xr:uid="{00000000-0005-0000-0000-0000DC020000}"/>
    <cellStyle name="20% - Accent5 3 4 3" xfId="2583" xr:uid="{00000000-0005-0000-0000-0000DD020000}"/>
    <cellStyle name="20% - Accent5 3 4 3 2" xfId="2584" xr:uid="{00000000-0005-0000-0000-0000DE020000}"/>
    <cellStyle name="20% - Accent5 3 4 4" xfId="2585" xr:uid="{00000000-0005-0000-0000-0000DF020000}"/>
    <cellStyle name="20% - Accent5 3 5" xfId="1161" xr:uid="{00000000-0005-0000-0000-0000E0020000}"/>
    <cellStyle name="20% - Accent5 3 5 2" xfId="2586" xr:uid="{00000000-0005-0000-0000-0000E1020000}"/>
    <cellStyle name="20% - Accent5 3 6" xfId="2587" xr:uid="{00000000-0005-0000-0000-0000E2020000}"/>
    <cellStyle name="20% - Accent5 3 6 2" xfId="2588" xr:uid="{00000000-0005-0000-0000-0000E3020000}"/>
    <cellStyle name="20% - Accent5 3 7" xfId="2589" xr:uid="{00000000-0005-0000-0000-0000E4020000}"/>
    <cellStyle name="20% - Accent5 3_Bdx 1517" xfId="2116" xr:uid="{00000000-0005-0000-0000-0000E5020000}"/>
    <cellStyle name="20% - Accent5 4" xfId="171" xr:uid="{00000000-0005-0000-0000-0000E6020000}"/>
    <cellStyle name="20% - Accent5 4 2" xfId="172" xr:uid="{00000000-0005-0000-0000-0000E7020000}"/>
    <cellStyle name="20% - Accent5 4 2 2" xfId="173" xr:uid="{00000000-0005-0000-0000-0000E8020000}"/>
    <cellStyle name="20% - Accent5 4 2 2 2" xfId="1162" xr:uid="{00000000-0005-0000-0000-0000E9020000}"/>
    <cellStyle name="20% - Accent5 4 2 3" xfId="174" xr:uid="{00000000-0005-0000-0000-0000EA020000}"/>
    <cellStyle name="20% - Accent5 4 2 3 2" xfId="1163" xr:uid="{00000000-0005-0000-0000-0000EB020000}"/>
    <cellStyle name="20% - Accent5 4 2 4" xfId="1164" xr:uid="{00000000-0005-0000-0000-0000EC020000}"/>
    <cellStyle name="20% - Accent5 4 3" xfId="175" xr:uid="{00000000-0005-0000-0000-0000ED020000}"/>
    <cellStyle name="20% - Accent5 4 3 2" xfId="1165" xr:uid="{00000000-0005-0000-0000-0000EE020000}"/>
    <cellStyle name="20% - Accent5 4 3 2 2" xfId="2590" xr:uid="{00000000-0005-0000-0000-0000EF020000}"/>
    <cellStyle name="20% - Accent5 4 3 3" xfId="2591" xr:uid="{00000000-0005-0000-0000-0000F0020000}"/>
    <cellStyle name="20% - Accent5 4 3 3 2" xfId="2592" xr:uid="{00000000-0005-0000-0000-0000F1020000}"/>
    <cellStyle name="20% - Accent5 4 3 4" xfId="2593" xr:uid="{00000000-0005-0000-0000-0000F2020000}"/>
    <cellStyle name="20% - Accent5 4 4" xfId="176" xr:uid="{00000000-0005-0000-0000-0000F3020000}"/>
    <cellStyle name="20% - Accent5 4 4 2" xfId="1166" xr:uid="{00000000-0005-0000-0000-0000F4020000}"/>
    <cellStyle name="20% - Accent5 4 5" xfId="1167" xr:uid="{00000000-0005-0000-0000-0000F5020000}"/>
    <cellStyle name="20% - Accent5 4 5 2" xfId="2594" xr:uid="{00000000-0005-0000-0000-0000F6020000}"/>
    <cellStyle name="20% - Accent5 4 6" xfId="2595" xr:uid="{00000000-0005-0000-0000-0000F7020000}"/>
    <cellStyle name="20% - Accent5 4_Bdx 1517" xfId="2117" xr:uid="{00000000-0005-0000-0000-0000F8020000}"/>
    <cellStyle name="20% - Accent5 5" xfId="2060" xr:uid="{00000000-0005-0000-0000-0000F9020000}"/>
    <cellStyle name="20% - Accent5 5 2" xfId="2596" xr:uid="{00000000-0005-0000-0000-0000FA020000}"/>
    <cellStyle name="20% - Accent5 5 2 2" xfId="2597" xr:uid="{00000000-0005-0000-0000-0000FB020000}"/>
    <cellStyle name="20% - Accent5 5 3" xfId="2598" xr:uid="{00000000-0005-0000-0000-0000FC020000}"/>
    <cellStyle name="20% - Accent5 5 3 2" xfId="2599" xr:uid="{00000000-0005-0000-0000-0000FD020000}"/>
    <cellStyle name="20% - Accent5 5 4" xfId="2600" xr:uid="{00000000-0005-0000-0000-0000FE020000}"/>
    <cellStyle name="20% - Accent5 6" xfId="2601" xr:uid="{00000000-0005-0000-0000-0000FF020000}"/>
    <cellStyle name="20% - Accent5 6 2" xfId="2602" xr:uid="{00000000-0005-0000-0000-000000030000}"/>
    <cellStyle name="20% - Accent5 7" xfId="2603" xr:uid="{00000000-0005-0000-0000-000001030000}"/>
    <cellStyle name="20% - Accent5 7 2" xfId="2604" xr:uid="{00000000-0005-0000-0000-000002030000}"/>
    <cellStyle name="20% - Accent5 8" xfId="2605" xr:uid="{00000000-0005-0000-0000-000003030000}"/>
    <cellStyle name="20% - Accent5_Bordereaux" xfId="2073" xr:uid="{00000000-0005-0000-0000-000004030000}"/>
    <cellStyle name="20% - Accent6" xfId="2026" xr:uid="{00000000-0005-0000-0000-000005030000}"/>
    <cellStyle name="20% - Accent6 2" xfId="177" xr:uid="{00000000-0005-0000-0000-000006030000}"/>
    <cellStyle name="20% - Accent6 2 2" xfId="178" xr:uid="{00000000-0005-0000-0000-000007030000}"/>
    <cellStyle name="20% - Accent6 2 2 2" xfId="179" xr:uid="{00000000-0005-0000-0000-000008030000}"/>
    <cellStyle name="20% - Accent6 2 2 2 2" xfId="1168" xr:uid="{00000000-0005-0000-0000-000009030000}"/>
    <cellStyle name="20% - Accent6 2 2 2 2 2" xfId="2606" xr:uid="{00000000-0005-0000-0000-00000A030000}"/>
    <cellStyle name="20% - Accent6 2 2 2 3" xfId="2607" xr:uid="{00000000-0005-0000-0000-00000B030000}"/>
    <cellStyle name="20% - Accent6 2 2 2 3 2" xfId="2608" xr:uid="{00000000-0005-0000-0000-00000C030000}"/>
    <cellStyle name="20% - Accent6 2 2 2 4" xfId="2609" xr:uid="{00000000-0005-0000-0000-00000D030000}"/>
    <cellStyle name="20% - Accent6 2 2 3" xfId="180" xr:uid="{00000000-0005-0000-0000-00000E030000}"/>
    <cellStyle name="20% - Accent6 2 2 3 2" xfId="1169" xr:uid="{00000000-0005-0000-0000-00000F030000}"/>
    <cellStyle name="20% - Accent6 2 2 3 2 2" xfId="2610" xr:uid="{00000000-0005-0000-0000-000010030000}"/>
    <cellStyle name="20% - Accent6 2 2 3 3" xfId="2611" xr:uid="{00000000-0005-0000-0000-000011030000}"/>
    <cellStyle name="20% - Accent6 2 2 3 3 2" xfId="2612" xr:uid="{00000000-0005-0000-0000-000012030000}"/>
    <cellStyle name="20% - Accent6 2 2 3 4" xfId="2613" xr:uid="{00000000-0005-0000-0000-000013030000}"/>
    <cellStyle name="20% - Accent6 2 2 4" xfId="1170" xr:uid="{00000000-0005-0000-0000-000014030000}"/>
    <cellStyle name="20% - Accent6 2 2 4 2" xfId="2614" xr:uid="{00000000-0005-0000-0000-000015030000}"/>
    <cellStyle name="20% - Accent6 2 2 5" xfId="2615" xr:uid="{00000000-0005-0000-0000-000016030000}"/>
    <cellStyle name="20% - Accent6 2 2 5 2" xfId="2616" xr:uid="{00000000-0005-0000-0000-000017030000}"/>
    <cellStyle name="20% - Accent6 2 2 6" xfId="2617" xr:uid="{00000000-0005-0000-0000-000018030000}"/>
    <cellStyle name="20% - Accent6 2 2_Bdx 1517" xfId="2118" xr:uid="{00000000-0005-0000-0000-000019030000}"/>
    <cellStyle name="20% - Accent6 2 3" xfId="181" xr:uid="{00000000-0005-0000-0000-00001A030000}"/>
    <cellStyle name="20% - Accent6 2 3 2" xfId="1171" xr:uid="{00000000-0005-0000-0000-00001B030000}"/>
    <cellStyle name="20% - Accent6 2 3 2 2" xfId="2618" xr:uid="{00000000-0005-0000-0000-00001C030000}"/>
    <cellStyle name="20% - Accent6 2 3 2 2 2" xfId="2619" xr:uid="{00000000-0005-0000-0000-00001D030000}"/>
    <cellStyle name="20% - Accent6 2 3 2 3" xfId="2620" xr:uid="{00000000-0005-0000-0000-00001E030000}"/>
    <cellStyle name="20% - Accent6 2 3 2 3 2" xfId="2621" xr:uid="{00000000-0005-0000-0000-00001F030000}"/>
    <cellStyle name="20% - Accent6 2 3 2 4" xfId="2622" xr:uid="{00000000-0005-0000-0000-000020030000}"/>
    <cellStyle name="20% - Accent6 2 3 3" xfId="2119" xr:uid="{00000000-0005-0000-0000-000021030000}"/>
    <cellStyle name="20% - Accent6 2 3 3 2" xfId="2623" xr:uid="{00000000-0005-0000-0000-000022030000}"/>
    <cellStyle name="20% - Accent6 2 3 3 2 2" xfId="2624" xr:uid="{00000000-0005-0000-0000-000023030000}"/>
    <cellStyle name="20% - Accent6 2 3 3 3" xfId="2625" xr:uid="{00000000-0005-0000-0000-000024030000}"/>
    <cellStyle name="20% - Accent6 2 3 3 3 2" xfId="2626" xr:uid="{00000000-0005-0000-0000-000025030000}"/>
    <cellStyle name="20% - Accent6 2 3 3 4" xfId="2627" xr:uid="{00000000-0005-0000-0000-000026030000}"/>
    <cellStyle name="20% - Accent6 2 3 4" xfId="2628" xr:uid="{00000000-0005-0000-0000-000027030000}"/>
    <cellStyle name="20% - Accent6 2 3 4 2" xfId="2629" xr:uid="{00000000-0005-0000-0000-000028030000}"/>
    <cellStyle name="20% - Accent6 2 3 5" xfId="2630" xr:uid="{00000000-0005-0000-0000-000029030000}"/>
    <cellStyle name="20% - Accent6 2 3 5 2" xfId="2631" xr:uid="{00000000-0005-0000-0000-00002A030000}"/>
    <cellStyle name="20% - Accent6 2 3 6" xfId="2632" xr:uid="{00000000-0005-0000-0000-00002B030000}"/>
    <cellStyle name="20% - Accent6 2 3_Bdx 1517" xfId="2120" xr:uid="{00000000-0005-0000-0000-00002C030000}"/>
    <cellStyle name="20% - Accent6 2 4" xfId="182" xr:uid="{00000000-0005-0000-0000-00002D030000}"/>
    <cellStyle name="20% - Accent6 2 4 2" xfId="1172" xr:uid="{00000000-0005-0000-0000-00002E030000}"/>
    <cellStyle name="20% - Accent6 2 4 2 2" xfId="2633" xr:uid="{00000000-0005-0000-0000-00002F030000}"/>
    <cellStyle name="20% - Accent6 2 4 3" xfId="2634" xr:uid="{00000000-0005-0000-0000-000030030000}"/>
    <cellStyle name="20% - Accent6 2 4 3 2" xfId="2635" xr:uid="{00000000-0005-0000-0000-000031030000}"/>
    <cellStyle name="20% - Accent6 2 4 4" xfId="2636" xr:uid="{00000000-0005-0000-0000-000032030000}"/>
    <cellStyle name="20% - Accent6 2 5" xfId="1173" xr:uid="{00000000-0005-0000-0000-000033030000}"/>
    <cellStyle name="20% - Accent6 2 5 2" xfId="2637" xr:uid="{00000000-0005-0000-0000-000034030000}"/>
    <cellStyle name="20% - Accent6 2 5 2 2" xfId="2638" xr:uid="{00000000-0005-0000-0000-000035030000}"/>
    <cellStyle name="20% - Accent6 2 5 3" xfId="2639" xr:uid="{00000000-0005-0000-0000-000036030000}"/>
    <cellStyle name="20% - Accent6 2 5 3 2" xfId="2640" xr:uid="{00000000-0005-0000-0000-000037030000}"/>
    <cellStyle name="20% - Accent6 2 5 4" xfId="2641" xr:uid="{00000000-0005-0000-0000-000038030000}"/>
    <cellStyle name="20% - Accent6 2 6" xfId="2642" xr:uid="{00000000-0005-0000-0000-000039030000}"/>
    <cellStyle name="20% - Accent6 2 6 2" xfId="2643" xr:uid="{00000000-0005-0000-0000-00003A030000}"/>
    <cellStyle name="20% - Accent6 2 7" xfId="2644" xr:uid="{00000000-0005-0000-0000-00003B030000}"/>
    <cellStyle name="20% - Accent6 2 7 2" xfId="2645" xr:uid="{00000000-0005-0000-0000-00003C030000}"/>
    <cellStyle name="20% - Accent6 2 8" xfId="2646" xr:uid="{00000000-0005-0000-0000-00003D030000}"/>
    <cellStyle name="20% - Accent6 2_Bdx 1517" xfId="2121" xr:uid="{00000000-0005-0000-0000-00003E030000}"/>
    <cellStyle name="20% - Accent6 3" xfId="183" xr:uid="{00000000-0005-0000-0000-00003F030000}"/>
    <cellStyle name="20% - Accent6 3 2" xfId="184" xr:uid="{00000000-0005-0000-0000-000040030000}"/>
    <cellStyle name="20% - Accent6 3 2 2" xfId="185" xr:uid="{00000000-0005-0000-0000-000041030000}"/>
    <cellStyle name="20% - Accent6 3 2 2 2" xfId="1174" xr:uid="{00000000-0005-0000-0000-000042030000}"/>
    <cellStyle name="20% - Accent6 3 2 2 2 2" xfId="2647" xr:uid="{00000000-0005-0000-0000-000043030000}"/>
    <cellStyle name="20% - Accent6 3 2 2 3" xfId="2648" xr:uid="{00000000-0005-0000-0000-000044030000}"/>
    <cellStyle name="20% - Accent6 3 2 2 3 2" xfId="2649" xr:uid="{00000000-0005-0000-0000-000045030000}"/>
    <cellStyle name="20% - Accent6 3 2 2 4" xfId="2650" xr:uid="{00000000-0005-0000-0000-000046030000}"/>
    <cellStyle name="20% - Accent6 3 2 3" xfId="186" xr:uid="{00000000-0005-0000-0000-000047030000}"/>
    <cellStyle name="20% - Accent6 3 2 3 2" xfId="1175" xr:uid="{00000000-0005-0000-0000-000048030000}"/>
    <cellStyle name="20% - Accent6 3 2 3 2 2" xfId="2651" xr:uid="{00000000-0005-0000-0000-000049030000}"/>
    <cellStyle name="20% - Accent6 3 2 3 3" xfId="2652" xr:uid="{00000000-0005-0000-0000-00004A030000}"/>
    <cellStyle name="20% - Accent6 3 2 3 3 2" xfId="2653" xr:uid="{00000000-0005-0000-0000-00004B030000}"/>
    <cellStyle name="20% - Accent6 3 2 3 4" xfId="2654" xr:uid="{00000000-0005-0000-0000-00004C030000}"/>
    <cellStyle name="20% - Accent6 3 2 4" xfId="1176" xr:uid="{00000000-0005-0000-0000-00004D030000}"/>
    <cellStyle name="20% - Accent6 3 2 4 2" xfId="2655" xr:uid="{00000000-0005-0000-0000-00004E030000}"/>
    <cellStyle name="20% - Accent6 3 2 5" xfId="2656" xr:uid="{00000000-0005-0000-0000-00004F030000}"/>
    <cellStyle name="20% - Accent6 3 2 5 2" xfId="2657" xr:uid="{00000000-0005-0000-0000-000050030000}"/>
    <cellStyle name="20% - Accent6 3 2 6" xfId="2658" xr:uid="{00000000-0005-0000-0000-000051030000}"/>
    <cellStyle name="20% - Accent6 3 2_Bdx 1517" xfId="2122" xr:uid="{00000000-0005-0000-0000-000052030000}"/>
    <cellStyle name="20% - Accent6 3 3" xfId="187" xr:uid="{00000000-0005-0000-0000-000053030000}"/>
    <cellStyle name="20% - Accent6 3 3 2" xfId="1177" xr:uid="{00000000-0005-0000-0000-000054030000}"/>
    <cellStyle name="20% - Accent6 3 3 2 2" xfId="2659" xr:uid="{00000000-0005-0000-0000-000055030000}"/>
    <cellStyle name="20% - Accent6 3 3 3" xfId="2660" xr:uid="{00000000-0005-0000-0000-000056030000}"/>
    <cellStyle name="20% - Accent6 3 3 3 2" xfId="2661" xr:uid="{00000000-0005-0000-0000-000057030000}"/>
    <cellStyle name="20% - Accent6 3 3 4" xfId="2662" xr:uid="{00000000-0005-0000-0000-000058030000}"/>
    <cellStyle name="20% - Accent6 3 4" xfId="188" xr:uid="{00000000-0005-0000-0000-000059030000}"/>
    <cellStyle name="20% - Accent6 3 4 2" xfId="1178" xr:uid="{00000000-0005-0000-0000-00005A030000}"/>
    <cellStyle name="20% - Accent6 3 4 2 2" xfId="2663" xr:uid="{00000000-0005-0000-0000-00005B030000}"/>
    <cellStyle name="20% - Accent6 3 4 3" xfId="2664" xr:uid="{00000000-0005-0000-0000-00005C030000}"/>
    <cellStyle name="20% - Accent6 3 4 3 2" xfId="2665" xr:uid="{00000000-0005-0000-0000-00005D030000}"/>
    <cellStyle name="20% - Accent6 3 4 4" xfId="2666" xr:uid="{00000000-0005-0000-0000-00005E030000}"/>
    <cellStyle name="20% - Accent6 3 5" xfId="1179" xr:uid="{00000000-0005-0000-0000-00005F030000}"/>
    <cellStyle name="20% - Accent6 3 5 2" xfId="2667" xr:uid="{00000000-0005-0000-0000-000060030000}"/>
    <cellStyle name="20% - Accent6 3 6" xfId="2668" xr:uid="{00000000-0005-0000-0000-000061030000}"/>
    <cellStyle name="20% - Accent6 3 6 2" xfId="2669" xr:uid="{00000000-0005-0000-0000-000062030000}"/>
    <cellStyle name="20% - Accent6 3 7" xfId="2670" xr:uid="{00000000-0005-0000-0000-000063030000}"/>
    <cellStyle name="20% - Accent6 3_Bdx 1517" xfId="2123" xr:uid="{00000000-0005-0000-0000-000064030000}"/>
    <cellStyle name="20% - Accent6 4" xfId="189" xr:uid="{00000000-0005-0000-0000-000065030000}"/>
    <cellStyle name="20% - Accent6 4 2" xfId="190" xr:uid="{00000000-0005-0000-0000-000066030000}"/>
    <cellStyle name="20% - Accent6 4 2 2" xfId="191" xr:uid="{00000000-0005-0000-0000-000067030000}"/>
    <cellStyle name="20% - Accent6 4 2 2 2" xfId="1180" xr:uid="{00000000-0005-0000-0000-000068030000}"/>
    <cellStyle name="20% - Accent6 4 2 3" xfId="192" xr:uid="{00000000-0005-0000-0000-000069030000}"/>
    <cellStyle name="20% - Accent6 4 2 3 2" xfId="1181" xr:uid="{00000000-0005-0000-0000-00006A030000}"/>
    <cellStyle name="20% - Accent6 4 2 4" xfId="1182" xr:uid="{00000000-0005-0000-0000-00006B030000}"/>
    <cellStyle name="20% - Accent6 4 3" xfId="193" xr:uid="{00000000-0005-0000-0000-00006C030000}"/>
    <cellStyle name="20% - Accent6 4 3 2" xfId="1183" xr:uid="{00000000-0005-0000-0000-00006D030000}"/>
    <cellStyle name="20% - Accent6 4 3 2 2" xfId="2671" xr:uid="{00000000-0005-0000-0000-00006E030000}"/>
    <cellStyle name="20% - Accent6 4 3 3" xfId="2672" xr:uid="{00000000-0005-0000-0000-00006F030000}"/>
    <cellStyle name="20% - Accent6 4 3 3 2" xfId="2673" xr:uid="{00000000-0005-0000-0000-000070030000}"/>
    <cellStyle name="20% - Accent6 4 3 4" xfId="2674" xr:uid="{00000000-0005-0000-0000-000071030000}"/>
    <cellStyle name="20% - Accent6 4 4" xfId="194" xr:uid="{00000000-0005-0000-0000-000072030000}"/>
    <cellStyle name="20% - Accent6 4 4 2" xfId="1184" xr:uid="{00000000-0005-0000-0000-000073030000}"/>
    <cellStyle name="20% - Accent6 4 5" xfId="1185" xr:uid="{00000000-0005-0000-0000-000074030000}"/>
    <cellStyle name="20% - Accent6 4 5 2" xfId="2675" xr:uid="{00000000-0005-0000-0000-000075030000}"/>
    <cellStyle name="20% - Accent6 4 6" xfId="2676" xr:uid="{00000000-0005-0000-0000-000076030000}"/>
    <cellStyle name="20% - Accent6 4_Bdx 1517" xfId="2124" xr:uid="{00000000-0005-0000-0000-000077030000}"/>
    <cellStyle name="20% - Accent6 5" xfId="2061" xr:uid="{00000000-0005-0000-0000-000078030000}"/>
    <cellStyle name="20% - Accent6 5 2" xfId="2677" xr:uid="{00000000-0005-0000-0000-000079030000}"/>
    <cellStyle name="20% - Accent6 5 2 2" xfId="2678" xr:uid="{00000000-0005-0000-0000-00007A030000}"/>
    <cellStyle name="20% - Accent6 5 3" xfId="2679" xr:uid="{00000000-0005-0000-0000-00007B030000}"/>
    <cellStyle name="20% - Accent6 5 3 2" xfId="2680" xr:uid="{00000000-0005-0000-0000-00007C030000}"/>
    <cellStyle name="20% - Accent6 5 4" xfId="2681" xr:uid="{00000000-0005-0000-0000-00007D030000}"/>
    <cellStyle name="20% - Accent6 6" xfId="2682" xr:uid="{00000000-0005-0000-0000-00007E030000}"/>
    <cellStyle name="20% - Accent6 6 2" xfId="2683" xr:uid="{00000000-0005-0000-0000-00007F030000}"/>
    <cellStyle name="20% - Accent6 7" xfId="2684" xr:uid="{00000000-0005-0000-0000-000080030000}"/>
    <cellStyle name="20% - Accent6 7 2" xfId="2685" xr:uid="{00000000-0005-0000-0000-000081030000}"/>
    <cellStyle name="20% - Accent6 8" xfId="2686" xr:uid="{00000000-0005-0000-0000-000082030000}"/>
    <cellStyle name="20% - Accent6_Bordereaux" xfId="2074" xr:uid="{00000000-0005-0000-0000-000083030000}"/>
    <cellStyle name="40 % - Accent1 2" xfId="195" xr:uid="{00000000-0005-0000-0000-000084030000}"/>
    <cellStyle name="40 % - Accent1 2 2" xfId="196" xr:uid="{00000000-0005-0000-0000-000085030000}"/>
    <cellStyle name="40 % - Accent1 2 2 2" xfId="197" xr:uid="{00000000-0005-0000-0000-000086030000}"/>
    <cellStyle name="40 % - Accent1 2 2 2 2" xfId="1186" xr:uid="{00000000-0005-0000-0000-000087030000}"/>
    <cellStyle name="40 % - Accent1 2 2 3" xfId="198" xr:uid="{00000000-0005-0000-0000-000088030000}"/>
    <cellStyle name="40 % - Accent1 2 2 3 2" xfId="1187" xr:uid="{00000000-0005-0000-0000-000089030000}"/>
    <cellStyle name="40 % - Accent1 2 2 4" xfId="1188" xr:uid="{00000000-0005-0000-0000-00008A030000}"/>
    <cellStyle name="40 % - Accent1 2 3" xfId="199" xr:uid="{00000000-0005-0000-0000-00008B030000}"/>
    <cellStyle name="40 % - Accent1 2 3 2" xfId="1189" xr:uid="{00000000-0005-0000-0000-00008C030000}"/>
    <cellStyle name="40 % - Accent1 2 4" xfId="200" xr:uid="{00000000-0005-0000-0000-00008D030000}"/>
    <cellStyle name="40 % - Accent1 2 4 2" xfId="1190" xr:uid="{00000000-0005-0000-0000-00008E030000}"/>
    <cellStyle name="40 % - Accent1 2 5" xfId="1191" xr:uid="{00000000-0005-0000-0000-00008F030000}"/>
    <cellStyle name="40 % - Accent1 2_Premium Estimator" xfId="994" xr:uid="{00000000-0005-0000-0000-000090030000}"/>
    <cellStyle name="40 % - Accent1 3" xfId="201" xr:uid="{00000000-0005-0000-0000-000091030000}"/>
    <cellStyle name="40 % - Accent1 3 2" xfId="202" xr:uid="{00000000-0005-0000-0000-000092030000}"/>
    <cellStyle name="40 % - Accent1 3 2 2" xfId="1192" xr:uid="{00000000-0005-0000-0000-000093030000}"/>
    <cellStyle name="40 % - Accent1 3 3" xfId="203" xr:uid="{00000000-0005-0000-0000-000094030000}"/>
    <cellStyle name="40 % - Accent1 3 3 2" xfId="1193" xr:uid="{00000000-0005-0000-0000-000095030000}"/>
    <cellStyle name="40 % - Accent1 3 4" xfId="1194" xr:uid="{00000000-0005-0000-0000-000096030000}"/>
    <cellStyle name="40 % - Accent1 4" xfId="1195" xr:uid="{00000000-0005-0000-0000-000097030000}"/>
    <cellStyle name="40 % - Accent1 4 2" xfId="2687" xr:uid="{00000000-0005-0000-0000-000098030000}"/>
    <cellStyle name="40 % - Accent1 5" xfId="2688" xr:uid="{00000000-0005-0000-0000-000099030000}"/>
    <cellStyle name="40 % - Accent1 5 2" xfId="2689" xr:uid="{00000000-0005-0000-0000-00009A030000}"/>
    <cellStyle name="40 % - Accent2 2" xfId="204" xr:uid="{00000000-0005-0000-0000-00009B030000}"/>
    <cellStyle name="40 % - Accent2 2 2" xfId="205" xr:uid="{00000000-0005-0000-0000-00009C030000}"/>
    <cellStyle name="40 % - Accent2 2 2 2" xfId="206" xr:uid="{00000000-0005-0000-0000-00009D030000}"/>
    <cellStyle name="40 % - Accent2 2 2 2 2" xfId="1196" xr:uid="{00000000-0005-0000-0000-00009E030000}"/>
    <cellStyle name="40 % - Accent2 2 2 3" xfId="207" xr:uid="{00000000-0005-0000-0000-00009F030000}"/>
    <cellStyle name="40 % - Accent2 2 2 3 2" xfId="1197" xr:uid="{00000000-0005-0000-0000-0000A0030000}"/>
    <cellStyle name="40 % - Accent2 2 2 4" xfId="1198" xr:uid="{00000000-0005-0000-0000-0000A1030000}"/>
    <cellStyle name="40 % - Accent2 2 3" xfId="208" xr:uid="{00000000-0005-0000-0000-0000A2030000}"/>
    <cellStyle name="40 % - Accent2 2 3 2" xfId="1199" xr:uid="{00000000-0005-0000-0000-0000A3030000}"/>
    <cellStyle name="40 % - Accent2 2 4" xfId="209" xr:uid="{00000000-0005-0000-0000-0000A4030000}"/>
    <cellStyle name="40 % - Accent2 2 4 2" xfId="1200" xr:uid="{00000000-0005-0000-0000-0000A5030000}"/>
    <cellStyle name="40 % - Accent2 2 5" xfId="1201" xr:uid="{00000000-0005-0000-0000-0000A6030000}"/>
    <cellStyle name="40 % - Accent2 2_Premium Estimator" xfId="995" xr:uid="{00000000-0005-0000-0000-0000A7030000}"/>
    <cellStyle name="40 % - Accent2 3" xfId="210" xr:uid="{00000000-0005-0000-0000-0000A8030000}"/>
    <cellStyle name="40 % - Accent2 3 2" xfId="211" xr:uid="{00000000-0005-0000-0000-0000A9030000}"/>
    <cellStyle name="40 % - Accent2 3 2 2" xfId="1202" xr:uid="{00000000-0005-0000-0000-0000AA030000}"/>
    <cellStyle name="40 % - Accent2 3 3" xfId="212" xr:uid="{00000000-0005-0000-0000-0000AB030000}"/>
    <cellStyle name="40 % - Accent2 3 3 2" xfId="1203" xr:uid="{00000000-0005-0000-0000-0000AC030000}"/>
    <cellStyle name="40 % - Accent2 3 4" xfId="1204" xr:uid="{00000000-0005-0000-0000-0000AD030000}"/>
    <cellStyle name="40 % - Accent2 4" xfId="1205" xr:uid="{00000000-0005-0000-0000-0000AE030000}"/>
    <cellStyle name="40 % - Accent2 4 2" xfId="2690" xr:uid="{00000000-0005-0000-0000-0000AF030000}"/>
    <cellStyle name="40 % - Accent2 5" xfId="2691" xr:uid="{00000000-0005-0000-0000-0000B0030000}"/>
    <cellStyle name="40 % - Accent2 5 2" xfId="2692" xr:uid="{00000000-0005-0000-0000-0000B1030000}"/>
    <cellStyle name="40 % - Accent3 2" xfId="213" xr:uid="{00000000-0005-0000-0000-0000B2030000}"/>
    <cellStyle name="40 % - Accent3 2 2" xfId="214" xr:uid="{00000000-0005-0000-0000-0000B3030000}"/>
    <cellStyle name="40 % - Accent3 2 2 2" xfId="215" xr:uid="{00000000-0005-0000-0000-0000B4030000}"/>
    <cellStyle name="40 % - Accent3 2 2 2 2" xfId="1206" xr:uid="{00000000-0005-0000-0000-0000B5030000}"/>
    <cellStyle name="40 % - Accent3 2 2 3" xfId="216" xr:uid="{00000000-0005-0000-0000-0000B6030000}"/>
    <cellStyle name="40 % - Accent3 2 2 3 2" xfId="1207" xr:uid="{00000000-0005-0000-0000-0000B7030000}"/>
    <cellStyle name="40 % - Accent3 2 2 4" xfId="1208" xr:uid="{00000000-0005-0000-0000-0000B8030000}"/>
    <cellStyle name="40 % - Accent3 2 3" xfId="217" xr:uid="{00000000-0005-0000-0000-0000B9030000}"/>
    <cellStyle name="40 % - Accent3 2 3 2" xfId="1209" xr:uid="{00000000-0005-0000-0000-0000BA030000}"/>
    <cellStyle name="40 % - Accent3 2 4" xfId="218" xr:uid="{00000000-0005-0000-0000-0000BB030000}"/>
    <cellStyle name="40 % - Accent3 2 4 2" xfId="1210" xr:uid="{00000000-0005-0000-0000-0000BC030000}"/>
    <cellStyle name="40 % - Accent3 2 5" xfId="1211" xr:uid="{00000000-0005-0000-0000-0000BD030000}"/>
    <cellStyle name="40 % - Accent3 2_Premium Estimator" xfId="996" xr:uid="{00000000-0005-0000-0000-0000BE030000}"/>
    <cellStyle name="40 % - Accent3 3" xfId="219" xr:uid="{00000000-0005-0000-0000-0000BF030000}"/>
    <cellStyle name="40 % - Accent3 3 2" xfId="220" xr:uid="{00000000-0005-0000-0000-0000C0030000}"/>
    <cellStyle name="40 % - Accent3 3 2 2" xfId="1212" xr:uid="{00000000-0005-0000-0000-0000C1030000}"/>
    <cellStyle name="40 % - Accent3 3 3" xfId="221" xr:uid="{00000000-0005-0000-0000-0000C2030000}"/>
    <cellStyle name="40 % - Accent3 3 3 2" xfId="1213" xr:uid="{00000000-0005-0000-0000-0000C3030000}"/>
    <cellStyle name="40 % - Accent3 3 4" xfId="1214" xr:uid="{00000000-0005-0000-0000-0000C4030000}"/>
    <cellStyle name="40 % - Accent3 4" xfId="1215" xr:uid="{00000000-0005-0000-0000-0000C5030000}"/>
    <cellStyle name="40 % - Accent3 4 2" xfId="2693" xr:uid="{00000000-0005-0000-0000-0000C6030000}"/>
    <cellStyle name="40 % - Accent3 5" xfId="2694" xr:uid="{00000000-0005-0000-0000-0000C7030000}"/>
    <cellStyle name="40 % - Accent3 5 2" xfId="2695" xr:uid="{00000000-0005-0000-0000-0000C8030000}"/>
    <cellStyle name="40 % - Accent4 2" xfId="222" xr:uid="{00000000-0005-0000-0000-0000C9030000}"/>
    <cellStyle name="40 % - Accent4 2 2" xfId="223" xr:uid="{00000000-0005-0000-0000-0000CA030000}"/>
    <cellStyle name="40 % - Accent4 2 2 2" xfId="224" xr:uid="{00000000-0005-0000-0000-0000CB030000}"/>
    <cellStyle name="40 % - Accent4 2 2 2 2" xfId="1216" xr:uid="{00000000-0005-0000-0000-0000CC030000}"/>
    <cellStyle name="40 % - Accent4 2 2 3" xfId="225" xr:uid="{00000000-0005-0000-0000-0000CD030000}"/>
    <cellStyle name="40 % - Accent4 2 2 3 2" xfId="1217" xr:uid="{00000000-0005-0000-0000-0000CE030000}"/>
    <cellStyle name="40 % - Accent4 2 2 4" xfId="1218" xr:uid="{00000000-0005-0000-0000-0000CF030000}"/>
    <cellStyle name="40 % - Accent4 2 3" xfId="226" xr:uid="{00000000-0005-0000-0000-0000D0030000}"/>
    <cellStyle name="40 % - Accent4 2 3 2" xfId="1219" xr:uid="{00000000-0005-0000-0000-0000D1030000}"/>
    <cellStyle name="40 % - Accent4 2 4" xfId="227" xr:uid="{00000000-0005-0000-0000-0000D2030000}"/>
    <cellStyle name="40 % - Accent4 2 4 2" xfId="1220" xr:uid="{00000000-0005-0000-0000-0000D3030000}"/>
    <cellStyle name="40 % - Accent4 2 5" xfId="1221" xr:uid="{00000000-0005-0000-0000-0000D4030000}"/>
    <cellStyle name="40 % - Accent4 2_Premium Estimator" xfId="997" xr:uid="{00000000-0005-0000-0000-0000D5030000}"/>
    <cellStyle name="40 % - Accent4 3" xfId="228" xr:uid="{00000000-0005-0000-0000-0000D6030000}"/>
    <cellStyle name="40 % - Accent4 3 2" xfId="229" xr:uid="{00000000-0005-0000-0000-0000D7030000}"/>
    <cellStyle name="40 % - Accent4 3 2 2" xfId="1222" xr:uid="{00000000-0005-0000-0000-0000D8030000}"/>
    <cellStyle name="40 % - Accent4 3 3" xfId="230" xr:uid="{00000000-0005-0000-0000-0000D9030000}"/>
    <cellStyle name="40 % - Accent4 3 3 2" xfId="1223" xr:uid="{00000000-0005-0000-0000-0000DA030000}"/>
    <cellStyle name="40 % - Accent4 3 4" xfId="1224" xr:uid="{00000000-0005-0000-0000-0000DB030000}"/>
    <cellStyle name="40 % - Accent4 4" xfId="1225" xr:uid="{00000000-0005-0000-0000-0000DC030000}"/>
    <cellStyle name="40 % - Accent4 4 2" xfId="2696" xr:uid="{00000000-0005-0000-0000-0000DD030000}"/>
    <cellStyle name="40 % - Accent4 5" xfId="2697" xr:uid="{00000000-0005-0000-0000-0000DE030000}"/>
    <cellStyle name="40 % - Accent4 5 2" xfId="2698" xr:uid="{00000000-0005-0000-0000-0000DF030000}"/>
    <cellStyle name="40 % - Accent5 2" xfId="231" xr:uid="{00000000-0005-0000-0000-0000E0030000}"/>
    <cellStyle name="40 % - Accent5 2 2" xfId="232" xr:uid="{00000000-0005-0000-0000-0000E1030000}"/>
    <cellStyle name="40 % - Accent5 2 2 2" xfId="233" xr:uid="{00000000-0005-0000-0000-0000E2030000}"/>
    <cellStyle name="40 % - Accent5 2 2 2 2" xfId="1226" xr:uid="{00000000-0005-0000-0000-0000E3030000}"/>
    <cellStyle name="40 % - Accent5 2 2 3" xfId="234" xr:uid="{00000000-0005-0000-0000-0000E4030000}"/>
    <cellStyle name="40 % - Accent5 2 2 3 2" xfId="1227" xr:uid="{00000000-0005-0000-0000-0000E5030000}"/>
    <cellStyle name="40 % - Accent5 2 2 4" xfId="1228" xr:uid="{00000000-0005-0000-0000-0000E6030000}"/>
    <cellStyle name="40 % - Accent5 2 3" xfId="235" xr:uid="{00000000-0005-0000-0000-0000E7030000}"/>
    <cellStyle name="40 % - Accent5 2 3 2" xfId="1229" xr:uid="{00000000-0005-0000-0000-0000E8030000}"/>
    <cellStyle name="40 % - Accent5 2 4" xfId="236" xr:uid="{00000000-0005-0000-0000-0000E9030000}"/>
    <cellStyle name="40 % - Accent5 2 4 2" xfId="1230" xr:uid="{00000000-0005-0000-0000-0000EA030000}"/>
    <cellStyle name="40 % - Accent5 2 5" xfId="1231" xr:uid="{00000000-0005-0000-0000-0000EB030000}"/>
    <cellStyle name="40 % - Accent5 2_Premium Estimator" xfId="998" xr:uid="{00000000-0005-0000-0000-0000EC030000}"/>
    <cellStyle name="40 % - Accent5 3" xfId="237" xr:uid="{00000000-0005-0000-0000-0000ED030000}"/>
    <cellStyle name="40 % - Accent5 3 2" xfId="238" xr:uid="{00000000-0005-0000-0000-0000EE030000}"/>
    <cellStyle name="40 % - Accent5 3 2 2" xfId="1232" xr:uid="{00000000-0005-0000-0000-0000EF030000}"/>
    <cellStyle name="40 % - Accent5 3 3" xfId="239" xr:uid="{00000000-0005-0000-0000-0000F0030000}"/>
    <cellStyle name="40 % - Accent5 3 3 2" xfId="1233" xr:uid="{00000000-0005-0000-0000-0000F1030000}"/>
    <cellStyle name="40 % - Accent5 3 4" xfId="1234" xr:uid="{00000000-0005-0000-0000-0000F2030000}"/>
    <cellStyle name="40 % - Accent5 4" xfId="1235" xr:uid="{00000000-0005-0000-0000-0000F3030000}"/>
    <cellStyle name="40 % - Accent5 4 2" xfId="2699" xr:uid="{00000000-0005-0000-0000-0000F4030000}"/>
    <cellStyle name="40 % - Accent5 5" xfId="2700" xr:uid="{00000000-0005-0000-0000-0000F5030000}"/>
    <cellStyle name="40 % - Accent5 5 2" xfId="2701" xr:uid="{00000000-0005-0000-0000-0000F6030000}"/>
    <cellStyle name="40 % - Accent6 2" xfId="240" xr:uid="{00000000-0005-0000-0000-0000F7030000}"/>
    <cellStyle name="40 % - Accent6 2 2" xfId="241" xr:uid="{00000000-0005-0000-0000-0000F8030000}"/>
    <cellStyle name="40 % - Accent6 2 2 2" xfId="242" xr:uid="{00000000-0005-0000-0000-0000F9030000}"/>
    <cellStyle name="40 % - Accent6 2 2 2 2" xfId="1236" xr:uid="{00000000-0005-0000-0000-0000FA030000}"/>
    <cellStyle name="40 % - Accent6 2 2 3" xfId="243" xr:uid="{00000000-0005-0000-0000-0000FB030000}"/>
    <cellStyle name="40 % - Accent6 2 2 3 2" xfId="1237" xr:uid="{00000000-0005-0000-0000-0000FC030000}"/>
    <cellStyle name="40 % - Accent6 2 2 4" xfId="1238" xr:uid="{00000000-0005-0000-0000-0000FD030000}"/>
    <cellStyle name="40 % - Accent6 2 3" xfId="244" xr:uid="{00000000-0005-0000-0000-0000FE030000}"/>
    <cellStyle name="40 % - Accent6 2 3 2" xfId="1239" xr:uid="{00000000-0005-0000-0000-0000FF030000}"/>
    <cellStyle name="40 % - Accent6 2 4" xfId="245" xr:uid="{00000000-0005-0000-0000-000000040000}"/>
    <cellStyle name="40 % - Accent6 2 4 2" xfId="1240" xr:uid="{00000000-0005-0000-0000-000001040000}"/>
    <cellStyle name="40 % - Accent6 2 5" xfId="1241" xr:uid="{00000000-0005-0000-0000-000002040000}"/>
    <cellStyle name="40 % - Accent6 2_Premium Estimator" xfId="999" xr:uid="{00000000-0005-0000-0000-000003040000}"/>
    <cellStyle name="40 % - Accent6 3" xfId="246" xr:uid="{00000000-0005-0000-0000-000004040000}"/>
    <cellStyle name="40 % - Accent6 3 2" xfId="247" xr:uid="{00000000-0005-0000-0000-000005040000}"/>
    <cellStyle name="40 % - Accent6 3 2 2" xfId="1242" xr:uid="{00000000-0005-0000-0000-000006040000}"/>
    <cellStyle name="40 % - Accent6 3 3" xfId="248" xr:uid="{00000000-0005-0000-0000-000007040000}"/>
    <cellStyle name="40 % - Accent6 3 3 2" xfId="1243" xr:uid="{00000000-0005-0000-0000-000008040000}"/>
    <cellStyle name="40 % - Accent6 3 4" xfId="1244" xr:uid="{00000000-0005-0000-0000-000009040000}"/>
    <cellStyle name="40 % - Accent6 4" xfId="1245" xr:uid="{00000000-0005-0000-0000-00000A040000}"/>
    <cellStyle name="40 % - Accent6 4 2" xfId="2702" xr:uid="{00000000-0005-0000-0000-00000B040000}"/>
    <cellStyle name="40 % - Accent6 5" xfId="2703" xr:uid="{00000000-0005-0000-0000-00000C040000}"/>
    <cellStyle name="40 % - Accent6 5 2" xfId="2704" xr:uid="{00000000-0005-0000-0000-00000D040000}"/>
    <cellStyle name="40% - Accent1" xfId="2027" xr:uid="{00000000-0005-0000-0000-00000E040000}"/>
    <cellStyle name="40% - Accent1 2" xfId="249" xr:uid="{00000000-0005-0000-0000-00000F040000}"/>
    <cellStyle name="40% - Accent1 2 2" xfId="250" xr:uid="{00000000-0005-0000-0000-000010040000}"/>
    <cellStyle name="40% - Accent1 2 2 2" xfId="251" xr:uid="{00000000-0005-0000-0000-000011040000}"/>
    <cellStyle name="40% - Accent1 2 2 2 2" xfId="1246" xr:uid="{00000000-0005-0000-0000-000012040000}"/>
    <cellStyle name="40% - Accent1 2 2 2 2 2" xfId="2705" xr:uid="{00000000-0005-0000-0000-000013040000}"/>
    <cellStyle name="40% - Accent1 2 2 2 3" xfId="2706" xr:uid="{00000000-0005-0000-0000-000014040000}"/>
    <cellStyle name="40% - Accent1 2 2 2 3 2" xfId="2707" xr:uid="{00000000-0005-0000-0000-000015040000}"/>
    <cellStyle name="40% - Accent1 2 2 2 4" xfId="2708" xr:uid="{00000000-0005-0000-0000-000016040000}"/>
    <cellStyle name="40% - Accent1 2 2 3" xfId="252" xr:uid="{00000000-0005-0000-0000-000017040000}"/>
    <cellStyle name="40% - Accent1 2 2 3 2" xfId="1247" xr:uid="{00000000-0005-0000-0000-000018040000}"/>
    <cellStyle name="40% - Accent1 2 2 3 2 2" xfId="2709" xr:uid="{00000000-0005-0000-0000-000019040000}"/>
    <cellStyle name="40% - Accent1 2 2 3 3" xfId="2710" xr:uid="{00000000-0005-0000-0000-00001A040000}"/>
    <cellStyle name="40% - Accent1 2 2 3 3 2" xfId="2711" xr:uid="{00000000-0005-0000-0000-00001B040000}"/>
    <cellStyle name="40% - Accent1 2 2 3 4" xfId="2712" xr:uid="{00000000-0005-0000-0000-00001C040000}"/>
    <cellStyle name="40% - Accent1 2 2 4" xfId="1248" xr:uid="{00000000-0005-0000-0000-00001D040000}"/>
    <cellStyle name="40% - Accent1 2 2 4 2" xfId="2713" xr:uid="{00000000-0005-0000-0000-00001E040000}"/>
    <cellStyle name="40% - Accent1 2 2 5" xfId="2714" xr:uid="{00000000-0005-0000-0000-00001F040000}"/>
    <cellStyle name="40% - Accent1 2 2 5 2" xfId="2715" xr:uid="{00000000-0005-0000-0000-000020040000}"/>
    <cellStyle name="40% - Accent1 2 2 6" xfId="2716" xr:uid="{00000000-0005-0000-0000-000021040000}"/>
    <cellStyle name="40% - Accent1 2 2_Bdx 1517" xfId="2125" xr:uid="{00000000-0005-0000-0000-000022040000}"/>
    <cellStyle name="40% - Accent1 2 3" xfId="253" xr:uid="{00000000-0005-0000-0000-000023040000}"/>
    <cellStyle name="40% - Accent1 2 3 2" xfId="1249" xr:uid="{00000000-0005-0000-0000-000024040000}"/>
    <cellStyle name="40% - Accent1 2 3 2 2" xfId="2717" xr:uid="{00000000-0005-0000-0000-000025040000}"/>
    <cellStyle name="40% - Accent1 2 3 2 2 2" xfId="2718" xr:uid="{00000000-0005-0000-0000-000026040000}"/>
    <cellStyle name="40% - Accent1 2 3 2 3" xfId="2719" xr:uid="{00000000-0005-0000-0000-000027040000}"/>
    <cellStyle name="40% - Accent1 2 3 2 3 2" xfId="2720" xr:uid="{00000000-0005-0000-0000-000028040000}"/>
    <cellStyle name="40% - Accent1 2 3 2 4" xfId="2721" xr:uid="{00000000-0005-0000-0000-000029040000}"/>
    <cellStyle name="40% - Accent1 2 3 3" xfId="2126" xr:uid="{00000000-0005-0000-0000-00002A040000}"/>
    <cellStyle name="40% - Accent1 2 3 3 2" xfId="2722" xr:uid="{00000000-0005-0000-0000-00002B040000}"/>
    <cellStyle name="40% - Accent1 2 3 3 2 2" xfId="2723" xr:uid="{00000000-0005-0000-0000-00002C040000}"/>
    <cellStyle name="40% - Accent1 2 3 3 3" xfId="2724" xr:uid="{00000000-0005-0000-0000-00002D040000}"/>
    <cellStyle name="40% - Accent1 2 3 3 3 2" xfId="2725" xr:uid="{00000000-0005-0000-0000-00002E040000}"/>
    <cellStyle name="40% - Accent1 2 3 3 4" xfId="2726" xr:uid="{00000000-0005-0000-0000-00002F040000}"/>
    <cellStyle name="40% - Accent1 2 3 4" xfId="2727" xr:uid="{00000000-0005-0000-0000-000030040000}"/>
    <cellStyle name="40% - Accent1 2 3 4 2" xfId="2728" xr:uid="{00000000-0005-0000-0000-000031040000}"/>
    <cellStyle name="40% - Accent1 2 3 5" xfId="2729" xr:uid="{00000000-0005-0000-0000-000032040000}"/>
    <cellStyle name="40% - Accent1 2 3 5 2" xfId="2730" xr:uid="{00000000-0005-0000-0000-000033040000}"/>
    <cellStyle name="40% - Accent1 2 3 6" xfId="2731" xr:uid="{00000000-0005-0000-0000-000034040000}"/>
    <cellStyle name="40% - Accent1 2 3_Bdx 1517" xfId="2127" xr:uid="{00000000-0005-0000-0000-000035040000}"/>
    <cellStyle name="40% - Accent1 2 4" xfId="254" xr:uid="{00000000-0005-0000-0000-000036040000}"/>
    <cellStyle name="40% - Accent1 2 4 2" xfId="1250" xr:uid="{00000000-0005-0000-0000-000037040000}"/>
    <cellStyle name="40% - Accent1 2 4 2 2" xfId="2732" xr:uid="{00000000-0005-0000-0000-000038040000}"/>
    <cellStyle name="40% - Accent1 2 4 3" xfId="2733" xr:uid="{00000000-0005-0000-0000-000039040000}"/>
    <cellStyle name="40% - Accent1 2 4 3 2" xfId="2734" xr:uid="{00000000-0005-0000-0000-00003A040000}"/>
    <cellStyle name="40% - Accent1 2 4 4" xfId="2735" xr:uid="{00000000-0005-0000-0000-00003B040000}"/>
    <cellStyle name="40% - Accent1 2 5" xfId="1251" xr:uid="{00000000-0005-0000-0000-00003C040000}"/>
    <cellStyle name="40% - Accent1 2 5 2" xfId="2736" xr:uid="{00000000-0005-0000-0000-00003D040000}"/>
    <cellStyle name="40% - Accent1 2 5 2 2" xfId="2737" xr:uid="{00000000-0005-0000-0000-00003E040000}"/>
    <cellStyle name="40% - Accent1 2 5 3" xfId="2738" xr:uid="{00000000-0005-0000-0000-00003F040000}"/>
    <cellStyle name="40% - Accent1 2 5 3 2" xfId="2739" xr:uid="{00000000-0005-0000-0000-000040040000}"/>
    <cellStyle name="40% - Accent1 2 5 4" xfId="2740" xr:uid="{00000000-0005-0000-0000-000041040000}"/>
    <cellStyle name="40% - Accent1 2 6" xfId="2741" xr:uid="{00000000-0005-0000-0000-000042040000}"/>
    <cellStyle name="40% - Accent1 2 6 2" xfId="2742" xr:uid="{00000000-0005-0000-0000-000043040000}"/>
    <cellStyle name="40% - Accent1 2 7" xfId="2743" xr:uid="{00000000-0005-0000-0000-000044040000}"/>
    <cellStyle name="40% - Accent1 2 7 2" xfId="2744" xr:uid="{00000000-0005-0000-0000-000045040000}"/>
    <cellStyle name="40% - Accent1 2 8" xfId="2745" xr:uid="{00000000-0005-0000-0000-000046040000}"/>
    <cellStyle name="40% - Accent1 2_Bdx 1517" xfId="2128" xr:uid="{00000000-0005-0000-0000-000047040000}"/>
    <cellStyle name="40% - Accent1 3" xfId="255" xr:uid="{00000000-0005-0000-0000-000048040000}"/>
    <cellStyle name="40% - Accent1 3 2" xfId="256" xr:uid="{00000000-0005-0000-0000-000049040000}"/>
    <cellStyle name="40% - Accent1 3 2 2" xfId="257" xr:uid="{00000000-0005-0000-0000-00004A040000}"/>
    <cellStyle name="40% - Accent1 3 2 2 2" xfId="1252" xr:uid="{00000000-0005-0000-0000-00004B040000}"/>
    <cellStyle name="40% - Accent1 3 2 2 2 2" xfId="2746" xr:uid="{00000000-0005-0000-0000-00004C040000}"/>
    <cellStyle name="40% - Accent1 3 2 2 3" xfId="2747" xr:uid="{00000000-0005-0000-0000-00004D040000}"/>
    <cellStyle name="40% - Accent1 3 2 2 3 2" xfId="2748" xr:uid="{00000000-0005-0000-0000-00004E040000}"/>
    <cellStyle name="40% - Accent1 3 2 2 4" xfId="2749" xr:uid="{00000000-0005-0000-0000-00004F040000}"/>
    <cellStyle name="40% - Accent1 3 2 3" xfId="258" xr:uid="{00000000-0005-0000-0000-000050040000}"/>
    <cellStyle name="40% - Accent1 3 2 3 2" xfId="1253" xr:uid="{00000000-0005-0000-0000-000051040000}"/>
    <cellStyle name="40% - Accent1 3 2 3 2 2" xfId="2750" xr:uid="{00000000-0005-0000-0000-000052040000}"/>
    <cellStyle name="40% - Accent1 3 2 3 3" xfId="2751" xr:uid="{00000000-0005-0000-0000-000053040000}"/>
    <cellStyle name="40% - Accent1 3 2 3 3 2" xfId="2752" xr:uid="{00000000-0005-0000-0000-000054040000}"/>
    <cellStyle name="40% - Accent1 3 2 3 4" xfId="2753" xr:uid="{00000000-0005-0000-0000-000055040000}"/>
    <cellStyle name="40% - Accent1 3 2 4" xfId="1254" xr:uid="{00000000-0005-0000-0000-000056040000}"/>
    <cellStyle name="40% - Accent1 3 2 4 2" xfId="2754" xr:uid="{00000000-0005-0000-0000-000057040000}"/>
    <cellStyle name="40% - Accent1 3 2 5" xfId="2755" xr:uid="{00000000-0005-0000-0000-000058040000}"/>
    <cellStyle name="40% - Accent1 3 2 5 2" xfId="2756" xr:uid="{00000000-0005-0000-0000-000059040000}"/>
    <cellStyle name="40% - Accent1 3 2 6" xfId="2757" xr:uid="{00000000-0005-0000-0000-00005A040000}"/>
    <cellStyle name="40% - Accent1 3 2_Bdx 1517" xfId="2129" xr:uid="{00000000-0005-0000-0000-00005B040000}"/>
    <cellStyle name="40% - Accent1 3 3" xfId="259" xr:uid="{00000000-0005-0000-0000-00005C040000}"/>
    <cellStyle name="40% - Accent1 3 3 2" xfId="1255" xr:uid="{00000000-0005-0000-0000-00005D040000}"/>
    <cellStyle name="40% - Accent1 3 3 2 2" xfId="2758" xr:uid="{00000000-0005-0000-0000-00005E040000}"/>
    <cellStyle name="40% - Accent1 3 3 3" xfId="2759" xr:uid="{00000000-0005-0000-0000-00005F040000}"/>
    <cellStyle name="40% - Accent1 3 3 3 2" xfId="2760" xr:uid="{00000000-0005-0000-0000-000060040000}"/>
    <cellStyle name="40% - Accent1 3 3 4" xfId="2761" xr:uid="{00000000-0005-0000-0000-000061040000}"/>
    <cellStyle name="40% - Accent1 3 4" xfId="260" xr:uid="{00000000-0005-0000-0000-000062040000}"/>
    <cellStyle name="40% - Accent1 3 4 2" xfId="1256" xr:uid="{00000000-0005-0000-0000-000063040000}"/>
    <cellStyle name="40% - Accent1 3 4 2 2" xfId="2762" xr:uid="{00000000-0005-0000-0000-000064040000}"/>
    <cellStyle name="40% - Accent1 3 4 3" xfId="2763" xr:uid="{00000000-0005-0000-0000-000065040000}"/>
    <cellStyle name="40% - Accent1 3 4 3 2" xfId="2764" xr:uid="{00000000-0005-0000-0000-000066040000}"/>
    <cellStyle name="40% - Accent1 3 4 4" xfId="2765" xr:uid="{00000000-0005-0000-0000-000067040000}"/>
    <cellStyle name="40% - Accent1 3 5" xfId="1257" xr:uid="{00000000-0005-0000-0000-000068040000}"/>
    <cellStyle name="40% - Accent1 3 5 2" xfId="2766" xr:uid="{00000000-0005-0000-0000-000069040000}"/>
    <cellStyle name="40% - Accent1 3 6" xfId="2767" xr:uid="{00000000-0005-0000-0000-00006A040000}"/>
    <cellStyle name="40% - Accent1 3 6 2" xfId="2768" xr:uid="{00000000-0005-0000-0000-00006B040000}"/>
    <cellStyle name="40% - Accent1 3 7" xfId="2769" xr:uid="{00000000-0005-0000-0000-00006C040000}"/>
    <cellStyle name="40% - Accent1 3_Bdx 1517" xfId="2130" xr:uid="{00000000-0005-0000-0000-00006D040000}"/>
    <cellStyle name="40% - Accent1 4" xfId="261" xr:uid="{00000000-0005-0000-0000-00006E040000}"/>
    <cellStyle name="40% - Accent1 4 2" xfId="262" xr:uid="{00000000-0005-0000-0000-00006F040000}"/>
    <cellStyle name="40% - Accent1 4 2 2" xfId="263" xr:uid="{00000000-0005-0000-0000-000070040000}"/>
    <cellStyle name="40% - Accent1 4 2 2 2" xfId="1258" xr:uid="{00000000-0005-0000-0000-000071040000}"/>
    <cellStyle name="40% - Accent1 4 2 3" xfId="264" xr:uid="{00000000-0005-0000-0000-000072040000}"/>
    <cellStyle name="40% - Accent1 4 2 3 2" xfId="1259" xr:uid="{00000000-0005-0000-0000-000073040000}"/>
    <cellStyle name="40% - Accent1 4 2 4" xfId="1260" xr:uid="{00000000-0005-0000-0000-000074040000}"/>
    <cellStyle name="40% - Accent1 4 3" xfId="265" xr:uid="{00000000-0005-0000-0000-000075040000}"/>
    <cellStyle name="40% - Accent1 4 3 2" xfId="1261" xr:uid="{00000000-0005-0000-0000-000076040000}"/>
    <cellStyle name="40% - Accent1 4 3 2 2" xfId="2770" xr:uid="{00000000-0005-0000-0000-000077040000}"/>
    <cellStyle name="40% - Accent1 4 3 3" xfId="2771" xr:uid="{00000000-0005-0000-0000-000078040000}"/>
    <cellStyle name="40% - Accent1 4 3 3 2" xfId="2772" xr:uid="{00000000-0005-0000-0000-000079040000}"/>
    <cellStyle name="40% - Accent1 4 3 4" xfId="2773" xr:uid="{00000000-0005-0000-0000-00007A040000}"/>
    <cellStyle name="40% - Accent1 4 4" xfId="266" xr:uid="{00000000-0005-0000-0000-00007B040000}"/>
    <cellStyle name="40% - Accent1 4 4 2" xfId="1262" xr:uid="{00000000-0005-0000-0000-00007C040000}"/>
    <cellStyle name="40% - Accent1 4 5" xfId="1263" xr:uid="{00000000-0005-0000-0000-00007D040000}"/>
    <cellStyle name="40% - Accent1 4 5 2" xfId="2774" xr:uid="{00000000-0005-0000-0000-00007E040000}"/>
    <cellStyle name="40% - Accent1 4 6" xfId="2775" xr:uid="{00000000-0005-0000-0000-00007F040000}"/>
    <cellStyle name="40% - Accent1 4_Bdx 1517" xfId="2131" xr:uid="{00000000-0005-0000-0000-000080040000}"/>
    <cellStyle name="40% - Accent1 5" xfId="2062" xr:uid="{00000000-0005-0000-0000-000081040000}"/>
    <cellStyle name="40% - Accent1 5 2" xfId="2776" xr:uid="{00000000-0005-0000-0000-000082040000}"/>
    <cellStyle name="40% - Accent1 5 2 2" xfId="2777" xr:uid="{00000000-0005-0000-0000-000083040000}"/>
    <cellStyle name="40% - Accent1 5 3" xfId="2778" xr:uid="{00000000-0005-0000-0000-000084040000}"/>
    <cellStyle name="40% - Accent1 5 3 2" xfId="2779" xr:uid="{00000000-0005-0000-0000-000085040000}"/>
    <cellStyle name="40% - Accent1 5 4" xfId="2780" xr:uid="{00000000-0005-0000-0000-000086040000}"/>
    <cellStyle name="40% - Accent1 6" xfId="2781" xr:uid="{00000000-0005-0000-0000-000087040000}"/>
    <cellStyle name="40% - Accent1 6 2" xfId="2782" xr:uid="{00000000-0005-0000-0000-000088040000}"/>
    <cellStyle name="40% - Accent1 7" xfId="2783" xr:uid="{00000000-0005-0000-0000-000089040000}"/>
    <cellStyle name="40% - Accent1 7 2" xfId="2784" xr:uid="{00000000-0005-0000-0000-00008A040000}"/>
    <cellStyle name="40% - Accent1 8" xfId="2785" xr:uid="{00000000-0005-0000-0000-00008B040000}"/>
    <cellStyle name="40% - Accent1_Bordereaux" xfId="2075" xr:uid="{00000000-0005-0000-0000-00008C040000}"/>
    <cellStyle name="40% - Accent2" xfId="2028" xr:uid="{00000000-0005-0000-0000-00008D040000}"/>
    <cellStyle name="40% - Accent2 2" xfId="267" xr:uid="{00000000-0005-0000-0000-00008E040000}"/>
    <cellStyle name="40% - Accent2 2 2" xfId="268" xr:uid="{00000000-0005-0000-0000-00008F040000}"/>
    <cellStyle name="40% - Accent2 2 2 2" xfId="269" xr:uid="{00000000-0005-0000-0000-000090040000}"/>
    <cellStyle name="40% - Accent2 2 2 2 2" xfId="1264" xr:uid="{00000000-0005-0000-0000-000091040000}"/>
    <cellStyle name="40% - Accent2 2 2 2 2 2" xfId="2786" xr:uid="{00000000-0005-0000-0000-000092040000}"/>
    <cellStyle name="40% - Accent2 2 2 2 3" xfId="2787" xr:uid="{00000000-0005-0000-0000-000093040000}"/>
    <cellStyle name="40% - Accent2 2 2 2 3 2" xfId="2788" xr:uid="{00000000-0005-0000-0000-000094040000}"/>
    <cellStyle name="40% - Accent2 2 2 2 4" xfId="2789" xr:uid="{00000000-0005-0000-0000-000095040000}"/>
    <cellStyle name="40% - Accent2 2 2 3" xfId="270" xr:uid="{00000000-0005-0000-0000-000096040000}"/>
    <cellStyle name="40% - Accent2 2 2 3 2" xfId="1265" xr:uid="{00000000-0005-0000-0000-000097040000}"/>
    <cellStyle name="40% - Accent2 2 2 3 2 2" xfId="2790" xr:uid="{00000000-0005-0000-0000-000098040000}"/>
    <cellStyle name="40% - Accent2 2 2 3 3" xfId="2791" xr:uid="{00000000-0005-0000-0000-000099040000}"/>
    <cellStyle name="40% - Accent2 2 2 3 3 2" xfId="2792" xr:uid="{00000000-0005-0000-0000-00009A040000}"/>
    <cellStyle name="40% - Accent2 2 2 3 4" xfId="2793" xr:uid="{00000000-0005-0000-0000-00009B040000}"/>
    <cellStyle name="40% - Accent2 2 2 4" xfId="1266" xr:uid="{00000000-0005-0000-0000-00009C040000}"/>
    <cellStyle name="40% - Accent2 2 2 4 2" xfId="2794" xr:uid="{00000000-0005-0000-0000-00009D040000}"/>
    <cellStyle name="40% - Accent2 2 2 5" xfId="2795" xr:uid="{00000000-0005-0000-0000-00009E040000}"/>
    <cellStyle name="40% - Accent2 2 2 5 2" xfId="2796" xr:uid="{00000000-0005-0000-0000-00009F040000}"/>
    <cellStyle name="40% - Accent2 2 2 6" xfId="2797" xr:uid="{00000000-0005-0000-0000-0000A0040000}"/>
    <cellStyle name="40% - Accent2 2 2_Bdx 1517" xfId="2132" xr:uid="{00000000-0005-0000-0000-0000A1040000}"/>
    <cellStyle name="40% - Accent2 2 3" xfId="271" xr:uid="{00000000-0005-0000-0000-0000A2040000}"/>
    <cellStyle name="40% - Accent2 2 3 2" xfId="1267" xr:uid="{00000000-0005-0000-0000-0000A3040000}"/>
    <cellStyle name="40% - Accent2 2 3 2 2" xfId="2798" xr:uid="{00000000-0005-0000-0000-0000A4040000}"/>
    <cellStyle name="40% - Accent2 2 3 2 2 2" xfId="2799" xr:uid="{00000000-0005-0000-0000-0000A5040000}"/>
    <cellStyle name="40% - Accent2 2 3 2 3" xfId="2800" xr:uid="{00000000-0005-0000-0000-0000A6040000}"/>
    <cellStyle name="40% - Accent2 2 3 2 3 2" xfId="2801" xr:uid="{00000000-0005-0000-0000-0000A7040000}"/>
    <cellStyle name="40% - Accent2 2 3 2 4" xfId="2802" xr:uid="{00000000-0005-0000-0000-0000A8040000}"/>
    <cellStyle name="40% - Accent2 2 3 3" xfId="2133" xr:uid="{00000000-0005-0000-0000-0000A9040000}"/>
    <cellStyle name="40% - Accent2 2 3 3 2" xfId="2803" xr:uid="{00000000-0005-0000-0000-0000AA040000}"/>
    <cellStyle name="40% - Accent2 2 3 3 2 2" xfId="2804" xr:uid="{00000000-0005-0000-0000-0000AB040000}"/>
    <cellStyle name="40% - Accent2 2 3 3 3" xfId="2805" xr:uid="{00000000-0005-0000-0000-0000AC040000}"/>
    <cellStyle name="40% - Accent2 2 3 3 3 2" xfId="2806" xr:uid="{00000000-0005-0000-0000-0000AD040000}"/>
    <cellStyle name="40% - Accent2 2 3 3 4" xfId="2807" xr:uid="{00000000-0005-0000-0000-0000AE040000}"/>
    <cellStyle name="40% - Accent2 2 3 4" xfId="2808" xr:uid="{00000000-0005-0000-0000-0000AF040000}"/>
    <cellStyle name="40% - Accent2 2 3 4 2" xfId="2809" xr:uid="{00000000-0005-0000-0000-0000B0040000}"/>
    <cellStyle name="40% - Accent2 2 3 5" xfId="2810" xr:uid="{00000000-0005-0000-0000-0000B1040000}"/>
    <cellStyle name="40% - Accent2 2 3 5 2" xfId="2811" xr:uid="{00000000-0005-0000-0000-0000B2040000}"/>
    <cellStyle name="40% - Accent2 2 3 6" xfId="2812" xr:uid="{00000000-0005-0000-0000-0000B3040000}"/>
    <cellStyle name="40% - Accent2 2 3_Bdx 1517" xfId="2134" xr:uid="{00000000-0005-0000-0000-0000B4040000}"/>
    <cellStyle name="40% - Accent2 2 4" xfId="272" xr:uid="{00000000-0005-0000-0000-0000B5040000}"/>
    <cellStyle name="40% - Accent2 2 4 2" xfId="1268" xr:uid="{00000000-0005-0000-0000-0000B6040000}"/>
    <cellStyle name="40% - Accent2 2 4 2 2" xfId="2813" xr:uid="{00000000-0005-0000-0000-0000B7040000}"/>
    <cellStyle name="40% - Accent2 2 4 3" xfId="2814" xr:uid="{00000000-0005-0000-0000-0000B8040000}"/>
    <cellStyle name="40% - Accent2 2 4 3 2" xfId="2815" xr:uid="{00000000-0005-0000-0000-0000B9040000}"/>
    <cellStyle name="40% - Accent2 2 4 4" xfId="2816" xr:uid="{00000000-0005-0000-0000-0000BA040000}"/>
    <cellStyle name="40% - Accent2 2 5" xfId="1269" xr:uid="{00000000-0005-0000-0000-0000BB040000}"/>
    <cellStyle name="40% - Accent2 2 5 2" xfId="2817" xr:uid="{00000000-0005-0000-0000-0000BC040000}"/>
    <cellStyle name="40% - Accent2 2 5 2 2" xfId="2818" xr:uid="{00000000-0005-0000-0000-0000BD040000}"/>
    <cellStyle name="40% - Accent2 2 5 3" xfId="2819" xr:uid="{00000000-0005-0000-0000-0000BE040000}"/>
    <cellStyle name="40% - Accent2 2 5 3 2" xfId="2820" xr:uid="{00000000-0005-0000-0000-0000BF040000}"/>
    <cellStyle name="40% - Accent2 2 5 4" xfId="2821" xr:uid="{00000000-0005-0000-0000-0000C0040000}"/>
    <cellStyle name="40% - Accent2 2 6" xfId="2822" xr:uid="{00000000-0005-0000-0000-0000C1040000}"/>
    <cellStyle name="40% - Accent2 2 6 2" xfId="2823" xr:uid="{00000000-0005-0000-0000-0000C2040000}"/>
    <cellStyle name="40% - Accent2 2 7" xfId="2824" xr:uid="{00000000-0005-0000-0000-0000C3040000}"/>
    <cellStyle name="40% - Accent2 2 7 2" xfId="2825" xr:uid="{00000000-0005-0000-0000-0000C4040000}"/>
    <cellStyle name="40% - Accent2 2 8" xfId="2826" xr:uid="{00000000-0005-0000-0000-0000C5040000}"/>
    <cellStyle name="40% - Accent2 2_Bdx 1517" xfId="2135" xr:uid="{00000000-0005-0000-0000-0000C6040000}"/>
    <cellStyle name="40% - Accent2 3" xfId="273" xr:uid="{00000000-0005-0000-0000-0000C7040000}"/>
    <cellStyle name="40% - Accent2 3 2" xfId="274" xr:uid="{00000000-0005-0000-0000-0000C8040000}"/>
    <cellStyle name="40% - Accent2 3 2 2" xfId="275" xr:uid="{00000000-0005-0000-0000-0000C9040000}"/>
    <cellStyle name="40% - Accent2 3 2 2 2" xfId="1270" xr:uid="{00000000-0005-0000-0000-0000CA040000}"/>
    <cellStyle name="40% - Accent2 3 2 2 2 2" xfId="2827" xr:uid="{00000000-0005-0000-0000-0000CB040000}"/>
    <cellStyle name="40% - Accent2 3 2 2 3" xfId="2828" xr:uid="{00000000-0005-0000-0000-0000CC040000}"/>
    <cellStyle name="40% - Accent2 3 2 2 3 2" xfId="2829" xr:uid="{00000000-0005-0000-0000-0000CD040000}"/>
    <cellStyle name="40% - Accent2 3 2 2 4" xfId="2830" xr:uid="{00000000-0005-0000-0000-0000CE040000}"/>
    <cellStyle name="40% - Accent2 3 2 3" xfId="276" xr:uid="{00000000-0005-0000-0000-0000CF040000}"/>
    <cellStyle name="40% - Accent2 3 2 3 2" xfId="1271" xr:uid="{00000000-0005-0000-0000-0000D0040000}"/>
    <cellStyle name="40% - Accent2 3 2 3 2 2" xfId="2831" xr:uid="{00000000-0005-0000-0000-0000D1040000}"/>
    <cellStyle name="40% - Accent2 3 2 3 3" xfId="2832" xr:uid="{00000000-0005-0000-0000-0000D2040000}"/>
    <cellStyle name="40% - Accent2 3 2 3 3 2" xfId="2833" xr:uid="{00000000-0005-0000-0000-0000D3040000}"/>
    <cellStyle name="40% - Accent2 3 2 3 4" xfId="2834" xr:uid="{00000000-0005-0000-0000-0000D4040000}"/>
    <cellStyle name="40% - Accent2 3 2 4" xfId="1272" xr:uid="{00000000-0005-0000-0000-0000D5040000}"/>
    <cellStyle name="40% - Accent2 3 2 4 2" xfId="2835" xr:uid="{00000000-0005-0000-0000-0000D6040000}"/>
    <cellStyle name="40% - Accent2 3 2 5" xfId="2836" xr:uid="{00000000-0005-0000-0000-0000D7040000}"/>
    <cellStyle name="40% - Accent2 3 2 5 2" xfId="2837" xr:uid="{00000000-0005-0000-0000-0000D8040000}"/>
    <cellStyle name="40% - Accent2 3 2 6" xfId="2838" xr:uid="{00000000-0005-0000-0000-0000D9040000}"/>
    <cellStyle name="40% - Accent2 3 2_Bdx 1517" xfId="2136" xr:uid="{00000000-0005-0000-0000-0000DA040000}"/>
    <cellStyle name="40% - Accent2 3 3" xfId="277" xr:uid="{00000000-0005-0000-0000-0000DB040000}"/>
    <cellStyle name="40% - Accent2 3 3 2" xfId="1273" xr:uid="{00000000-0005-0000-0000-0000DC040000}"/>
    <cellStyle name="40% - Accent2 3 3 2 2" xfId="2839" xr:uid="{00000000-0005-0000-0000-0000DD040000}"/>
    <cellStyle name="40% - Accent2 3 3 3" xfId="2840" xr:uid="{00000000-0005-0000-0000-0000DE040000}"/>
    <cellStyle name="40% - Accent2 3 3 3 2" xfId="2841" xr:uid="{00000000-0005-0000-0000-0000DF040000}"/>
    <cellStyle name="40% - Accent2 3 3 4" xfId="2842" xr:uid="{00000000-0005-0000-0000-0000E0040000}"/>
    <cellStyle name="40% - Accent2 3 4" xfId="278" xr:uid="{00000000-0005-0000-0000-0000E1040000}"/>
    <cellStyle name="40% - Accent2 3 4 2" xfId="1274" xr:uid="{00000000-0005-0000-0000-0000E2040000}"/>
    <cellStyle name="40% - Accent2 3 4 2 2" xfId="2843" xr:uid="{00000000-0005-0000-0000-0000E3040000}"/>
    <cellStyle name="40% - Accent2 3 4 3" xfId="2844" xr:uid="{00000000-0005-0000-0000-0000E4040000}"/>
    <cellStyle name="40% - Accent2 3 4 3 2" xfId="2845" xr:uid="{00000000-0005-0000-0000-0000E5040000}"/>
    <cellStyle name="40% - Accent2 3 4 4" xfId="2846" xr:uid="{00000000-0005-0000-0000-0000E6040000}"/>
    <cellStyle name="40% - Accent2 3 5" xfId="1275" xr:uid="{00000000-0005-0000-0000-0000E7040000}"/>
    <cellStyle name="40% - Accent2 3 5 2" xfId="2847" xr:uid="{00000000-0005-0000-0000-0000E8040000}"/>
    <cellStyle name="40% - Accent2 3 6" xfId="2848" xr:uid="{00000000-0005-0000-0000-0000E9040000}"/>
    <cellStyle name="40% - Accent2 3 6 2" xfId="2849" xr:uid="{00000000-0005-0000-0000-0000EA040000}"/>
    <cellStyle name="40% - Accent2 3 7" xfId="2850" xr:uid="{00000000-0005-0000-0000-0000EB040000}"/>
    <cellStyle name="40% - Accent2 3_Bdx 1517" xfId="2137" xr:uid="{00000000-0005-0000-0000-0000EC040000}"/>
    <cellStyle name="40% - Accent2 4" xfId="279" xr:uid="{00000000-0005-0000-0000-0000ED040000}"/>
    <cellStyle name="40% - Accent2 4 2" xfId="280" xr:uid="{00000000-0005-0000-0000-0000EE040000}"/>
    <cellStyle name="40% - Accent2 4 2 2" xfId="281" xr:uid="{00000000-0005-0000-0000-0000EF040000}"/>
    <cellStyle name="40% - Accent2 4 2 2 2" xfId="1276" xr:uid="{00000000-0005-0000-0000-0000F0040000}"/>
    <cellStyle name="40% - Accent2 4 2 3" xfId="282" xr:uid="{00000000-0005-0000-0000-0000F1040000}"/>
    <cellStyle name="40% - Accent2 4 2 3 2" xfId="1277" xr:uid="{00000000-0005-0000-0000-0000F2040000}"/>
    <cellStyle name="40% - Accent2 4 2 4" xfId="1278" xr:uid="{00000000-0005-0000-0000-0000F3040000}"/>
    <cellStyle name="40% - Accent2 4 3" xfId="283" xr:uid="{00000000-0005-0000-0000-0000F4040000}"/>
    <cellStyle name="40% - Accent2 4 3 2" xfId="1279" xr:uid="{00000000-0005-0000-0000-0000F5040000}"/>
    <cellStyle name="40% - Accent2 4 3 2 2" xfId="2851" xr:uid="{00000000-0005-0000-0000-0000F6040000}"/>
    <cellStyle name="40% - Accent2 4 3 3" xfId="2852" xr:uid="{00000000-0005-0000-0000-0000F7040000}"/>
    <cellStyle name="40% - Accent2 4 3 3 2" xfId="2853" xr:uid="{00000000-0005-0000-0000-0000F8040000}"/>
    <cellStyle name="40% - Accent2 4 3 4" xfId="2854" xr:uid="{00000000-0005-0000-0000-0000F9040000}"/>
    <cellStyle name="40% - Accent2 4 4" xfId="284" xr:uid="{00000000-0005-0000-0000-0000FA040000}"/>
    <cellStyle name="40% - Accent2 4 4 2" xfId="1280" xr:uid="{00000000-0005-0000-0000-0000FB040000}"/>
    <cellStyle name="40% - Accent2 4 5" xfId="1281" xr:uid="{00000000-0005-0000-0000-0000FC040000}"/>
    <cellStyle name="40% - Accent2 4 5 2" xfId="2855" xr:uid="{00000000-0005-0000-0000-0000FD040000}"/>
    <cellStyle name="40% - Accent2 4 6" xfId="2856" xr:uid="{00000000-0005-0000-0000-0000FE040000}"/>
    <cellStyle name="40% - Accent2 4_Bdx 1517" xfId="2138" xr:uid="{00000000-0005-0000-0000-0000FF040000}"/>
    <cellStyle name="40% - Accent2 5" xfId="2063" xr:uid="{00000000-0005-0000-0000-000000050000}"/>
    <cellStyle name="40% - Accent2 5 2" xfId="2857" xr:uid="{00000000-0005-0000-0000-000001050000}"/>
    <cellStyle name="40% - Accent2 5 2 2" xfId="2858" xr:uid="{00000000-0005-0000-0000-000002050000}"/>
    <cellStyle name="40% - Accent2 5 3" xfId="2859" xr:uid="{00000000-0005-0000-0000-000003050000}"/>
    <cellStyle name="40% - Accent2 5 3 2" xfId="2860" xr:uid="{00000000-0005-0000-0000-000004050000}"/>
    <cellStyle name="40% - Accent2 5 4" xfId="2861" xr:uid="{00000000-0005-0000-0000-000005050000}"/>
    <cellStyle name="40% - Accent2 6" xfId="2862" xr:uid="{00000000-0005-0000-0000-000006050000}"/>
    <cellStyle name="40% - Accent2 6 2" xfId="2863" xr:uid="{00000000-0005-0000-0000-000007050000}"/>
    <cellStyle name="40% - Accent2 7" xfId="2864" xr:uid="{00000000-0005-0000-0000-000008050000}"/>
    <cellStyle name="40% - Accent2 7 2" xfId="2865" xr:uid="{00000000-0005-0000-0000-000009050000}"/>
    <cellStyle name="40% - Accent2 8" xfId="2866" xr:uid="{00000000-0005-0000-0000-00000A050000}"/>
    <cellStyle name="40% - Accent2_Bordereaux" xfId="2076" xr:uid="{00000000-0005-0000-0000-00000B050000}"/>
    <cellStyle name="40% - Accent3" xfId="2029" xr:uid="{00000000-0005-0000-0000-00000C050000}"/>
    <cellStyle name="40% - Accent3 2" xfId="285" xr:uid="{00000000-0005-0000-0000-00000D050000}"/>
    <cellStyle name="40% - Accent3 2 2" xfId="286" xr:uid="{00000000-0005-0000-0000-00000E050000}"/>
    <cellStyle name="40% - Accent3 2 2 2" xfId="287" xr:uid="{00000000-0005-0000-0000-00000F050000}"/>
    <cellStyle name="40% - Accent3 2 2 2 2" xfId="1282" xr:uid="{00000000-0005-0000-0000-000010050000}"/>
    <cellStyle name="40% - Accent3 2 2 2 2 2" xfId="2867" xr:uid="{00000000-0005-0000-0000-000011050000}"/>
    <cellStyle name="40% - Accent3 2 2 2 3" xfId="2868" xr:uid="{00000000-0005-0000-0000-000012050000}"/>
    <cellStyle name="40% - Accent3 2 2 2 3 2" xfId="2869" xr:uid="{00000000-0005-0000-0000-000013050000}"/>
    <cellStyle name="40% - Accent3 2 2 2 4" xfId="2870" xr:uid="{00000000-0005-0000-0000-000014050000}"/>
    <cellStyle name="40% - Accent3 2 2 3" xfId="288" xr:uid="{00000000-0005-0000-0000-000015050000}"/>
    <cellStyle name="40% - Accent3 2 2 3 2" xfId="1283" xr:uid="{00000000-0005-0000-0000-000016050000}"/>
    <cellStyle name="40% - Accent3 2 2 3 2 2" xfId="2871" xr:uid="{00000000-0005-0000-0000-000017050000}"/>
    <cellStyle name="40% - Accent3 2 2 3 3" xfId="2872" xr:uid="{00000000-0005-0000-0000-000018050000}"/>
    <cellStyle name="40% - Accent3 2 2 3 3 2" xfId="2873" xr:uid="{00000000-0005-0000-0000-000019050000}"/>
    <cellStyle name="40% - Accent3 2 2 3 4" xfId="2874" xr:uid="{00000000-0005-0000-0000-00001A050000}"/>
    <cellStyle name="40% - Accent3 2 2 4" xfId="1284" xr:uid="{00000000-0005-0000-0000-00001B050000}"/>
    <cellStyle name="40% - Accent3 2 2 4 2" xfId="2875" xr:uid="{00000000-0005-0000-0000-00001C050000}"/>
    <cellStyle name="40% - Accent3 2 2 5" xfId="2876" xr:uid="{00000000-0005-0000-0000-00001D050000}"/>
    <cellStyle name="40% - Accent3 2 2 5 2" xfId="2877" xr:uid="{00000000-0005-0000-0000-00001E050000}"/>
    <cellStyle name="40% - Accent3 2 2 6" xfId="2878" xr:uid="{00000000-0005-0000-0000-00001F050000}"/>
    <cellStyle name="40% - Accent3 2 2_Bdx 1517" xfId="2139" xr:uid="{00000000-0005-0000-0000-000020050000}"/>
    <cellStyle name="40% - Accent3 2 3" xfId="289" xr:uid="{00000000-0005-0000-0000-000021050000}"/>
    <cellStyle name="40% - Accent3 2 3 2" xfId="1285" xr:uid="{00000000-0005-0000-0000-000022050000}"/>
    <cellStyle name="40% - Accent3 2 3 2 2" xfId="2879" xr:uid="{00000000-0005-0000-0000-000023050000}"/>
    <cellStyle name="40% - Accent3 2 3 2 2 2" xfId="2880" xr:uid="{00000000-0005-0000-0000-000024050000}"/>
    <cellStyle name="40% - Accent3 2 3 2 3" xfId="2881" xr:uid="{00000000-0005-0000-0000-000025050000}"/>
    <cellStyle name="40% - Accent3 2 3 2 3 2" xfId="2882" xr:uid="{00000000-0005-0000-0000-000026050000}"/>
    <cellStyle name="40% - Accent3 2 3 2 4" xfId="2883" xr:uid="{00000000-0005-0000-0000-000027050000}"/>
    <cellStyle name="40% - Accent3 2 3 3" xfId="2140" xr:uid="{00000000-0005-0000-0000-000028050000}"/>
    <cellStyle name="40% - Accent3 2 3 3 2" xfId="2884" xr:uid="{00000000-0005-0000-0000-000029050000}"/>
    <cellStyle name="40% - Accent3 2 3 3 2 2" xfId="2885" xr:uid="{00000000-0005-0000-0000-00002A050000}"/>
    <cellStyle name="40% - Accent3 2 3 3 3" xfId="2886" xr:uid="{00000000-0005-0000-0000-00002B050000}"/>
    <cellStyle name="40% - Accent3 2 3 3 3 2" xfId="2887" xr:uid="{00000000-0005-0000-0000-00002C050000}"/>
    <cellStyle name="40% - Accent3 2 3 3 4" xfId="2888" xr:uid="{00000000-0005-0000-0000-00002D050000}"/>
    <cellStyle name="40% - Accent3 2 3 4" xfId="2889" xr:uid="{00000000-0005-0000-0000-00002E050000}"/>
    <cellStyle name="40% - Accent3 2 3 4 2" xfId="2890" xr:uid="{00000000-0005-0000-0000-00002F050000}"/>
    <cellStyle name="40% - Accent3 2 3 5" xfId="2891" xr:uid="{00000000-0005-0000-0000-000030050000}"/>
    <cellStyle name="40% - Accent3 2 3 5 2" xfId="2892" xr:uid="{00000000-0005-0000-0000-000031050000}"/>
    <cellStyle name="40% - Accent3 2 3 6" xfId="2893" xr:uid="{00000000-0005-0000-0000-000032050000}"/>
    <cellStyle name="40% - Accent3 2 3_Bdx 1517" xfId="2141" xr:uid="{00000000-0005-0000-0000-000033050000}"/>
    <cellStyle name="40% - Accent3 2 4" xfId="290" xr:uid="{00000000-0005-0000-0000-000034050000}"/>
    <cellStyle name="40% - Accent3 2 4 2" xfId="1286" xr:uid="{00000000-0005-0000-0000-000035050000}"/>
    <cellStyle name="40% - Accent3 2 4 2 2" xfId="2894" xr:uid="{00000000-0005-0000-0000-000036050000}"/>
    <cellStyle name="40% - Accent3 2 4 3" xfId="2895" xr:uid="{00000000-0005-0000-0000-000037050000}"/>
    <cellStyle name="40% - Accent3 2 4 3 2" xfId="2896" xr:uid="{00000000-0005-0000-0000-000038050000}"/>
    <cellStyle name="40% - Accent3 2 4 4" xfId="2897" xr:uid="{00000000-0005-0000-0000-000039050000}"/>
    <cellStyle name="40% - Accent3 2 5" xfId="1287" xr:uid="{00000000-0005-0000-0000-00003A050000}"/>
    <cellStyle name="40% - Accent3 2 5 2" xfId="2898" xr:uid="{00000000-0005-0000-0000-00003B050000}"/>
    <cellStyle name="40% - Accent3 2 5 2 2" xfId="2899" xr:uid="{00000000-0005-0000-0000-00003C050000}"/>
    <cellStyle name="40% - Accent3 2 5 3" xfId="2900" xr:uid="{00000000-0005-0000-0000-00003D050000}"/>
    <cellStyle name="40% - Accent3 2 5 3 2" xfId="2901" xr:uid="{00000000-0005-0000-0000-00003E050000}"/>
    <cellStyle name="40% - Accent3 2 5 4" xfId="2902" xr:uid="{00000000-0005-0000-0000-00003F050000}"/>
    <cellStyle name="40% - Accent3 2 6" xfId="2903" xr:uid="{00000000-0005-0000-0000-000040050000}"/>
    <cellStyle name="40% - Accent3 2 6 2" xfId="2904" xr:uid="{00000000-0005-0000-0000-000041050000}"/>
    <cellStyle name="40% - Accent3 2 7" xfId="2905" xr:uid="{00000000-0005-0000-0000-000042050000}"/>
    <cellStyle name="40% - Accent3 2 7 2" xfId="2906" xr:uid="{00000000-0005-0000-0000-000043050000}"/>
    <cellStyle name="40% - Accent3 2 8" xfId="2907" xr:uid="{00000000-0005-0000-0000-000044050000}"/>
    <cellStyle name="40% - Accent3 2_Bdx 1517" xfId="2142" xr:uid="{00000000-0005-0000-0000-000045050000}"/>
    <cellStyle name="40% - Accent3 3" xfId="291" xr:uid="{00000000-0005-0000-0000-000046050000}"/>
    <cellStyle name="40% - Accent3 3 2" xfId="292" xr:uid="{00000000-0005-0000-0000-000047050000}"/>
    <cellStyle name="40% - Accent3 3 2 2" xfId="293" xr:uid="{00000000-0005-0000-0000-000048050000}"/>
    <cellStyle name="40% - Accent3 3 2 2 2" xfId="1288" xr:uid="{00000000-0005-0000-0000-000049050000}"/>
    <cellStyle name="40% - Accent3 3 2 2 2 2" xfId="2908" xr:uid="{00000000-0005-0000-0000-00004A050000}"/>
    <cellStyle name="40% - Accent3 3 2 2 3" xfId="2909" xr:uid="{00000000-0005-0000-0000-00004B050000}"/>
    <cellStyle name="40% - Accent3 3 2 2 3 2" xfId="2910" xr:uid="{00000000-0005-0000-0000-00004C050000}"/>
    <cellStyle name="40% - Accent3 3 2 2 4" xfId="2911" xr:uid="{00000000-0005-0000-0000-00004D050000}"/>
    <cellStyle name="40% - Accent3 3 2 3" xfId="294" xr:uid="{00000000-0005-0000-0000-00004E050000}"/>
    <cellStyle name="40% - Accent3 3 2 3 2" xfId="1289" xr:uid="{00000000-0005-0000-0000-00004F050000}"/>
    <cellStyle name="40% - Accent3 3 2 3 2 2" xfId="2912" xr:uid="{00000000-0005-0000-0000-000050050000}"/>
    <cellStyle name="40% - Accent3 3 2 3 3" xfId="2913" xr:uid="{00000000-0005-0000-0000-000051050000}"/>
    <cellStyle name="40% - Accent3 3 2 3 3 2" xfId="2914" xr:uid="{00000000-0005-0000-0000-000052050000}"/>
    <cellStyle name="40% - Accent3 3 2 3 4" xfId="2915" xr:uid="{00000000-0005-0000-0000-000053050000}"/>
    <cellStyle name="40% - Accent3 3 2 4" xfId="1290" xr:uid="{00000000-0005-0000-0000-000054050000}"/>
    <cellStyle name="40% - Accent3 3 2 4 2" xfId="2916" xr:uid="{00000000-0005-0000-0000-000055050000}"/>
    <cellStyle name="40% - Accent3 3 2 5" xfId="2917" xr:uid="{00000000-0005-0000-0000-000056050000}"/>
    <cellStyle name="40% - Accent3 3 2 5 2" xfId="2918" xr:uid="{00000000-0005-0000-0000-000057050000}"/>
    <cellStyle name="40% - Accent3 3 2 6" xfId="2919" xr:uid="{00000000-0005-0000-0000-000058050000}"/>
    <cellStyle name="40% - Accent3 3 2_Bdx 1517" xfId="2143" xr:uid="{00000000-0005-0000-0000-000059050000}"/>
    <cellStyle name="40% - Accent3 3 3" xfId="295" xr:uid="{00000000-0005-0000-0000-00005A050000}"/>
    <cellStyle name="40% - Accent3 3 3 2" xfId="1291" xr:uid="{00000000-0005-0000-0000-00005B050000}"/>
    <cellStyle name="40% - Accent3 3 3 2 2" xfId="2920" xr:uid="{00000000-0005-0000-0000-00005C050000}"/>
    <cellStyle name="40% - Accent3 3 3 3" xfId="2921" xr:uid="{00000000-0005-0000-0000-00005D050000}"/>
    <cellStyle name="40% - Accent3 3 3 3 2" xfId="2922" xr:uid="{00000000-0005-0000-0000-00005E050000}"/>
    <cellStyle name="40% - Accent3 3 3 4" xfId="2923" xr:uid="{00000000-0005-0000-0000-00005F050000}"/>
    <cellStyle name="40% - Accent3 3 4" xfId="296" xr:uid="{00000000-0005-0000-0000-000060050000}"/>
    <cellStyle name="40% - Accent3 3 4 2" xfId="1292" xr:uid="{00000000-0005-0000-0000-000061050000}"/>
    <cellStyle name="40% - Accent3 3 4 2 2" xfId="2924" xr:uid="{00000000-0005-0000-0000-000062050000}"/>
    <cellStyle name="40% - Accent3 3 4 3" xfId="2925" xr:uid="{00000000-0005-0000-0000-000063050000}"/>
    <cellStyle name="40% - Accent3 3 4 3 2" xfId="2926" xr:uid="{00000000-0005-0000-0000-000064050000}"/>
    <cellStyle name="40% - Accent3 3 4 4" xfId="2927" xr:uid="{00000000-0005-0000-0000-000065050000}"/>
    <cellStyle name="40% - Accent3 3 5" xfId="1293" xr:uid="{00000000-0005-0000-0000-000066050000}"/>
    <cellStyle name="40% - Accent3 3 5 2" xfId="2928" xr:uid="{00000000-0005-0000-0000-000067050000}"/>
    <cellStyle name="40% - Accent3 3 6" xfId="2929" xr:uid="{00000000-0005-0000-0000-000068050000}"/>
    <cellStyle name="40% - Accent3 3 6 2" xfId="2930" xr:uid="{00000000-0005-0000-0000-000069050000}"/>
    <cellStyle name="40% - Accent3 3 7" xfId="2931" xr:uid="{00000000-0005-0000-0000-00006A050000}"/>
    <cellStyle name="40% - Accent3 3_Bdx 1517" xfId="2144" xr:uid="{00000000-0005-0000-0000-00006B050000}"/>
    <cellStyle name="40% - Accent3 4" xfId="297" xr:uid="{00000000-0005-0000-0000-00006C050000}"/>
    <cellStyle name="40% - Accent3 4 2" xfId="298" xr:uid="{00000000-0005-0000-0000-00006D050000}"/>
    <cellStyle name="40% - Accent3 4 2 2" xfId="299" xr:uid="{00000000-0005-0000-0000-00006E050000}"/>
    <cellStyle name="40% - Accent3 4 2 2 2" xfId="1294" xr:uid="{00000000-0005-0000-0000-00006F050000}"/>
    <cellStyle name="40% - Accent3 4 2 3" xfId="300" xr:uid="{00000000-0005-0000-0000-000070050000}"/>
    <cellStyle name="40% - Accent3 4 2 3 2" xfId="1295" xr:uid="{00000000-0005-0000-0000-000071050000}"/>
    <cellStyle name="40% - Accent3 4 2 4" xfId="1296" xr:uid="{00000000-0005-0000-0000-000072050000}"/>
    <cellStyle name="40% - Accent3 4 3" xfId="301" xr:uid="{00000000-0005-0000-0000-000073050000}"/>
    <cellStyle name="40% - Accent3 4 3 2" xfId="1297" xr:uid="{00000000-0005-0000-0000-000074050000}"/>
    <cellStyle name="40% - Accent3 4 3 2 2" xfId="2932" xr:uid="{00000000-0005-0000-0000-000075050000}"/>
    <cellStyle name="40% - Accent3 4 3 3" xfId="2933" xr:uid="{00000000-0005-0000-0000-000076050000}"/>
    <cellStyle name="40% - Accent3 4 3 3 2" xfId="2934" xr:uid="{00000000-0005-0000-0000-000077050000}"/>
    <cellStyle name="40% - Accent3 4 3 4" xfId="2935" xr:uid="{00000000-0005-0000-0000-000078050000}"/>
    <cellStyle name="40% - Accent3 4 4" xfId="302" xr:uid="{00000000-0005-0000-0000-000079050000}"/>
    <cellStyle name="40% - Accent3 4 4 2" xfId="1298" xr:uid="{00000000-0005-0000-0000-00007A050000}"/>
    <cellStyle name="40% - Accent3 4 5" xfId="1299" xr:uid="{00000000-0005-0000-0000-00007B050000}"/>
    <cellStyle name="40% - Accent3 4 5 2" xfId="2936" xr:uid="{00000000-0005-0000-0000-00007C050000}"/>
    <cellStyle name="40% - Accent3 4 6" xfId="2937" xr:uid="{00000000-0005-0000-0000-00007D050000}"/>
    <cellStyle name="40% - Accent3 4_Bdx 1517" xfId="2145" xr:uid="{00000000-0005-0000-0000-00007E050000}"/>
    <cellStyle name="40% - Accent3 5" xfId="2064" xr:uid="{00000000-0005-0000-0000-00007F050000}"/>
    <cellStyle name="40% - Accent3 5 2" xfId="2938" xr:uid="{00000000-0005-0000-0000-000080050000}"/>
    <cellStyle name="40% - Accent3 5 2 2" xfId="2939" xr:uid="{00000000-0005-0000-0000-000081050000}"/>
    <cellStyle name="40% - Accent3 5 3" xfId="2940" xr:uid="{00000000-0005-0000-0000-000082050000}"/>
    <cellStyle name="40% - Accent3 5 3 2" xfId="2941" xr:uid="{00000000-0005-0000-0000-000083050000}"/>
    <cellStyle name="40% - Accent3 5 4" xfId="2942" xr:uid="{00000000-0005-0000-0000-000084050000}"/>
    <cellStyle name="40% - Accent3 6" xfId="2943" xr:uid="{00000000-0005-0000-0000-000085050000}"/>
    <cellStyle name="40% - Accent3 6 2" xfId="2944" xr:uid="{00000000-0005-0000-0000-000086050000}"/>
    <cellStyle name="40% - Accent3 7" xfId="2945" xr:uid="{00000000-0005-0000-0000-000087050000}"/>
    <cellStyle name="40% - Accent3 7 2" xfId="2946" xr:uid="{00000000-0005-0000-0000-000088050000}"/>
    <cellStyle name="40% - Accent3 8" xfId="2947" xr:uid="{00000000-0005-0000-0000-000089050000}"/>
    <cellStyle name="40% - Accent3_Bordereaux" xfId="2077" xr:uid="{00000000-0005-0000-0000-00008A050000}"/>
    <cellStyle name="40% - Accent4" xfId="2030" xr:uid="{00000000-0005-0000-0000-00008B050000}"/>
    <cellStyle name="40% - Accent4 2" xfId="303" xr:uid="{00000000-0005-0000-0000-00008C050000}"/>
    <cellStyle name="40% - Accent4 2 2" xfId="304" xr:uid="{00000000-0005-0000-0000-00008D050000}"/>
    <cellStyle name="40% - Accent4 2 2 2" xfId="305" xr:uid="{00000000-0005-0000-0000-00008E050000}"/>
    <cellStyle name="40% - Accent4 2 2 2 2" xfId="1300" xr:uid="{00000000-0005-0000-0000-00008F050000}"/>
    <cellStyle name="40% - Accent4 2 2 2 2 2" xfId="2948" xr:uid="{00000000-0005-0000-0000-000090050000}"/>
    <cellStyle name="40% - Accent4 2 2 2 3" xfId="2949" xr:uid="{00000000-0005-0000-0000-000091050000}"/>
    <cellStyle name="40% - Accent4 2 2 2 3 2" xfId="2950" xr:uid="{00000000-0005-0000-0000-000092050000}"/>
    <cellStyle name="40% - Accent4 2 2 2 4" xfId="2951" xr:uid="{00000000-0005-0000-0000-000093050000}"/>
    <cellStyle name="40% - Accent4 2 2 3" xfId="306" xr:uid="{00000000-0005-0000-0000-000094050000}"/>
    <cellStyle name="40% - Accent4 2 2 3 2" xfId="1301" xr:uid="{00000000-0005-0000-0000-000095050000}"/>
    <cellStyle name="40% - Accent4 2 2 3 2 2" xfId="2952" xr:uid="{00000000-0005-0000-0000-000096050000}"/>
    <cellStyle name="40% - Accent4 2 2 3 3" xfId="2953" xr:uid="{00000000-0005-0000-0000-000097050000}"/>
    <cellStyle name="40% - Accent4 2 2 3 3 2" xfId="2954" xr:uid="{00000000-0005-0000-0000-000098050000}"/>
    <cellStyle name="40% - Accent4 2 2 3 4" xfId="2955" xr:uid="{00000000-0005-0000-0000-000099050000}"/>
    <cellStyle name="40% - Accent4 2 2 4" xfId="1302" xr:uid="{00000000-0005-0000-0000-00009A050000}"/>
    <cellStyle name="40% - Accent4 2 2 4 2" xfId="2956" xr:uid="{00000000-0005-0000-0000-00009B050000}"/>
    <cellStyle name="40% - Accent4 2 2 5" xfId="2957" xr:uid="{00000000-0005-0000-0000-00009C050000}"/>
    <cellStyle name="40% - Accent4 2 2 5 2" xfId="2958" xr:uid="{00000000-0005-0000-0000-00009D050000}"/>
    <cellStyle name="40% - Accent4 2 2 6" xfId="2959" xr:uid="{00000000-0005-0000-0000-00009E050000}"/>
    <cellStyle name="40% - Accent4 2 2_Bdx 1517" xfId="2147" xr:uid="{00000000-0005-0000-0000-00009F050000}"/>
    <cellStyle name="40% - Accent4 2 3" xfId="307" xr:uid="{00000000-0005-0000-0000-0000A0050000}"/>
    <cellStyle name="40% - Accent4 2 3 2" xfId="1303" xr:uid="{00000000-0005-0000-0000-0000A1050000}"/>
    <cellStyle name="40% - Accent4 2 3 2 2" xfId="2960" xr:uid="{00000000-0005-0000-0000-0000A2050000}"/>
    <cellStyle name="40% - Accent4 2 3 2 2 2" xfId="2961" xr:uid="{00000000-0005-0000-0000-0000A3050000}"/>
    <cellStyle name="40% - Accent4 2 3 2 3" xfId="2962" xr:uid="{00000000-0005-0000-0000-0000A4050000}"/>
    <cellStyle name="40% - Accent4 2 3 2 3 2" xfId="2963" xr:uid="{00000000-0005-0000-0000-0000A5050000}"/>
    <cellStyle name="40% - Accent4 2 3 2 4" xfId="2964" xr:uid="{00000000-0005-0000-0000-0000A6050000}"/>
    <cellStyle name="40% - Accent4 2 3 3" xfId="2148" xr:uid="{00000000-0005-0000-0000-0000A7050000}"/>
    <cellStyle name="40% - Accent4 2 3 3 2" xfId="2965" xr:uid="{00000000-0005-0000-0000-0000A8050000}"/>
    <cellStyle name="40% - Accent4 2 3 3 2 2" xfId="2966" xr:uid="{00000000-0005-0000-0000-0000A9050000}"/>
    <cellStyle name="40% - Accent4 2 3 3 3" xfId="2967" xr:uid="{00000000-0005-0000-0000-0000AA050000}"/>
    <cellStyle name="40% - Accent4 2 3 3 3 2" xfId="2968" xr:uid="{00000000-0005-0000-0000-0000AB050000}"/>
    <cellStyle name="40% - Accent4 2 3 3 4" xfId="2969" xr:uid="{00000000-0005-0000-0000-0000AC050000}"/>
    <cellStyle name="40% - Accent4 2 3 4" xfId="2970" xr:uid="{00000000-0005-0000-0000-0000AD050000}"/>
    <cellStyle name="40% - Accent4 2 3 4 2" xfId="2971" xr:uid="{00000000-0005-0000-0000-0000AE050000}"/>
    <cellStyle name="40% - Accent4 2 3 5" xfId="2972" xr:uid="{00000000-0005-0000-0000-0000AF050000}"/>
    <cellStyle name="40% - Accent4 2 3 5 2" xfId="2973" xr:uid="{00000000-0005-0000-0000-0000B0050000}"/>
    <cellStyle name="40% - Accent4 2 3 6" xfId="2974" xr:uid="{00000000-0005-0000-0000-0000B1050000}"/>
    <cellStyle name="40% - Accent4 2 3_Bdx 1517" xfId="2149" xr:uid="{00000000-0005-0000-0000-0000B2050000}"/>
    <cellStyle name="40% - Accent4 2 4" xfId="308" xr:uid="{00000000-0005-0000-0000-0000B3050000}"/>
    <cellStyle name="40% - Accent4 2 4 2" xfId="1304" xr:uid="{00000000-0005-0000-0000-0000B4050000}"/>
    <cellStyle name="40% - Accent4 2 4 2 2" xfId="2975" xr:uid="{00000000-0005-0000-0000-0000B5050000}"/>
    <cellStyle name="40% - Accent4 2 4 3" xfId="2976" xr:uid="{00000000-0005-0000-0000-0000B6050000}"/>
    <cellStyle name="40% - Accent4 2 4 3 2" xfId="2977" xr:uid="{00000000-0005-0000-0000-0000B7050000}"/>
    <cellStyle name="40% - Accent4 2 4 4" xfId="2978" xr:uid="{00000000-0005-0000-0000-0000B8050000}"/>
    <cellStyle name="40% - Accent4 2 5" xfId="1305" xr:uid="{00000000-0005-0000-0000-0000B9050000}"/>
    <cellStyle name="40% - Accent4 2 5 2" xfId="2979" xr:uid="{00000000-0005-0000-0000-0000BA050000}"/>
    <cellStyle name="40% - Accent4 2 5 2 2" xfId="2980" xr:uid="{00000000-0005-0000-0000-0000BB050000}"/>
    <cellStyle name="40% - Accent4 2 5 3" xfId="2981" xr:uid="{00000000-0005-0000-0000-0000BC050000}"/>
    <cellStyle name="40% - Accent4 2 5 3 2" xfId="2982" xr:uid="{00000000-0005-0000-0000-0000BD050000}"/>
    <cellStyle name="40% - Accent4 2 5 4" xfId="2983" xr:uid="{00000000-0005-0000-0000-0000BE050000}"/>
    <cellStyle name="40% - Accent4 2 6" xfId="2984" xr:uid="{00000000-0005-0000-0000-0000BF050000}"/>
    <cellStyle name="40% - Accent4 2 6 2" xfId="2985" xr:uid="{00000000-0005-0000-0000-0000C0050000}"/>
    <cellStyle name="40% - Accent4 2 7" xfId="2986" xr:uid="{00000000-0005-0000-0000-0000C1050000}"/>
    <cellStyle name="40% - Accent4 2 7 2" xfId="2987" xr:uid="{00000000-0005-0000-0000-0000C2050000}"/>
    <cellStyle name="40% - Accent4 2 8" xfId="2988" xr:uid="{00000000-0005-0000-0000-0000C3050000}"/>
    <cellStyle name="40% - Accent4 2_Bdx 1517" xfId="2150" xr:uid="{00000000-0005-0000-0000-0000C4050000}"/>
    <cellStyle name="40% - Accent4 3" xfId="309" xr:uid="{00000000-0005-0000-0000-0000C5050000}"/>
    <cellStyle name="40% - Accent4 3 2" xfId="310" xr:uid="{00000000-0005-0000-0000-0000C6050000}"/>
    <cellStyle name="40% - Accent4 3 2 2" xfId="311" xr:uid="{00000000-0005-0000-0000-0000C7050000}"/>
    <cellStyle name="40% - Accent4 3 2 2 2" xfId="1306" xr:uid="{00000000-0005-0000-0000-0000C8050000}"/>
    <cellStyle name="40% - Accent4 3 2 2 2 2" xfId="2989" xr:uid="{00000000-0005-0000-0000-0000C9050000}"/>
    <cellStyle name="40% - Accent4 3 2 2 3" xfId="2990" xr:uid="{00000000-0005-0000-0000-0000CA050000}"/>
    <cellStyle name="40% - Accent4 3 2 2 3 2" xfId="2991" xr:uid="{00000000-0005-0000-0000-0000CB050000}"/>
    <cellStyle name="40% - Accent4 3 2 2 4" xfId="2992" xr:uid="{00000000-0005-0000-0000-0000CC050000}"/>
    <cellStyle name="40% - Accent4 3 2 3" xfId="312" xr:uid="{00000000-0005-0000-0000-0000CD050000}"/>
    <cellStyle name="40% - Accent4 3 2 3 2" xfId="1307" xr:uid="{00000000-0005-0000-0000-0000CE050000}"/>
    <cellStyle name="40% - Accent4 3 2 3 2 2" xfId="2993" xr:uid="{00000000-0005-0000-0000-0000CF050000}"/>
    <cellStyle name="40% - Accent4 3 2 3 3" xfId="2994" xr:uid="{00000000-0005-0000-0000-0000D0050000}"/>
    <cellStyle name="40% - Accent4 3 2 3 3 2" xfId="2995" xr:uid="{00000000-0005-0000-0000-0000D1050000}"/>
    <cellStyle name="40% - Accent4 3 2 3 4" xfId="2996" xr:uid="{00000000-0005-0000-0000-0000D2050000}"/>
    <cellStyle name="40% - Accent4 3 2 4" xfId="1308" xr:uid="{00000000-0005-0000-0000-0000D3050000}"/>
    <cellStyle name="40% - Accent4 3 2 4 2" xfId="2997" xr:uid="{00000000-0005-0000-0000-0000D4050000}"/>
    <cellStyle name="40% - Accent4 3 2 5" xfId="2998" xr:uid="{00000000-0005-0000-0000-0000D5050000}"/>
    <cellStyle name="40% - Accent4 3 2 5 2" xfId="2999" xr:uid="{00000000-0005-0000-0000-0000D6050000}"/>
    <cellStyle name="40% - Accent4 3 2 6" xfId="3000" xr:uid="{00000000-0005-0000-0000-0000D7050000}"/>
    <cellStyle name="40% - Accent4 3 2_Bdx 1517" xfId="2151" xr:uid="{00000000-0005-0000-0000-0000D8050000}"/>
    <cellStyle name="40% - Accent4 3 3" xfId="313" xr:uid="{00000000-0005-0000-0000-0000D9050000}"/>
    <cellStyle name="40% - Accent4 3 3 2" xfId="1309" xr:uid="{00000000-0005-0000-0000-0000DA050000}"/>
    <cellStyle name="40% - Accent4 3 3 2 2" xfId="3001" xr:uid="{00000000-0005-0000-0000-0000DB050000}"/>
    <cellStyle name="40% - Accent4 3 3 3" xfId="3002" xr:uid="{00000000-0005-0000-0000-0000DC050000}"/>
    <cellStyle name="40% - Accent4 3 3 3 2" xfId="3003" xr:uid="{00000000-0005-0000-0000-0000DD050000}"/>
    <cellStyle name="40% - Accent4 3 3 4" xfId="3004" xr:uid="{00000000-0005-0000-0000-0000DE050000}"/>
    <cellStyle name="40% - Accent4 3 4" xfId="314" xr:uid="{00000000-0005-0000-0000-0000DF050000}"/>
    <cellStyle name="40% - Accent4 3 4 2" xfId="1310" xr:uid="{00000000-0005-0000-0000-0000E0050000}"/>
    <cellStyle name="40% - Accent4 3 4 2 2" xfId="3005" xr:uid="{00000000-0005-0000-0000-0000E1050000}"/>
    <cellStyle name="40% - Accent4 3 4 3" xfId="3006" xr:uid="{00000000-0005-0000-0000-0000E2050000}"/>
    <cellStyle name="40% - Accent4 3 4 3 2" xfId="3007" xr:uid="{00000000-0005-0000-0000-0000E3050000}"/>
    <cellStyle name="40% - Accent4 3 4 4" xfId="3008" xr:uid="{00000000-0005-0000-0000-0000E4050000}"/>
    <cellStyle name="40% - Accent4 3 5" xfId="1311" xr:uid="{00000000-0005-0000-0000-0000E5050000}"/>
    <cellStyle name="40% - Accent4 3 5 2" xfId="3009" xr:uid="{00000000-0005-0000-0000-0000E6050000}"/>
    <cellStyle name="40% - Accent4 3 6" xfId="3010" xr:uid="{00000000-0005-0000-0000-0000E7050000}"/>
    <cellStyle name="40% - Accent4 3 6 2" xfId="3011" xr:uid="{00000000-0005-0000-0000-0000E8050000}"/>
    <cellStyle name="40% - Accent4 3 7" xfId="3012" xr:uid="{00000000-0005-0000-0000-0000E9050000}"/>
    <cellStyle name="40% - Accent4 3_Bdx 1517" xfId="2152" xr:uid="{00000000-0005-0000-0000-0000EA050000}"/>
    <cellStyle name="40% - Accent4 4" xfId="315" xr:uid="{00000000-0005-0000-0000-0000EB050000}"/>
    <cellStyle name="40% - Accent4 4 2" xfId="316" xr:uid="{00000000-0005-0000-0000-0000EC050000}"/>
    <cellStyle name="40% - Accent4 4 2 2" xfId="317" xr:uid="{00000000-0005-0000-0000-0000ED050000}"/>
    <cellStyle name="40% - Accent4 4 2 2 2" xfId="1312" xr:uid="{00000000-0005-0000-0000-0000EE050000}"/>
    <cellStyle name="40% - Accent4 4 2 3" xfId="318" xr:uid="{00000000-0005-0000-0000-0000EF050000}"/>
    <cellStyle name="40% - Accent4 4 2 3 2" xfId="1313" xr:uid="{00000000-0005-0000-0000-0000F0050000}"/>
    <cellStyle name="40% - Accent4 4 2 4" xfId="1314" xr:uid="{00000000-0005-0000-0000-0000F1050000}"/>
    <cellStyle name="40% - Accent4 4 3" xfId="319" xr:uid="{00000000-0005-0000-0000-0000F2050000}"/>
    <cellStyle name="40% - Accent4 4 3 2" xfId="1315" xr:uid="{00000000-0005-0000-0000-0000F3050000}"/>
    <cellStyle name="40% - Accent4 4 3 2 2" xfId="3013" xr:uid="{00000000-0005-0000-0000-0000F4050000}"/>
    <cellStyle name="40% - Accent4 4 3 3" xfId="3014" xr:uid="{00000000-0005-0000-0000-0000F5050000}"/>
    <cellStyle name="40% - Accent4 4 3 3 2" xfId="3015" xr:uid="{00000000-0005-0000-0000-0000F6050000}"/>
    <cellStyle name="40% - Accent4 4 3 4" xfId="3016" xr:uid="{00000000-0005-0000-0000-0000F7050000}"/>
    <cellStyle name="40% - Accent4 4 4" xfId="320" xr:uid="{00000000-0005-0000-0000-0000F8050000}"/>
    <cellStyle name="40% - Accent4 4 4 2" xfId="1316" xr:uid="{00000000-0005-0000-0000-0000F9050000}"/>
    <cellStyle name="40% - Accent4 4 5" xfId="1317" xr:uid="{00000000-0005-0000-0000-0000FA050000}"/>
    <cellStyle name="40% - Accent4 4 5 2" xfId="3017" xr:uid="{00000000-0005-0000-0000-0000FB050000}"/>
    <cellStyle name="40% - Accent4 4 6" xfId="3018" xr:uid="{00000000-0005-0000-0000-0000FC050000}"/>
    <cellStyle name="40% - Accent4 4_Bdx 1517" xfId="2153" xr:uid="{00000000-0005-0000-0000-0000FD050000}"/>
    <cellStyle name="40% - Accent4 5" xfId="2065" xr:uid="{00000000-0005-0000-0000-0000FE050000}"/>
    <cellStyle name="40% - Accent4 5 2" xfId="3019" xr:uid="{00000000-0005-0000-0000-0000FF050000}"/>
    <cellStyle name="40% - Accent4 5 2 2" xfId="3020" xr:uid="{00000000-0005-0000-0000-000000060000}"/>
    <cellStyle name="40% - Accent4 5 3" xfId="3021" xr:uid="{00000000-0005-0000-0000-000001060000}"/>
    <cellStyle name="40% - Accent4 5 3 2" xfId="3022" xr:uid="{00000000-0005-0000-0000-000002060000}"/>
    <cellStyle name="40% - Accent4 5 4" xfId="3023" xr:uid="{00000000-0005-0000-0000-000003060000}"/>
    <cellStyle name="40% - Accent4 6" xfId="3024" xr:uid="{00000000-0005-0000-0000-000004060000}"/>
    <cellStyle name="40% - Accent4 6 2" xfId="3025" xr:uid="{00000000-0005-0000-0000-000005060000}"/>
    <cellStyle name="40% - Accent4 7" xfId="3026" xr:uid="{00000000-0005-0000-0000-000006060000}"/>
    <cellStyle name="40% - Accent4 7 2" xfId="3027" xr:uid="{00000000-0005-0000-0000-000007060000}"/>
    <cellStyle name="40% - Accent4 8" xfId="3028" xr:uid="{00000000-0005-0000-0000-000008060000}"/>
    <cellStyle name="40% - Accent4_Bordereaux" xfId="2078" xr:uid="{00000000-0005-0000-0000-000009060000}"/>
    <cellStyle name="40% - Accent5" xfId="2031" xr:uid="{00000000-0005-0000-0000-00000A060000}"/>
    <cellStyle name="40% - Accent5 2" xfId="321" xr:uid="{00000000-0005-0000-0000-00000B060000}"/>
    <cellStyle name="40% - Accent5 2 2" xfId="322" xr:uid="{00000000-0005-0000-0000-00000C060000}"/>
    <cellStyle name="40% - Accent5 2 2 2" xfId="323" xr:uid="{00000000-0005-0000-0000-00000D060000}"/>
    <cellStyle name="40% - Accent5 2 2 2 2" xfId="1318" xr:uid="{00000000-0005-0000-0000-00000E060000}"/>
    <cellStyle name="40% - Accent5 2 2 2 2 2" xfId="3029" xr:uid="{00000000-0005-0000-0000-00000F060000}"/>
    <cellStyle name="40% - Accent5 2 2 2 3" xfId="3030" xr:uid="{00000000-0005-0000-0000-000010060000}"/>
    <cellStyle name="40% - Accent5 2 2 2 3 2" xfId="3031" xr:uid="{00000000-0005-0000-0000-000011060000}"/>
    <cellStyle name="40% - Accent5 2 2 2 4" xfId="3032" xr:uid="{00000000-0005-0000-0000-000012060000}"/>
    <cellStyle name="40% - Accent5 2 2 3" xfId="324" xr:uid="{00000000-0005-0000-0000-000013060000}"/>
    <cellStyle name="40% - Accent5 2 2 3 2" xfId="1319" xr:uid="{00000000-0005-0000-0000-000014060000}"/>
    <cellStyle name="40% - Accent5 2 2 3 2 2" xfId="3033" xr:uid="{00000000-0005-0000-0000-000015060000}"/>
    <cellStyle name="40% - Accent5 2 2 3 3" xfId="3034" xr:uid="{00000000-0005-0000-0000-000016060000}"/>
    <cellStyle name="40% - Accent5 2 2 3 3 2" xfId="3035" xr:uid="{00000000-0005-0000-0000-000017060000}"/>
    <cellStyle name="40% - Accent5 2 2 3 4" xfId="3036" xr:uid="{00000000-0005-0000-0000-000018060000}"/>
    <cellStyle name="40% - Accent5 2 2 4" xfId="1320" xr:uid="{00000000-0005-0000-0000-000019060000}"/>
    <cellStyle name="40% - Accent5 2 2 4 2" xfId="3037" xr:uid="{00000000-0005-0000-0000-00001A060000}"/>
    <cellStyle name="40% - Accent5 2 2 5" xfId="3038" xr:uid="{00000000-0005-0000-0000-00001B060000}"/>
    <cellStyle name="40% - Accent5 2 2 5 2" xfId="3039" xr:uid="{00000000-0005-0000-0000-00001C060000}"/>
    <cellStyle name="40% - Accent5 2 2 6" xfId="3040" xr:uid="{00000000-0005-0000-0000-00001D060000}"/>
    <cellStyle name="40% - Accent5 2 2_Bdx 1517" xfId="2154" xr:uid="{00000000-0005-0000-0000-00001E060000}"/>
    <cellStyle name="40% - Accent5 2 3" xfId="325" xr:uid="{00000000-0005-0000-0000-00001F060000}"/>
    <cellStyle name="40% - Accent5 2 3 2" xfId="1321" xr:uid="{00000000-0005-0000-0000-000020060000}"/>
    <cellStyle name="40% - Accent5 2 3 2 2" xfId="3041" xr:uid="{00000000-0005-0000-0000-000021060000}"/>
    <cellStyle name="40% - Accent5 2 3 2 2 2" xfId="3042" xr:uid="{00000000-0005-0000-0000-000022060000}"/>
    <cellStyle name="40% - Accent5 2 3 2 3" xfId="3043" xr:uid="{00000000-0005-0000-0000-000023060000}"/>
    <cellStyle name="40% - Accent5 2 3 2 3 2" xfId="3044" xr:uid="{00000000-0005-0000-0000-000024060000}"/>
    <cellStyle name="40% - Accent5 2 3 2 4" xfId="3045" xr:uid="{00000000-0005-0000-0000-000025060000}"/>
    <cellStyle name="40% - Accent5 2 3 3" xfId="2155" xr:uid="{00000000-0005-0000-0000-000026060000}"/>
    <cellStyle name="40% - Accent5 2 3 3 2" xfId="3046" xr:uid="{00000000-0005-0000-0000-000027060000}"/>
    <cellStyle name="40% - Accent5 2 3 3 2 2" xfId="3047" xr:uid="{00000000-0005-0000-0000-000028060000}"/>
    <cellStyle name="40% - Accent5 2 3 3 3" xfId="3048" xr:uid="{00000000-0005-0000-0000-000029060000}"/>
    <cellStyle name="40% - Accent5 2 3 3 3 2" xfId="3049" xr:uid="{00000000-0005-0000-0000-00002A060000}"/>
    <cellStyle name="40% - Accent5 2 3 3 4" xfId="3050" xr:uid="{00000000-0005-0000-0000-00002B060000}"/>
    <cellStyle name="40% - Accent5 2 3 4" xfId="3051" xr:uid="{00000000-0005-0000-0000-00002C060000}"/>
    <cellStyle name="40% - Accent5 2 3 4 2" xfId="3052" xr:uid="{00000000-0005-0000-0000-00002D060000}"/>
    <cellStyle name="40% - Accent5 2 3 5" xfId="3053" xr:uid="{00000000-0005-0000-0000-00002E060000}"/>
    <cellStyle name="40% - Accent5 2 3 5 2" xfId="3054" xr:uid="{00000000-0005-0000-0000-00002F060000}"/>
    <cellStyle name="40% - Accent5 2 3 6" xfId="3055" xr:uid="{00000000-0005-0000-0000-000030060000}"/>
    <cellStyle name="40% - Accent5 2 3_Bdx 1517" xfId="2156" xr:uid="{00000000-0005-0000-0000-000031060000}"/>
    <cellStyle name="40% - Accent5 2 4" xfId="326" xr:uid="{00000000-0005-0000-0000-000032060000}"/>
    <cellStyle name="40% - Accent5 2 4 2" xfId="1322" xr:uid="{00000000-0005-0000-0000-000033060000}"/>
    <cellStyle name="40% - Accent5 2 4 2 2" xfId="3056" xr:uid="{00000000-0005-0000-0000-000034060000}"/>
    <cellStyle name="40% - Accent5 2 4 3" xfId="3057" xr:uid="{00000000-0005-0000-0000-000035060000}"/>
    <cellStyle name="40% - Accent5 2 4 3 2" xfId="3058" xr:uid="{00000000-0005-0000-0000-000036060000}"/>
    <cellStyle name="40% - Accent5 2 4 4" xfId="3059" xr:uid="{00000000-0005-0000-0000-000037060000}"/>
    <cellStyle name="40% - Accent5 2 5" xfId="1323" xr:uid="{00000000-0005-0000-0000-000038060000}"/>
    <cellStyle name="40% - Accent5 2 5 2" xfId="3060" xr:uid="{00000000-0005-0000-0000-000039060000}"/>
    <cellStyle name="40% - Accent5 2 5 2 2" xfId="3061" xr:uid="{00000000-0005-0000-0000-00003A060000}"/>
    <cellStyle name="40% - Accent5 2 5 3" xfId="3062" xr:uid="{00000000-0005-0000-0000-00003B060000}"/>
    <cellStyle name="40% - Accent5 2 5 3 2" xfId="3063" xr:uid="{00000000-0005-0000-0000-00003C060000}"/>
    <cellStyle name="40% - Accent5 2 5 4" xfId="3064" xr:uid="{00000000-0005-0000-0000-00003D060000}"/>
    <cellStyle name="40% - Accent5 2 6" xfId="3065" xr:uid="{00000000-0005-0000-0000-00003E060000}"/>
    <cellStyle name="40% - Accent5 2 6 2" xfId="3066" xr:uid="{00000000-0005-0000-0000-00003F060000}"/>
    <cellStyle name="40% - Accent5 2 7" xfId="3067" xr:uid="{00000000-0005-0000-0000-000040060000}"/>
    <cellStyle name="40% - Accent5 2 7 2" xfId="3068" xr:uid="{00000000-0005-0000-0000-000041060000}"/>
    <cellStyle name="40% - Accent5 2 8" xfId="3069" xr:uid="{00000000-0005-0000-0000-000042060000}"/>
    <cellStyle name="40% - Accent5 2_Bdx 1517" xfId="2157" xr:uid="{00000000-0005-0000-0000-000043060000}"/>
    <cellStyle name="40% - Accent5 3" xfId="327" xr:uid="{00000000-0005-0000-0000-000044060000}"/>
    <cellStyle name="40% - Accent5 3 2" xfId="328" xr:uid="{00000000-0005-0000-0000-000045060000}"/>
    <cellStyle name="40% - Accent5 3 2 2" xfId="329" xr:uid="{00000000-0005-0000-0000-000046060000}"/>
    <cellStyle name="40% - Accent5 3 2 2 2" xfId="1324" xr:uid="{00000000-0005-0000-0000-000047060000}"/>
    <cellStyle name="40% - Accent5 3 2 2 2 2" xfId="3070" xr:uid="{00000000-0005-0000-0000-000048060000}"/>
    <cellStyle name="40% - Accent5 3 2 2 3" xfId="3071" xr:uid="{00000000-0005-0000-0000-000049060000}"/>
    <cellStyle name="40% - Accent5 3 2 2 3 2" xfId="3072" xr:uid="{00000000-0005-0000-0000-00004A060000}"/>
    <cellStyle name="40% - Accent5 3 2 2 4" xfId="3073" xr:uid="{00000000-0005-0000-0000-00004B060000}"/>
    <cellStyle name="40% - Accent5 3 2 3" xfId="330" xr:uid="{00000000-0005-0000-0000-00004C060000}"/>
    <cellStyle name="40% - Accent5 3 2 3 2" xfId="1325" xr:uid="{00000000-0005-0000-0000-00004D060000}"/>
    <cellStyle name="40% - Accent5 3 2 3 2 2" xfId="3074" xr:uid="{00000000-0005-0000-0000-00004E060000}"/>
    <cellStyle name="40% - Accent5 3 2 3 3" xfId="3075" xr:uid="{00000000-0005-0000-0000-00004F060000}"/>
    <cellStyle name="40% - Accent5 3 2 3 3 2" xfId="3076" xr:uid="{00000000-0005-0000-0000-000050060000}"/>
    <cellStyle name="40% - Accent5 3 2 3 4" xfId="3077" xr:uid="{00000000-0005-0000-0000-000051060000}"/>
    <cellStyle name="40% - Accent5 3 2 4" xfId="1326" xr:uid="{00000000-0005-0000-0000-000052060000}"/>
    <cellStyle name="40% - Accent5 3 2 4 2" xfId="3078" xr:uid="{00000000-0005-0000-0000-000053060000}"/>
    <cellStyle name="40% - Accent5 3 2 5" xfId="3079" xr:uid="{00000000-0005-0000-0000-000054060000}"/>
    <cellStyle name="40% - Accent5 3 2 5 2" xfId="3080" xr:uid="{00000000-0005-0000-0000-000055060000}"/>
    <cellStyle name="40% - Accent5 3 2 6" xfId="3081" xr:uid="{00000000-0005-0000-0000-000056060000}"/>
    <cellStyle name="40% - Accent5 3 2_Bdx 1517" xfId="2158" xr:uid="{00000000-0005-0000-0000-000057060000}"/>
    <cellStyle name="40% - Accent5 3 3" xfId="331" xr:uid="{00000000-0005-0000-0000-000058060000}"/>
    <cellStyle name="40% - Accent5 3 3 2" xfId="1327" xr:uid="{00000000-0005-0000-0000-000059060000}"/>
    <cellStyle name="40% - Accent5 3 3 2 2" xfId="3082" xr:uid="{00000000-0005-0000-0000-00005A060000}"/>
    <cellStyle name="40% - Accent5 3 3 3" xfId="3083" xr:uid="{00000000-0005-0000-0000-00005B060000}"/>
    <cellStyle name="40% - Accent5 3 3 3 2" xfId="3084" xr:uid="{00000000-0005-0000-0000-00005C060000}"/>
    <cellStyle name="40% - Accent5 3 3 4" xfId="3085" xr:uid="{00000000-0005-0000-0000-00005D060000}"/>
    <cellStyle name="40% - Accent5 3 4" xfId="332" xr:uid="{00000000-0005-0000-0000-00005E060000}"/>
    <cellStyle name="40% - Accent5 3 4 2" xfId="1328" xr:uid="{00000000-0005-0000-0000-00005F060000}"/>
    <cellStyle name="40% - Accent5 3 4 2 2" xfId="3086" xr:uid="{00000000-0005-0000-0000-000060060000}"/>
    <cellStyle name="40% - Accent5 3 4 3" xfId="3087" xr:uid="{00000000-0005-0000-0000-000061060000}"/>
    <cellStyle name="40% - Accent5 3 4 3 2" xfId="3088" xr:uid="{00000000-0005-0000-0000-000062060000}"/>
    <cellStyle name="40% - Accent5 3 4 4" xfId="3089" xr:uid="{00000000-0005-0000-0000-000063060000}"/>
    <cellStyle name="40% - Accent5 3 5" xfId="1329" xr:uid="{00000000-0005-0000-0000-000064060000}"/>
    <cellStyle name="40% - Accent5 3 5 2" xfId="3090" xr:uid="{00000000-0005-0000-0000-000065060000}"/>
    <cellStyle name="40% - Accent5 3 6" xfId="3091" xr:uid="{00000000-0005-0000-0000-000066060000}"/>
    <cellStyle name="40% - Accent5 3 6 2" xfId="3092" xr:uid="{00000000-0005-0000-0000-000067060000}"/>
    <cellStyle name="40% - Accent5 3 7" xfId="3093" xr:uid="{00000000-0005-0000-0000-000068060000}"/>
    <cellStyle name="40% - Accent5 3_Bdx 1517" xfId="2159" xr:uid="{00000000-0005-0000-0000-000069060000}"/>
    <cellStyle name="40% - Accent5 4" xfId="333" xr:uid="{00000000-0005-0000-0000-00006A060000}"/>
    <cellStyle name="40% - Accent5 4 2" xfId="334" xr:uid="{00000000-0005-0000-0000-00006B060000}"/>
    <cellStyle name="40% - Accent5 4 2 2" xfId="335" xr:uid="{00000000-0005-0000-0000-00006C060000}"/>
    <cellStyle name="40% - Accent5 4 2 2 2" xfId="1330" xr:uid="{00000000-0005-0000-0000-00006D060000}"/>
    <cellStyle name="40% - Accent5 4 2 3" xfId="336" xr:uid="{00000000-0005-0000-0000-00006E060000}"/>
    <cellStyle name="40% - Accent5 4 2 3 2" xfId="1331" xr:uid="{00000000-0005-0000-0000-00006F060000}"/>
    <cellStyle name="40% - Accent5 4 2 4" xfId="1332" xr:uid="{00000000-0005-0000-0000-000070060000}"/>
    <cellStyle name="40% - Accent5 4 3" xfId="337" xr:uid="{00000000-0005-0000-0000-000071060000}"/>
    <cellStyle name="40% - Accent5 4 3 2" xfId="1333" xr:uid="{00000000-0005-0000-0000-000072060000}"/>
    <cellStyle name="40% - Accent5 4 3 2 2" xfId="3094" xr:uid="{00000000-0005-0000-0000-000073060000}"/>
    <cellStyle name="40% - Accent5 4 3 3" xfId="3095" xr:uid="{00000000-0005-0000-0000-000074060000}"/>
    <cellStyle name="40% - Accent5 4 3 3 2" xfId="3096" xr:uid="{00000000-0005-0000-0000-000075060000}"/>
    <cellStyle name="40% - Accent5 4 3 4" xfId="3097" xr:uid="{00000000-0005-0000-0000-000076060000}"/>
    <cellStyle name="40% - Accent5 4 4" xfId="338" xr:uid="{00000000-0005-0000-0000-000077060000}"/>
    <cellStyle name="40% - Accent5 4 4 2" xfId="1334" xr:uid="{00000000-0005-0000-0000-000078060000}"/>
    <cellStyle name="40% - Accent5 4 5" xfId="1335" xr:uid="{00000000-0005-0000-0000-000079060000}"/>
    <cellStyle name="40% - Accent5 4 5 2" xfId="3098" xr:uid="{00000000-0005-0000-0000-00007A060000}"/>
    <cellStyle name="40% - Accent5 4 6" xfId="3099" xr:uid="{00000000-0005-0000-0000-00007B060000}"/>
    <cellStyle name="40% - Accent5 4_Bdx 1517" xfId="2160" xr:uid="{00000000-0005-0000-0000-00007C060000}"/>
    <cellStyle name="40% - Accent5 5" xfId="2066" xr:uid="{00000000-0005-0000-0000-00007D060000}"/>
    <cellStyle name="40% - Accent5 5 2" xfId="3100" xr:uid="{00000000-0005-0000-0000-00007E060000}"/>
    <cellStyle name="40% - Accent5 5 2 2" xfId="3101" xr:uid="{00000000-0005-0000-0000-00007F060000}"/>
    <cellStyle name="40% - Accent5 5 3" xfId="3102" xr:uid="{00000000-0005-0000-0000-000080060000}"/>
    <cellStyle name="40% - Accent5 5 3 2" xfId="3103" xr:uid="{00000000-0005-0000-0000-000081060000}"/>
    <cellStyle name="40% - Accent5 5 4" xfId="3104" xr:uid="{00000000-0005-0000-0000-000082060000}"/>
    <cellStyle name="40% - Accent5 6" xfId="3105" xr:uid="{00000000-0005-0000-0000-000083060000}"/>
    <cellStyle name="40% - Accent5 6 2" xfId="3106" xr:uid="{00000000-0005-0000-0000-000084060000}"/>
    <cellStyle name="40% - Accent5 7" xfId="3107" xr:uid="{00000000-0005-0000-0000-000085060000}"/>
    <cellStyle name="40% - Accent5 7 2" xfId="3108" xr:uid="{00000000-0005-0000-0000-000086060000}"/>
    <cellStyle name="40% - Accent5 8" xfId="3109" xr:uid="{00000000-0005-0000-0000-000087060000}"/>
    <cellStyle name="40% - Accent5_Bordereaux" xfId="2079" xr:uid="{00000000-0005-0000-0000-000088060000}"/>
    <cellStyle name="40% - Accent6" xfId="2032" xr:uid="{00000000-0005-0000-0000-000089060000}"/>
    <cellStyle name="40% - Accent6 2" xfId="339" xr:uid="{00000000-0005-0000-0000-00008A060000}"/>
    <cellStyle name="40% - Accent6 2 2" xfId="340" xr:uid="{00000000-0005-0000-0000-00008B060000}"/>
    <cellStyle name="40% - Accent6 2 2 2" xfId="341" xr:uid="{00000000-0005-0000-0000-00008C060000}"/>
    <cellStyle name="40% - Accent6 2 2 2 2" xfId="1336" xr:uid="{00000000-0005-0000-0000-00008D060000}"/>
    <cellStyle name="40% - Accent6 2 2 2 2 2" xfId="3110" xr:uid="{00000000-0005-0000-0000-00008E060000}"/>
    <cellStyle name="40% - Accent6 2 2 2 3" xfId="3111" xr:uid="{00000000-0005-0000-0000-00008F060000}"/>
    <cellStyle name="40% - Accent6 2 2 2 3 2" xfId="3112" xr:uid="{00000000-0005-0000-0000-000090060000}"/>
    <cellStyle name="40% - Accent6 2 2 2 4" xfId="3113" xr:uid="{00000000-0005-0000-0000-000091060000}"/>
    <cellStyle name="40% - Accent6 2 2 3" xfId="342" xr:uid="{00000000-0005-0000-0000-000092060000}"/>
    <cellStyle name="40% - Accent6 2 2 3 2" xfId="1337" xr:uid="{00000000-0005-0000-0000-000093060000}"/>
    <cellStyle name="40% - Accent6 2 2 3 2 2" xfId="3114" xr:uid="{00000000-0005-0000-0000-000094060000}"/>
    <cellStyle name="40% - Accent6 2 2 3 3" xfId="3115" xr:uid="{00000000-0005-0000-0000-000095060000}"/>
    <cellStyle name="40% - Accent6 2 2 3 3 2" xfId="3116" xr:uid="{00000000-0005-0000-0000-000096060000}"/>
    <cellStyle name="40% - Accent6 2 2 3 4" xfId="3117" xr:uid="{00000000-0005-0000-0000-000097060000}"/>
    <cellStyle name="40% - Accent6 2 2 4" xfId="1338" xr:uid="{00000000-0005-0000-0000-000098060000}"/>
    <cellStyle name="40% - Accent6 2 2 4 2" xfId="3118" xr:uid="{00000000-0005-0000-0000-000099060000}"/>
    <cellStyle name="40% - Accent6 2 2 5" xfId="3119" xr:uid="{00000000-0005-0000-0000-00009A060000}"/>
    <cellStyle name="40% - Accent6 2 2 5 2" xfId="3120" xr:uid="{00000000-0005-0000-0000-00009B060000}"/>
    <cellStyle name="40% - Accent6 2 2 6" xfId="3121" xr:uid="{00000000-0005-0000-0000-00009C060000}"/>
    <cellStyle name="40% - Accent6 2 2_Bdx 1517" xfId="2161" xr:uid="{00000000-0005-0000-0000-00009D060000}"/>
    <cellStyle name="40% - Accent6 2 3" xfId="343" xr:uid="{00000000-0005-0000-0000-00009E060000}"/>
    <cellStyle name="40% - Accent6 2 3 2" xfId="1339" xr:uid="{00000000-0005-0000-0000-00009F060000}"/>
    <cellStyle name="40% - Accent6 2 3 2 2" xfId="3122" xr:uid="{00000000-0005-0000-0000-0000A0060000}"/>
    <cellStyle name="40% - Accent6 2 3 2 2 2" xfId="3123" xr:uid="{00000000-0005-0000-0000-0000A1060000}"/>
    <cellStyle name="40% - Accent6 2 3 2 3" xfId="3124" xr:uid="{00000000-0005-0000-0000-0000A2060000}"/>
    <cellStyle name="40% - Accent6 2 3 2 3 2" xfId="3125" xr:uid="{00000000-0005-0000-0000-0000A3060000}"/>
    <cellStyle name="40% - Accent6 2 3 2 4" xfId="3126" xr:uid="{00000000-0005-0000-0000-0000A4060000}"/>
    <cellStyle name="40% - Accent6 2 3 3" xfId="2162" xr:uid="{00000000-0005-0000-0000-0000A5060000}"/>
    <cellStyle name="40% - Accent6 2 3 3 2" xfId="3127" xr:uid="{00000000-0005-0000-0000-0000A6060000}"/>
    <cellStyle name="40% - Accent6 2 3 3 2 2" xfId="3128" xr:uid="{00000000-0005-0000-0000-0000A7060000}"/>
    <cellStyle name="40% - Accent6 2 3 3 3" xfId="3129" xr:uid="{00000000-0005-0000-0000-0000A8060000}"/>
    <cellStyle name="40% - Accent6 2 3 3 3 2" xfId="3130" xr:uid="{00000000-0005-0000-0000-0000A9060000}"/>
    <cellStyle name="40% - Accent6 2 3 3 4" xfId="3131" xr:uid="{00000000-0005-0000-0000-0000AA060000}"/>
    <cellStyle name="40% - Accent6 2 3 4" xfId="3132" xr:uid="{00000000-0005-0000-0000-0000AB060000}"/>
    <cellStyle name="40% - Accent6 2 3 4 2" xfId="3133" xr:uid="{00000000-0005-0000-0000-0000AC060000}"/>
    <cellStyle name="40% - Accent6 2 3 5" xfId="3134" xr:uid="{00000000-0005-0000-0000-0000AD060000}"/>
    <cellStyle name="40% - Accent6 2 3 5 2" xfId="3135" xr:uid="{00000000-0005-0000-0000-0000AE060000}"/>
    <cellStyle name="40% - Accent6 2 3 6" xfId="3136" xr:uid="{00000000-0005-0000-0000-0000AF060000}"/>
    <cellStyle name="40% - Accent6 2 3_Bdx 1517" xfId="2163" xr:uid="{00000000-0005-0000-0000-0000B0060000}"/>
    <cellStyle name="40% - Accent6 2 4" xfId="344" xr:uid="{00000000-0005-0000-0000-0000B1060000}"/>
    <cellStyle name="40% - Accent6 2 4 2" xfId="1340" xr:uid="{00000000-0005-0000-0000-0000B2060000}"/>
    <cellStyle name="40% - Accent6 2 4 2 2" xfId="3137" xr:uid="{00000000-0005-0000-0000-0000B3060000}"/>
    <cellStyle name="40% - Accent6 2 4 3" xfId="3138" xr:uid="{00000000-0005-0000-0000-0000B4060000}"/>
    <cellStyle name="40% - Accent6 2 4 3 2" xfId="3139" xr:uid="{00000000-0005-0000-0000-0000B5060000}"/>
    <cellStyle name="40% - Accent6 2 4 4" xfId="3140" xr:uid="{00000000-0005-0000-0000-0000B6060000}"/>
    <cellStyle name="40% - Accent6 2 5" xfId="1341" xr:uid="{00000000-0005-0000-0000-0000B7060000}"/>
    <cellStyle name="40% - Accent6 2 5 2" xfId="3141" xr:uid="{00000000-0005-0000-0000-0000B8060000}"/>
    <cellStyle name="40% - Accent6 2 5 2 2" xfId="3142" xr:uid="{00000000-0005-0000-0000-0000B9060000}"/>
    <cellStyle name="40% - Accent6 2 5 3" xfId="3143" xr:uid="{00000000-0005-0000-0000-0000BA060000}"/>
    <cellStyle name="40% - Accent6 2 5 3 2" xfId="3144" xr:uid="{00000000-0005-0000-0000-0000BB060000}"/>
    <cellStyle name="40% - Accent6 2 5 4" xfId="3145" xr:uid="{00000000-0005-0000-0000-0000BC060000}"/>
    <cellStyle name="40% - Accent6 2 6" xfId="3146" xr:uid="{00000000-0005-0000-0000-0000BD060000}"/>
    <cellStyle name="40% - Accent6 2 6 2" xfId="3147" xr:uid="{00000000-0005-0000-0000-0000BE060000}"/>
    <cellStyle name="40% - Accent6 2 7" xfId="3148" xr:uid="{00000000-0005-0000-0000-0000BF060000}"/>
    <cellStyle name="40% - Accent6 2 7 2" xfId="3149" xr:uid="{00000000-0005-0000-0000-0000C0060000}"/>
    <cellStyle name="40% - Accent6 2 8" xfId="3150" xr:uid="{00000000-0005-0000-0000-0000C1060000}"/>
    <cellStyle name="40% - Accent6 2_Bdx 1517" xfId="2164" xr:uid="{00000000-0005-0000-0000-0000C2060000}"/>
    <cellStyle name="40% - Accent6 3" xfId="345" xr:uid="{00000000-0005-0000-0000-0000C3060000}"/>
    <cellStyle name="40% - Accent6 3 2" xfId="346" xr:uid="{00000000-0005-0000-0000-0000C4060000}"/>
    <cellStyle name="40% - Accent6 3 2 2" xfId="347" xr:uid="{00000000-0005-0000-0000-0000C5060000}"/>
    <cellStyle name="40% - Accent6 3 2 2 2" xfId="1342" xr:uid="{00000000-0005-0000-0000-0000C6060000}"/>
    <cellStyle name="40% - Accent6 3 2 2 2 2" xfId="3151" xr:uid="{00000000-0005-0000-0000-0000C7060000}"/>
    <cellStyle name="40% - Accent6 3 2 2 3" xfId="3152" xr:uid="{00000000-0005-0000-0000-0000C8060000}"/>
    <cellStyle name="40% - Accent6 3 2 2 3 2" xfId="3153" xr:uid="{00000000-0005-0000-0000-0000C9060000}"/>
    <cellStyle name="40% - Accent6 3 2 2 4" xfId="3154" xr:uid="{00000000-0005-0000-0000-0000CA060000}"/>
    <cellStyle name="40% - Accent6 3 2 3" xfId="348" xr:uid="{00000000-0005-0000-0000-0000CB060000}"/>
    <cellStyle name="40% - Accent6 3 2 3 2" xfId="1343" xr:uid="{00000000-0005-0000-0000-0000CC060000}"/>
    <cellStyle name="40% - Accent6 3 2 3 2 2" xfId="3155" xr:uid="{00000000-0005-0000-0000-0000CD060000}"/>
    <cellStyle name="40% - Accent6 3 2 3 3" xfId="3156" xr:uid="{00000000-0005-0000-0000-0000CE060000}"/>
    <cellStyle name="40% - Accent6 3 2 3 3 2" xfId="3157" xr:uid="{00000000-0005-0000-0000-0000CF060000}"/>
    <cellStyle name="40% - Accent6 3 2 3 4" xfId="3158" xr:uid="{00000000-0005-0000-0000-0000D0060000}"/>
    <cellStyle name="40% - Accent6 3 2 4" xfId="1344" xr:uid="{00000000-0005-0000-0000-0000D1060000}"/>
    <cellStyle name="40% - Accent6 3 2 4 2" xfId="3159" xr:uid="{00000000-0005-0000-0000-0000D2060000}"/>
    <cellStyle name="40% - Accent6 3 2 5" xfId="3160" xr:uid="{00000000-0005-0000-0000-0000D3060000}"/>
    <cellStyle name="40% - Accent6 3 2 5 2" xfId="3161" xr:uid="{00000000-0005-0000-0000-0000D4060000}"/>
    <cellStyle name="40% - Accent6 3 2 6" xfId="3162" xr:uid="{00000000-0005-0000-0000-0000D5060000}"/>
    <cellStyle name="40% - Accent6 3 2_Bdx 1517" xfId="2165" xr:uid="{00000000-0005-0000-0000-0000D6060000}"/>
    <cellStyle name="40% - Accent6 3 3" xfId="349" xr:uid="{00000000-0005-0000-0000-0000D7060000}"/>
    <cellStyle name="40% - Accent6 3 3 2" xfId="1345" xr:uid="{00000000-0005-0000-0000-0000D8060000}"/>
    <cellStyle name="40% - Accent6 3 3 2 2" xfId="3163" xr:uid="{00000000-0005-0000-0000-0000D9060000}"/>
    <cellStyle name="40% - Accent6 3 3 3" xfId="3164" xr:uid="{00000000-0005-0000-0000-0000DA060000}"/>
    <cellStyle name="40% - Accent6 3 3 3 2" xfId="3165" xr:uid="{00000000-0005-0000-0000-0000DB060000}"/>
    <cellStyle name="40% - Accent6 3 3 4" xfId="3166" xr:uid="{00000000-0005-0000-0000-0000DC060000}"/>
    <cellStyle name="40% - Accent6 3 4" xfId="350" xr:uid="{00000000-0005-0000-0000-0000DD060000}"/>
    <cellStyle name="40% - Accent6 3 4 2" xfId="1346" xr:uid="{00000000-0005-0000-0000-0000DE060000}"/>
    <cellStyle name="40% - Accent6 3 4 2 2" xfId="3167" xr:uid="{00000000-0005-0000-0000-0000DF060000}"/>
    <cellStyle name="40% - Accent6 3 4 3" xfId="3168" xr:uid="{00000000-0005-0000-0000-0000E0060000}"/>
    <cellStyle name="40% - Accent6 3 4 3 2" xfId="3169" xr:uid="{00000000-0005-0000-0000-0000E1060000}"/>
    <cellStyle name="40% - Accent6 3 4 4" xfId="3170" xr:uid="{00000000-0005-0000-0000-0000E2060000}"/>
    <cellStyle name="40% - Accent6 3 5" xfId="1347" xr:uid="{00000000-0005-0000-0000-0000E3060000}"/>
    <cellStyle name="40% - Accent6 3 5 2" xfId="3171" xr:uid="{00000000-0005-0000-0000-0000E4060000}"/>
    <cellStyle name="40% - Accent6 3 6" xfId="3172" xr:uid="{00000000-0005-0000-0000-0000E5060000}"/>
    <cellStyle name="40% - Accent6 3 6 2" xfId="3173" xr:uid="{00000000-0005-0000-0000-0000E6060000}"/>
    <cellStyle name="40% - Accent6 3 7" xfId="3174" xr:uid="{00000000-0005-0000-0000-0000E7060000}"/>
    <cellStyle name="40% - Accent6 3_Bdx 1517" xfId="2166" xr:uid="{00000000-0005-0000-0000-0000E8060000}"/>
    <cellStyle name="40% - Accent6 4" xfId="351" xr:uid="{00000000-0005-0000-0000-0000E9060000}"/>
    <cellStyle name="40% - Accent6 4 2" xfId="352" xr:uid="{00000000-0005-0000-0000-0000EA060000}"/>
    <cellStyle name="40% - Accent6 4 2 2" xfId="353" xr:uid="{00000000-0005-0000-0000-0000EB060000}"/>
    <cellStyle name="40% - Accent6 4 2 2 2" xfId="1348" xr:uid="{00000000-0005-0000-0000-0000EC060000}"/>
    <cellStyle name="40% - Accent6 4 2 3" xfId="354" xr:uid="{00000000-0005-0000-0000-0000ED060000}"/>
    <cellStyle name="40% - Accent6 4 2 3 2" xfId="1349" xr:uid="{00000000-0005-0000-0000-0000EE060000}"/>
    <cellStyle name="40% - Accent6 4 2 4" xfId="1350" xr:uid="{00000000-0005-0000-0000-0000EF060000}"/>
    <cellStyle name="40% - Accent6 4 3" xfId="355" xr:uid="{00000000-0005-0000-0000-0000F0060000}"/>
    <cellStyle name="40% - Accent6 4 3 2" xfId="1351" xr:uid="{00000000-0005-0000-0000-0000F1060000}"/>
    <cellStyle name="40% - Accent6 4 3 2 2" xfId="3175" xr:uid="{00000000-0005-0000-0000-0000F2060000}"/>
    <cellStyle name="40% - Accent6 4 3 3" xfId="3176" xr:uid="{00000000-0005-0000-0000-0000F3060000}"/>
    <cellStyle name="40% - Accent6 4 3 3 2" xfId="3177" xr:uid="{00000000-0005-0000-0000-0000F4060000}"/>
    <cellStyle name="40% - Accent6 4 3 4" xfId="3178" xr:uid="{00000000-0005-0000-0000-0000F5060000}"/>
    <cellStyle name="40% - Accent6 4 4" xfId="356" xr:uid="{00000000-0005-0000-0000-0000F6060000}"/>
    <cellStyle name="40% - Accent6 4 4 2" xfId="1352" xr:uid="{00000000-0005-0000-0000-0000F7060000}"/>
    <cellStyle name="40% - Accent6 4 5" xfId="1353" xr:uid="{00000000-0005-0000-0000-0000F8060000}"/>
    <cellStyle name="40% - Accent6 4 5 2" xfId="3179" xr:uid="{00000000-0005-0000-0000-0000F9060000}"/>
    <cellStyle name="40% - Accent6 4 6" xfId="3180" xr:uid="{00000000-0005-0000-0000-0000FA060000}"/>
    <cellStyle name="40% - Accent6 4_Bdx 1517" xfId="2167" xr:uid="{00000000-0005-0000-0000-0000FB060000}"/>
    <cellStyle name="40% - Accent6 5" xfId="2067" xr:uid="{00000000-0005-0000-0000-0000FC060000}"/>
    <cellStyle name="40% - Accent6 5 2" xfId="3181" xr:uid="{00000000-0005-0000-0000-0000FD060000}"/>
    <cellStyle name="40% - Accent6 5 2 2" xfId="3182" xr:uid="{00000000-0005-0000-0000-0000FE060000}"/>
    <cellStyle name="40% - Accent6 5 3" xfId="3183" xr:uid="{00000000-0005-0000-0000-0000FF060000}"/>
    <cellStyle name="40% - Accent6 5 3 2" xfId="3184" xr:uid="{00000000-0005-0000-0000-000000070000}"/>
    <cellStyle name="40% - Accent6 5 4" xfId="3185" xr:uid="{00000000-0005-0000-0000-000001070000}"/>
    <cellStyle name="40% - Accent6 6" xfId="3186" xr:uid="{00000000-0005-0000-0000-000002070000}"/>
    <cellStyle name="40% - Accent6 6 2" xfId="3187" xr:uid="{00000000-0005-0000-0000-000003070000}"/>
    <cellStyle name="40% - Accent6 7" xfId="3188" xr:uid="{00000000-0005-0000-0000-000004070000}"/>
    <cellStyle name="40% - Accent6 7 2" xfId="3189" xr:uid="{00000000-0005-0000-0000-000005070000}"/>
    <cellStyle name="40% - Accent6 8" xfId="3190" xr:uid="{00000000-0005-0000-0000-000006070000}"/>
    <cellStyle name="40% - Accent6_Bordereaux" xfId="2080" xr:uid="{00000000-0005-0000-0000-000007070000}"/>
    <cellStyle name="60 % - Accent1 2" xfId="3191" xr:uid="{00000000-0005-0000-0000-000008070000}"/>
    <cellStyle name="60 % - Accent2 2" xfId="3192" xr:uid="{00000000-0005-0000-0000-000009070000}"/>
    <cellStyle name="60 % - Accent3 2" xfId="3193" xr:uid="{00000000-0005-0000-0000-00000A070000}"/>
    <cellStyle name="60 % - Accent4 2" xfId="3194" xr:uid="{00000000-0005-0000-0000-00000B070000}"/>
    <cellStyle name="60 % - Accent5 2" xfId="3195" xr:uid="{00000000-0005-0000-0000-00000C070000}"/>
    <cellStyle name="60 % - Accent6 2" xfId="3196" xr:uid="{00000000-0005-0000-0000-00000D070000}"/>
    <cellStyle name="60% - Accent1" xfId="2033" xr:uid="{00000000-0005-0000-0000-00000E070000}"/>
    <cellStyle name="60% - Accent2" xfId="2034" xr:uid="{00000000-0005-0000-0000-00000F070000}"/>
    <cellStyle name="60% - Accent3" xfId="2035" xr:uid="{00000000-0005-0000-0000-000010070000}"/>
    <cellStyle name="60% - Accent4" xfId="2036" xr:uid="{00000000-0005-0000-0000-000011070000}"/>
    <cellStyle name="60% - Accent5" xfId="2037" xr:uid="{00000000-0005-0000-0000-000012070000}"/>
    <cellStyle name="60% - Accent6" xfId="2038" xr:uid="{00000000-0005-0000-0000-000013070000}"/>
    <cellStyle name="Avertissement 2" xfId="3197" xr:uid="{00000000-0005-0000-0000-000014070000}"/>
    <cellStyle name="Bad" xfId="2039" xr:uid="{00000000-0005-0000-0000-000015070000}"/>
    <cellStyle name="Calcul 2" xfId="3198" xr:uid="{00000000-0005-0000-0000-000016070000}"/>
    <cellStyle name="Calculation" xfId="2040" xr:uid="{00000000-0005-0000-0000-000017070000}"/>
    <cellStyle name="Cellule liée 2" xfId="3199" xr:uid="{00000000-0005-0000-0000-000018070000}"/>
    <cellStyle name="Check Cell" xfId="2041" xr:uid="{00000000-0005-0000-0000-000019070000}"/>
    <cellStyle name="Comma" xfId="984" builtinId="3"/>
    <cellStyle name="Comma 10" xfId="1000" xr:uid="{00000000-0005-0000-0000-00001A070000}"/>
    <cellStyle name="Comma 11" xfId="1354" xr:uid="{00000000-0005-0000-0000-00001B070000}"/>
    <cellStyle name="Comma 2" xfId="26" xr:uid="{00000000-0005-0000-0000-00001C070000}"/>
    <cellStyle name="Comma 2 2" xfId="357" xr:uid="{00000000-0005-0000-0000-00001D070000}"/>
    <cellStyle name="Comma 2 2 2" xfId="358" xr:uid="{00000000-0005-0000-0000-00001E070000}"/>
    <cellStyle name="Comma 2 2 2 2" xfId="1355" xr:uid="{00000000-0005-0000-0000-00001F070000}"/>
    <cellStyle name="Comma 2 2 3" xfId="359" xr:uid="{00000000-0005-0000-0000-000020070000}"/>
    <cellStyle name="Comma 2 2 3 2" xfId="1356" xr:uid="{00000000-0005-0000-0000-000021070000}"/>
    <cellStyle name="Comma 2 2 4" xfId="1357" xr:uid="{00000000-0005-0000-0000-000022070000}"/>
    <cellStyle name="Comma 2 3" xfId="360" xr:uid="{00000000-0005-0000-0000-000023070000}"/>
    <cellStyle name="Comma 2 3 2" xfId="361" xr:uid="{00000000-0005-0000-0000-000024070000}"/>
    <cellStyle name="Comma 2 3 2 2" xfId="1358" xr:uid="{00000000-0005-0000-0000-000025070000}"/>
    <cellStyle name="Comma 2 3 3" xfId="362" xr:uid="{00000000-0005-0000-0000-000026070000}"/>
    <cellStyle name="Comma 2 3 3 2" xfId="1359" xr:uid="{00000000-0005-0000-0000-000027070000}"/>
    <cellStyle name="Comma 2 3 4" xfId="1360" xr:uid="{00000000-0005-0000-0000-000028070000}"/>
    <cellStyle name="Comma 2 4" xfId="363" xr:uid="{00000000-0005-0000-0000-000029070000}"/>
    <cellStyle name="Comma 2 4 2" xfId="364" xr:uid="{00000000-0005-0000-0000-00002A070000}"/>
    <cellStyle name="Comma 2 4 2 2" xfId="1361" xr:uid="{00000000-0005-0000-0000-00002B070000}"/>
    <cellStyle name="Comma 2 4 3" xfId="365" xr:uid="{00000000-0005-0000-0000-00002C070000}"/>
    <cellStyle name="Comma 2 4 3 2" xfId="1362" xr:uid="{00000000-0005-0000-0000-00002D070000}"/>
    <cellStyle name="Comma 2 4 4" xfId="1363" xr:uid="{00000000-0005-0000-0000-00002E070000}"/>
    <cellStyle name="Comma 2 5" xfId="366" xr:uid="{00000000-0005-0000-0000-00002F070000}"/>
    <cellStyle name="Comma 2 5 2" xfId="1364" xr:uid="{00000000-0005-0000-0000-000030070000}"/>
    <cellStyle name="Comma 2 6" xfId="367" xr:uid="{00000000-0005-0000-0000-000031070000}"/>
    <cellStyle name="Comma 2 6 2" xfId="1365" xr:uid="{00000000-0005-0000-0000-000032070000}"/>
    <cellStyle name="Comma 2 7" xfId="1366" xr:uid="{00000000-0005-0000-0000-000033070000}"/>
    <cellStyle name="Comma 2_Sheet4" xfId="985" xr:uid="{00000000-0005-0000-0000-000034070000}"/>
    <cellStyle name="Comma 3" xfId="32" xr:uid="{00000000-0005-0000-0000-000035070000}"/>
    <cellStyle name="Comma 3 2" xfId="368" xr:uid="{00000000-0005-0000-0000-000036070000}"/>
    <cellStyle name="Comma 3 2 2" xfId="369" xr:uid="{00000000-0005-0000-0000-000037070000}"/>
    <cellStyle name="Comma 3 2 2 2" xfId="1367" xr:uid="{00000000-0005-0000-0000-000038070000}"/>
    <cellStyle name="Comma 3 2 3" xfId="370" xr:uid="{00000000-0005-0000-0000-000039070000}"/>
    <cellStyle name="Comma 3 2 3 2" xfId="1368" xr:uid="{00000000-0005-0000-0000-00003A070000}"/>
    <cellStyle name="Comma 3 2 4" xfId="1369" xr:uid="{00000000-0005-0000-0000-00003B070000}"/>
    <cellStyle name="Comma 3 3" xfId="371" xr:uid="{00000000-0005-0000-0000-00003C070000}"/>
    <cellStyle name="Comma 3 3 2" xfId="372" xr:uid="{00000000-0005-0000-0000-00003D070000}"/>
    <cellStyle name="Comma 3 3 2 2" xfId="1370" xr:uid="{00000000-0005-0000-0000-00003E070000}"/>
    <cellStyle name="Comma 3 3 3" xfId="373" xr:uid="{00000000-0005-0000-0000-00003F070000}"/>
    <cellStyle name="Comma 3 3 3 2" xfId="1371" xr:uid="{00000000-0005-0000-0000-000040070000}"/>
    <cellStyle name="Comma 3 3 4" xfId="1372" xr:uid="{00000000-0005-0000-0000-000041070000}"/>
    <cellStyle name="Comma 3 4" xfId="374" xr:uid="{00000000-0005-0000-0000-000042070000}"/>
    <cellStyle name="Comma 3 4 2" xfId="375" xr:uid="{00000000-0005-0000-0000-000043070000}"/>
    <cellStyle name="Comma 3 4 2 2" xfId="1373" xr:uid="{00000000-0005-0000-0000-000044070000}"/>
    <cellStyle name="Comma 3 4 3" xfId="376" xr:uid="{00000000-0005-0000-0000-000045070000}"/>
    <cellStyle name="Comma 3 4 3 2" xfId="1374" xr:uid="{00000000-0005-0000-0000-000046070000}"/>
    <cellStyle name="Comma 3 4 4" xfId="1375" xr:uid="{00000000-0005-0000-0000-000047070000}"/>
    <cellStyle name="Comma 3 5" xfId="377" xr:uid="{00000000-0005-0000-0000-000048070000}"/>
    <cellStyle name="Comma 3 5 2" xfId="1376" xr:uid="{00000000-0005-0000-0000-000049070000}"/>
    <cellStyle name="Comma 3 6" xfId="378" xr:uid="{00000000-0005-0000-0000-00004A070000}"/>
    <cellStyle name="Comma 3 6 2" xfId="1377" xr:uid="{00000000-0005-0000-0000-00004B070000}"/>
    <cellStyle name="Comma 3 7" xfId="1378" xr:uid="{00000000-0005-0000-0000-00004C070000}"/>
    <cellStyle name="Comma 3 8" xfId="1379" xr:uid="{00000000-0005-0000-0000-00004D070000}"/>
    <cellStyle name="Comma 4" xfId="379" xr:uid="{00000000-0005-0000-0000-00004E070000}"/>
    <cellStyle name="Comma 4 2" xfId="380" xr:uid="{00000000-0005-0000-0000-00004F070000}"/>
    <cellStyle name="Comma 4 3" xfId="381" xr:uid="{00000000-0005-0000-0000-000050070000}"/>
    <cellStyle name="Comma 4 4" xfId="1380" xr:uid="{00000000-0005-0000-0000-000051070000}"/>
    <cellStyle name="Comma 4 5" xfId="1381" xr:uid="{00000000-0005-0000-0000-000052070000}"/>
    <cellStyle name="Comma 5" xfId="17" xr:uid="{00000000-0005-0000-0000-000053070000}"/>
    <cellStyle name="Comma 6" xfId="382" xr:uid="{00000000-0005-0000-0000-000054070000}"/>
    <cellStyle name="Comma 7" xfId="383" xr:uid="{00000000-0005-0000-0000-000055070000}"/>
    <cellStyle name="Comma 7 2" xfId="384" xr:uid="{00000000-0005-0000-0000-000056070000}"/>
    <cellStyle name="Comma 7 2 2" xfId="1382" xr:uid="{00000000-0005-0000-0000-000057070000}"/>
    <cellStyle name="Comma 7 3" xfId="1383" xr:uid="{00000000-0005-0000-0000-000058070000}"/>
    <cellStyle name="Comma 8" xfId="385" xr:uid="{00000000-0005-0000-0000-000059070000}"/>
    <cellStyle name="Comma 8 2" xfId="386" xr:uid="{00000000-0005-0000-0000-00005A070000}"/>
    <cellStyle name="Comma 8 2 2" xfId="1384" xr:uid="{00000000-0005-0000-0000-00005B070000}"/>
    <cellStyle name="Comma 8 3" xfId="387" xr:uid="{00000000-0005-0000-0000-00005C070000}"/>
    <cellStyle name="Comma 8 3 2" xfId="1385" xr:uid="{00000000-0005-0000-0000-00005D070000}"/>
    <cellStyle name="Comma 9" xfId="388" xr:uid="{00000000-0005-0000-0000-00005E070000}"/>
    <cellStyle name="Comma 9 2" xfId="1386" xr:uid="{00000000-0005-0000-0000-00005F070000}"/>
    <cellStyle name="Commentaire 2" xfId="389" xr:uid="{00000000-0005-0000-0000-000060070000}"/>
    <cellStyle name="Commentaire 2 2" xfId="390" xr:uid="{00000000-0005-0000-0000-000061070000}"/>
    <cellStyle name="Commentaire 2 2 2" xfId="391" xr:uid="{00000000-0005-0000-0000-000062070000}"/>
    <cellStyle name="Commentaire 2 2 2 2" xfId="1387" xr:uid="{00000000-0005-0000-0000-000063070000}"/>
    <cellStyle name="Commentaire 2 2 3" xfId="392" xr:uid="{00000000-0005-0000-0000-000064070000}"/>
    <cellStyle name="Commentaire 2 2 3 2" xfId="1388" xr:uid="{00000000-0005-0000-0000-000065070000}"/>
    <cellStyle name="Commentaire 2 2 4" xfId="1389" xr:uid="{00000000-0005-0000-0000-000066070000}"/>
    <cellStyle name="Commentaire 2 3" xfId="393" xr:uid="{00000000-0005-0000-0000-000067070000}"/>
    <cellStyle name="Commentaire 2 3 2" xfId="1390" xr:uid="{00000000-0005-0000-0000-000068070000}"/>
    <cellStyle name="Commentaire 2 4" xfId="394" xr:uid="{00000000-0005-0000-0000-000069070000}"/>
    <cellStyle name="Commentaire 2 4 2" xfId="1391" xr:uid="{00000000-0005-0000-0000-00006A070000}"/>
    <cellStyle name="Commentaire 2 5" xfId="1392" xr:uid="{00000000-0005-0000-0000-00006B070000}"/>
    <cellStyle name="Commentaire 2 6" xfId="3200" xr:uid="{00000000-0005-0000-0000-00006C070000}"/>
    <cellStyle name="Commentaire 3" xfId="395" xr:uid="{00000000-0005-0000-0000-00006D070000}"/>
    <cellStyle name="Commentaire 3 2" xfId="396" xr:uid="{00000000-0005-0000-0000-00006E070000}"/>
    <cellStyle name="Commentaire 3 2 2" xfId="397" xr:uid="{00000000-0005-0000-0000-00006F070000}"/>
    <cellStyle name="Commentaire 3 2 2 2" xfId="1393" xr:uid="{00000000-0005-0000-0000-000070070000}"/>
    <cellStyle name="Commentaire 3 2 3" xfId="398" xr:uid="{00000000-0005-0000-0000-000071070000}"/>
    <cellStyle name="Commentaire 3 2 3 2" xfId="1394" xr:uid="{00000000-0005-0000-0000-000072070000}"/>
    <cellStyle name="Commentaire 3 2 4" xfId="1395" xr:uid="{00000000-0005-0000-0000-000073070000}"/>
    <cellStyle name="Commentaire 3 3" xfId="399" xr:uid="{00000000-0005-0000-0000-000074070000}"/>
    <cellStyle name="Commentaire 3 3 2" xfId="1396" xr:uid="{00000000-0005-0000-0000-000075070000}"/>
    <cellStyle name="Commentaire 3 4" xfId="400" xr:uid="{00000000-0005-0000-0000-000076070000}"/>
    <cellStyle name="Commentaire 3 4 2" xfId="1397" xr:uid="{00000000-0005-0000-0000-000077070000}"/>
    <cellStyle name="Commentaire 3 5" xfId="1398" xr:uid="{00000000-0005-0000-0000-000078070000}"/>
    <cellStyle name="Currency" xfId="982" builtinId="4"/>
    <cellStyle name="Currency 10" xfId="21" xr:uid="{00000000-0005-0000-0000-000079070000}"/>
    <cellStyle name="Currency 10 2" xfId="401" xr:uid="{00000000-0005-0000-0000-00007A070000}"/>
    <cellStyle name="Currency 10 2 2" xfId="1399" xr:uid="{00000000-0005-0000-0000-00007B070000}"/>
    <cellStyle name="Currency 10 3" xfId="402" xr:uid="{00000000-0005-0000-0000-00007C070000}"/>
    <cellStyle name="Currency 10 3 2" xfId="1400" xr:uid="{00000000-0005-0000-0000-00007D070000}"/>
    <cellStyle name="Currency 10 4" xfId="979" xr:uid="{00000000-0005-0000-0000-00007E070000}"/>
    <cellStyle name="Currency 11" xfId="403" xr:uid="{00000000-0005-0000-0000-00007F070000}"/>
    <cellStyle name="Currency 11 2" xfId="404" xr:uid="{00000000-0005-0000-0000-000080070000}"/>
    <cellStyle name="Currency 11 2 2" xfId="1401" xr:uid="{00000000-0005-0000-0000-000081070000}"/>
    <cellStyle name="Currency 11 3" xfId="405" xr:uid="{00000000-0005-0000-0000-000082070000}"/>
    <cellStyle name="Currency 11 3 2" xfId="1402" xr:uid="{00000000-0005-0000-0000-000083070000}"/>
    <cellStyle name="Currency 11 4" xfId="1403" xr:uid="{00000000-0005-0000-0000-000084070000}"/>
    <cellStyle name="Currency 12" xfId="406" xr:uid="{00000000-0005-0000-0000-000085070000}"/>
    <cellStyle name="Currency 13" xfId="407" xr:uid="{00000000-0005-0000-0000-000086070000}"/>
    <cellStyle name="Currency 13 2" xfId="408" xr:uid="{00000000-0005-0000-0000-000087070000}"/>
    <cellStyle name="Currency 13 2 2" xfId="1404" xr:uid="{00000000-0005-0000-0000-000088070000}"/>
    <cellStyle name="Currency 13 3" xfId="409" xr:uid="{00000000-0005-0000-0000-000089070000}"/>
    <cellStyle name="Currency 13 3 2" xfId="1405" xr:uid="{00000000-0005-0000-0000-00008A070000}"/>
    <cellStyle name="Currency 13 4" xfId="1406" xr:uid="{00000000-0005-0000-0000-00008B070000}"/>
    <cellStyle name="Currency 14" xfId="16" xr:uid="{00000000-0005-0000-0000-00008C070000}"/>
    <cellStyle name="Currency 15" xfId="410" xr:uid="{00000000-0005-0000-0000-00008D070000}"/>
    <cellStyle name="Currency 15 2" xfId="411" xr:uid="{00000000-0005-0000-0000-00008E070000}"/>
    <cellStyle name="Currency 15 2 2" xfId="1407" xr:uid="{00000000-0005-0000-0000-00008F070000}"/>
    <cellStyle name="Currency 15 2 3" xfId="1408" xr:uid="{00000000-0005-0000-0000-000090070000}"/>
    <cellStyle name="Currency 15 3" xfId="1409" xr:uid="{00000000-0005-0000-0000-000091070000}"/>
    <cellStyle name="Currency 15 4" xfId="1410" xr:uid="{00000000-0005-0000-0000-000092070000}"/>
    <cellStyle name="Currency 16" xfId="412" xr:uid="{00000000-0005-0000-0000-000093070000}"/>
    <cellStyle name="Currency 16 2" xfId="413" xr:uid="{00000000-0005-0000-0000-000094070000}"/>
    <cellStyle name="Currency 16 2 2" xfId="1411" xr:uid="{00000000-0005-0000-0000-000095070000}"/>
    <cellStyle name="Currency 16 3" xfId="1412" xr:uid="{00000000-0005-0000-0000-000096070000}"/>
    <cellStyle name="Currency 16 4" xfId="1413" xr:uid="{00000000-0005-0000-0000-000097070000}"/>
    <cellStyle name="Currency 17" xfId="1001" xr:uid="{00000000-0005-0000-0000-000098070000}"/>
    <cellStyle name="Currency 17 2" xfId="1414" xr:uid="{00000000-0005-0000-0000-000099070000}"/>
    <cellStyle name="Currency 18" xfId="1415" xr:uid="{00000000-0005-0000-0000-00009A070000}"/>
    <cellStyle name="Currency 2" xfId="6" xr:uid="{00000000-0005-0000-0000-00009B070000}"/>
    <cellStyle name="Currency 2 2" xfId="24" xr:uid="{00000000-0005-0000-0000-00009C070000}"/>
    <cellStyle name="Currency 2 2 2" xfId="414" xr:uid="{00000000-0005-0000-0000-00009D070000}"/>
    <cellStyle name="Currency 2 2 2 2" xfId="415" xr:uid="{00000000-0005-0000-0000-00009E070000}"/>
    <cellStyle name="Currency 2 2 2 2 2" xfId="1416" xr:uid="{00000000-0005-0000-0000-00009F070000}"/>
    <cellStyle name="Currency 2 2 2 3" xfId="416" xr:uid="{00000000-0005-0000-0000-0000A0070000}"/>
    <cellStyle name="Currency 2 2 2 3 2" xfId="1417" xr:uid="{00000000-0005-0000-0000-0000A1070000}"/>
    <cellStyle name="Currency 2 2 2 4" xfId="1418" xr:uid="{00000000-0005-0000-0000-0000A2070000}"/>
    <cellStyle name="Currency 2 2 3" xfId="417" xr:uid="{00000000-0005-0000-0000-0000A3070000}"/>
    <cellStyle name="Currency 2 2 3 2" xfId="418" xr:uid="{00000000-0005-0000-0000-0000A4070000}"/>
    <cellStyle name="Currency 2 2 3 2 2" xfId="1419" xr:uid="{00000000-0005-0000-0000-0000A5070000}"/>
    <cellStyle name="Currency 2 2 3 3" xfId="419" xr:uid="{00000000-0005-0000-0000-0000A6070000}"/>
    <cellStyle name="Currency 2 2 3 3 2" xfId="1420" xr:uid="{00000000-0005-0000-0000-0000A7070000}"/>
    <cellStyle name="Currency 2 2 3 4" xfId="1421" xr:uid="{00000000-0005-0000-0000-0000A8070000}"/>
    <cellStyle name="Currency 2 2 4" xfId="420" xr:uid="{00000000-0005-0000-0000-0000A9070000}"/>
    <cellStyle name="Currency 2 2 4 2" xfId="1422" xr:uid="{00000000-0005-0000-0000-0000AA070000}"/>
    <cellStyle name="Currency 2 2 5" xfId="421" xr:uid="{00000000-0005-0000-0000-0000AB070000}"/>
    <cellStyle name="Currency 2 2 5 2" xfId="1423" xr:uid="{00000000-0005-0000-0000-0000AC070000}"/>
    <cellStyle name="Currency 2 2 6" xfId="1424" xr:uid="{00000000-0005-0000-0000-0000AD070000}"/>
    <cellStyle name="Currency 2 2 7" xfId="2169" xr:uid="{00000000-0005-0000-0000-0000AE070000}"/>
    <cellStyle name="Currency 2 3" xfId="422" xr:uid="{00000000-0005-0000-0000-0000AF070000}"/>
    <cellStyle name="Currency 2 3 2" xfId="1425" xr:uid="{00000000-0005-0000-0000-0000B0070000}"/>
    <cellStyle name="Currency 2 3 3" xfId="1426" xr:uid="{00000000-0005-0000-0000-0000B1070000}"/>
    <cellStyle name="Currency 2 3 4" xfId="1427" xr:uid="{00000000-0005-0000-0000-0000B2070000}"/>
    <cellStyle name="Currency 2 3 5" xfId="2170" xr:uid="{00000000-0005-0000-0000-0000B3070000}"/>
    <cellStyle name="Currency 2 4" xfId="1428" xr:uid="{00000000-0005-0000-0000-0000B4070000}"/>
    <cellStyle name="Currency 2 4 2" xfId="2171" xr:uid="{00000000-0005-0000-0000-0000B5070000}"/>
    <cellStyle name="Currency 2 5" xfId="1429" xr:uid="{00000000-0005-0000-0000-0000B6070000}"/>
    <cellStyle name="Currency 2 6" xfId="1430" xr:uid="{00000000-0005-0000-0000-0000B7070000}"/>
    <cellStyle name="Currency 2 7" xfId="2168" xr:uid="{00000000-0005-0000-0000-0000B8070000}"/>
    <cellStyle name="Currency 2_Premium Estimator" xfId="1002" xr:uid="{00000000-0005-0000-0000-0000B9070000}"/>
    <cellStyle name="Currency 3" xfId="4" xr:uid="{00000000-0005-0000-0000-0000BA070000}"/>
    <cellStyle name="Currency 3 2" xfId="25" xr:uid="{00000000-0005-0000-0000-0000BB070000}"/>
    <cellStyle name="Currency 4" xfId="2" xr:uid="{00000000-0005-0000-0000-0000BC070000}"/>
    <cellStyle name="Currency 4 2" xfId="28" xr:uid="{00000000-0005-0000-0000-0000BD070000}"/>
    <cellStyle name="Currency 4 2 2" xfId="423" xr:uid="{00000000-0005-0000-0000-0000BE070000}"/>
    <cellStyle name="Currency 4 2 2 2" xfId="1431" xr:uid="{00000000-0005-0000-0000-0000BF070000}"/>
    <cellStyle name="Currency 4 2 3" xfId="424" xr:uid="{00000000-0005-0000-0000-0000C0070000}"/>
    <cellStyle name="Currency 4 2 3 2" xfId="1432" xr:uid="{00000000-0005-0000-0000-0000C1070000}"/>
    <cellStyle name="Currency 4 2 4" xfId="1433" xr:uid="{00000000-0005-0000-0000-0000C2070000}"/>
    <cellStyle name="Currency 4 3" xfId="425" xr:uid="{00000000-0005-0000-0000-0000C3070000}"/>
    <cellStyle name="Currency 4 3 2" xfId="426" xr:uid="{00000000-0005-0000-0000-0000C4070000}"/>
    <cellStyle name="Currency 4 3 2 2" xfId="1434" xr:uid="{00000000-0005-0000-0000-0000C5070000}"/>
    <cellStyle name="Currency 4 3 3" xfId="427" xr:uid="{00000000-0005-0000-0000-0000C6070000}"/>
    <cellStyle name="Currency 4 3 3 2" xfId="1435" xr:uid="{00000000-0005-0000-0000-0000C7070000}"/>
    <cellStyle name="Currency 4 3 4" xfId="1436" xr:uid="{00000000-0005-0000-0000-0000C8070000}"/>
    <cellStyle name="Currency 4 4" xfId="428" xr:uid="{00000000-0005-0000-0000-0000C9070000}"/>
    <cellStyle name="Currency 4 4 2" xfId="429" xr:uid="{00000000-0005-0000-0000-0000CA070000}"/>
    <cellStyle name="Currency 4 4 2 2" xfId="1437" xr:uid="{00000000-0005-0000-0000-0000CB070000}"/>
    <cellStyle name="Currency 4 4 3" xfId="430" xr:uid="{00000000-0005-0000-0000-0000CC070000}"/>
    <cellStyle name="Currency 4 4 3 2" xfId="1438" xr:uid="{00000000-0005-0000-0000-0000CD070000}"/>
    <cellStyle name="Currency 4 4 4" xfId="1439" xr:uid="{00000000-0005-0000-0000-0000CE070000}"/>
    <cellStyle name="Currency 4 5" xfId="431" xr:uid="{00000000-0005-0000-0000-0000CF070000}"/>
    <cellStyle name="Currency 4 6" xfId="432" xr:uid="{00000000-0005-0000-0000-0000D0070000}"/>
    <cellStyle name="Currency 4 6 2" xfId="1440" xr:uid="{00000000-0005-0000-0000-0000D1070000}"/>
    <cellStyle name="Currency 4 7" xfId="1441" xr:uid="{00000000-0005-0000-0000-0000D2070000}"/>
    <cellStyle name="Currency 4 8" xfId="1442" xr:uid="{00000000-0005-0000-0000-0000D3070000}"/>
    <cellStyle name="Currency 4_Sheet4" xfId="986" xr:uid="{00000000-0005-0000-0000-0000D4070000}"/>
    <cellStyle name="Currency 5" xfId="433" xr:uid="{00000000-0005-0000-0000-0000D5070000}"/>
    <cellStyle name="Currency 5 2" xfId="434" xr:uid="{00000000-0005-0000-0000-0000D6070000}"/>
    <cellStyle name="Currency 5 2 2" xfId="435" xr:uid="{00000000-0005-0000-0000-0000D7070000}"/>
    <cellStyle name="Currency 5 2 2 2" xfId="1443" xr:uid="{00000000-0005-0000-0000-0000D8070000}"/>
    <cellStyle name="Currency 5 2 2 3" xfId="1444" xr:uid="{00000000-0005-0000-0000-0000D9070000}"/>
    <cellStyle name="Currency 5 2 3" xfId="436" xr:uid="{00000000-0005-0000-0000-0000DA070000}"/>
    <cellStyle name="Currency 5 2 3 2" xfId="1445" xr:uid="{00000000-0005-0000-0000-0000DB070000}"/>
    <cellStyle name="Currency 5 2 4" xfId="1446" xr:uid="{00000000-0005-0000-0000-0000DC070000}"/>
    <cellStyle name="Currency 5 2 5" xfId="1447" xr:uid="{00000000-0005-0000-0000-0000DD070000}"/>
    <cellStyle name="Currency 5 3" xfId="437" xr:uid="{00000000-0005-0000-0000-0000DE070000}"/>
    <cellStyle name="Currency 5 3 2" xfId="438" xr:uid="{00000000-0005-0000-0000-0000DF070000}"/>
    <cellStyle name="Currency 5 3 2 2" xfId="1448" xr:uid="{00000000-0005-0000-0000-0000E0070000}"/>
    <cellStyle name="Currency 5 3 3" xfId="439" xr:uid="{00000000-0005-0000-0000-0000E1070000}"/>
    <cellStyle name="Currency 5 3 3 2" xfId="1449" xr:uid="{00000000-0005-0000-0000-0000E2070000}"/>
    <cellStyle name="Currency 5 3 4" xfId="1450" xr:uid="{00000000-0005-0000-0000-0000E3070000}"/>
    <cellStyle name="Currency 5 3 5" xfId="1451" xr:uid="{00000000-0005-0000-0000-0000E4070000}"/>
    <cellStyle name="Currency 5 4" xfId="440" xr:uid="{00000000-0005-0000-0000-0000E5070000}"/>
    <cellStyle name="Currency 5 4 2" xfId="441" xr:uid="{00000000-0005-0000-0000-0000E6070000}"/>
    <cellStyle name="Currency 5 4 2 2" xfId="1452" xr:uid="{00000000-0005-0000-0000-0000E7070000}"/>
    <cellStyle name="Currency 5 4 3" xfId="442" xr:uid="{00000000-0005-0000-0000-0000E8070000}"/>
    <cellStyle name="Currency 5 4 3 2" xfId="1453" xr:uid="{00000000-0005-0000-0000-0000E9070000}"/>
    <cellStyle name="Currency 5 4 4" xfId="1454" xr:uid="{00000000-0005-0000-0000-0000EA070000}"/>
    <cellStyle name="Currency 5 5" xfId="443" xr:uid="{00000000-0005-0000-0000-0000EB070000}"/>
    <cellStyle name="Currency 5 5 2" xfId="1455" xr:uid="{00000000-0005-0000-0000-0000EC070000}"/>
    <cellStyle name="Currency 5 6" xfId="444" xr:uid="{00000000-0005-0000-0000-0000ED070000}"/>
    <cellStyle name="Currency 5 6 2" xfId="1456" xr:uid="{00000000-0005-0000-0000-0000EE070000}"/>
    <cellStyle name="Currency 5 7" xfId="1457" xr:uid="{00000000-0005-0000-0000-0000EF070000}"/>
    <cellStyle name="Currency 5 8" xfId="1458" xr:uid="{00000000-0005-0000-0000-0000F0070000}"/>
    <cellStyle name="Currency 6" xfId="445" xr:uid="{00000000-0005-0000-0000-0000F1070000}"/>
    <cellStyle name="Currency 6 2" xfId="446" xr:uid="{00000000-0005-0000-0000-0000F2070000}"/>
    <cellStyle name="Currency 6 2 2" xfId="1459" xr:uid="{00000000-0005-0000-0000-0000F3070000}"/>
    <cellStyle name="Currency 6 2 3" xfId="1460" xr:uid="{00000000-0005-0000-0000-0000F4070000}"/>
    <cellStyle name="Currency 6 3" xfId="447" xr:uid="{00000000-0005-0000-0000-0000F5070000}"/>
    <cellStyle name="Currency 6 3 2" xfId="1461" xr:uid="{00000000-0005-0000-0000-0000F6070000}"/>
    <cellStyle name="Currency 6 4" xfId="1462" xr:uid="{00000000-0005-0000-0000-0000F7070000}"/>
    <cellStyle name="Currency 6 5" xfId="1463" xr:uid="{00000000-0005-0000-0000-0000F8070000}"/>
    <cellStyle name="Currency 7" xfId="448" xr:uid="{00000000-0005-0000-0000-0000F9070000}"/>
    <cellStyle name="Currency 8" xfId="449" xr:uid="{00000000-0005-0000-0000-0000FA070000}"/>
    <cellStyle name="Currency 8 2" xfId="450" xr:uid="{00000000-0005-0000-0000-0000FB070000}"/>
    <cellStyle name="Currency 8 2 2" xfId="1464" xr:uid="{00000000-0005-0000-0000-0000FC070000}"/>
    <cellStyle name="Currency 8 3" xfId="451" xr:uid="{00000000-0005-0000-0000-0000FD070000}"/>
    <cellStyle name="Currency 8 3 2" xfId="1465" xr:uid="{00000000-0005-0000-0000-0000FE070000}"/>
    <cellStyle name="Currency 8 4" xfId="1466" xr:uid="{00000000-0005-0000-0000-0000FF070000}"/>
    <cellStyle name="Currency 9" xfId="452" xr:uid="{00000000-0005-0000-0000-000000080000}"/>
    <cellStyle name="Currency 9 2" xfId="453" xr:uid="{00000000-0005-0000-0000-000001080000}"/>
    <cellStyle name="Currency 9 2 2" xfId="1467" xr:uid="{00000000-0005-0000-0000-000002080000}"/>
    <cellStyle name="Currency 9 3" xfId="454" xr:uid="{00000000-0005-0000-0000-000003080000}"/>
    <cellStyle name="Currency 9 3 2" xfId="1468" xr:uid="{00000000-0005-0000-0000-000004080000}"/>
    <cellStyle name="Currency 9 4" xfId="1469" xr:uid="{00000000-0005-0000-0000-000005080000}"/>
    <cellStyle name="Entrée 2" xfId="3201" xr:uid="{00000000-0005-0000-0000-000006080000}"/>
    <cellStyle name="Euro" xfId="455" xr:uid="{00000000-0005-0000-0000-000007080000}"/>
    <cellStyle name="Euro 2" xfId="456" xr:uid="{00000000-0005-0000-0000-000008080000}"/>
    <cellStyle name="Euro 2 2" xfId="457" xr:uid="{00000000-0005-0000-0000-000009080000}"/>
    <cellStyle name="Euro 2 2 2" xfId="1470" xr:uid="{00000000-0005-0000-0000-00000A080000}"/>
    <cellStyle name="Euro 2 3" xfId="458" xr:uid="{00000000-0005-0000-0000-00000B080000}"/>
    <cellStyle name="Euro 2 3 2" xfId="1471" xr:uid="{00000000-0005-0000-0000-00000C080000}"/>
    <cellStyle name="Euro 2 4" xfId="1472" xr:uid="{00000000-0005-0000-0000-00000D080000}"/>
    <cellStyle name="Euro 3" xfId="459" xr:uid="{00000000-0005-0000-0000-00000E080000}"/>
    <cellStyle name="Euro 3 2" xfId="1473" xr:uid="{00000000-0005-0000-0000-00000F080000}"/>
    <cellStyle name="Euro 4" xfId="460" xr:uid="{00000000-0005-0000-0000-000010080000}"/>
    <cellStyle name="Euro 4 2" xfId="1474" xr:uid="{00000000-0005-0000-0000-000011080000}"/>
    <cellStyle name="Euro 5" xfId="1475" xr:uid="{00000000-0005-0000-0000-000012080000}"/>
    <cellStyle name="Explanatory Text" xfId="2042" xr:uid="{00000000-0005-0000-0000-000013080000}"/>
    <cellStyle name="Good" xfId="2043" xr:uid="{00000000-0005-0000-0000-000014080000}"/>
    <cellStyle name="Heading 1" xfId="2044" xr:uid="{00000000-0005-0000-0000-000015080000}"/>
    <cellStyle name="Heading 2" xfId="2045" xr:uid="{00000000-0005-0000-0000-000016080000}"/>
    <cellStyle name="Heading 3" xfId="2046" xr:uid="{00000000-0005-0000-0000-000017080000}"/>
    <cellStyle name="Heading 4" xfId="2047" xr:uid="{00000000-0005-0000-0000-000018080000}"/>
    <cellStyle name="Hyperlink 2" xfId="9" xr:uid="{00000000-0005-0000-0000-000019080000}"/>
    <cellStyle name="Hyperlink 2 2" xfId="461" xr:uid="{00000000-0005-0000-0000-00001A080000}"/>
    <cellStyle name="Hyperlink 2 3" xfId="462" xr:uid="{00000000-0005-0000-0000-00001B080000}"/>
    <cellStyle name="Hyperlink 2 4" xfId="2082" xr:uid="{00000000-0005-0000-0000-00001C080000}"/>
    <cellStyle name="Input" xfId="2048" xr:uid="{00000000-0005-0000-0000-00001D080000}"/>
    <cellStyle name="Insatisfaisant 2" xfId="3202" xr:uid="{00000000-0005-0000-0000-00001E080000}"/>
    <cellStyle name="Lien hypertexte 2" xfId="987" xr:uid="{00000000-0005-0000-0000-000020080000}"/>
    <cellStyle name="Linked Cell" xfId="2049" xr:uid="{00000000-0005-0000-0000-000021080000}"/>
    <cellStyle name="Milliers [0] 2" xfId="2172" xr:uid="{00000000-0005-0000-0000-000023080000}"/>
    <cellStyle name="Milliers [0] 2 2" xfId="3203" xr:uid="{00000000-0005-0000-0000-000024080000}"/>
    <cellStyle name="Milliers [0] 2 2 2" xfId="3204" xr:uid="{00000000-0005-0000-0000-000025080000}"/>
    <cellStyle name="Milliers [0] 2 3" xfId="3205" xr:uid="{00000000-0005-0000-0000-000026080000}"/>
    <cellStyle name="Milliers [0] 2 3 2" xfId="3206" xr:uid="{00000000-0005-0000-0000-000027080000}"/>
    <cellStyle name="Milliers [0] 2 4" xfId="3207" xr:uid="{00000000-0005-0000-0000-000028080000}"/>
    <cellStyle name="Milliers [0] 3" xfId="2173" xr:uid="{00000000-0005-0000-0000-000029080000}"/>
    <cellStyle name="Milliers [0] 3 2" xfId="3208" xr:uid="{00000000-0005-0000-0000-00002A080000}"/>
    <cellStyle name="Milliers [0] 3 2 2" xfId="3209" xr:uid="{00000000-0005-0000-0000-00002B080000}"/>
    <cellStyle name="Milliers [0] 3 3" xfId="3210" xr:uid="{00000000-0005-0000-0000-00002C080000}"/>
    <cellStyle name="Milliers [0] 3 3 2" xfId="3211" xr:uid="{00000000-0005-0000-0000-00002D080000}"/>
    <cellStyle name="Milliers [0] 3 4" xfId="3212" xr:uid="{00000000-0005-0000-0000-00002E080000}"/>
    <cellStyle name="Milliers 10" xfId="2081" xr:uid="{00000000-0005-0000-0000-00002F080000}"/>
    <cellStyle name="Milliers 11" xfId="2146" xr:uid="{00000000-0005-0000-0000-000030080000}"/>
    <cellStyle name="Milliers 2" xfId="463" xr:uid="{00000000-0005-0000-0000-000031080000}"/>
    <cellStyle name="Milliers 3" xfId="464" xr:uid="{00000000-0005-0000-0000-000032080000}"/>
    <cellStyle name="Milliers 4" xfId="465" xr:uid="{00000000-0005-0000-0000-000033080000}"/>
    <cellStyle name="Milliers 4 2" xfId="466" xr:uid="{00000000-0005-0000-0000-000034080000}"/>
    <cellStyle name="Milliers 4 2 2" xfId="1476" xr:uid="{00000000-0005-0000-0000-000035080000}"/>
    <cellStyle name="Milliers 4 3" xfId="467" xr:uid="{00000000-0005-0000-0000-000036080000}"/>
    <cellStyle name="Milliers 4 3 2" xfId="1477" xr:uid="{00000000-0005-0000-0000-000037080000}"/>
    <cellStyle name="Milliers 4 4" xfId="1478" xr:uid="{00000000-0005-0000-0000-000038080000}"/>
    <cellStyle name="Milliers 4 5" xfId="2174" xr:uid="{00000000-0005-0000-0000-000039080000}"/>
    <cellStyle name="Milliers 5" xfId="468" xr:uid="{00000000-0005-0000-0000-00003A080000}"/>
    <cellStyle name="Milliers 5 2" xfId="1479" xr:uid="{00000000-0005-0000-0000-00003B080000}"/>
    <cellStyle name="Milliers 5 2 2" xfId="3213" xr:uid="{00000000-0005-0000-0000-00003C080000}"/>
    <cellStyle name="Milliers 5 3" xfId="2181" xr:uid="{00000000-0005-0000-0000-00003D080000}"/>
    <cellStyle name="Milliers 6" xfId="469" xr:uid="{00000000-0005-0000-0000-00003E080000}"/>
    <cellStyle name="Milliers 6 2" xfId="470" xr:uid="{00000000-0005-0000-0000-00003F080000}"/>
    <cellStyle name="Milliers 6 2 2" xfId="1480" xr:uid="{00000000-0005-0000-0000-000040080000}"/>
    <cellStyle name="Milliers 6 3" xfId="471" xr:uid="{00000000-0005-0000-0000-000041080000}"/>
    <cellStyle name="Milliers 6 3 2" xfId="1481" xr:uid="{00000000-0005-0000-0000-000042080000}"/>
    <cellStyle name="Milliers 6 4" xfId="1482" xr:uid="{00000000-0005-0000-0000-000043080000}"/>
    <cellStyle name="Milliers 7" xfId="3214" xr:uid="{00000000-0005-0000-0000-000044080000}"/>
    <cellStyle name="Milliers 7 2" xfId="3215" xr:uid="{00000000-0005-0000-0000-000045080000}"/>
    <cellStyle name="Milliers 8" xfId="3216" xr:uid="{00000000-0005-0000-0000-000046080000}"/>
    <cellStyle name="Milliers 9" xfId="3217" xr:uid="{00000000-0005-0000-0000-000047080000}"/>
    <cellStyle name="Monétaire 2" xfId="472" xr:uid="{00000000-0005-0000-0000-000049080000}"/>
    <cellStyle name="Monétaire 2 2" xfId="473" xr:uid="{00000000-0005-0000-0000-00004A080000}"/>
    <cellStyle name="Monétaire 2 3" xfId="474" xr:uid="{00000000-0005-0000-0000-00004B080000}"/>
    <cellStyle name="Monétaire 2 3 2" xfId="475" xr:uid="{00000000-0005-0000-0000-00004C080000}"/>
    <cellStyle name="Monétaire 2 3 2 2" xfId="1483" xr:uid="{00000000-0005-0000-0000-00004D080000}"/>
    <cellStyle name="Monétaire 2 3 3" xfId="476" xr:uid="{00000000-0005-0000-0000-00004E080000}"/>
    <cellStyle name="Monétaire 2 3 3 2" xfId="1484" xr:uid="{00000000-0005-0000-0000-00004F080000}"/>
    <cellStyle name="Monétaire 2 3 4" xfId="1485" xr:uid="{00000000-0005-0000-0000-000050080000}"/>
    <cellStyle name="Monétaire 2 4" xfId="1486" xr:uid="{00000000-0005-0000-0000-000051080000}"/>
    <cellStyle name="Monétaire 2 5" xfId="1487" xr:uid="{00000000-0005-0000-0000-000052080000}"/>
    <cellStyle name="Monétaire 2 6" xfId="1488" xr:uid="{00000000-0005-0000-0000-000053080000}"/>
    <cellStyle name="Monétaire 2_UWData" xfId="477" xr:uid="{00000000-0005-0000-0000-000054080000}"/>
    <cellStyle name="Monétaire 3" xfId="478" xr:uid="{00000000-0005-0000-0000-000055080000}"/>
    <cellStyle name="Monétaire 3 2" xfId="479" xr:uid="{00000000-0005-0000-0000-000056080000}"/>
    <cellStyle name="Monétaire 3 2 2" xfId="480" xr:uid="{00000000-0005-0000-0000-000057080000}"/>
    <cellStyle name="Monétaire 3 2 2 2" xfId="1489" xr:uid="{00000000-0005-0000-0000-000058080000}"/>
    <cellStyle name="Monétaire 3 2 3" xfId="481" xr:uid="{00000000-0005-0000-0000-000059080000}"/>
    <cellStyle name="Monétaire 3 2 3 2" xfId="1490" xr:uid="{00000000-0005-0000-0000-00005A080000}"/>
    <cellStyle name="Monétaire 3 2 4" xfId="1491" xr:uid="{00000000-0005-0000-0000-00005B080000}"/>
    <cellStyle name="Monétaire 3 3" xfId="1492" xr:uid="{00000000-0005-0000-0000-00005C080000}"/>
    <cellStyle name="Monétaire 3 4" xfId="1493" xr:uid="{00000000-0005-0000-0000-00005D080000}"/>
    <cellStyle name="Monétaire 3 5" xfId="1494" xr:uid="{00000000-0005-0000-0000-00005E080000}"/>
    <cellStyle name="Monétaire 4" xfId="482" xr:uid="{00000000-0005-0000-0000-00005F080000}"/>
    <cellStyle name="Monétaire 4 2" xfId="1495" xr:uid="{00000000-0005-0000-0000-000060080000}"/>
    <cellStyle name="Monétaire 4 3" xfId="1496" xr:uid="{00000000-0005-0000-0000-000061080000}"/>
    <cellStyle name="Monétaire 5" xfId="483" xr:uid="{00000000-0005-0000-0000-000062080000}"/>
    <cellStyle name="Monétaire 5 2" xfId="484" xr:uid="{00000000-0005-0000-0000-000063080000}"/>
    <cellStyle name="Monétaire 5 2 2" xfId="1497" xr:uid="{00000000-0005-0000-0000-000064080000}"/>
    <cellStyle name="Monétaire 5 3" xfId="485" xr:uid="{00000000-0005-0000-0000-000065080000}"/>
    <cellStyle name="Monétaire 5 3 2" xfId="1498" xr:uid="{00000000-0005-0000-0000-000066080000}"/>
    <cellStyle name="Monétaire 5 4" xfId="1499" xr:uid="{00000000-0005-0000-0000-000067080000}"/>
    <cellStyle name="Monétaire 5 5" xfId="1500" xr:uid="{00000000-0005-0000-0000-000068080000}"/>
    <cellStyle name="Monétaire 6" xfId="486" xr:uid="{00000000-0005-0000-0000-000069080000}"/>
    <cellStyle name="Monétaire 6 2" xfId="487" xr:uid="{00000000-0005-0000-0000-00006A080000}"/>
    <cellStyle name="Monétaire 6 2 2" xfId="1501" xr:uid="{00000000-0005-0000-0000-00006B080000}"/>
    <cellStyle name="Monétaire 6 2 2 2" xfId="3219" xr:uid="{00000000-0005-0000-0000-00006C080000}"/>
    <cellStyle name="Monétaire 6 2 3" xfId="3218" xr:uid="{00000000-0005-0000-0000-00006D080000}"/>
    <cellStyle name="Monétaire 6 3" xfId="488" xr:uid="{00000000-0005-0000-0000-00006E080000}"/>
    <cellStyle name="Monétaire 6 3 2" xfId="1502" xr:uid="{00000000-0005-0000-0000-00006F080000}"/>
    <cellStyle name="Monétaire 6 3 2 2" xfId="3221" xr:uid="{00000000-0005-0000-0000-000070080000}"/>
    <cellStyle name="Monétaire 6 3 3" xfId="3220" xr:uid="{00000000-0005-0000-0000-000071080000}"/>
    <cellStyle name="Monétaire 6 4" xfId="1503" xr:uid="{00000000-0005-0000-0000-000072080000}"/>
    <cellStyle name="Monétaire 6 4 2" xfId="3222" xr:uid="{00000000-0005-0000-0000-000073080000}"/>
    <cellStyle name="Monétaire 6 5" xfId="2175" xr:uid="{00000000-0005-0000-0000-000074080000}"/>
    <cellStyle name="Monétaire 7" xfId="489" xr:uid="{00000000-0005-0000-0000-000075080000}"/>
    <cellStyle name="Monétaire 7 2" xfId="490" xr:uid="{00000000-0005-0000-0000-000076080000}"/>
    <cellStyle name="Monétaire 7 2 2" xfId="1504" xr:uid="{00000000-0005-0000-0000-000077080000}"/>
    <cellStyle name="Monétaire 7 2 3" xfId="3224" xr:uid="{00000000-0005-0000-0000-000078080000}"/>
    <cellStyle name="Monétaire 7 3" xfId="491" xr:uid="{00000000-0005-0000-0000-000079080000}"/>
    <cellStyle name="Monétaire 7 3 2" xfId="1505" xr:uid="{00000000-0005-0000-0000-00007A080000}"/>
    <cellStyle name="Monétaire 7 4" xfId="1506" xr:uid="{00000000-0005-0000-0000-00007B080000}"/>
    <cellStyle name="Monétaire 7 5" xfId="3223" xr:uid="{00000000-0005-0000-0000-00007C080000}"/>
    <cellStyle name="Monétaire 8" xfId="492" xr:uid="{00000000-0005-0000-0000-00007D080000}"/>
    <cellStyle name="Monétaire 8 2" xfId="493" xr:uid="{00000000-0005-0000-0000-00007E080000}"/>
    <cellStyle name="Monétaire 8 2 2" xfId="1507" xr:uid="{00000000-0005-0000-0000-00007F080000}"/>
    <cellStyle name="Monétaire 8 3" xfId="494" xr:uid="{00000000-0005-0000-0000-000080080000}"/>
    <cellStyle name="Monétaire 8 3 2" xfId="1508" xr:uid="{00000000-0005-0000-0000-000081080000}"/>
    <cellStyle name="Monétaire 8 4" xfId="1509" xr:uid="{00000000-0005-0000-0000-000082080000}"/>
    <cellStyle name="Monétaire 9" xfId="3225" xr:uid="{00000000-0005-0000-0000-000083080000}"/>
    <cellStyle name="Monétaire 9 2" xfId="3226" xr:uid="{00000000-0005-0000-0000-000084080000}"/>
    <cellStyle name="Neutral" xfId="2050" xr:uid="{00000000-0005-0000-0000-000085080000}"/>
    <cellStyle name="Neutre 2" xfId="3227" xr:uid="{00000000-0005-0000-0000-000086080000}"/>
    <cellStyle name="Normal" xfId="0" builtinId="0"/>
    <cellStyle name="Normal 10" xfId="10" xr:uid="{00000000-0005-0000-0000-000088080000}"/>
    <cellStyle name="Normal 11" xfId="495" xr:uid="{00000000-0005-0000-0000-000089080000}"/>
    <cellStyle name="Normal 11 2" xfId="496" xr:uid="{00000000-0005-0000-0000-00008A080000}"/>
    <cellStyle name="Normal 12" xfId="497" xr:uid="{00000000-0005-0000-0000-00008B080000}"/>
    <cellStyle name="Normal 13" xfId="498" xr:uid="{00000000-0005-0000-0000-00008C080000}"/>
    <cellStyle name="Normal 14" xfId="499" xr:uid="{00000000-0005-0000-0000-00008D080000}"/>
    <cellStyle name="Normal 15" xfId="500" xr:uid="{00000000-0005-0000-0000-00008E080000}"/>
    <cellStyle name="Normal 15 2" xfId="501" xr:uid="{00000000-0005-0000-0000-00008F080000}"/>
    <cellStyle name="Normal 15 2 2" xfId="1510" xr:uid="{00000000-0005-0000-0000-000090080000}"/>
    <cellStyle name="Normal 15 3" xfId="1511" xr:uid="{00000000-0005-0000-0000-000091080000}"/>
    <cellStyle name="Normal 16" xfId="502" xr:uid="{00000000-0005-0000-0000-000092080000}"/>
    <cellStyle name="Normal 16 10" xfId="27" xr:uid="{00000000-0005-0000-0000-000093080000}"/>
    <cellStyle name="Normal 16 10 2" xfId="503" xr:uid="{00000000-0005-0000-0000-000094080000}"/>
    <cellStyle name="Normal 16 10 2 2" xfId="1512" xr:uid="{00000000-0005-0000-0000-000095080000}"/>
    <cellStyle name="Normal 16 10 3" xfId="504" xr:uid="{00000000-0005-0000-0000-000096080000}"/>
    <cellStyle name="Normal 16 10 3 2" xfId="1513" xr:uid="{00000000-0005-0000-0000-000097080000}"/>
    <cellStyle name="Normal 16 10 4" xfId="1514" xr:uid="{00000000-0005-0000-0000-000098080000}"/>
    <cellStyle name="Normal 16 11" xfId="505" xr:uid="{00000000-0005-0000-0000-000099080000}"/>
    <cellStyle name="Normal 16 11 2" xfId="506" xr:uid="{00000000-0005-0000-0000-00009A080000}"/>
    <cellStyle name="Normal 16 11 2 2" xfId="1515" xr:uid="{00000000-0005-0000-0000-00009B080000}"/>
    <cellStyle name="Normal 16 11 3" xfId="507" xr:uid="{00000000-0005-0000-0000-00009C080000}"/>
    <cellStyle name="Normal 16 11 3 2" xfId="1516" xr:uid="{00000000-0005-0000-0000-00009D080000}"/>
    <cellStyle name="Normal 16 11 4" xfId="1517" xr:uid="{00000000-0005-0000-0000-00009E080000}"/>
    <cellStyle name="Normal 16 12" xfId="508" xr:uid="{00000000-0005-0000-0000-00009F080000}"/>
    <cellStyle name="Normal 16 12 2" xfId="509" xr:uid="{00000000-0005-0000-0000-0000A0080000}"/>
    <cellStyle name="Normal 16 12 2 2" xfId="1518" xr:uid="{00000000-0005-0000-0000-0000A1080000}"/>
    <cellStyle name="Normal 16 12 3" xfId="510" xr:uid="{00000000-0005-0000-0000-0000A2080000}"/>
    <cellStyle name="Normal 16 12 3 2" xfId="1519" xr:uid="{00000000-0005-0000-0000-0000A3080000}"/>
    <cellStyle name="Normal 16 12 4" xfId="1520" xr:uid="{00000000-0005-0000-0000-0000A4080000}"/>
    <cellStyle name="Normal 16 13" xfId="511" xr:uid="{00000000-0005-0000-0000-0000A5080000}"/>
    <cellStyle name="Normal 16 13 2" xfId="512" xr:uid="{00000000-0005-0000-0000-0000A6080000}"/>
    <cellStyle name="Normal 16 13 2 2" xfId="1521" xr:uid="{00000000-0005-0000-0000-0000A7080000}"/>
    <cellStyle name="Normal 16 13 3" xfId="513" xr:uid="{00000000-0005-0000-0000-0000A8080000}"/>
    <cellStyle name="Normal 16 13 3 2" xfId="1522" xr:uid="{00000000-0005-0000-0000-0000A9080000}"/>
    <cellStyle name="Normal 16 13 4" xfId="1523" xr:uid="{00000000-0005-0000-0000-0000AA080000}"/>
    <cellStyle name="Normal 16 14" xfId="514" xr:uid="{00000000-0005-0000-0000-0000AB080000}"/>
    <cellStyle name="Normal 16 14 2" xfId="515" xr:uid="{00000000-0005-0000-0000-0000AC080000}"/>
    <cellStyle name="Normal 16 14 2 2" xfId="1524" xr:uid="{00000000-0005-0000-0000-0000AD080000}"/>
    <cellStyle name="Normal 16 14 3" xfId="516" xr:uid="{00000000-0005-0000-0000-0000AE080000}"/>
    <cellStyle name="Normal 16 14 3 2" xfId="1525" xr:uid="{00000000-0005-0000-0000-0000AF080000}"/>
    <cellStyle name="Normal 16 14 4" xfId="1526" xr:uid="{00000000-0005-0000-0000-0000B0080000}"/>
    <cellStyle name="Normal 16 15" xfId="517" xr:uid="{00000000-0005-0000-0000-0000B1080000}"/>
    <cellStyle name="Normal 16 15 2" xfId="518" xr:uid="{00000000-0005-0000-0000-0000B2080000}"/>
    <cellStyle name="Normal 16 15 2 2" xfId="1527" xr:uid="{00000000-0005-0000-0000-0000B3080000}"/>
    <cellStyle name="Normal 16 15 3" xfId="519" xr:uid="{00000000-0005-0000-0000-0000B4080000}"/>
    <cellStyle name="Normal 16 15 3 2" xfId="1528" xr:uid="{00000000-0005-0000-0000-0000B5080000}"/>
    <cellStyle name="Normal 16 15 4" xfId="1529" xr:uid="{00000000-0005-0000-0000-0000B6080000}"/>
    <cellStyle name="Normal 16 16" xfId="1530" xr:uid="{00000000-0005-0000-0000-0000B7080000}"/>
    <cellStyle name="Normal 16 17" xfId="1531" xr:uid="{00000000-0005-0000-0000-0000B8080000}"/>
    <cellStyle name="Normal 16 2" xfId="520" xr:uid="{00000000-0005-0000-0000-0000B9080000}"/>
    <cellStyle name="Normal 16 2 2" xfId="521" xr:uid="{00000000-0005-0000-0000-0000BA080000}"/>
    <cellStyle name="Normal 16 2 2 2" xfId="522" xr:uid="{00000000-0005-0000-0000-0000BB080000}"/>
    <cellStyle name="Normal 16 2 2 2 2" xfId="1532" xr:uid="{00000000-0005-0000-0000-0000BC080000}"/>
    <cellStyle name="Normal 16 2 2 3" xfId="523" xr:uid="{00000000-0005-0000-0000-0000BD080000}"/>
    <cellStyle name="Normal 16 2 2 3 2" xfId="1533" xr:uid="{00000000-0005-0000-0000-0000BE080000}"/>
    <cellStyle name="Normal 16 2 2 4" xfId="1534" xr:uid="{00000000-0005-0000-0000-0000BF080000}"/>
    <cellStyle name="Normal 16 2 3" xfId="524" xr:uid="{00000000-0005-0000-0000-0000C0080000}"/>
    <cellStyle name="Normal 16 2 3 2" xfId="1535" xr:uid="{00000000-0005-0000-0000-0000C1080000}"/>
    <cellStyle name="Normal 16 2 4" xfId="525" xr:uid="{00000000-0005-0000-0000-0000C2080000}"/>
    <cellStyle name="Normal 16 2 4 2" xfId="1536" xr:uid="{00000000-0005-0000-0000-0000C3080000}"/>
    <cellStyle name="Normal 16 2 5" xfId="1537" xr:uid="{00000000-0005-0000-0000-0000C4080000}"/>
    <cellStyle name="Normal 16 2 5 2" xfId="1538" xr:uid="{00000000-0005-0000-0000-0000C5080000}"/>
    <cellStyle name="Normal 16 2 5 3" xfId="1539" xr:uid="{00000000-0005-0000-0000-0000C6080000}"/>
    <cellStyle name="Normal 16 2_Premium Estimator" xfId="1003" xr:uid="{00000000-0005-0000-0000-0000C7080000}"/>
    <cellStyle name="Normal 16 3" xfId="526" xr:uid="{00000000-0005-0000-0000-0000C8080000}"/>
    <cellStyle name="Normal 16 3 2" xfId="527" xr:uid="{00000000-0005-0000-0000-0000C9080000}"/>
    <cellStyle name="Normal 16 3 2 2" xfId="1540" xr:uid="{00000000-0005-0000-0000-0000CA080000}"/>
    <cellStyle name="Normal 16 3 3" xfId="528" xr:uid="{00000000-0005-0000-0000-0000CB080000}"/>
    <cellStyle name="Normal 16 3 3 2" xfId="1541" xr:uid="{00000000-0005-0000-0000-0000CC080000}"/>
    <cellStyle name="Normal 16 3 4" xfId="1542" xr:uid="{00000000-0005-0000-0000-0000CD080000}"/>
    <cellStyle name="Normal 16 4" xfId="529" xr:uid="{00000000-0005-0000-0000-0000CE080000}"/>
    <cellStyle name="Normal 16 4 2" xfId="530" xr:uid="{00000000-0005-0000-0000-0000CF080000}"/>
    <cellStyle name="Normal 16 4 2 2" xfId="1543" xr:uid="{00000000-0005-0000-0000-0000D0080000}"/>
    <cellStyle name="Normal 16 4 3" xfId="531" xr:uid="{00000000-0005-0000-0000-0000D1080000}"/>
    <cellStyle name="Normal 16 4 3 2" xfId="1544" xr:uid="{00000000-0005-0000-0000-0000D2080000}"/>
    <cellStyle name="Normal 16 4 4" xfId="1545" xr:uid="{00000000-0005-0000-0000-0000D3080000}"/>
    <cellStyle name="Normal 16 5" xfId="532" xr:uid="{00000000-0005-0000-0000-0000D4080000}"/>
    <cellStyle name="Normal 16 6" xfId="533" xr:uid="{00000000-0005-0000-0000-0000D5080000}"/>
    <cellStyle name="Normal 16 6 2" xfId="534" xr:uid="{00000000-0005-0000-0000-0000D6080000}"/>
    <cellStyle name="Normal 16 6 2 2" xfId="1546" xr:uid="{00000000-0005-0000-0000-0000D7080000}"/>
    <cellStyle name="Normal 16 6 3" xfId="535" xr:uid="{00000000-0005-0000-0000-0000D8080000}"/>
    <cellStyle name="Normal 16 6 3 2" xfId="1547" xr:uid="{00000000-0005-0000-0000-0000D9080000}"/>
    <cellStyle name="Normal 16 6 4" xfId="1548" xr:uid="{00000000-0005-0000-0000-0000DA080000}"/>
    <cellStyle name="Normal 16 7" xfId="536" xr:uid="{00000000-0005-0000-0000-0000DB080000}"/>
    <cellStyle name="Normal 16 7 2" xfId="537" xr:uid="{00000000-0005-0000-0000-0000DC080000}"/>
    <cellStyle name="Normal 16 7 2 2" xfId="1549" xr:uid="{00000000-0005-0000-0000-0000DD080000}"/>
    <cellStyle name="Normal 16 7 3" xfId="538" xr:uid="{00000000-0005-0000-0000-0000DE080000}"/>
    <cellStyle name="Normal 16 7 3 2" xfId="1550" xr:uid="{00000000-0005-0000-0000-0000DF080000}"/>
    <cellStyle name="Normal 16 7 4" xfId="1551" xr:uid="{00000000-0005-0000-0000-0000E0080000}"/>
    <cellStyle name="Normal 16 8" xfId="539" xr:uid="{00000000-0005-0000-0000-0000E1080000}"/>
    <cellStyle name="Normal 16 8 2" xfId="540" xr:uid="{00000000-0005-0000-0000-0000E2080000}"/>
    <cellStyle name="Normal 16 8 2 2" xfId="1552" xr:uid="{00000000-0005-0000-0000-0000E3080000}"/>
    <cellStyle name="Normal 16 8 3" xfId="541" xr:uid="{00000000-0005-0000-0000-0000E4080000}"/>
    <cellStyle name="Normal 16 8 3 2" xfId="1553" xr:uid="{00000000-0005-0000-0000-0000E5080000}"/>
    <cellStyle name="Normal 16 8 4" xfId="1554" xr:uid="{00000000-0005-0000-0000-0000E6080000}"/>
    <cellStyle name="Normal 16 9" xfId="542" xr:uid="{00000000-0005-0000-0000-0000E7080000}"/>
    <cellStyle name="Normal 16 9 2" xfId="543" xr:uid="{00000000-0005-0000-0000-0000E8080000}"/>
    <cellStyle name="Normal 16 9 2 2" xfId="1555" xr:uid="{00000000-0005-0000-0000-0000E9080000}"/>
    <cellStyle name="Normal 16 9 3" xfId="544" xr:uid="{00000000-0005-0000-0000-0000EA080000}"/>
    <cellStyle name="Normal 16 9 3 2" xfId="1556" xr:uid="{00000000-0005-0000-0000-0000EB080000}"/>
    <cellStyle name="Normal 16 9 4" xfId="1557" xr:uid="{00000000-0005-0000-0000-0000EC080000}"/>
    <cellStyle name="Normal 17" xfId="545" xr:uid="{00000000-0005-0000-0000-0000ED080000}"/>
    <cellStyle name="Normal 17 2" xfId="546" xr:uid="{00000000-0005-0000-0000-0000EE080000}"/>
    <cellStyle name="Normal 17 2 2" xfId="547" xr:uid="{00000000-0005-0000-0000-0000EF080000}"/>
    <cellStyle name="Normal 17 2 2 2" xfId="548" xr:uid="{00000000-0005-0000-0000-0000F0080000}"/>
    <cellStyle name="Normal 17 2 2 2 2" xfId="1558" xr:uid="{00000000-0005-0000-0000-0000F1080000}"/>
    <cellStyle name="Normal 17 2 2 3" xfId="549" xr:uid="{00000000-0005-0000-0000-0000F2080000}"/>
    <cellStyle name="Normal 17 2 2 3 2" xfId="1559" xr:uid="{00000000-0005-0000-0000-0000F3080000}"/>
    <cellStyle name="Normal 17 2 2 4" xfId="1560" xr:uid="{00000000-0005-0000-0000-0000F4080000}"/>
    <cellStyle name="Normal 17 2 3" xfId="550" xr:uid="{00000000-0005-0000-0000-0000F5080000}"/>
    <cellStyle name="Normal 17 2 3 2" xfId="1561" xr:uid="{00000000-0005-0000-0000-0000F6080000}"/>
    <cellStyle name="Normal 17 2 4" xfId="551" xr:uid="{00000000-0005-0000-0000-0000F7080000}"/>
    <cellStyle name="Normal 17 2 4 2" xfId="1562" xr:uid="{00000000-0005-0000-0000-0000F8080000}"/>
    <cellStyle name="Normal 17 2 5" xfId="1563" xr:uid="{00000000-0005-0000-0000-0000F9080000}"/>
    <cellStyle name="Normal 17 2_Premium Estimator" xfId="1004" xr:uid="{00000000-0005-0000-0000-0000FA080000}"/>
    <cellStyle name="Normal 17 3" xfId="552" xr:uid="{00000000-0005-0000-0000-0000FB080000}"/>
    <cellStyle name="Normal 17 3 2" xfId="1564" xr:uid="{00000000-0005-0000-0000-0000FC080000}"/>
    <cellStyle name="Normal 17 3 3" xfId="1565" xr:uid="{00000000-0005-0000-0000-0000FD080000}"/>
    <cellStyle name="Normal 17 3 4" xfId="1566" xr:uid="{00000000-0005-0000-0000-0000FE080000}"/>
    <cellStyle name="Normal 17 4" xfId="553" xr:uid="{00000000-0005-0000-0000-0000FF080000}"/>
    <cellStyle name="Normal 17 4 2" xfId="1567" xr:uid="{00000000-0005-0000-0000-000000090000}"/>
    <cellStyle name="Normal 17 5" xfId="554" xr:uid="{00000000-0005-0000-0000-000001090000}"/>
    <cellStyle name="Normal 17 6" xfId="1568" xr:uid="{00000000-0005-0000-0000-000002090000}"/>
    <cellStyle name="Normal 17 7" xfId="1569" xr:uid="{00000000-0005-0000-0000-000003090000}"/>
    <cellStyle name="Normal 18" xfId="555" xr:uid="{00000000-0005-0000-0000-000004090000}"/>
    <cellStyle name="Normal 18 10" xfId="1570" xr:uid="{00000000-0005-0000-0000-000005090000}"/>
    <cellStyle name="Normal 18 11" xfId="1571" xr:uid="{00000000-0005-0000-0000-000006090000}"/>
    <cellStyle name="Normal 18 2" xfId="556" xr:uid="{00000000-0005-0000-0000-000007090000}"/>
    <cellStyle name="Normal 18 2 10" xfId="1572" xr:uid="{00000000-0005-0000-0000-000008090000}"/>
    <cellStyle name="Normal 18 2 2" xfId="557" xr:uid="{00000000-0005-0000-0000-000009090000}"/>
    <cellStyle name="Normal 18 2 2 2" xfId="558" xr:uid="{00000000-0005-0000-0000-00000A090000}"/>
    <cellStyle name="Normal 18 2 2 2 2" xfId="1573" xr:uid="{00000000-0005-0000-0000-00000B090000}"/>
    <cellStyle name="Normal 18 2 2 3" xfId="559" xr:uid="{00000000-0005-0000-0000-00000C090000}"/>
    <cellStyle name="Normal 18 2 2 3 2" xfId="1574" xr:uid="{00000000-0005-0000-0000-00000D090000}"/>
    <cellStyle name="Normal 18 2 2 4" xfId="1575" xr:uid="{00000000-0005-0000-0000-00000E090000}"/>
    <cellStyle name="Normal 18 2 3" xfId="560" xr:uid="{00000000-0005-0000-0000-00000F090000}"/>
    <cellStyle name="Normal 18 2 3 2" xfId="561" xr:uid="{00000000-0005-0000-0000-000010090000}"/>
    <cellStyle name="Normal 18 2 3 2 2" xfId="1576" xr:uid="{00000000-0005-0000-0000-000011090000}"/>
    <cellStyle name="Normal 18 2 3 3" xfId="562" xr:uid="{00000000-0005-0000-0000-000012090000}"/>
    <cellStyle name="Normal 18 2 3 3 2" xfId="1577" xr:uid="{00000000-0005-0000-0000-000013090000}"/>
    <cellStyle name="Normal 18 2 3 4" xfId="1578" xr:uid="{00000000-0005-0000-0000-000014090000}"/>
    <cellStyle name="Normal 18 2 4" xfId="563" xr:uid="{00000000-0005-0000-0000-000015090000}"/>
    <cellStyle name="Normal 18 2 4 2" xfId="564" xr:uid="{00000000-0005-0000-0000-000016090000}"/>
    <cellStyle name="Normal 18 2 4 2 2" xfId="1579" xr:uid="{00000000-0005-0000-0000-000017090000}"/>
    <cellStyle name="Normal 18 2 4 3" xfId="565" xr:uid="{00000000-0005-0000-0000-000018090000}"/>
    <cellStyle name="Normal 18 2 4 3 2" xfId="1580" xr:uid="{00000000-0005-0000-0000-000019090000}"/>
    <cellStyle name="Normal 18 2 4 4" xfId="1581" xr:uid="{00000000-0005-0000-0000-00001A090000}"/>
    <cellStyle name="Normal 18 2 5" xfId="566" xr:uid="{00000000-0005-0000-0000-00001B090000}"/>
    <cellStyle name="Normal 18 2 5 2" xfId="567" xr:uid="{00000000-0005-0000-0000-00001C090000}"/>
    <cellStyle name="Normal 18 2 5 2 2" xfId="1582" xr:uid="{00000000-0005-0000-0000-00001D090000}"/>
    <cellStyle name="Normal 18 2 5 3" xfId="568" xr:uid="{00000000-0005-0000-0000-00001E090000}"/>
    <cellStyle name="Normal 18 2 5 3 2" xfId="1583" xr:uid="{00000000-0005-0000-0000-00001F090000}"/>
    <cellStyle name="Normal 18 2 5 4" xfId="1584" xr:uid="{00000000-0005-0000-0000-000020090000}"/>
    <cellStyle name="Normal 18 2 6" xfId="569" xr:uid="{00000000-0005-0000-0000-000021090000}"/>
    <cellStyle name="Normal 18 2 6 2" xfId="570" xr:uid="{00000000-0005-0000-0000-000022090000}"/>
    <cellStyle name="Normal 18 2 6 2 2" xfId="1585" xr:uid="{00000000-0005-0000-0000-000023090000}"/>
    <cellStyle name="Normal 18 2 6 3" xfId="571" xr:uid="{00000000-0005-0000-0000-000024090000}"/>
    <cellStyle name="Normal 18 2 6 3 2" xfId="1586" xr:uid="{00000000-0005-0000-0000-000025090000}"/>
    <cellStyle name="Normal 18 2 6 4" xfId="1587" xr:uid="{00000000-0005-0000-0000-000026090000}"/>
    <cellStyle name="Normal 18 2 7" xfId="572" xr:uid="{00000000-0005-0000-0000-000027090000}"/>
    <cellStyle name="Normal 18 2 7 2" xfId="573" xr:uid="{00000000-0005-0000-0000-000028090000}"/>
    <cellStyle name="Normal 18 2 7 2 2" xfId="1588" xr:uid="{00000000-0005-0000-0000-000029090000}"/>
    <cellStyle name="Normal 18 2 7 3" xfId="574" xr:uid="{00000000-0005-0000-0000-00002A090000}"/>
    <cellStyle name="Normal 18 2 7 3 2" xfId="1589" xr:uid="{00000000-0005-0000-0000-00002B090000}"/>
    <cellStyle name="Normal 18 2 7 4" xfId="1590" xr:uid="{00000000-0005-0000-0000-00002C090000}"/>
    <cellStyle name="Normal 18 2 8" xfId="575" xr:uid="{00000000-0005-0000-0000-00002D090000}"/>
    <cellStyle name="Normal 18 2 8 2" xfId="1591" xr:uid="{00000000-0005-0000-0000-00002E090000}"/>
    <cellStyle name="Normal 18 2 9" xfId="576" xr:uid="{00000000-0005-0000-0000-00002F090000}"/>
    <cellStyle name="Normal 18 2 9 2" xfId="1592" xr:uid="{00000000-0005-0000-0000-000030090000}"/>
    <cellStyle name="Normal 18 2_Premium Estimator" xfId="1005" xr:uid="{00000000-0005-0000-0000-000031090000}"/>
    <cellStyle name="Normal 18 3" xfId="577" xr:uid="{00000000-0005-0000-0000-000032090000}"/>
    <cellStyle name="Normal 18 3 2" xfId="578" xr:uid="{00000000-0005-0000-0000-000033090000}"/>
    <cellStyle name="Normal 18 3 2 2" xfId="579" xr:uid="{00000000-0005-0000-0000-000034090000}"/>
    <cellStyle name="Normal 18 3 2 2 2" xfId="1593" xr:uid="{00000000-0005-0000-0000-000035090000}"/>
    <cellStyle name="Normal 18 3 2 3" xfId="580" xr:uid="{00000000-0005-0000-0000-000036090000}"/>
    <cellStyle name="Normal 18 3 2 3 2" xfId="1594" xr:uid="{00000000-0005-0000-0000-000037090000}"/>
    <cellStyle name="Normal 18 3 2 4" xfId="1595" xr:uid="{00000000-0005-0000-0000-000038090000}"/>
    <cellStyle name="Normal 18 3 3" xfId="581" xr:uid="{00000000-0005-0000-0000-000039090000}"/>
    <cellStyle name="Normal 18 3 3 2" xfId="582" xr:uid="{00000000-0005-0000-0000-00003A090000}"/>
    <cellStyle name="Normal 18 3 3 2 2" xfId="1596" xr:uid="{00000000-0005-0000-0000-00003B090000}"/>
    <cellStyle name="Normal 18 3 3 3" xfId="583" xr:uid="{00000000-0005-0000-0000-00003C090000}"/>
    <cellStyle name="Normal 18 3 3 3 2" xfId="1597" xr:uid="{00000000-0005-0000-0000-00003D090000}"/>
    <cellStyle name="Normal 18 3 3 4" xfId="1598" xr:uid="{00000000-0005-0000-0000-00003E090000}"/>
    <cellStyle name="Normal 18 3 4" xfId="584" xr:uid="{00000000-0005-0000-0000-00003F090000}"/>
    <cellStyle name="Normal 18 3 4 2" xfId="585" xr:uid="{00000000-0005-0000-0000-000040090000}"/>
    <cellStyle name="Normal 18 3 4 2 2" xfId="1599" xr:uid="{00000000-0005-0000-0000-000041090000}"/>
    <cellStyle name="Normal 18 3 4 3" xfId="586" xr:uid="{00000000-0005-0000-0000-000042090000}"/>
    <cellStyle name="Normal 18 3 4 3 2" xfId="1600" xr:uid="{00000000-0005-0000-0000-000043090000}"/>
    <cellStyle name="Normal 18 3 4 4" xfId="1601" xr:uid="{00000000-0005-0000-0000-000044090000}"/>
    <cellStyle name="Normal 18 3 5" xfId="587" xr:uid="{00000000-0005-0000-0000-000045090000}"/>
    <cellStyle name="Normal 18 3 5 2" xfId="588" xr:uid="{00000000-0005-0000-0000-000046090000}"/>
    <cellStyle name="Normal 18 3 5 2 2" xfId="1602" xr:uid="{00000000-0005-0000-0000-000047090000}"/>
    <cellStyle name="Normal 18 3 5 3" xfId="589" xr:uid="{00000000-0005-0000-0000-000048090000}"/>
    <cellStyle name="Normal 18 3 5 3 2" xfId="1603" xr:uid="{00000000-0005-0000-0000-000049090000}"/>
    <cellStyle name="Normal 18 3 5 4" xfId="1604" xr:uid="{00000000-0005-0000-0000-00004A090000}"/>
    <cellStyle name="Normal 18 3 6" xfId="590" xr:uid="{00000000-0005-0000-0000-00004B090000}"/>
    <cellStyle name="Normal 18 3 6 2" xfId="591" xr:uid="{00000000-0005-0000-0000-00004C090000}"/>
    <cellStyle name="Normal 18 3 6 2 2" xfId="1605" xr:uid="{00000000-0005-0000-0000-00004D090000}"/>
    <cellStyle name="Normal 18 3 6 3" xfId="592" xr:uid="{00000000-0005-0000-0000-00004E090000}"/>
    <cellStyle name="Normal 18 3 6 3 2" xfId="1606" xr:uid="{00000000-0005-0000-0000-00004F090000}"/>
    <cellStyle name="Normal 18 3 6 4" xfId="1607" xr:uid="{00000000-0005-0000-0000-000050090000}"/>
    <cellStyle name="Normal 18 3 7" xfId="593" xr:uid="{00000000-0005-0000-0000-000051090000}"/>
    <cellStyle name="Normal 18 3 7 2" xfId="594" xr:uid="{00000000-0005-0000-0000-000052090000}"/>
    <cellStyle name="Normal 18 3 7 2 2" xfId="1608" xr:uid="{00000000-0005-0000-0000-000053090000}"/>
    <cellStyle name="Normal 18 3 7 3" xfId="595" xr:uid="{00000000-0005-0000-0000-000054090000}"/>
    <cellStyle name="Normal 18 3 7 3 2" xfId="1609" xr:uid="{00000000-0005-0000-0000-000055090000}"/>
    <cellStyle name="Normal 18 3 7 4" xfId="1610" xr:uid="{00000000-0005-0000-0000-000056090000}"/>
    <cellStyle name="Normal 18 3 8" xfId="596" xr:uid="{00000000-0005-0000-0000-000057090000}"/>
    <cellStyle name="Normal 18 3 8 2" xfId="597" xr:uid="{00000000-0005-0000-0000-000058090000}"/>
    <cellStyle name="Normal 18 3 8 2 2" xfId="1611" xr:uid="{00000000-0005-0000-0000-000059090000}"/>
    <cellStyle name="Normal 18 3 8 3" xfId="598" xr:uid="{00000000-0005-0000-0000-00005A090000}"/>
    <cellStyle name="Normal 18 3 8 3 2" xfId="1612" xr:uid="{00000000-0005-0000-0000-00005B090000}"/>
    <cellStyle name="Normal 18 3 8 4" xfId="1613" xr:uid="{00000000-0005-0000-0000-00005C090000}"/>
    <cellStyle name="Normal 18 3 9" xfId="1614" xr:uid="{00000000-0005-0000-0000-00005D090000}"/>
    <cellStyle name="Normal 18 4" xfId="599" xr:uid="{00000000-0005-0000-0000-00005E090000}"/>
    <cellStyle name="Normal 18 5" xfId="600" xr:uid="{00000000-0005-0000-0000-00005F090000}"/>
    <cellStyle name="Normal 18 5 2" xfId="601" xr:uid="{00000000-0005-0000-0000-000060090000}"/>
    <cellStyle name="Normal 18 5 2 2" xfId="1615" xr:uid="{00000000-0005-0000-0000-000061090000}"/>
    <cellStyle name="Normal 18 5 3" xfId="602" xr:uid="{00000000-0005-0000-0000-000062090000}"/>
    <cellStyle name="Normal 18 5 3 2" xfId="1616" xr:uid="{00000000-0005-0000-0000-000063090000}"/>
    <cellStyle name="Normal 18 5 4" xfId="1617" xr:uid="{00000000-0005-0000-0000-000064090000}"/>
    <cellStyle name="Normal 18 6" xfId="603" xr:uid="{00000000-0005-0000-0000-000065090000}"/>
    <cellStyle name="Normal 18 6 2" xfId="604" xr:uid="{00000000-0005-0000-0000-000066090000}"/>
    <cellStyle name="Normal 18 6 2 2" xfId="1618" xr:uid="{00000000-0005-0000-0000-000067090000}"/>
    <cellStyle name="Normal 18 6 3" xfId="605" xr:uid="{00000000-0005-0000-0000-000068090000}"/>
    <cellStyle name="Normal 18 6 3 2" xfId="1619" xr:uid="{00000000-0005-0000-0000-000069090000}"/>
    <cellStyle name="Normal 18 6 4" xfId="1620" xr:uid="{00000000-0005-0000-0000-00006A090000}"/>
    <cellStyle name="Normal 18 7" xfId="606" xr:uid="{00000000-0005-0000-0000-00006B090000}"/>
    <cellStyle name="Normal 18 7 2" xfId="607" xr:uid="{00000000-0005-0000-0000-00006C090000}"/>
    <cellStyle name="Normal 18 7 2 2" xfId="1621" xr:uid="{00000000-0005-0000-0000-00006D090000}"/>
    <cellStyle name="Normal 18 7 3" xfId="608" xr:uid="{00000000-0005-0000-0000-00006E090000}"/>
    <cellStyle name="Normal 18 7 3 2" xfId="1622" xr:uid="{00000000-0005-0000-0000-00006F090000}"/>
    <cellStyle name="Normal 18 7 4" xfId="1623" xr:uid="{00000000-0005-0000-0000-000070090000}"/>
    <cellStyle name="Normal 18 8" xfId="609" xr:uid="{00000000-0005-0000-0000-000071090000}"/>
    <cellStyle name="Normal 18 8 2" xfId="610" xr:uid="{00000000-0005-0000-0000-000072090000}"/>
    <cellStyle name="Normal 18 8 2 2" xfId="1624" xr:uid="{00000000-0005-0000-0000-000073090000}"/>
    <cellStyle name="Normal 18 8 3" xfId="611" xr:uid="{00000000-0005-0000-0000-000074090000}"/>
    <cellStyle name="Normal 18 8 3 2" xfId="1625" xr:uid="{00000000-0005-0000-0000-000075090000}"/>
    <cellStyle name="Normal 18 8 4" xfId="1626" xr:uid="{00000000-0005-0000-0000-000076090000}"/>
    <cellStyle name="Normal 18 9" xfId="612" xr:uid="{00000000-0005-0000-0000-000077090000}"/>
    <cellStyle name="Normal 18 9 2" xfId="613" xr:uid="{00000000-0005-0000-0000-000078090000}"/>
    <cellStyle name="Normal 18 9 2 2" xfId="1627" xr:uid="{00000000-0005-0000-0000-000079090000}"/>
    <cellStyle name="Normal 18 9 3" xfId="614" xr:uid="{00000000-0005-0000-0000-00007A090000}"/>
    <cellStyle name="Normal 18 9 3 2" xfId="1628" xr:uid="{00000000-0005-0000-0000-00007B090000}"/>
    <cellStyle name="Normal 18 9 4" xfId="1629" xr:uid="{00000000-0005-0000-0000-00007C090000}"/>
    <cellStyle name="Normal 19" xfId="615" xr:uid="{00000000-0005-0000-0000-00007D090000}"/>
    <cellStyle name="Normal 19 10" xfId="616" xr:uid="{00000000-0005-0000-0000-00007E090000}"/>
    <cellStyle name="Normal 19 10 2" xfId="617" xr:uid="{00000000-0005-0000-0000-00007F090000}"/>
    <cellStyle name="Normal 19 10 2 2" xfId="1630" xr:uid="{00000000-0005-0000-0000-000080090000}"/>
    <cellStyle name="Normal 19 10 3" xfId="618" xr:uid="{00000000-0005-0000-0000-000081090000}"/>
    <cellStyle name="Normal 19 10 3 2" xfId="1631" xr:uid="{00000000-0005-0000-0000-000082090000}"/>
    <cellStyle name="Normal 19 10 4" xfId="1632" xr:uid="{00000000-0005-0000-0000-000083090000}"/>
    <cellStyle name="Normal 19 11" xfId="1633" xr:uid="{00000000-0005-0000-0000-000084090000}"/>
    <cellStyle name="Normal 19 12" xfId="1634" xr:uid="{00000000-0005-0000-0000-000085090000}"/>
    <cellStyle name="Normal 19 2" xfId="619" xr:uid="{00000000-0005-0000-0000-000086090000}"/>
    <cellStyle name="Normal 19 2 2" xfId="620" xr:uid="{00000000-0005-0000-0000-000087090000}"/>
    <cellStyle name="Normal 19 2 2 2" xfId="1635" xr:uid="{00000000-0005-0000-0000-000088090000}"/>
    <cellStyle name="Normal 19 2 3" xfId="621" xr:uid="{00000000-0005-0000-0000-000089090000}"/>
    <cellStyle name="Normal 19 2 3 2" xfId="1636" xr:uid="{00000000-0005-0000-0000-00008A090000}"/>
    <cellStyle name="Normal 19 2 4" xfId="1637" xr:uid="{00000000-0005-0000-0000-00008B090000}"/>
    <cellStyle name="Normal 19 3" xfId="622" xr:uid="{00000000-0005-0000-0000-00008C090000}"/>
    <cellStyle name="Normal 19 3 2" xfId="623" xr:uid="{00000000-0005-0000-0000-00008D090000}"/>
    <cellStyle name="Normal 19 3 2 2" xfId="624" xr:uid="{00000000-0005-0000-0000-00008E090000}"/>
    <cellStyle name="Normal 19 3 2 2 2" xfId="1638" xr:uid="{00000000-0005-0000-0000-00008F090000}"/>
    <cellStyle name="Normal 19 3 2 3" xfId="625" xr:uid="{00000000-0005-0000-0000-000090090000}"/>
    <cellStyle name="Normal 19 3 2 3 2" xfId="1639" xr:uid="{00000000-0005-0000-0000-000091090000}"/>
    <cellStyle name="Normal 19 3 2 4" xfId="1640" xr:uid="{00000000-0005-0000-0000-000092090000}"/>
    <cellStyle name="Normal 19 3 3" xfId="626" xr:uid="{00000000-0005-0000-0000-000093090000}"/>
    <cellStyle name="Normal 19 3 3 2" xfId="627" xr:uid="{00000000-0005-0000-0000-000094090000}"/>
    <cellStyle name="Normal 19 3 3 2 2" xfId="1641" xr:uid="{00000000-0005-0000-0000-000095090000}"/>
    <cellStyle name="Normal 19 3 3 3" xfId="628" xr:uid="{00000000-0005-0000-0000-000096090000}"/>
    <cellStyle name="Normal 19 3 3 3 2" xfId="1642" xr:uid="{00000000-0005-0000-0000-000097090000}"/>
    <cellStyle name="Normal 19 3 3 4" xfId="1643" xr:uid="{00000000-0005-0000-0000-000098090000}"/>
    <cellStyle name="Normal 19 3 4" xfId="629" xr:uid="{00000000-0005-0000-0000-000099090000}"/>
    <cellStyle name="Normal 19 3 4 2" xfId="630" xr:uid="{00000000-0005-0000-0000-00009A090000}"/>
    <cellStyle name="Normal 19 3 4 2 2" xfId="1644" xr:uid="{00000000-0005-0000-0000-00009B090000}"/>
    <cellStyle name="Normal 19 3 4 3" xfId="631" xr:uid="{00000000-0005-0000-0000-00009C090000}"/>
    <cellStyle name="Normal 19 3 4 3 2" xfId="1645" xr:uid="{00000000-0005-0000-0000-00009D090000}"/>
    <cellStyle name="Normal 19 3 4 4" xfId="1646" xr:uid="{00000000-0005-0000-0000-00009E090000}"/>
    <cellStyle name="Normal 19 3 5" xfId="632" xr:uid="{00000000-0005-0000-0000-00009F090000}"/>
    <cellStyle name="Normal 19 3 5 2" xfId="633" xr:uid="{00000000-0005-0000-0000-0000A0090000}"/>
    <cellStyle name="Normal 19 3 5 2 2" xfId="1647" xr:uid="{00000000-0005-0000-0000-0000A1090000}"/>
    <cellStyle name="Normal 19 3 5 3" xfId="634" xr:uid="{00000000-0005-0000-0000-0000A2090000}"/>
    <cellStyle name="Normal 19 3 5 3 2" xfId="1648" xr:uid="{00000000-0005-0000-0000-0000A3090000}"/>
    <cellStyle name="Normal 19 3 5 4" xfId="1649" xr:uid="{00000000-0005-0000-0000-0000A4090000}"/>
    <cellStyle name="Normal 19 3 6" xfId="635" xr:uid="{00000000-0005-0000-0000-0000A5090000}"/>
    <cellStyle name="Normal 19 3 6 2" xfId="636" xr:uid="{00000000-0005-0000-0000-0000A6090000}"/>
    <cellStyle name="Normal 19 3 6 2 2" xfId="1650" xr:uid="{00000000-0005-0000-0000-0000A7090000}"/>
    <cellStyle name="Normal 19 3 6 3" xfId="637" xr:uid="{00000000-0005-0000-0000-0000A8090000}"/>
    <cellStyle name="Normal 19 3 6 3 2" xfId="1651" xr:uid="{00000000-0005-0000-0000-0000A9090000}"/>
    <cellStyle name="Normal 19 3 6 4" xfId="1652" xr:uid="{00000000-0005-0000-0000-0000AA090000}"/>
    <cellStyle name="Normal 19 3 7" xfId="638" xr:uid="{00000000-0005-0000-0000-0000AB090000}"/>
    <cellStyle name="Normal 19 3 7 2" xfId="639" xr:uid="{00000000-0005-0000-0000-0000AC090000}"/>
    <cellStyle name="Normal 19 3 7 2 2" xfId="1653" xr:uid="{00000000-0005-0000-0000-0000AD090000}"/>
    <cellStyle name="Normal 19 3 7 3" xfId="640" xr:uid="{00000000-0005-0000-0000-0000AE090000}"/>
    <cellStyle name="Normal 19 3 7 3 2" xfId="1654" xr:uid="{00000000-0005-0000-0000-0000AF090000}"/>
    <cellStyle name="Normal 19 3 7 4" xfId="1655" xr:uid="{00000000-0005-0000-0000-0000B0090000}"/>
    <cellStyle name="Normal 19 3 8" xfId="1656" xr:uid="{00000000-0005-0000-0000-0000B1090000}"/>
    <cellStyle name="Normal 19 4" xfId="641" xr:uid="{00000000-0005-0000-0000-0000B2090000}"/>
    <cellStyle name="Normal 19 4 2" xfId="642" xr:uid="{00000000-0005-0000-0000-0000B3090000}"/>
    <cellStyle name="Normal 19 4 2 2" xfId="1657" xr:uid="{00000000-0005-0000-0000-0000B4090000}"/>
    <cellStyle name="Normal 19 4 3" xfId="643" xr:uid="{00000000-0005-0000-0000-0000B5090000}"/>
    <cellStyle name="Normal 19 4 3 2" xfId="1658" xr:uid="{00000000-0005-0000-0000-0000B6090000}"/>
    <cellStyle name="Normal 19 4 4" xfId="1659" xr:uid="{00000000-0005-0000-0000-0000B7090000}"/>
    <cellStyle name="Normal 19 4 5" xfId="1660" xr:uid="{00000000-0005-0000-0000-0000B8090000}"/>
    <cellStyle name="Normal 19 5" xfId="644" xr:uid="{00000000-0005-0000-0000-0000B9090000}"/>
    <cellStyle name="Normal 19 5 2" xfId="645" xr:uid="{00000000-0005-0000-0000-0000BA090000}"/>
    <cellStyle name="Normal 19 5 2 2" xfId="1661" xr:uid="{00000000-0005-0000-0000-0000BB090000}"/>
    <cellStyle name="Normal 19 5 3" xfId="646" xr:uid="{00000000-0005-0000-0000-0000BC090000}"/>
    <cellStyle name="Normal 19 5 3 2" xfId="1662" xr:uid="{00000000-0005-0000-0000-0000BD090000}"/>
    <cellStyle name="Normal 19 5 4" xfId="1663" xr:uid="{00000000-0005-0000-0000-0000BE090000}"/>
    <cellStyle name="Normal 19 6" xfId="647" xr:uid="{00000000-0005-0000-0000-0000BF090000}"/>
    <cellStyle name="Normal 19 6 2" xfId="648" xr:uid="{00000000-0005-0000-0000-0000C0090000}"/>
    <cellStyle name="Normal 19 6 2 2" xfId="1664" xr:uid="{00000000-0005-0000-0000-0000C1090000}"/>
    <cellStyle name="Normal 19 6 3" xfId="649" xr:uid="{00000000-0005-0000-0000-0000C2090000}"/>
    <cellStyle name="Normal 19 6 3 2" xfId="1665" xr:uid="{00000000-0005-0000-0000-0000C3090000}"/>
    <cellStyle name="Normal 19 6 4" xfId="1666" xr:uid="{00000000-0005-0000-0000-0000C4090000}"/>
    <cellStyle name="Normal 19 7" xfId="650" xr:uid="{00000000-0005-0000-0000-0000C5090000}"/>
    <cellStyle name="Normal 19 7 2" xfId="651" xr:uid="{00000000-0005-0000-0000-0000C6090000}"/>
    <cellStyle name="Normal 19 7 2 2" xfId="1667" xr:uid="{00000000-0005-0000-0000-0000C7090000}"/>
    <cellStyle name="Normal 19 7 3" xfId="652" xr:uid="{00000000-0005-0000-0000-0000C8090000}"/>
    <cellStyle name="Normal 19 7 3 2" xfId="1668" xr:uid="{00000000-0005-0000-0000-0000C9090000}"/>
    <cellStyle name="Normal 19 7 4" xfId="1669" xr:uid="{00000000-0005-0000-0000-0000CA090000}"/>
    <cellStyle name="Normal 19 8" xfId="653" xr:uid="{00000000-0005-0000-0000-0000CB090000}"/>
    <cellStyle name="Normal 19 8 2" xfId="654" xr:uid="{00000000-0005-0000-0000-0000CC090000}"/>
    <cellStyle name="Normal 19 8 2 2" xfId="1670" xr:uid="{00000000-0005-0000-0000-0000CD090000}"/>
    <cellStyle name="Normal 19 8 3" xfId="655" xr:uid="{00000000-0005-0000-0000-0000CE090000}"/>
    <cellStyle name="Normal 19 8 3 2" xfId="1671" xr:uid="{00000000-0005-0000-0000-0000CF090000}"/>
    <cellStyle name="Normal 19 8 4" xfId="1672" xr:uid="{00000000-0005-0000-0000-0000D0090000}"/>
    <cellStyle name="Normal 19 9" xfId="656" xr:uid="{00000000-0005-0000-0000-0000D1090000}"/>
    <cellStyle name="Normal 19 9 2" xfId="657" xr:uid="{00000000-0005-0000-0000-0000D2090000}"/>
    <cellStyle name="Normal 19 9 2 2" xfId="1673" xr:uid="{00000000-0005-0000-0000-0000D3090000}"/>
    <cellStyle name="Normal 19 9 3" xfId="658" xr:uid="{00000000-0005-0000-0000-0000D4090000}"/>
    <cellStyle name="Normal 19 9 3 2" xfId="1674" xr:uid="{00000000-0005-0000-0000-0000D5090000}"/>
    <cellStyle name="Normal 19 9 4" xfId="1675" xr:uid="{00000000-0005-0000-0000-0000D6090000}"/>
    <cellStyle name="Normal 2" xfId="3" xr:uid="{00000000-0005-0000-0000-0000D7090000}"/>
    <cellStyle name="Normal 2 2" xfId="13" xr:uid="{00000000-0005-0000-0000-0000D8090000}"/>
    <cellStyle name="Normal 2 2 10" xfId="1676" xr:uid="{00000000-0005-0000-0000-0000D9090000}"/>
    <cellStyle name="Normal 2 2 2" xfId="659" xr:uid="{00000000-0005-0000-0000-0000DA090000}"/>
    <cellStyle name="Normal 2 2 2 10" xfId="660" xr:uid="{00000000-0005-0000-0000-0000DB090000}"/>
    <cellStyle name="Normal 2 2 2 10 2" xfId="661" xr:uid="{00000000-0005-0000-0000-0000DC090000}"/>
    <cellStyle name="Normal 2 2 2 10 2 2" xfId="1677" xr:uid="{00000000-0005-0000-0000-0000DD090000}"/>
    <cellStyle name="Normal 2 2 2 10 3" xfId="662" xr:uid="{00000000-0005-0000-0000-0000DE090000}"/>
    <cellStyle name="Normal 2 2 2 10 3 2" xfId="1678" xr:uid="{00000000-0005-0000-0000-0000DF090000}"/>
    <cellStyle name="Normal 2 2 2 10 4" xfId="1679" xr:uid="{00000000-0005-0000-0000-0000E0090000}"/>
    <cellStyle name="Normal 2 2 2 11" xfId="663" xr:uid="{00000000-0005-0000-0000-0000E1090000}"/>
    <cellStyle name="Normal 2 2 2 11 2" xfId="664" xr:uid="{00000000-0005-0000-0000-0000E2090000}"/>
    <cellStyle name="Normal 2 2 2 11 2 2" xfId="1680" xr:uid="{00000000-0005-0000-0000-0000E3090000}"/>
    <cellStyle name="Normal 2 2 2 11 3" xfId="665" xr:uid="{00000000-0005-0000-0000-0000E4090000}"/>
    <cellStyle name="Normal 2 2 2 11 3 2" xfId="1681" xr:uid="{00000000-0005-0000-0000-0000E5090000}"/>
    <cellStyle name="Normal 2 2 2 11 4" xfId="1682" xr:uid="{00000000-0005-0000-0000-0000E6090000}"/>
    <cellStyle name="Normal 2 2 2 12" xfId="666" xr:uid="{00000000-0005-0000-0000-0000E7090000}"/>
    <cellStyle name="Normal 2 2 2 12 2" xfId="667" xr:uid="{00000000-0005-0000-0000-0000E8090000}"/>
    <cellStyle name="Normal 2 2 2 12 2 2" xfId="1683" xr:uid="{00000000-0005-0000-0000-0000E9090000}"/>
    <cellStyle name="Normal 2 2 2 12 3" xfId="668" xr:uid="{00000000-0005-0000-0000-0000EA090000}"/>
    <cellStyle name="Normal 2 2 2 12 3 2" xfId="1684" xr:uid="{00000000-0005-0000-0000-0000EB090000}"/>
    <cellStyle name="Normal 2 2 2 12 4" xfId="1685" xr:uid="{00000000-0005-0000-0000-0000EC090000}"/>
    <cellStyle name="Normal 2 2 2 13" xfId="669" xr:uid="{00000000-0005-0000-0000-0000ED090000}"/>
    <cellStyle name="Normal 2 2 2 13 2" xfId="670" xr:uid="{00000000-0005-0000-0000-0000EE090000}"/>
    <cellStyle name="Normal 2 2 2 13 2 2" xfId="1686" xr:uid="{00000000-0005-0000-0000-0000EF090000}"/>
    <cellStyle name="Normal 2 2 2 13 3" xfId="671" xr:uid="{00000000-0005-0000-0000-0000F0090000}"/>
    <cellStyle name="Normal 2 2 2 13 3 2" xfId="1687" xr:uid="{00000000-0005-0000-0000-0000F1090000}"/>
    <cellStyle name="Normal 2 2 2 13 4" xfId="1688" xr:uid="{00000000-0005-0000-0000-0000F2090000}"/>
    <cellStyle name="Normal 2 2 2 14" xfId="672" xr:uid="{00000000-0005-0000-0000-0000F3090000}"/>
    <cellStyle name="Normal 2 2 2 14 2" xfId="673" xr:uid="{00000000-0005-0000-0000-0000F4090000}"/>
    <cellStyle name="Normal 2 2 2 14 2 2" xfId="1689" xr:uid="{00000000-0005-0000-0000-0000F5090000}"/>
    <cellStyle name="Normal 2 2 2 14 3" xfId="674" xr:uid="{00000000-0005-0000-0000-0000F6090000}"/>
    <cellStyle name="Normal 2 2 2 14 3 2" xfId="1690" xr:uid="{00000000-0005-0000-0000-0000F7090000}"/>
    <cellStyle name="Normal 2 2 2 14 4" xfId="1691" xr:uid="{00000000-0005-0000-0000-0000F8090000}"/>
    <cellStyle name="Normal 2 2 2 15" xfId="675" xr:uid="{00000000-0005-0000-0000-0000F9090000}"/>
    <cellStyle name="Normal 2 2 2 15 2" xfId="676" xr:uid="{00000000-0005-0000-0000-0000FA090000}"/>
    <cellStyle name="Normal 2 2 2 15 2 2" xfId="1692" xr:uid="{00000000-0005-0000-0000-0000FB090000}"/>
    <cellStyle name="Normal 2 2 2 15 3" xfId="677" xr:uid="{00000000-0005-0000-0000-0000FC090000}"/>
    <cellStyle name="Normal 2 2 2 15 3 2" xfId="1693" xr:uid="{00000000-0005-0000-0000-0000FD090000}"/>
    <cellStyle name="Normal 2 2 2 15 4" xfId="1694" xr:uid="{00000000-0005-0000-0000-0000FE090000}"/>
    <cellStyle name="Normal 2 2 2 16" xfId="1695" xr:uid="{00000000-0005-0000-0000-0000FF090000}"/>
    <cellStyle name="Normal 2 2 2 17" xfId="1696" xr:uid="{00000000-0005-0000-0000-0000000A0000}"/>
    <cellStyle name="Normal 2 2 2 18" xfId="1697" xr:uid="{00000000-0005-0000-0000-0000010A0000}"/>
    <cellStyle name="Normal 2 2 2 2" xfId="678" xr:uid="{00000000-0005-0000-0000-0000020A0000}"/>
    <cellStyle name="Normal 2 2 2 2 2" xfId="679" xr:uid="{00000000-0005-0000-0000-0000030A0000}"/>
    <cellStyle name="Normal 2 2 2 2 2 2" xfId="680" xr:uid="{00000000-0005-0000-0000-0000040A0000}"/>
    <cellStyle name="Normal 2 2 2 2 2 2 2" xfId="1698" xr:uid="{00000000-0005-0000-0000-0000050A0000}"/>
    <cellStyle name="Normal 2 2 2 2 2 3" xfId="681" xr:uid="{00000000-0005-0000-0000-0000060A0000}"/>
    <cellStyle name="Normal 2 2 2 2 2 3 2" xfId="1699" xr:uid="{00000000-0005-0000-0000-0000070A0000}"/>
    <cellStyle name="Normal 2 2 2 2 2 4" xfId="1700" xr:uid="{00000000-0005-0000-0000-0000080A0000}"/>
    <cellStyle name="Normal 2 2 2 2 3" xfId="682" xr:uid="{00000000-0005-0000-0000-0000090A0000}"/>
    <cellStyle name="Normal 2 2 2 2 3 2" xfId="1701" xr:uid="{00000000-0005-0000-0000-00000A0A0000}"/>
    <cellStyle name="Normal 2 2 2 2 4" xfId="683" xr:uid="{00000000-0005-0000-0000-00000B0A0000}"/>
    <cellStyle name="Normal 2 2 2 2 4 2" xfId="1702" xr:uid="{00000000-0005-0000-0000-00000C0A0000}"/>
    <cellStyle name="Normal 2 2 2 2 5" xfId="1703" xr:uid="{00000000-0005-0000-0000-00000D0A0000}"/>
    <cellStyle name="Normal 2 2 2 2_Premium Estimator" xfId="1006" xr:uid="{00000000-0005-0000-0000-00000E0A0000}"/>
    <cellStyle name="Normal 2 2 2 3" xfId="684" xr:uid="{00000000-0005-0000-0000-00000F0A0000}"/>
    <cellStyle name="Normal 2 2 2 3 2" xfId="685" xr:uid="{00000000-0005-0000-0000-0000100A0000}"/>
    <cellStyle name="Normal 2 2 2 3 2 2" xfId="686" xr:uid="{00000000-0005-0000-0000-0000110A0000}"/>
    <cellStyle name="Normal 2 2 2 3 2 2 2" xfId="1704" xr:uid="{00000000-0005-0000-0000-0000120A0000}"/>
    <cellStyle name="Normal 2 2 2 3 2 3" xfId="687" xr:uid="{00000000-0005-0000-0000-0000130A0000}"/>
    <cellStyle name="Normal 2 2 2 3 2 3 2" xfId="1705" xr:uid="{00000000-0005-0000-0000-0000140A0000}"/>
    <cellStyle name="Normal 2 2 2 3 2 4" xfId="1706" xr:uid="{00000000-0005-0000-0000-0000150A0000}"/>
    <cellStyle name="Normal 2 2 2 3 3" xfId="688" xr:uid="{00000000-0005-0000-0000-0000160A0000}"/>
    <cellStyle name="Normal 2 2 2 3 3 2" xfId="1707" xr:uid="{00000000-0005-0000-0000-0000170A0000}"/>
    <cellStyle name="Normal 2 2 2 3 4" xfId="689" xr:uid="{00000000-0005-0000-0000-0000180A0000}"/>
    <cellStyle name="Normal 2 2 2 3 4 2" xfId="1708" xr:uid="{00000000-0005-0000-0000-0000190A0000}"/>
    <cellStyle name="Normal 2 2 2 3 5" xfId="1709" xr:uid="{00000000-0005-0000-0000-00001A0A0000}"/>
    <cellStyle name="Normal 2 2 2 3_Premium Estimator" xfId="1007" xr:uid="{00000000-0005-0000-0000-00001B0A0000}"/>
    <cellStyle name="Normal 2 2 2 4" xfId="690" xr:uid="{00000000-0005-0000-0000-00001C0A0000}"/>
    <cellStyle name="Normal 2 2 2 4 10" xfId="1710" xr:uid="{00000000-0005-0000-0000-00001D0A0000}"/>
    <cellStyle name="Normal 2 2 2 4 2" xfId="691" xr:uid="{00000000-0005-0000-0000-00001E0A0000}"/>
    <cellStyle name="Normal 2 2 2 4 2 2" xfId="692" xr:uid="{00000000-0005-0000-0000-00001F0A0000}"/>
    <cellStyle name="Normal 2 2 2 4 2 2 2" xfId="1711" xr:uid="{00000000-0005-0000-0000-0000200A0000}"/>
    <cellStyle name="Normal 2 2 2 4 2 3" xfId="693" xr:uid="{00000000-0005-0000-0000-0000210A0000}"/>
    <cellStyle name="Normal 2 2 2 4 2 3 2" xfId="1712" xr:uid="{00000000-0005-0000-0000-0000220A0000}"/>
    <cellStyle name="Normal 2 2 2 4 2 4" xfId="1713" xr:uid="{00000000-0005-0000-0000-0000230A0000}"/>
    <cellStyle name="Normal 2 2 2 4 3" xfId="694" xr:uid="{00000000-0005-0000-0000-0000240A0000}"/>
    <cellStyle name="Normal 2 2 2 4 3 2" xfId="695" xr:uid="{00000000-0005-0000-0000-0000250A0000}"/>
    <cellStyle name="Normal 2 2 2 4 3 2 2" xfId="1714" xr:uid="{00000000-0005-0000-0000-0000260A0000}"/>
    <cellStyle name="Normal 2 2 2 4 3 3" xfId="696" xr:uid="{00000000-0005-0000-0000-0000270A0000}"/>
    <cellStyle name="Normal 2 2 2 4 3 3 2" xfId="1715" xr:uid="{00000000-0005-0000-0000-0000280A0000}"/>
    <cellStyle name="Normal 2 2 2 4 3 4" xfId="1716" xr:uid="{00000000-0005-0000-0000-0000290A0000}"/>
    <cellStyle name="Normal 2 2 2 4 4" xfId="697" xr:uid="{00000000-0005-0000-0000-00002A0A0000}"/>
    <cellStyle name="Normal 2 2 2 4 4 2" xfId="698" xr:uid="{00000000-0005-0000-0000-00002B0A0000}"/>
    <cellStyle name="Normal 2 2 2 4 4 2 2" xfId="1717" xr:uid="{00000000-0005-0000-0000-00002C0A0000}"/>
    <cellStyle name="Normal 2 2 2 4 4 3" xfId="699" xr:uid="{00000000-0005-0000-0000-00002D0A0000}"/>
    <cellStyle name="Normal 2 2 2 4 4 3 2" xfId="1718" xr:uid="{00000000-0005-0000-0000-00002E0A0000}"/>
    <cellStyle name="Normal 2 2 2 4 4 4" xfId="1719" xr:uid="{00000000-0005-0000-0000-00002F0A0000}"/>
    <cellStyle name="Normal 2 2 2 4 5" xfId="700" xr:uid="{00000000-0005-0000-0000-0000300A0000}"/>
    <cellStyle name="Normal 2 2 2 4 5 2" xfId="701" xr:uid="{00000000-0005-0000-0000-0000310A0000}"/>
    <cellStyle name="Normal 2 2 2 4 5 2 2" xfId="1720" xr:uid="{00000000-0005-0000-0000-0000320A0000}"/>
    <cellStyle name="Normal 2 2 2 4 5 3" xfId="702" xr:uid="{00000000-0005-0000-0000-0000330A0000}"/>
    <cellStyle name="Normal 2 2 2 4 5 3 2" xfId="1721" xr:uid="{00000000-0005-0000-0000-0000340A0000}"/>
    <cellStyle name="Normal 2 2 2 4 5 4" xfId="1722" xr:uid="{00000000-0005-0000-0000-0000350A0000}"/>
    <cellStyle name="Normal 2 2 2 4 6" xfId="703" xr:uid="{00000000-0005-0000-0000-0000360A0000}"/>
    <cellStyle name="Normal 2 2 2 4 6 2" xfId="704" xr:uid="{00000000-0005-0000-0000-0000370A0000}"/>
    <cellStyle name="Normal 2 2 2 4 6 2 2" xfId="1723" xr:uid="{00000000-0005-0000-0000-0000380A0000}"/>
    <cellStyle name="Normal 2 2 2 4 6 3" xfId="705" xr:uid="{00000000-0005-0000-0000-0000390A0000}"/>
    <cellStyle name="Normal 2 2 2 4 6 3 2" xfId="1724" xr:uid="{00000000-0005-0000-0000-00003A0A0000}"/>
    <cellStyle name="Normal 2 2 2 4 6 4" xfId="1725" xr:uid="{00000000-0005-0000-0000-00003B0A0000}"/>
    <cellStyle name="Normal 2 2 2 4 7" xfId="706" xr:uid="{00000000-0005-0000-0000-00003C0A0000}"/>
    <cellStyle name="Normal 2 2 2 4 7 2" xfId="707" xr:uid="{00000000-0005-0000-0000-00003D0A0000}"/>
    <cellStyle name="Normal 2 2 2 4 7 2 2" xfId="1726" xr:uid="{00000000-0005-0000-0000-00003E0A0000}"/>
    <cellStyle name="Normal 2 2 2 4 7 3" xfId="708" xr:uid="{00000000-0005-0000-0000-00003F0A0000}"/>
    <cellStyle name="Normal 2 2 2 4 7 3 2" xfId="1727" xr:uid="{00000000-0005-0000-0000-0000400A0000}"/>
    <cellStyle name="Normal 2 2 2 4 7 4" xfId="1728" xr:uid="{00000000-0005-0000-0000-0000410A0000}"/>
    <cellStyle name="Normal 2 2 2 4 8" xfId="709" xr:uid="{00000000-0005-0000-0000-0000420A0000}"/>
    <cellStyle name="Normal 2 2 2 4 8 2" xfId="1729" xr:uid="{00000000-0005-0000-0000-0000430A0000}"/>
    <cellStyle name="Normal 2 2 2 4 9" xfId="710" xr:uid="{00000000-0005-0000-0000-0000440A0000}"/>
    <cellStyle name="Normal 2 2 2 4 9 2" xfId="1730" xr:uid="{00000000-0005-0000-0000-0000450A0000}"/>
    <cellStyle name="Normal 2 2 2 4_Premium Estimator" xfId="1008" xr:uid="{00000000-0005-0000-0000-0000460A0000}"/>
    <cellStyle name="Normal 2 2 2 5" xfId="711" xr:uid="{00000000-0005-0000-0000-0000470A0000}"/>
    <cellStyle name="Normal 2 2 2 5 10" xfId="712" xr:uid="{00000000-0005-0000-0000-0000480A0000}"/>
    <cellStyle name="Normal 2 2 2 5 10 2" xfId="1731" xr:uid="{00000000-0005-0000-0000-0000490A0000}"/>
    <cellStyle name="Normal 2 2 2 5 11" xfId="1732" xr:uid="{00000000-0005-0000-0000-00004A0A0000}"/>
    <cellStyle name="Normal 2 2 2 5 2" xfId="713" xr:uid="{00000000-0005-0000-0000-00004B0A0000}"/>
    <cellStyle name="Normal 2 2 2 5 2 2" xfId="714" xr:uid="{00000000-0005-0000-0000-00004C0A0000}"/>
    <cellStyle name="Normal 2 2 2 5 2 2 2" xfId="1733" xr:uid="{00000000-0005-0000-0000-00004D0A0000}"/>
    <cellStyle name="Normal 2 2 2 5 2 3" xfId="715" xr:uid="{00000000-0005-0000-0000-00004E0A0000}"/>
    <cellStyle name="Normal 2 2 2 5 2 3 2" xfId="1734" xr:uid="{00000000-0005-0000-0000-00004F0A0000}"/>
    <cellStyle name="Normal 2 2 2 5 2 4" xfId="1735" xr:uid="{00000000-0005-0000-0000-0000500A0000}"/>
    <cellStyle name="Normal 2 2 2 5 3" xfId="716" xr:uid="{00000000-0005-0000-0000-0000510A0000}"/>
    <cellStyle name="Normal 2 2 2 5 3 2" xfId="717" xr:uid="{00000000-0005-0000-0000-0000520A0000}"/>
    <cellStyle name="Normal 2 2 2 5 3 2 2" xfId="1736" xr:uid="{00000000-0005-0000-0000-0000530A0000}"/>
    <cellStyle name="Normal 2 2 2 5 3 3" xfId="718" xr:uid="{00000000-0005-0000-0000-0000540A0000}"/>
    <cellStyle name="Normal 2 2 2 5 3 3 2" xfId="1737" xr:uid="{00000000-0005-0000-0000-0000550A0000}"/>
    <cellStyle name="Normal 2 2 2 5 3 4" xfId="1738" xr:uid="{00000000-0005-0000-0000-0000560A0000}"/>
    <cellStyle name="Normal 2 2 2 5 4" xfId="719" xr:uid="{00000000-0005-0000-0000-0000570A0000}"/>
    <cellStyle name="Normal 2 2 2 5 4 2" xfId="720" xr:uid="{00000000-0005-0000-0000-0000580A0000}"/>
    <cellStyle name="Normal 2 2 2 5 4 2 2" xfId="1739" xr:uid="{00000000-0005-0000-0000-0000590A0000}"/>
    <cellStyle name="Normal 2 2 2 5 4 3" xfId="721" xr:uid="{00000000-0005-0000-0000-00005A0A0000}"/>
    <cellStyle name="Normal 2 2 2 5 4 3 2" xfId="1740" xr:uid="{00000000-0005-0000-0000-00005B0A0000}"/>
    <cellStyle name="Normal 2 2 2 5 4 4" xfId="1741" xr:uid="{00000000-0005-0000-0000-00005C0A0000}"/>
    <cellStyle name="Normal 2 2 2 5 5" xfId="722" xr:uid="{00000000-0005-0000-0000-00005D0A0000}"/>
    <cellStyle name="Normal 2 2 2 5 5 2" xfId="723" xr:uid="{00000000-0005-0000-0000-00005E0A0000}"/>
    <cellStyle name="Normal 2 2 2 5 5 2 2" xfId="1742" xr:uid="{00000000-0005-0000-0000-00005F0A0000}"/>
    <cellStyle name="Normal 2 2 2 5 5 3" xfId="724" xr:uid="{00000000-0005-0000-0000-0000600A0000}"/>
    <cellStyle name="Normal 2 2 2 5 5 3 2" xfId="1743" xr:uid="{00000000-0005-0000-0000-0000610A0000}"/>
    <cellStyle name="Normal 2 2 2 5 5 4" xfId="1744" xr:uid="{00000000-0005-0000-0000-0000620A0000}"/>
    <cellStyle name="Normal 2 2 2 5 6" xfId="725" xr:uid="{00000000-0005-0000-0000-0000630A0000}"/>
    <cellStyle name="Normal 2 2 2 5 6 2" xfId="726" xr:uid="{00000000-0005-0000-0000-0000640A0000}"/>
    <cellStyle name="Normal 2 2 2 5 6 2 2" xfId="1745" xr:uid="{00000000-0005-0000-0000-0000650A0000}"/>
    <cellStyle name="Normal 2 2 2 5 6 3" xfId="727" xr:uid="{00000000-0005-0000-0000-0000660A0000}"/>
    <cellStyle name="Normal 2 2 2 5 6 3 2" xfId="1746" xr:uid="{00000000-0005-0000-0000-0000670A0000}"/>
    <cellStyle name="Normal 2 2 2 5 6 4" xfId="1747" xr:uid="{00000000-0005-0000-0000-0000680A0000}"/>
    <cellStyle name="Normal 2 2 2 5 7" xfId="728" xr:uid="{00000000-0005-0000-0000-0000690A0000}"/>
    <cellStyle name="Normal 2 2 2 5 7 2" xfId="729" xr:uid="{00000000-0005-0000-0000-00006A0A0000}"/>
    <cellStyle name="Normal 2 2 2 5 7 2 2" xfId="1748" xr:uid="{00000000-0005-0000-0000-00006B0A0000}"/>
    <cellStyle name="Normal 2 2 2 5 7 3" xfId="730" xr:uid="{00000000-0005-0000-0000-00006C0A0000}"/>
    <cellStyle name="Normal 2 2 2 5 7 3 2" xfId="1749" xr:uid="{00000000-0005-0000-0000-00006D0A0000}"/>
    <cellStyle name="Normal 2 2 2 5 7 4" xfId="1750" xr:uid="{00000000-0005-0000-0000-00006E0A0000}"/>
    <cellStyle name="Normal 2 2 2 5 8" xfId="731" xr:uid="{00000000-0005-0000-0000-00006F0A0000}"/>
    <cellStyle name="Normal 2 2 2 5 8 2" xfId="732" xr:uid="{00000000-0005-0000-0000-0000700A0000}"/>
    <cellStyle name="Normal 2 2 2 5 8 2 2" xfId="1751" xr:uid="{00000000-0005-0000-0000-0000710A0000}"/>
    <cellStyle name="Normal 2 2 2 5 8 3" xfId="733" xr:uid="{00000000-0005-0000-0000-0000720A0000}"/>
    <cellStyle name="Normal 2 2 2 5 8 3 2" xfId="1752" xr:uid="{00000000-0005-0000-0000-0000730A0000}"/>
    <cellStyle name="Normal 2 2 2 5 8 4" xfId="1753" xr:uid="{00000000-0005-0000-0000-0000740A0000}"/>
    <cellStyle name="Normal 2 2 2 5 9" xfId="734" xr:uid="{00000000-0005-0000-0000-0000750A0000}"/>
    <cellStyle name="Normal 2 2 2 5 9 2" xfId="1754" xr:uid="{00000000-0005-0000-0000-0000760A0000}"/>
    <cellStyle name="Normal 2 2 2 5_Premium Estimator" xfId="1009" xr:uid="{00000000-0005-0000-0000-0000770A0000}"/>
    <cellStyle name="Normal 2 2 2 6" xfId="735" xr:uid="{00000000-0005-0000-0000-0000780A0000}"/>
    <cellStyle name="Normal 2 2 2 6 2" xfId="736" xr:uid="{00000000-0005-0000-0000-0000790A0000}"/>
    <cellStyle name="Normal 2 2 2 6 2 2" xfId="1755" xr:uid="{00000000-0005-0000-0000-00007A0A0000}"/>
    <cellStyle name="Normal 2 2 2 6 3" xfId="737" xr:uid="{00000000-0005-0000-0000-00007B0A0000}"/>
    <cellStyle name="Normal 2 2 2 6 3 2" xfId="1756" xr:uid="{00000000-0005-0000-0000-00007C0A0000}"/>
    <cellStyle name="Normal 2 2 2 6 4" xfId="1757" xr:uid="{00000000-0005-0000-0000-00007D0A0000}"/>
    <cellStyle name="Normal 2 2 2 7" xfId="738" xr:uid="{00000000-0005-0000-0000-00007E0A0000}"/>
    <cellStyle name="Normal 2 2 2 7 2" xfId="739" xr:uid="{00000000-0005-0000-0000-00007F0A0000}"/>
    <cellStyle name="Normal 2 2 2 7 2 2" xfId="1758" xr:uid="{00000000-0005-0000-0000-0000800A0000}"/>
    <cellStyle name="Normal 2 2 2 7 3" xfId="740" xr:uid="{00000000-0005-0000-0000-0000810A0000}"/>
    <cellStyle name="Normal 2 2 2 7 3 2" xfId="1759" xr:uid="{00000000-0005-0000-0000-0000820A0000}"/>
    <cellStyle name="Normal 2 2 2 7 4" xfId="1760" xr:uid="{00000000-0005-0000-0000-0000830A0000}"/>
    <cellStyle name="Normal 2 2 2 8" xfId="741" xr:uid="{00000000-0005-0000-0000-0000840A0000}"/>
    <cellStyle name="Normal 2 2 2 8 2" xfId="742" xr:uid="{00000000-0005-0000-0000-0000850A0000}"/>
    <cellStyle name="Normal 2 2 2 8 2 2" xfId="1761" xr:uid="{00000000-0005-0000-0000-0000860A0000}"/>
    <cellStyle name="Normal 2 2 2 8 3" xfId="743" xr:uid="{00000000-0005-0000-0000-0000870A0000}"/>
    <cellStyle name="Normal 2 2 2 8 3 2" xfId="1762" xr:uid="{00000000-0005-0000-0000-0000880A0000}"/>
    <cellStyle name="Normal 2 2 2 8 4" xfId="1763" xr:uid="{00000000-0005-0000-0000-0000890A0000}"/>
    <cellStyle name="Normal 2 2 2 9" xfId="744" xr:uid="{00000000-0005-0000-0000-00008A0A0000}"/>
    <cellStyle name="Normal 2 2 2 9 2" xfId="745" xr:uid="{00000000-0005-0000-0000-00008B0A0000}"/>
    <cellStyle name="Normal 2 2 2 9 2 2" xfId="1764" xr:uid="{00000000-0005-0000-0000-00008C0A0000}"/>
    <cellStyle name="Normal 2 2 2 9 3" xfId="746" xr:uid="{00000000-0005-0000-0000-00008D0A0000}"/>
    <cellStyle name="Normal 2 2 2 9 3 2" xfId="1765" xr:uid="{00000000-0005-0000-0000-00008E0A0000}"/>
    <cellStyle name="Normal 2 2 2 9 4" xfId="1766" xr:uid="{00000000-0005-0000-0000-00008F0A0000}"/>
    <cellStyle name="Normal 2 2 2_CLAIMEndJuly16" xfId="747" xr:uid="{00000000-0005-0000-0000-0000900A0000}"/>
    <cellStyle name="Normal 2 2 3" xfId="748" xr:uid="{00000000-0005-0000-0000-0000910A0000}"/>
    <cellStyle name="Normal 2 2 3 2" xfId="749" xr:uid="{00000000-0005-0000-0000-0000920A0000}"/>
    <cellStyle name="Normal 2 2 3 2 2" xfId="1767" xr:uid="{00000000-0005-0000-0000-0000930A0000}"/>
    <cellStyle name="Normal 2 2 3 3" xfId="750" xr:uid="{00000000-0005-0000-0000-0000940A0000}"/>
    <cellStyle name="Normal 2 2 3 3 2" xfId="1768" xr:uid="{00000000-0005-0000-0000-0000950A0000}"/>
    <cellStyle name="Normal 2 2 3 4" xfId="1769" xr:uid="{00000000-0005-0000-0000-0000960A0000}"/>
    <cellStyle name="Normal 2 2 3 5" xfId="2176" xr:uid="{00000000-0005-0000-0000-0000970A0000}"/>
    <cellStyle name="Normal 2 2 4" xfId="751" xr:uid="{00000000-0005-0000-0000-0000980A0000}"/>
    <cellStyle name="Normal 2 2 4 2" xfId="752" xr:uid="{00000000-0005-0000-0000-0000990A0000}"/>
    <cellStyle name="Normal 2 2 4 2 2" xfId="1770" xr:uid="{00000000-0005-0000-0000-00009A0A0000}"/>
    <cellStyle name="Normal 2 2 4 3" xfId="753" xr:uid="{00000000-0005-0000-0000-00009B0A0000}"/>
    <cellStyle name="Normal 2 2 4 3 2" xfId="1771" xr:uid="{00000000-0005-0000-0000-00009C0A0000}"/>
    <cellStyle name="Normal 2 2 4 4" xfId="1772" xr:uid="{00000000-0005-0000-0000-00009D0A0000}"/>
    <cellStyle name="Normal 2 2 5" xfId="754" xr:uid="{00000000-0005-0000-0000-00009E0A0000}"/>
    <cellStyle name="Normal 2 2 5 2" xfId="755" xr:uid="{00000000-0005-0000-0000-00009F0A0000}"/>
    <cellStyle name="Normal 2 2 5 2 2" xfId="1773" xr:uid="{00000000-0005-0000-0000-0000A00A0000}"/>
    <cellStyle name="Normal 2 2 5 3" xfId="756" xr:uid="{00000000-0005-0000-0000-0000A10A0000}"/>
    <cellStyle name="Normal 2 2 5 3 2" xfId="1774" xr:uid="{00000000-0005-0000-0000-0000A20A0000}"/>
    <cellStyle name="Normal 2 2 5 4" xfId="1775" xr:uid="{00000000-0005-0000-0000-0000A30A0000}"/>
    <cellStyle name="Normal 2 2 6" xfId="22" xr:uid="{00000000-0005-0000-0000-0000A40A0000}"/>
    <cellStyle name="Normal 2 2 6 2" xfId="757" xr:uid="{00000000-0005-0000-0000-0000A50A0000}"/>
    <cellStyle name="Normal 2 2 6 2 2" xfId="1776" xr:uid="{00000000-0005-0000-0000-0000A60A0000}"/>
    <cellStyle name="Normal 2 2 6 3" xfId="758" xr:uid="{00000000-0005-0000-0000-0000A70A0000}"/>
    <cellStyle name="Normal 2 2 6 3 2" xfId="1777" xr:uid="{00000000-0005-0000-0000-0000A80A0000}"/>
    <cellStyle name="Normal 2 2 6 4" xfId="1778" xr:uid="{00000000-0005-0000-0000-0000A90A0000}"/>
    <cellStyle name="Normal 2 2 7" xfId="759" xr:uid="{00000000-0005-0000-0000-0000AA0A0000}"/>
    <cellStyle name="Normal 2 2 7 2" xfId="1779" xr:uid="{00000000-0005-0000-0000-0000AB0A0000}"/>
    <cellStyle name="Normal 2 2 8" xfId="760" xr:uid="{00000000-0005-0000-0000-0000AC0A0000}"/>
    <cellStyle name="Normal 2 2 8 2" xfId="1780" xr:uid="{00000000-0005-0000-0000-0000AD0A0000}"/>
    <cellStyle name="Normal 2 2 9" xfId="980" xr:uid="{00000000-0005-0000-0000-0000AE0A0000}"/>
    <cellStyle name="Normal 2 2_CLAIMEndJuly16" xfId="761" xr:uid="{00000000-0005-0000-0000-0000AF0A0000}"/>
    <cellStyle name="Normal 2 3" xfId="23" xr:uid="{00000000-0005-0000-0000-0000B00A0000}"/>
    <cellStyle name="Normal 2 3 2" xfId="1781" xr:uid="{00000000-0005-0000-0000-0000B10A0000}"/>
    <cellStyle name="Normal 2 3 3" xfId="1782" xr:uid="{00000000-0005-0000-0000-0000B20A0000}"/>
    <cellStyle name="Normal 2 4" xfId="762" xr:uid="{00000000-0005-0000-0000-0000B30A0000}"/>
    <cellStyle name="Normal 2 4 2" xfId="763" xr:uid="{00000000-0005-0000-0000-0000B40A0000}"/>
    <cellStyle name="Normal 2 4 2 2" xfId="1783" xr:uid="{00000000-0005-0000-0000-0000B50A0000}"/>
    <cellStyle name="Normal 2 4 3" xfId="764" xr:uid="{00000000-0005-0000-0000-0000B60A0000}"/>
    <cellStyle name="Normal 2 4 3 2" xfId="1784" xr:uid="{00000000-0005-0000-0000-0000B70A0000}"/>
    <cellStyle name="Normal 2 4 4" xfId="1785" xr:uid="{00000000-0005-0000-0000-0000B80A0000}"/>
    <cellStyle name="Normal 2 5" xfId="1786" xr:uid="{00000000-0005-0000-0000-0000B90A0000}"/>
    <cellStyle name="Normal 2 6" xfId="1787" xr:uid="{00000000-0005-0000-0000-0000BA0A0000}"/>
    <cellStyle name="Normal 2 7" xfId="1788" xr:uid="{00000000-0005-0000-0000-0000BB0A0000}"/>
    <cellStyle name="Normal 2_Sheet2" xfId="765" xr:uid="{00000000-0005-0000-0000-0000BC0A0000}"/>
    <cellStyle name="Normal 20" xfId="766" xr:uid="{00000000-0005-0000-0000-0000BD0A0000}"/>
    <cellStyle name="Normal 20 2" xfId="767" xr:uid="{00000000-0005-0000-0000-0000BE0A0000}"/>
    <cellStyle name="Normal 20 2 10" xfId="1789" xr:uid="{00000000-0005-0000-0000-0000BF0A0000}"/>
    <cellStyle name="Normal 20 2 2" xfId="768" xr:uid="{00000000-0005-0000-0000-0000C00A0000}"/>
    <cellStyle name="Normal 20 2 2 2" xfId="769" xr:uid="{00000000-0005-0000-0000-0000C10A0000}"/>
    <cellStyle name="Normal 20 2 2 2 2" xfId="1790" xr:uid="{00000000-0005-0000-0000-0000C20A0000}"/>
    <cellStyle name="Normal 20 2 2 3" xfId="770" xr:uid="{00000000-0005-0000-0000-0000C30A0000}"/>
    <cellStyle name="Normal 20 2 2 3 2" xfId="1791" xr:uid="{00000000-0005-0000-0000-0000C40A0000}"/>
    <cellStyle name="Normal 20 2 2 4" xfId="1792" xr:uid="{00000000-0005-0000-0000-0000C50A0000}"/>
    <cellStyle name="Normal 20 2 3" xfId="771" xr:uid="{00000000-0005-0000-0000-0000C60A0000}"/>
    <cellStyle name="Normal 20 2 3 2" xfId="772" xr:uid="{00000000-0005-0000-0000-0000C70A0000}"/>
    <cellStyle name="Normal 20 2 3 2 2" xfId="1793" xr:uid="{00000000-0005-0000-0000-0000C80A0000}"/>
    <cellStyle name="Normal 20 2 3 3" xfId="773" xr:uid="{00000000-0005-0000-0000-0000C90A0000}"/>
    <cellStyle name="Normal 20 2 3 3 2" xfId="1794" xr:uid="{00000000-0005-0000-0000-0000CA0A0000}"/>
    <cellStyle name="Normal 20 2 3 4" xfId="1795" xr:uid="{00000000-0005-0000-0000-0000CB0A0000}"/>
    <cellStyle name="Normal 20 2 4" xfId="774" xr:uid="{00000000-0005-0000-0000-0000CC0A0000}"/>
    <cellStyle name="Normal 20 2 4 2" xfId="775" xr:uid="{00000000-0005-0000-0000-0000CD0A0000}"/>
    <cellStyle name="Normal 20 2 4 2 2" xfId="1796" xr:uid="{00000000-0005-0000-0000-0000CE0A0000}"/>
    <cellStyle name="Normal 20 2 4 3" xfId="776" xr:uid="{00000000-0005-0000-0000-0000CF0A0000}"/>
    <cellStyle name="Normal 20 2 4 3 2" xfId="1797" xr:uid="{00000000-0005-0000-0000-0000D00A0000}"/>
    <cellStyle name="Normal 20 2 4 4" xfId="1798" xr:uid="{00000000-0005-0000-0000-0000D10A0000}"/>
    <cellStyle name="Normal 20 2 5" xfId="777" xr:uid="{00000000-0005-0000-0000-0000D20A0000}"/>
    <cellStyle name="Normal 20 2 5 2" xfId="778" xr:uid="{00000000-0005-0000-0000-0000D30A0000}"/>
    <cellStyle name="Normal 20 2 5 2 2" xfId="1799" xr:uid="{00000000-0005-0000-0000-0000D40A0000}"/>
    <cellStyle name="Normal 20 2 5 3" xfId="779" xr:uid="{00000000-0005-0000-0000-0000D50A0000}"/>
    <cellStyle name="Normal 20 2 5 3 2" xfId="1800" xr:uid="{00000000-0005-0000-0000-0000D60A0000}"/>
    <cellStyle name="Normal 20 2 5 4" xfId="1801" xr:uid="{00000000-0005-0000-0000-0000D70A0000}"/>
    <cellStyle name="Normal 20 2 6" xfId="780" xr:uid="{00000000-0005-0000-0000-0000D80A0000}"/>
    <cellStyle name="Normal 20 2 6 2" xfId="781" xr:uid="{00000000-0005-0000-0000-0000D90A0000}"/>
    <cellStyle name="Normal 20 2 6 2 2" xfId="1802" xr:uid="{00000000-0005-0000-0000-0000DA0A0000}"/>
    <cellStyle name="Normal 20 2 6 3" xfId="782" xr:uid="{00000000-0005-0000-0000-0000DB0A0000}"/>
    <cellStyle name="Normal 20 2 6 3 2" xfId="1803" xr:uid="{00000000-0005-0000-0000-0000DC0A0000}"/>
    <cellStyle name="Normal 20 2 6 4" xfId="1804" xr:uid="{00000000-0005-0000-0000-0000DD0A0000}"/>
    <cellStyle name="Normal 20 2 7" xfId="783" xr:uid="{00000000-0005-0000-0000-0000DE0A0000}"/>
    <cellStyle name="Normal 20 2 7 2" xfId="784" xr:uid="{00000000-0005-0000-0000-0000DF0A0000}"/>
    <cellStyle name="Normal 20 2 7 2 2" xfId="1805" xr:uid="{00000000-0005-0000-0000-0000E00A0000}"/>
    <cellStyle name="Normal 20 2 7 3" xfId="785" xr:uid="{00000000-0005-0000-0000-0000E10A0000}"/>
    <cellStyle name="Normal 20 2 7 3 2" xfId="1806" xr:uid="{00000000-0005-0000-0000-0000E20A0000}"/>
    <cellStyle name="Normal 20 2 7 4" xfId="1807" xr:uid="{00000000-0005-0000-0000-0000E30A0000}"/>
    <cellStyle name="Normal 20 2 8" xfId="786" xr:uid="{00000000-0005-0000-0000-0000E40A0000}"/>
    <cellStyle name="Normal 20 2 8 2" xfId="1808" xr:uid="{00000000-0005-0000-0000-0000E50A0000}"/>
    <cellStyle name="Normal 20 2 9" xfId="787" xr:uid="{00000000-0005-0000-0000-0000E60A0000}"/>
    <cellStyle name="Normal 20 2 9 2" xfId="1809" xr:uid="{00000000-0005-0000-0000-0000E70A0000}"/>
    <cellStyle name="Normal 20 2_Premium Estimator" xfId="1010" xr:uid="{00000000-0005-0000-0000-0000E80A0000}"/>
    <cellStyle name="Normal 20 3" xfId="788" xr:uid="{00000000-0005-0000-0000-0000E90A0000}"/>
    <cellStyle name="Normal 20 3 2" xfId="1810" xr:uid="{00000000-0005-0000-0000-0000EA0A0000}"/>
    <cellStyle name="Normal 20 4" xfId="789" xr:uid="{00000000-0005-0000-0000-0000EB0A0000}"/>
    <cellStyle name="Normal 20 5" xfId="1811" xr:uid="{00000000-0005-0000-0000-0000EC0A0000}"/>
    <cellStyle name="Normal 20 6" xfId="1812" xr:uid="{00000000-0005-0000-0000-0000ED0A0000}"/>
    <cellStyle name="Normal 21" xfId="790" xr:uid="{00000000-0005-0000-0000-0000EE0A0000}"/>
    <cellStyle name="Normal 21 2" xfId="791" xr:uid="{00000000-0005-0000-0000-0000EF0A0000}"/>
    <cellStyle name="Normal 21 2 2" xfId="792" xr:uid="{00000000-0005-0000-0000-0000F00A0000}"/>
    <cellStyle name="Normal 21 2 2 2" xfId="1813" xr:uid="{00000000-0005-0000-0000-0000F10A0000}"/>
    <cellStyle name="Normal 21 2 3" xfId="793" xr:uid="{00000000-0005-0000-0000-0000F20A0000}"/>
    <cellStyle name="Normal 21 2 3 2" xfId="1814" xr:uid="{00000000-0005-0000-0000-0000F30A0000}"/>
    <cellStyle name="Normal 21 2 4" xfId="1815" xr:uid="{00000000-0005-0000-0000-0000F40A0000}"/>
    <cellStyle name="Normal 21 3" xfId="794" xr:uid="{00000000-0005-0000-0000-0000F50A0000}"/>
    <cellStyle name="Normal 21 3 2" xfId="795" xr:uid="{00000000-0005-0000-0000-0000F60A0000}"/>
    <cellStyle name="Normal 21 3 2 2" xfId="1816" xr:uid="{00000000-0005-0000-0000-0000F70A0000}"/>
    <cellStyle name="Normal 21 3 3" xfId="796" xr:uid="{00000000-0005-0000-0000-0000F80A0000}"/>
    <cellStyle name="Normal 21 3 3 2" xfId="1817" xr:uid="{00000000-0005-0000-0000-0000F90A0000}"/>
    <cellStyle name="Normal 21 3 4" xfId="1818" xr:uid="{00000000-0005-0000-0000-0000FA0A0000}"/>
    <cellStyle name="Normal 21 4" xfId="797" xr:uid="{00000000-0005-0000-0000-0000FB0A0000}"/>
    <cellStyle name="Normal 21 4 2" xfId="798" xr:uid="{00000000-0005-0000-0000-0000FC0A0000}"/>
    <cellStyle name="Normal 21 4 2 2" xfId="1819" xr:uid="{00000000-0005-0000-0000-0000FD0A0000}"/>
    <cellStyle name="Normal 21 4 3" xfId="799" xr:uid="{00000000-0005-0000-0000-0000FE0A0000}"/>
    <cellStyle name="Normal 21 4 3 2" xfId="1820" xr:uid="{00000000-0005-0000-0000-0000FF0A0000}"/>
    <cellStyle name="Normal 21 4 4" xfId="1821" xr:uid="{00000000-0005-0000-0000-0000000B0000}"/>
    <cellStyle name="Normal 21 5" xfId="800" xr:uid="{00000000-0005-0000-0000-0000010B0000}"/>
    <cellStyle name="Normal 21 5 2" xfId="801" xr:uid="{00000000-0005-0000-0000-0000020B0000}"/>
    <cellStyle name="Normal 21 5 2 2" xfId="1822" xr:uid="{00000000-0005-0000-0000-0000030B0000}"/>
    <cellStyle name="Normal 21 5 3" xfId="802" xr:uid="{00000000-0005-0000-0000-0000040B0000}"/>
    <cellStyle name="Normal 21 5 3 2" xfId="1823" xr:uid="{00000000-0005-0000-0000-0000050B0000}"/>
    <cellStyle name="Normal 21 5 4" xfId="1824" xr:uid="{00000000-0005-0000-0000-0000060B0000}"/>
    <cellStyle name="Normal 21 6" xfId="12" xr:uid="{00000000-0005-0000-0000-0000070B0000}"/>
    <cellStyle name="Normal 21 6 2" xfId="1825" xr:uid="{00000000-0005-0000-0000-0000080B0000}"/>
    <cellStyle name="Normal 21 7" xfId="803" xr:uid="{00000000-0005-0000-0000-0000090B0000}"/>
    <cellStyle name="Normal 21 7 2" xfId="1826" xr:uid="{00000000-0005-0000-0000-00000A0B0000}"/>
    <cellStyle name="Normal 21 8" xfId="804" xr:uid="{00000000-0005-0000-0000-00000B0B0000}"/>
    <cellStyle name="Normal 21 8 2" xfId="1827" xr:uid="{00000000-0005-0000-0000-00000C0B0000}"/>
    <cellStyle name="Normal 21 9" xfId="1828" xr:uid="{00000000-0005-0000-0000-00000D0B0000}"/>
    <cellStyle name="Normal 21_Premium Estimator" xfId="1011" xr:uid="{00000000-0005-0000-0000-00000E0B0000}"/>
    <cellStyle name="Normal 22" xfId="31" xr:uid="{00000000-0005-0000-0000-00000F0B0000}"/>
    <cellStyle name="Normal 22 2" xfId="805" xr:uid="{00000000-0005-0000-0000-0000100B0000}"/>
    <cellStyle name="Normal 22 2 2" xfId="806" xr:uid="{00000000-0005-0000-0000-0000110B0000}"/>
    <cellStyle name="Normal 22 2 2 2" xfId="1829" xr:uid="{00000000-0005-0000-0000-0000120B0000}"/>
    <cellStyle name="Normal 22 2 3" xfId="807" xr:uid="{00000000-0005-0000-0000-0000130B0000}"/>
    <cellStyle name="Normal 22 2 3 2" xfId="1830" xr:uid="{00000000-0005-0000-0000-0000140B0000}"/>
    <cellStyle name="Normal 22 2 4" xfId="1831" xr:uid="{00000000-0005-0000-0000-0000150B0000}"/>
    <cellStyle name="Normal 22 3" xfId="808" xr:uid="{00000000-0005-0000-0000-0000160B0000}"/>
    <cellStyle name="Normal 22 3 2" xfId="809" xr:uid="{00000000-0005-0000-0000-0000170B0000}"/>
    <cellStyle name="Normal 22 3 2 2" xfId="1832" xr:uid="{00000000-0005-0000-0000-0000180B0000}"/>
    <cellStyle name="Normal 22 3 3" xfId="810" xr:uid="{00000000-0005-0000-0000-0000190B0000}"/>
    <cellStyle name="Normal 22 3 3 2" xfId="1833" xr:uid="{00000000-0005-0000-0000-00001A0B0000}"/>
    <cellStyle name="Normal 22 3 4" xfId="1834" xr:uid="{00000000-0005-0000-0000-00001B0B0000}"/>
    <cellStyle name="Normal 22 4" xfId="811" xr:uid="{00000000-0005-0000-0000-00001C0B0000}"/>
    <cellStyle name="Normal 22 4 2" xfId="812" xr:uid="{00000000-0005-0000-0000-00001D0B0000}"/>
    <cellStyle name="Normal 22 4 2 2" xfId="1835" xr:uid="{00000000-0005-0000-0000-00001E0B0000}"/>
    <cellStyle name="Normal 22 4 3" xfId="813" xr:uid="{00000000-0005-0000-0000-00001F0B0000}"/>
    <cellStyle name="Normal 22 4 3 2" xfId="1836" xr:uid="{00000000-0005-0000-0000-0000200B0000}"/>
    <cellStyle name="Normal 22 4 4" xfId="1837" xr:uid="{00000000-0005-0000-0000-0000210B0000}"/>
    <cellStyle name="Normal 22 5" xfId="814" xr:uid="{00000000-0005-0000-0000-0000220B0000}"/>
    <cellStyle name="Normal 22 5 2" xfId="1838" xr:uid="{00000000-0005-0000-0000-0000230B0000}"/>
    <cellStyle name="Normal 22 6" xfId="815" xr:uid="{00000000-0005-0000-0000-0000240B0000}"/>
    <cellStyle name="Normal 22 6 2" xfId="1839" xr:uid="{00000000-0005-0000-0000-0000250B0000}"/>
    <cellStyle name="Normal 22 7" xfId="1840" xr:uid="{00000000-0005-0000-0000-0000260B0000}"/>
    <cellStyle name="Normal 22_Premium Estimator" xfId="1012" xr:uid="{00000000-0005-0000-0000-0000270B0000}"/>
    <cellStyle name="Normal 23" xfId="19" xr:uid="{00000000-0005-0000-0000-0000280B0000}"/>
    <cellStyle name="Normal 23 2" xfId="816" xr:uid="{00000000-0005-0000-0000-0000290B0000}"/>
    <cellStyle name="Normal 23 2 2" xfId="817" xr:uid="{00000000-0005-0000-0000-00002A0B0000}"/>
    <cellStyle name="Normal 23 2 2 2" xfId="818" xr:uid="{00000000-0005-0000-0000-00002B0B0000}"/>
    <cellStyle name="Normal 23 2 2 2 2" xfId="1841" xr:uid="{00000000-0005-0000-0000-00002C0B0000}"/>
    <cellStyle name="Normal 23 2 2 3" xfId="819" xr:uid="{00000000-0005-0000-0000-00002D0B0000}"/>
    <cellStyle name="Normal 23 2 2 3 2" xfId="1842" xr:uid="{00000000-0005-0000-0000-00002E0B0000}"/>
    <cellStyle name="Normal 23 2 2 4" xfId="1843" xr:uid="{00000000-0005-0000-0000-00002F0B0000}"/>
    <cellStyle name="Normal 23 2 3" xfId="820" xr:uid="{00000000-0005-0000-0000-0000300B0000}"/>
    <cellStyle name="Normal 23 2 3 2" xfId="1844" xr:uid="{00000000-0005-0000-0000-0000310B0000}"/>
    <cellStyle name="Normal 23 2 4" xfId="821" xr:uid="{00000000-0005-0000-0000-0000320B0000}"/>
    <cellStyle name="Normal 23 2 4 2" xfId="1845" xr:uid="{00000000-0005-0000-0000-0000330B0000}"/>
    <cellStyle name="Normal 23 2 5" xfId="1846" xr:uid="{00000000-0005-0000-0000-0000340B0000}"/>
    <cellStyle name="Normal 23 2_Premium Estimator" xfId="1013" xr:uid="{00000000-0005-0000-0000-0000350B0000}"/>
    <cellStyle name="Normal 23 3" xfId="822" xr:uid="{00000000-0005-0000-0000-0000360B0000}"/>
    <cellStyle name="Normal 23 3 2" xfId="823" xr:uid="{00000000-0005-0000-0000-0000370B0000}"/>
    <cellStyle name="Normal 23 3 2 2" xfId="1847" xr:uid="{00000000-0005-0000-0000-0000380B0000}"/>
    <cellStyle name="Normal 23 3 3" xfId="824" xr:uid="{00000000-0005-0000-0000-0000390B0000}"/>
    <cellStyle name="Normal 23 3 3 2" xfId="1848" xr:uid="{00000000-0005-0000-0000-00003A0B0000}"/>
    <cellStyle name="Normal 23 3 4" xfId="1849" xr:uid="{00000000-0005-0000-0000-00003B0B0000}"/>
    <cellStyle name="Normal 23 4" xfId="825" xr:uid="{00000000-0005-0000-0000-00003C0B0000}"/>
    <cellStyle name="Normal 23 4 2" xfId="1850" xr:uid="{00000000-0005-0000-0000-00003D0B0000}"/>
    <cellStyle name="Normal 23 5" xfId="826" xr:uid="{00000000-0005-0000-0000-00003E0B0000}"/>
    <cellStyle name="Normal 23 5 2" xfId="1851" xr:uid="{00000000-0005-0000-0000-00003F0B0000}"/>
    <cellStyle name="Normal 23 6" xfId="1852" xr:uid="{00000000-0005-0000-0000-0000400B0000}"/>
    <cellStyle name="Normal 23_Premium Estimator" xfId="1014" xr:uid="{00000000-0005-0000-0000-0000410B0000}"/>
    <cellStyle name="Normal 24" xfId="827" xr:uid="{00000000-0005-0000-0000-0000420B0000}"/>
    <cellStyle name="Normal 24 2" xfId="828" xr:uid="{00000000-0005-0000-0000-0000430B0000}"/>
    <cellStyle name="Normal 24 2 2" xfId="829" xr:uid="{00000000-0005-0000-0000-0000440B0000}"/>
    <cellStyle name="Normal 24 2 2 2" xfId="1853" xr:uid="{00000000-0005-0000-0000-0000450B0000}"/>
    <cellStyle name="Normal 24 2 3" xfId="830" xr:uid="{00000000-0005-0000-0000-0000460B0000}"/>
    <cellStyle name="Normal 24 2 3 2" xfId="1854" xr:uid="{00000000-0005-0000-0000-0000470B0000}"/>
    <cellStyle name="Normal 24 2 4" xfId="1855" xr:uid="{00000000-0005-0000-0000-0000480B0000}"/>
    <cellStyle name="Normal 24 3" xfId="831" xr:uid="{00000000-0005-0000-0000-0000490B0000}"/>
    <cellStyle name="Normal 24 4" xfId="1856" xr:uid="{00000000-0005-0000-0000-00004A0B0000}"/>
    <cellStyle name="Normal 24 5" xfId="1857" xr:uid="{00000000-0005-0000-0000-00004B0B0000}"/>
    <cellStyle name="Normal 25" xfId="832" xr:uid="{00000000-0005-0000-0000-00004C0B0000}"/>
    <cellStyle name="Normal 25 2" xfId="833" xr:uid="{00000000-0005-0000-0000-00004D0B0000}"/>
    <cellStyle name="Normal 25 2 2" xfId="1858" xr:uid="{00000000-0005-0000-0000-00004E0B0000}"/>
    <cellStyle name="Normal 25 2 3" xfId="1859" xr:uid="{00000000-0005-0000-0000-00004F0B0000}"/>
    <cellStyle name="Normal 25 3" xfId="1860" xr:uid="{00000000-0005-0000-0000-0000500B0000}"/>
    <cellStyle name="Normal 25 4" xfId="1861" xr:uid="{00000000-0005-0000-0000-0000510B0000}"/>
    <cellStyle name="Normal 26" xfId="834" xr:uid="{00000000-0005-0000-0000-0000520B0000}"/>
    <cellStyle name="Normal 26 2" xfId="835" xr:uid="{00000000-0005-0000-0000-0000530B0000}"/>
    <cellStyle name="Normal 26 2 2" xfId="1862" xr:uid="{00000000-0005-0000-0000-0000540B0000}"/>
    <cellStyle name="Normal 26 2 3" xfId="1863" xr:uid="{00000000-0005-0000-0000-0000550B0000}"/>
    <cellStyle name="Normal 26 2 4" xfId="1864" xr:uid="{00000000-0005-0000-0000-0000560B0000}"/>
    <cellStyle name="Normal 26 3" xfId="836" xr:uid="{00000000-0005-0000-0000-0000570B0000}"/>
    <cellStyle name="Normal 26 4" xfId="1865" xr:uid="{00000000-0005-0000-0000-0000580B0000}"/>
    <cellStyle name="Normal 26 5" xfId="1866" xr:uid="{00000000-0005-0000-0000-0000590B0000}"/>
    <cellStyle name="Normal 27" xfId="837" xr:uid="{00000000-0005-0000-0000-00005A0B0000}"/>
    <cellStyle name="Normal 27 2" xfId="838" xr:uid="{00000000-0005-0000-0000-00005B0B0000}"/>
    <cellStyle name="Normal 27 2 2" xfId="839" xr:uid="{00000000-0005-0000-0000-00005C0B0000}"/>
    <cellStyle name="Normal 27 2 2 2" xfId="1867" xr:uid="{00000000-0005-0000-0000-00005D0B0000}"/>
    <cellStyle name="Normal 27 2 2 3" xfId="1868" xr:uid="{00000000-0005-0000-0000-00005E0B0000}"/>
    <cellStyle name="Normal 27 2 3" xfId="840" xr:uid="{00000000-0005-0000-0000-00005F0B0000}"/>
    <cellStyle name="Normal 27 2 3 2" xfId="1869" xr:uid="{00000000-0005-0000-0000-0000600B0000}"/>
    <cellStyle name="Normal 27 2 4" xfId="1870" xr:uid="{00000000-0005-0000-0000-0000610B0000}"/>
    <cellStyle name="Normal 27 2 5" xfId="1871" xr:uid="{00000000-0005-0000-0000-0000620B0000}"/>
    <cellStyle name="Normal 27 3" xfId="841" xr:uid="{00000000-0005-0000-0000-0000630B0000}"/>
    <cellStyle name="Normal 27 4" xfId="1872" xr:uid="{00000000-0005-0000-0000-0000640B0000}"/>
    <cellStyle name="Normal 27 5" xfId="1873" xr:uid="{00000000-0005-0000-0000-0000650B0000}"/>
    <cellStyle name="Normal 28" xfId="842" xr:uid="{00000000-0005-0000-0000-0000660B0000}"/>
    <cellStyle name="Normal 28 2" xfId="843" xr:uid="{00000000-0005-0000-0000-0000670B0000}"/>
    <cellStyle name="Normal 28 3" xfId="1874" xr:uid="{00000000-0005-0000-0000-0000680B0000}"/>
    <cellStyle name="Normal 28 4" xfId="1875" xr:uid="{00000000-0005-0000-0000-0000690B0000}"/>
    <cellStyle name="Normal 28 5" xfId="1876" xr:uid="{00000000-0005-0000-0000-00006A0B0000}"/>
    <cellStyle name="Normal 29" xfId="844" xr:uid="{00000000-0005-0000-0000-00006B0B0000}"/>
    <cellStyle name="Normal 29 2" xfId="845" xr:uid="{00000000-0005-0000-0000-00006C0B0000}"/>
    <cellStyle name="Normal 29 3" xfId="1877" xr:uid="{00000000-0005-0000-0000-00006D0B0000}"/>
    <cellStyle name="Normal 29 4" xfId="1878" xr:uid="{00000000-0005-0000-0000-00006E0B0000}"/>
    <cellStyle name="Normal 3" xfId="5" xr:uid="{00000000-0005-0000-0000-00006F0B0000}"/>
    <cellStyle name="Normal 3 2" xfId="14" xr:uid="{00000000-0005-0000-0000-0000700B0000}"/>
    <cellStyle name="Normal 3 2 2" xfId="846" xr:uid="{00000000-0005-0000-0000-0000710B0000}"/>
    <cellStyle name="Normal 3 2 2 2" xfId="847" xr:uid="{00000000-0005-0000-0000-0000720B0000}"/>
    <cellStyle name="Normal 3 2 2 2 2" xfId="1879" xr:uid="{00000000-0005-0000-0000-0000730B0000}"/>
    <cellStyle name="Normal 3 2 2 3" xfId="848" xr:uid="{00000000-0005-0000-0000-0000740B0000}"/>
    <cellStyle name="Normal 3 2 2 3 2" xfId="1880" xr:uid="{00000000-0005-0000-0000-0000750B0000}"/>
    <cellStyle name="Normal 3 2 2 4" xfId="1881" xr:uid="{00000000-0005-0000-0000-0000760B0000}"/>
    <cellStyle name="Normal 3 2 2 5" xfId="1017" xr:uid="{00000000-0005-0000-0000-0000770B0000}"/>
    <cellStyle name="Normal 3 2 3" xfId="18" xr:uid="{00000000-0005-0000-0000-0000780B0000}"/>
    <cellStyle name="Normal 3 2 3 2" xfId="1882" xr:uid="{00000000-0005-0000-0000-0000790B0000}"/>
    <cellStyle name="Normal 3 2 3 3" xfId="1883" xr:uid="{00000000-0005-0000-0000-00007A0B0000}"/>
    <cellStyle name="Normal 3 2 3 4" xfId="1884" xr:uid="{00000000-0005-0000-0000-00007B0B0000}"/>
    <cellStyle name="Normal 3 2 4" xfId="849" xr:uid="{00000000-0005-0000-0000-00007C0B0000}"/>
    <cellStyle name="Normal 3 2 4 2" xfId="850" xr:uid="{00000000-0005-0000-0000-00007D0B0000}"/>
    <cellStyle name="Normal 3 2 4 2 2" xfId="1885" xr:uid="{00000000-0005-0000-0000-00007E0B0000}"/>
    <cellStyle name="Normal 3 2 4 3" xfId="851" xr:uid="{00000000-0005-0000-0000-00007F0B0000}"/>
    <cellStyle name="Normal 3 2 4 3 2" xfId="1886" xr:uid="{00000000-0005-0000-0000-0000800B0000}"/>
    <cellStyle name="Normal 3 2 4 4" xfId="1887" xr:uid="{00000000-0005-0000-0000-0000810B0000}"/>
    <cellStyle name="Normal 3 2 5" xfId="852" xr:uid="{00000000-0005-0000-0000-0000820B0000}"/>
    <cellStyle name="Normal 3 2 5 2" xfId="1888" xr:uid="{00000000-0005-0000-0000-0000830B0000}"/>
    <cellStyle name="Normal 3 2 6" xfId="853" xr:uid="{00000000-0005-0000-0000-0000840B0000}"/>
    <cellStyle name="Normal 3 2 6 2" xfId="1889" xr:uid="{00000000-0005-0000-0000-0000850B0000}"/>
    <cellStyle name="Normal 3 2_CLAIMEndJuly16" xfId="854" xr:uid="{00000000-0005-0000-0000-0000860B0000}"/>
    <cellStyle name="Normal 3 3" xfId="855" xr:uid="{00000000-0005-0000-0000-0000870B0000}"/>
    <cellStyle name="Normal 3 3 2" xfId="856" xr:uid="{00000000-0005-0000-0000-0000880B0000}"/>
    <cellStyle name="Normal 3 3 2 2" xfId="1890" xr:uid="{00000000-0005-0000-0000-0000890B0000}"/>
    <cellStyle name="Normal 3 3 3" xfId="857" xr:uid="{00000000-0005-0000-0000-00008A0B0000}"/>
    <cellStyle name="Normal 3 3 3 2" xfId="1891" xr:uid="{00000000-0005-0000-0000-00008B0B0000}"/>
    <cellStyle name="Normal 3 3 4" xfId="1892" xr:uid="{00000000-0005-0000-0000-00008C0B0000}"/>
    <cellStyle name="Normal 3 4" xfId="858" xr:uid="{00000000-0005-0000-0000-00008D0B0000}"/>
    <cellStyle name="Normal 3 4 2" xfId="859" xr:uid="{00000000-0005-0000-0000-00008E0B0000}"/>
    <cellStyle name="Normal 3 4 2 2" xfId="1893" xr:uid="{00000000-0005-0000-0000-00008F0B0000}"/>
    <cellStyle name="Normal 3 4 3" xfId="860" xr:uid="{00000000-0005-0000-0000-0000900B0000}"/>
    <cellStyle name="Normal 3 4 3 2" xfId="1894" xr:uid="{00000000-0005-0000-0000-0000910B0000}"/>
    <cellStyle name="Normal 3 4 4" xfId="1895" xr:uid="{00000000-0005-0000-0000-0000920B0000}"/>
    <cellStyle name="Normal 3 5" xfId="1015" xr:uid="{00000000-0005-0000-0000-0000930B0000}"/>
    <cellStyle name="Normal 3 5 2" xfId="1896" xr:uid="{00000000-0005-0000-0000-0000940B0000}"/>
    <cellStyle name="Normal 3 6" xfId="1897" xr:uid="{00000000-0005-0000-0000-0000950B0000}"/>
    <cellStyle name="Normal 3_CLAIMEndJuly16" xfId="861" xr:uid="{00000000-0005-0000-0000-0000960B0000}"/>
    <cellStyle name="Normal 30" xfId="862" xr:uid="{00000000-0005-0000-0000-0000970B0000}"/>
    <cellStyle name="Normal 30 2" xfId="863" xr:uid="{00000000-0005-0000-0000-0000980B0000}"/>
    <cellStyle name="Normal 30 3" xfId="1898" xr:uid="{00000000-0005-0000-0000-0000990B0000}"/>
    <cellStyle name="Normal 30 4" xfId="1899" xr:uid="{00000000-0005-0000-0000-00009A0B0000}"/>
    <cellStyle name="Normal 31" xfId="864" xr:uid="{00000000-0005-0000-0000-00009B0B0000}"/>
    <cellStyle name="Normal 31 2" xfId="865" xr:uid="{00000000-0005-0000-0000-00009C0B0000}"/>
    <cellStyle name="Normal 31 2 2" xfId="866" xr:uid="{00000000-0005-0000-0000-00009D0B0000}"/>
    <cellStyle name="Normal 31 2 2 2" xfId="1900" xr:uid="{00000000-0005-0000-0000-00009E0B0000}"/>
    <cellStyle name="Normal 31 2 3" xfId="867" xr:uid="{00000000-0005-0000-0000-00009F0B0000}"/>
    <cellStyle name="Normal 31 2 3 2" xfId="1901" xr:uid="{00000000-0005-0000-0000-0000A00B0000}"/>
    <cellStyle name="Normal 31 2 4" xfId="1902" xr:uid="{00000000-0005-0000-0000-0000A10B0000}"/>
    <cellStyle name="Normal 31 3" xfId="1903" xr:uid="{00000000-0005-0000-0000-0000A20B0000}"/>
    <cellStyle name="Normal 31 4" xfId="1904" xr:uid="{00000000-0005-0000-0000-0000A30B0000}"/>
    <cellStyle name="Normal 31 5" xfId="1905" xr:uid="{00000000-0005-0000-0000-0000A40B0000}"/>
    <cellStyle name="Normal 32" xfId="868" xr:uid="{00000000-0005-0000-0000-0000A50B0000}"/>
    <cellStyle name="Normal 32 2" xfId="1906" xr:uid="{00000000-0005-0000-0000-0000A60B0000}"/>
    <cellStyle name="Normal 32 3" xfId="1907" xr:uid="{00000000-0005-0000-0000-0000A70B0000}"/>
    <cellStyle name="Normal 32 4" xfId="1908" xr:uid="{00000000-0005-0000-0000-0000A80B0000}"/>
    <cellStyle name="Normal 33" xfId="869" xr:uid="{00000000-0005-0000-0000-0000A90B0000}"/>
    <cellStyle name="Normal 33 2" xfId="870" xr:uid="{00000000-0005-0000-0000-0000AA0B0000}"/>
    <cellStyle name="Normal 33 2 2" xfId="1909" xr:uid="{00000000-0005-0000-0000-0000AB0B0000}"/>
    <cellStyle name="Normal 33 3" xfId="871" xr:uid="{00000000-0005-0000-0000-0000AC0B0000}"/>
    <cellStyle name="Normal 33 3 2" xfId="1910" xr:uid="{00000000-0005-0000-0000-0000AD0B0000}"/>
    <cellStyle name="Normal 33 4" xfId="1911" xr:uid="{00000000-0005-0000-0000-0000AE0B0000}"/>
    <cellStyle name="Normal 34" xfId="872" xr:uid="{00000000-0005-0000-0000-0000AF0B0000}"/>
    <cellStyle name="Normal 34 2" xfId="873" xr:uid="{00000000-0005-0000-0000-0000B00B0000}"/>
    <cellStyle name="Normal 34 2 2" xfId="1912" xr:uid="{00000000-0005-0000-0000-0000B10B0000}"/>
    <cellStyle name="Normal 34 3" xfId="874" xr:uid="{00000000-0005-0000-0000-0000B20B0000}"/>
    <cellStyle name="Normal 34 3 2" xfId="1913" xr:uid="{00000000-0005-0000-0000-0000B30B0000}"/>
    <cellStyle name="Normal 34 4" xfId="1914" xr:uid="{00000000-0005-0000-0000-0000B40B0000}"/>
    <cellStyle name="Normal 35" xfId="875" xr:uid="{00000000-0005-0000-0000-0000B50B0000}"/>
    <cellStyle name="Normal 35 2" xfId="1915" xr:uid="{00000000-0005-0000-0000-0000B60B0000}"/>
    <cellStyle name="Normal 35 3" xfId="1916" xr:uid="{00000000-0005-0000-0000-0000B70B0000}"/>
    <cellStyle name="Normal 35 4" xfId="1917" xr:uid="{00000000-0005-0000-0000-0000B80B0000}"/>
    <cellStyle name="Normal 36" xfId="876" xr:uid="{00000000-0005-0000-0000-0000B90B0000}"/>
    <cellStyle name="Normal 37" xfId="877" xr:uid="{00000000-0005-0000-0000-0000BA0B0000}"/>
    <cellStyle name="Normal 38" xfId="878" xr:uid="{00000000-0005-0000-0000-0000BB0B0000}"/>
    <cellStyle name="Normal 38 2" xfId="30" xr:uid="{00000000-0005-0000-0000-0000BC0B0000}"/>
    <cellStyle name="Normal 38 2 2" xfId="1918" xr:uid="{00000000-0005-0000-0000-0000BD0B0000}"/>
    <cellStyle name="Normal 38 3" xfId="1919" xr:uid="{00000000-0005-0000-0000-0000BE0B0000}"/>
    <cellStyle name="Normal 39" xfId="879" xr:uid="{00000000-0005-0000-0000-0000BF0B0000}"/>
    <cellStyle name="Normal 39 2" xfId="880" xr:uid="{00000000-0005-0000-0000-0000C00B0000}"/>
    <cellStyle name="Normal 39 2 2" xfId="1920" xr:uid="{00000000-0005-0000-0000-0000C10B0000}"/>
    <cellStyle name="Normal 39 3" xfId="1921" xr:uid="{00000000-0005-0000-0000-0000C20B0000}"/>
    <cellStyle name="Normal 4" xfId="7" xr:uid="{00000000-0005-0000-0000-0000C30B0000}"/>
    <cellStyle name="Normal 4 2" xfId="881" xr:uid="{00000000-0005-0000-0000-0000C40B0000}"/>
    <cellStyle name="Normal 4 2 2" xfId="3228" xr:uid="{00000000-0005-0000-0000-0000C50B0000}"/>
    <cellStyle name="Normal 4 3" xfId="882" xr:uid="{00000000-0005-0000-0000-0000C60B0000}"/>
    <cellStyle name="Normal 4 3 2" xfId="1922" xr:uid="{00000000-0005-0000-0000-0000C70B0000}"/>
    <cellStyle name="Normal 4 3 3" xfId="1923" xr:uid="{00000000-0005-0000-0000-0000C80B0000}"/>
    <cellStyle name="Normal 4 3 4" xfId="1924" xr:uid="{00000000-0005-0000-0000-0000C90B0000}"/>
    <cellStyle name="Normal 4 4" xfId="883" xr:uid="{00000000-0005-0000-0000-0000CA0B0000}"/>
    <cellStyle name="Normal 4 5" xfId="1925" xr:uid="{00000000-0005-0000-0000-0000CB0B0000}"/>
    <cellStyle name="Normal 4 6" xfId="1926" xr:uid="{00000000-0005-0000-0000-0000CC0B0000}"/>
    <cellStyle name="Normal 4_Premium Estimator" xfId="1016" xr:uid="{00000000-0005-0000-0000-0000CD0B0000}"/>
    <cellStyle name="Normal 40" xfId="977" xr:uid="{00000000-0005-0000-0000-0000CE0B0000}"/>
    <cellStyle name="Normal 40 2" xfId="1927" xr:uid="{00000000-0005-0000-0000-0000CF0B0000}"/>
    <cellStyle name="Normal 41" xfId="1928" xr:uid="{00000000-0005-0000-0000-0000D00B0000}"/>
    <cellStyle name="Normal 42" xfId="1929" xr:uid="{00000000-0005-0000-0000-0000D10B0000}"/>
    <cellStyle name="Normal 43" xfId="1930" xr:uid="{00000000-0005-0000-0000-0000D20B0000}"/>
    <cellStyle name="Normal 44" xfId="1931" xr:uid="{00000000-0005-0000-0000-0000D30B0000}"/>
    <cellStyle name="Normal 45" xfId="1932" xr:uid="{00000000-0005-0000-0000-0000D40B0000}"/>
    <cellStyle name="Normal 46" xfId="2018" xr:uid="{00000000-0005-0000-0000-0000D50B0000}"/>
    <cellStyle name="Normal 46 2" xfId="3248" xr:uid="{00000000-0005-0000-0000-0000D60B0000}"/>
    <cellStyle name="Normal 47" xfId="3239" xr:uid="{00000000-0005-0000-0000-0000D70B0000}"/>
    <cellStyle name="Normal 47 2" xfId="3249" xr:uid="{00000000-0005-0000-0000-0000D80B0000}"/>
    <cellStyle name="Normal 5" xfId="1" xr:uid="{00000000-0005-0000-0000-0000D90B0000}"/>
    <cellStyle name="Normal 5 2" xfId="884" xr:uid="{00000000-0005-0000-0000-0000DA0B0000}"/>
    <cellStyle name="Normal 5 2 2" xfId="3230" xr:uid="{00000000-0005-0000-0000-0000DB0B0000}"/>
    <cellStyle name="Normal 5 3" xfId="885" xr:uid="{00000000-0005-0000-0000-0000DC0B0000}"/>
    <cellStyle name="Normal 5 3 2" xfId="2182" xr:uid="{00000000-0005-0000-0000-0000DD0B0000}"/>
    <cellStyle name="Normal 5 4" xfId="886" xr:uid="{00000000-0005-0000-0000-0000DE0B0000}"/>
    <cellStyle name="Normal 5 5" xfId="3229" xr:uid="{00000000-0005-0000-0000-0000DF0B0000}"/>
    <cellStyle name="Normal 5_CLAIMEndJuly16" xfId="887" xr:uid="{00000000-0005-0000-0000-0000E00B0000}"/>
    <cellStyle name="Normal 6" xfId="888" xr:uid="{00000000-0005-0000-0000-0000E10B0000}"/>
    <cellStyle name="Normal 6 2" xfId="889" xr:uid="{00000000-0005-0000-0000-0000E20B0000}"/>
    <cellStyle name="Normal 6 2 2" xfId="3231" xr:uid="{00000000-0005-0000-0000-0000E30B0000}"/>
    <cellStyle name="Normal 6 3" xfId="890" xr:uid="{00000000-0005-0000-0000-0000E40B0000}"/>
    <cellStyle name="Normal 6 3 2" xfId="891" xr:uid="{00000000-0005-0000-0000-0000E50B0000}"/>
    <cellStyle name="Normal 6 3 2 2" xfId="1933" xr:uid="{00000000-0005-0000-0000-0000E60B0000}"/>
    <cellStyle name="Normal 6 3 3" xfId="892" xr:uid="{00000000-0005-0000-0000-0000E70B0000}"/>
    <cellStyle name="Normal 6 3 3 2" xfId="1934" xr:uid="{00000000-0005-0000-0000-0000E80B0000}"/>
    <cellStyle name="Normal 6 3 4" xfId="1935" xr:uid="{00000000-0005-0000-0000-0000E90B0000}"/>
    <cellStyle name="Normal 6 3 5" xfId="1936" xr:uid="{00000000-0005-0000-0000-0000EA0B0000}"/>
    <cellStyle name="Normal 6 4" xfId="893" xr:uid="{00000000-0005-0000-0000-0000EB0B0000}"/>
    <cellStyle name="Normal 6 4 2" xfId="894" xr:uid="{00000000-0005-0000-0000-0000EC0B0000}"/>
    <cellStyle name="Normal 6 4 2 2" xfId="1937" xr:uid="{00000000-0005-0000-0000-0000ED0B0000}"/>
    <cellStyle name="Normal 6 4 3" xfId="895" xr:uid="{00000000-0005-0000-0000-0000EE0B0000}"/>
    <cellStyle name="Normal 6 4 3 2" xfId="1938" xr:uid="{00000000-0005-0000-0000-0000EF0B0000}"/>
    <cellStyle name="Normal 6 4 4" xfId="1939" xr:uid="{00000000-0005-0000-0000-0000F00B0000}"/>
    <cellStyle name="Normal 6 5" xfId="896" xr:uid="{00000000-0005-0000-0000-0000F10B0000}"/>
    <cellStyle name="Normal 6 5 2" xfId="897" xr:uid="{00000000-0005-0000-0000-0000F20B0000}"/>
    <cellStyle name="Normal 6 5 2 2" xfId="1940" xr:uid="{00000000-0005-0000-0000-0000F30B0000}"/>
    <cellStyle name="Normal 6 5 3" xfId="898" xr:uid="{00000000-0005-0000-0000-0000F40B0000}"/>
    <cellStyle name="Normal 6 5 3 2" xfId="1941" xr:uid="{00000000-0005-0000-0000-0000F50B0000}"/>
    <cellStyle name="Normal 6 5 4" xfId="1942" xr:uid="{00000000-0005-0000-0000-0000F60B0000}"/>
    <cellStyle name="Normal 6 6" xfId="899" xr:uid="{00000000-0005-0000-0000-0000F70B0000}"/>
    <cellStyle name="Normal 6 6 2" xfId="900" xr:uid="{00000000-0005-0000-0000-0000F80B0000}"/>
    <cellStyle name="Normal 6 6 2 2" xfId="1943" xr:uid="{00000000-0005-0000-0000-0000F90B0000}"/>
    <cellStyle name="Normal 6 6 3" xfId="901" xr:uid="{00000000-0005-0000-0000-0000FA0B0000}"/>
    <cellStyle name="Normal 6 6 3 2" xfId="1944" xr:uid="{00000000-0005-0000-0000-0000FB0B0000}"/>
    <cellStyle name="Normal 6 6 4" xfId="1945" xr:uid="{00000000-0005-0000-0000-0000FC0B0000}"/>
    <cellStyle name="Normal 6 7" xfId="902" xr:uid="{00000000-0005-0000-0000-0000FD0B0000}"/>
    <cellStyle name="Normal 6 7 2" xfId="1946" xr:uid="{00000000-0005-0000-0000-0000FE0B0000}"/>
    <cellStyle name="Normal 6 8" xfId="903" xr:uid="{00000000-0005-0000-0000-0000FF0B0000}"/>
    <cellStyle name="Normal 6 8 2" xfId="1947" xr:uid="{00000000-0005-0000-0000-0000000C0000}"/>
    <cellStyle name="Normal 6 9" xfId="1948" xr:uid="{00000000-0005-0000-0000-0000010C0000}"/>
    <cellStyle name="Normal 6_CLAIMEndJuly16" xfId="904" xr:uid="{00000000-0005-0000-0000-0000020C0000}"/>
    <cellStyle name="Normal 7" xfId="905" xr:uid="{00000000-0005-0000-0000-0000030C0000}"/>
    <cellStyle name="Normal 7 2" xfId="906" xr:uid="{00000000-0005-0000-0000-0000040C0000}"/>
    <cellStyle name="Normal 7 3" xfId="907" xr:uid="{00000000-0005-0000-0000-0000050C0000}"/>
    <cellStyle name="Normal 7_CLAIMEndJuly16" xfId="908" xr:uid="{00000000-0005-0000-0000-0000060C0000}"/>
    <cellStyle name="Normal 8" xfId="909" xr:uid="{00000000-0005-0000-0000-0000070C0000}"/>
    <cellStyle name="Normal 9" xfId="910" xr:uid="{00000000-0005-0000-0000-0000080C0000}"/>
    <cellStyle name="Normal_CWW LIability Calculator" xfId="981" xr:uid="{00000000-0005-0000-0000-0000090C0000}"/>
    <cellStyle name="Normal_Rates" xfId="3250" xr:uid="{00000000-0005-0000-0000-00000A0C0000}"/>
    <cellStyle name="Note" xfId="2051" xr:uid="{00000000-0005-0000-0000-00000B0C0000}"/>
    <cellStyle name="Note 2" xfId="911" xr:uid="{00000000-0005-0000-0000-00000C0C0000}"/>
    <cellStyle name="Note 2 2" xfId="912" xr:uid="{00000000-0005-0000-0000-00000D0C0000}"/>
    <cellStyle name="Note 2 2 2" xfId="913" xr:uid="{00000000-0005-0000-0000-00000E0C0000}"/>
    <cellStyle name="Note 2 2 2 2" xfId="1949" xr:uid="{00000000-0005-0000-0000-00000F0C0000}"/>
    <cellStyle name="Note 2 2 3" xfId="914" xr:uid="{00000000-0005-0000-0000-0000100C0000}"/>
    <cellStyle name="Note 2 2 3 2" xfId="1950" xr:uid="{00000000-0005-0000-0000-0000110C0000}"/>
    <cellStyle name="Note 2 2 4" xfId="1951" xr:uid="{00000000-0005-0000-0000-0000120C0000}"/>
    <cellStyle name="Note 2 3" xfId="915" xr:uid="{00000000-0005-0000-0000-0000130C0000}"/>
    <cellStyle name="Note 2 3 2" xfId="1952" xr:uid="{00000000-0005-0000-0000-0000140C0000}"/>
    <cellStyle name="Note 2 4" xfId="916" xr:uid="{00000000-0005-0000-0000-0000150C0000}"/>
    <cellStyle name="Note 2 4 2" xfId="1953" xr:uid="{00000000-0005-0000-0000-0000160C0000}"/>
    <cellStyle name="Note 2 5" xfId="1954" xr:uid="{00000000-0005-0000-0000-0000170C0000}"/>
    <cellStyle name="Note 3" xfId="917" xr:uid="{00000000-0005-0000-0000-0000180C0000}"/>
    <cellStyle name="Note 3 2" xfId="918" xr:uid="{00000000-0005-0000-0000-0000190C0000}"/>
    <cellStyle name="Note 3 2 2" xfId="919" xr:uid="{00000000-0005-0000-0000-00001A0C0000}"/>
    <cellStyle name="Note 3 2 2 2" xfId="1955" xr:uid="{00000000-0005-0000-0000-00001B0C0000}"/>
    <cellStyle name="Note 3 2 3" xfId="920" xr:uid="{00000000-0005-0000-0000-00001C0C0000}"/>
    <cellStyle name="Note 3 2 3 2" xfId="1956" xr:uid="{00000000-0005-0000-0000-00001D0C0000}"/>
    <cellStyle name="Note 3 2 4" xfId="1957" xr:uid="{00000000-0005-0000-0000-00001E0C0000}"/>
    <cellStyle name="Note 3 3" xfId="921" xr:uid="{00000000-0005-0000-0000-00001F0C0000}"/>
    <cellStyle name="Note 3 3 2" xfId="1958" xr:uid="{00000000-0005-0000-0000-0000200C0000}"/>
    <cellStyle name="Note 3 4" xfId="922" xr:uid="{00000000-0005-0000-0000-0000210C0000}"/>
    <cellStyle name="Note 3 4 2" xfId="1959" xr:uid="{00000000-0005-0000-0000-0000220C0000}"/>
    <cellStyle name="Note 3 5" xfId="1960" xr:uid="{00000000-0005-0000-0000-0000230C0000}"/>
    <cellStyle name="Note 4" xfId="923" xr:uid="{00000000-0005-0000-0000-0000240C0000}"/>
    <cellStyle name="Note 4 2" xfId="924" xr:uid="{00000000-0005-0000-0000-0000250C0000}"/>
    <cellStyle name="Note 4 2 2" xfId="925" xr:uid="{00000000-0005-0000-0000-0000260C0000}"/>
    <cellStyle name="Note 4 2 2 2" xfId="1961" xr:uid="{00000000-0005-0000-0000-0000270C0000}"/>
    <cellStyle name="Note 4 2 3" xfId="926" xr:uid="{00000000-0005-0000-0000-0000280C0000}"/>
    <cellStyle name="Note 4 2 3 2" xfId="1962" xr:uid="{00000000-0005-0000-0000-0000290C0000}"/>
    <cellStyle name="Note 4 2 4" xfId="1963" xr:uid="{00000000-0005-0000-0000-00002A0C0000}"/>
    <cellStyle name="Note 4 3" xfId="927" xr:uid="{00000000-0005-0000-0000-00002B0C0000}"/>
    <cellStyle name="Note 4 3 2" xfId="1964" xr:uid="{00000000-0005-0000-0000-00002C0C0000}"/>
    <cellStyle name="Note 4 4" xfId="928" xr:uid="{00000000-0005-0000-0000-00002D0C0000}"/>
    <cellStyle name="Note 4 4 2" xfId="1965" xr:uid="{00000000-0005-0000-0000-00002E0C0000}"/>
    <cellStyle name="Note 4 5" xfId="1966" xr:uid="{00000000-0005-0000-0000-00002F0C0000}"/>
    <cellStyle name="Output" xfId="2052" xr:uid="{00000000-0005-0000-0000-0000300C0000}"/>
    <cellStyle name="Percent" xfId="983" builtinId="5"/>
    <cellStyle name="Percent 10" xfId="929" xr:uid="{00000000-0005-0000-0000-0000310C0000}"/>
    <cellStyle name="Percent 10 2" xfId="1967" xr:uid="{00000000-0005-0000-0000-0000320C0000}"/>
    <cellStyle name="Percent 11" xfId="978" xr:uid="{00000000-0005-0000-0000-0000330C0000}"/>
    <cellStyle name="Percent 11 2" xfId="1968" xr:uid="{00000000-0005-0000-0000-0000340C0000}"/>
    <cellStyle name="Percent 12" xfId="1969" xr:uid="{00000000-0005-0000-0000-0000350C0000}"/>
    <cellStyle name="Percent 2" xfId="8" xr:uid="{00000000-0005-0000-0000-0000360C0000}"/>
    <cellStyle name="Percent 2 2" xfId="15" xr:uid="{00000000-0005-0000-0000-0000370C0000}"/>
    <cellStyle name="Percent 2 2 2" xfId="1970" xr:uid="{00000000-0005-0000-0000-0000380C0000}"/>
    <cellStyle name="Percent 2 2 3" xfId="1971" xr:uid="{00000000-0005-0000-0000-0000390C0000}"/>
    <cellStyle name="Percent 2 2 4" xfId="1972" xr:uid="{00000000-0005-0000-0000-00003A0C0000}"/>
    <cellStyle name="Percent 2 3" xfId="29" xr:uid="{00000000-0005-0000-0000-00003B0C0000}"/>
    <cellStyle name="Percent 2 3 2" xfId="930" xr:uid="{00000000-0005-0000-0000-00003C0C0000}"/>
    <cellStyle name="Percent 2 3 2 2" xfId="1973" xr:uid="{00000000-0005-0000-0000-00003D0C0000}"/>
    <cellStyle name="Percent 2 3 3" xfId="931" xr:uid="{00000000-0005-0000-0000-00003E0C0000}"/>
    <cellStyle name="Percent 2 3 3 2" xfId="1974" xr:uid="{00000000-0005-0000-0000-00003F0C0000}"/>
    <cellStyle name="Percent 2 3 4" xfId="1975" xr:uid="{00000000-0005-0000-0000-0000400C0000}"/>
    <cellStyle name="Percent 2 3 5" xfId="2177" xr:uid="{00000000-0005-0000-0000-0000410C0000}"/>
    <cellStyle name="Percent 2 4" xfId="932" xr:uid="{00000000-0005-0000-0000-0000420C0000}"/>
    <cellStyle name="Percent 2 4 2" xfId="933" xr:uid="{00000000-0005-0000-0000-0000430C0000}"/>
    <cellStyle name="Percent 2 4 2 2" xfId="1976" xr:uid="{00000000-0005-0000-0000-0000440C0000}"/>
    <cellStyle name="Percent 2 4 3" xfId="934" xr:uid="{00000000-0005-0000-0000-0000450C0000}"/>
    <cellStyle name="Percent 2 4 3 2" xfId="1977" xr:uid="{00000000-0005-0000-0000-0000460C0000}"/>
    <cellStyle name="Percent 2 4 4" xfId="1978" xr:uid="{00000000-0005-0000-0000-0000470C0000}"/>
    <cellStyle name="Percent 2 5" xfId="935" xr:uid="{00000000-0005-0000-0000-0000480C0000}"/>
    <cellStyle name="Percent 2 5 2" xfId="936" xr:uid="{00000000-0005-0000-0000-0000490C0000}"/>
    <cellStyle name="Percent 2 5 2 2" xfId="1979" xr:uid="{00000000-0005-0000-0000-00004A0C0000}"/>
    <cellStyle name="Percent 2 5 3" xfId="937" xr:uid="{00000000-0005-0000-0000-00004B0C0000}"/>
    <cellStyle name="Percent 2 5 3 2" xfId="1980" xr:uid="{00000000-0005-0000-0000-00004C0C0000}"/>
    <cellStyle name="Percent 2 5 4" xfId="1981" xr:uid="{00000000-0005-0000-0000-00004D0C0000}"/>
    <cellStyle name="Percent 2 6" xfId="938" xr:uid="{00000000-0005-0000-0000-00004E0C0000}"/>
    <cellStyle name="Percent 2 6 2" xfId="1982" xr:uid="{00000000-0005-0000-0000-00004F0C0000}"/>
    <cellStyle name="Percent 2 7" xfId="939" xr:uid="{00000000-0005-0000-0000-0000500C0000}"/>
    <cellStyle name="Percent 2 7 2" xfId="1983" xr:uid="{00000000-0005-0000-0000-0000510C0000}"/>
    <cellStyle name="Percent 2 8" xfId="1984" xr:uid="{00000000-0005-0000-0000-0000520C0000}"/>
    <cellStyle name="Percent 3" xfId="11" xr:uid="{00000000-0005-0000-0000-0000530C0000}"/>
    <cellStyle name="Percent 3 2" xfId="940" xr:uid="{00000000-0005-0000-0000-0000540C0000}"/>
    <cellStyle name="Percent 3 2 2" xfId="941" xr:uid="{00000000-0005-0000-0000-0000550C0000}"/>
    <cellStyle name="Percent 3 2 2 2" xfId="1985" xr:uid="{00000000-0005-0000-0000-0000560C0000}"/>
    <cellStyle name="Percent 3 2 3" xfId="942" xr:uid="{00000000-0005-0000-0000-0000570C0000}"/>
    <cellStyle name="Percent 3 2 3 2" xfId="1986" xr:uid="{00000000-0005-0000-0000-0000580C0000}"/>
    <cellStyle name="Percent 3 2 4" xfId="1987" xr:uid="{00000000-0005-0000-0000-0000590C0000}"/>
    <cellStyle name="Percent 3 3" xfId="943" xr:uid="{00000000-0005-0000-0000-00005A0C0000}"/>
    <cellStyle name="Percent 3 3 2" xfId="944" xr:uid="{00000000-0005-0000-0000-00005B0C0000}"/>
    <cellStyle name="Percent 3 3 2 2" xfId="1988" xr:uid="{00000000-0005-0000-0000-00005C0C0000}"/>
    <cellStyle name="Percent 3 3 3" xfId="945" xr:uid="{00000000-0005-0000-0000-00005D0C0000}"/>
    <cellStyle name="Percent 3 3 3 2" xfId="1989" xr:uid="{00000000-0005-0000-0000-00005E0C0000}"/>
    <cellStyle name="Percent 3 3 4" xfId="1990" xr:uid="{00000000-0005-0000-0000-00005F0C0000}"/>
    <cellStyle name="Percent 3 4" xfId="946" xr:uid="{00000000-0005-0000-0000-0000600C0000}"/>
    <cellStyle name="Percent 3 4 2" xfId="947" xr:uid="{00000000-0005-0000-0000-0000610C0000}"/>
    <cellStyle name="Percent 3 4 2 2" xfId="1991" xr:uid="{00000000-0005-0000-0000-0000620C0000}"/>
    <cellStyle name="Percent 3 4 3" xfId="948" xr:uid="{00000000-0005-0000-0000-0000630C0000}"/>
    <cellStyle name="Percent 3 4 3 2" xfId="1992" xr:uid="{00000000-0005-0000-0000-0000640C0000}"/>
    <cellStyle name="Percent 3 4 4" xfId="1993" xr:uid="{00000000-0005-0000-0000-0000650C0000}"/>
    <cellStyle name="Percent 3 5" xfId="949" xr:uid="{00000000-0005-0000-0000-0000660C0000}"/>
    <cellStyle name="Percent 3 5 2" xfId="1994" xr:uid="{00000000-0005-0000-0000-0000670C0000}"/>
    <cellStyle name="Percent 3 6" xfId="950" xr:uid="{00000000-0005-0000-0000-0000680C0000}"/>
    <cellStyle name="Percent 3 6 2" xfId="1995" xr:uid="{00000000-0005-0000-0000-0000690C0000}"/>
    <cellStyle name="Percent 3 7" xfId="1996" xr:uid="{00000000-0005-0000-0000-00006A0C0000}"/>
    <cellStyle name="Percent 3 8" xfId="1997" xr:uid="{00000000-0005-0000-0000-00006B0C0000}"/>
    <cellStyle name="Percent 4" xfId="20" xr:uid="{00000000-0005-0000-0000-00006C0C0000}"/>
    <cellStyle name="Percent 4 2" xfId="951" xr:uid="{00000000-0005-0000-0000-00006D0C0000}"/>
    <cellStyle name="Percent 4 2 2" xfId="952" xr:uid="{00000000-0005-0000-0000-00006E0C0000}"/>
    <cellStyle name="Percent 4 2 2 2" xfId="1998" xr:uid="{00000000-0005-0000-0000-00006F0C0000}"/>
    <cellStyle name="Percent 4 2 3" xfId="953" xr:uid="{00000000-0005-0000-0000-0000700C0000}"/>
    <cellStyle name="Percent 4 2 3 2" xfId="1999" xr:uid="{00000000-0005-0000-0000-0000710C0000}"/>
    <cellStyle name="Percent 4 2 4" xfId="2000" xr:uid="{00000000-0005-0000-0000-0000720C0000}"/>
    <cellStyle name="Percent 4 3" xfId="954" xr:uid="{00000000-0005-0000-0000-0000730C0000}"/>
    <cellStyle name="Percent 4 3 2" xfId="2001" xr:uid="{00000000-0005-0000-0000-0000740C0000}"/>
    <cellStyle name="Percent 4 4" xfId="955" xr:uid="{00000000-0005-0000-0000-0000750C0000}"/>
    <cellStyle name="Percent 4 4 2" xfId="2002" xr:uid="{00000000-0005-0000-0000-0000760C0000}"/>
    <cellStyle name="Percent 4 5" xfId="2003" xr:uid="{00000000-0005-0000-0000-0000770C0000}"/>
    <cellStyle name="Percent 5" xfId="956" xr:uid="{00000000-0005-0000-0000-0000780C0000}"/>
    <cellStyle name="Percent 5 2" xfId="2004" xr:uid="{00000000-0005-0000-0000-0000790C0000}"/>
    <cellStyle name="Percent 5 3" xfId="2005" xr:uid="{00000000-0005-0000-0000-00007A0C0000}"/>
    <cellStyle name="Percent 5 4" xfId="2006" xr:uid="{00000000-0005-0000-0000-00007B0C0000}"/>
    <cellStyle name="Percent 6" xfId="957" xr:uid="{00000000-0005-0000-0000-00007C0C0000}"/>
    <cellStyle name="Percent 7" xfId="958" xr:uid="{00000000-0005-0000-0000-00007D0C0000}"/>
    <cellStyle name="Percent 8" xfId="959" xr:uid="{00000000-0005-0000-0000-00007E0C0000}"/>
    <cellStyle name="Percent 8 2" xfId="960" xr:uid="{00000000-0005-0000-0000-00007F0C0000}"/>
    <cellStyle name="Percent 8 2 2" xfId="2007" xr:uid="{00000000-0005-0000-0000-0000800C0000}"/>
    <cellStyle name="Percent 8 3" xfId="2008" xr:uid="{00000000-0005-0000-0000-0000810C0000}"/>
    <cellStyle name="Percent 9" xfId="961" xr:uid="{00000000-0005-0000-0000-0000820C0000}"/>
    <cellStyle name="Percent 9 2" xfId="962" xr:uid="{00000000-0005-0000-0000-0000830C0000}"/>
    <cellStyle name="Percent 9 3" xfId="963" xr:uid="{00000000-0005-0000-0000-0000840C0000}"/>
    <cellStyle name="Percent 9 3 2" xfId="2009" xr:uid="{00000000-0005-0000-0000-0000850C0000}"/>
    <cellStyle name="Percent 9 4" xfId="964" xr:uid="{00000000-0005-0000-0000-0000860C0000}"/>
    <cellStyle name="Percent 9 4 2" xfId="2010" xr:uid="{00000000-0005-0000-0000-0000870C0000}"/>
    <cellStyle name="Pourcentage 10" xfId="3232" xr:uid="{00000000-0005-0000-0000-0000890C0000}"/>
    <cellStyle name="Pourcentage 10 2" xfId="3233" xr:uid="{00000000-0005-0000-0000-00008A0C0000}"/>
    <cellStyle name="Pourcentage 2" xfId="965" xr:uid="{00000000-0005-0000-0000-00008B0C0000}"/>
    <cellStyle name="Pourcentage 2 2" xfId="2020" xr:uid="{00000000-0005-0000-0000-00008C0C0000}"/>
    <cellStyle name="Pourcentage 2 2 2" xfId="2178" xr:uid="{00000000-0005-0000-0000-00008D0C0000}"/>
    <cellStyle name="Pourcentage 2 2 3" xfId="2179" xr:uid="{00000000-0005-0000-0000-00008E0C0000}"/>
    <cellStyle name="Pourcentage 2 3" xfId="2019" xr:uid="{00000000-0005-0000-0000-00008F0C0000}"/>
    <cellStyle name="Pourcentage 2 4" xfId="2055" xr:uid="{00000000-0005-0000-0000-0000900C0000}"/>
    <cellStyle name="Pourcentage 2 5" xfId="2068" xr:uid="{00000000-0005-0000-0000-0000910C0000}"/>
    <cellStyle name="Pourcentage 3" xfId="966" xr:uid="{00000000-0005-0000-0000-0000920C0000}"/>
    <cellStyle name="Pourcentage 4" xfId="967" xr:uid="{00000000-0005-0000-0000-0000930C0000}"/>
    <cellStyle name="Pourcentage 5" xfId="968" xr:uid="{00000000-0005-0000-0000-0000940C0000}"/>
    <cellStyle name="Pourcentage 6" xfId="969" xr:uid="{00000000-0005-0000-0000-0000950C0000}"/>
    <cellStyle name="Pourcentage 7" xfId="970" xr:uid="{00000000-0005-0000-0000-0000960C0000}"/>
    <cellStyle name="Pourcentage 7 2" xfId="971" xr:uid="{00000000-0005-0000-0000-0000970C0000}"/>
    <cellStyle name="Pourcentage 7 2 2" xfId="2011" xr:uid="{00000000-0005-0000-0000-0000980C0000}"/>
    <cellStyle name="Pourcentage 7 3" xfId="972" xr:uid="{00000000-0005-0000-0000-0000990C0000}"/>
    <cellStyle name="Pourcentage 7 3 2" xfId="2012" xr:uid="{00000000-0005-0000-0000-00009A0C0000}"/>
    <cellStyle name="Pourcentage 7 4" xfId="2013" xr:uid="{00000000-0005-0000-0000-00009B0C0000}"/>
    <cellStyle name="Pourcentage 8" xfId="973" xr:uid="{00000000-0005-0000-0000-00009C0C0000}"/>
    <cellStyle name="Pourcentage 8 2" xfId="2014" xr:uid="{00000000-0005-0000-0000-00009D0C0000}"/>
    <cellStyle name="Pourcentage 8 2 2" xfId="3235" xr:uid="{00000000-0005-0000-0000-00009E0C0000}"/>
    <cellStyle name="Pourcentage 8 2 3" xfId="3234" xr:uid="{00000000-0005-0000-0000-00009F0C0000}"/>
    <cellStyle name="Pourcentage 8 3" xfId="3236" xr:uid="{00000000-0005-0000-0000-0000A00C0000}"/>
    <cellStyle name="Pourcentage 8 3 2" xfId="3237" xr:uid="{00000000-0005-0000-0000-0000A10C0000}"/>
    <cellStyle name="Pourcentage 8 4" xfId="3238" xr:uid="{00000000-0005-0000-0000-0000A20C0000}"/>
    <cellStyle name="Pourcentage 8 5" xfId="2180" xr:uid="{00000000-0005-0000-0000-0000A30C0000}"/>
    <cellStyle name="Pourcentage 9" xfId="974" xr:uid="{00000000-0005-0000-0000-0000A40C0000}"/>
    <cellStyle name="Pourcentage 9 2" xfId="975" xr:uid="{00000000-0005-0000-0000-0000A50C0000}"/>
    <cellStyle name="Pourcentage 9 2 2" xfId="2015" xr:uid="{00000000-0005-0000-0000-0000A60C0000}"/>
    <cellStyle name="Pourcentage 9 3" xfId="976" xr:uid="{00000000-0005-0000-0000-0000A70C0000}"/>
    <cellStyle name="Pourcentage 9 3 2" xfId="2016" xr:uid="{00000000-0005-0000-0000-0000A80C0000}"/>
    <cellStyle name="Pourcentage 9 4" xfId="2017" xr:uid="{00000000-0005-0000-0000-0000A90C0000}"/>
    <cellStyle name="Satisfaisant 2" xfId="3240" xr:uid="{00000000-0005-0000-0000-0000AA0C0000}"/>
    <cellStyle name="Sortie 2" xfId="3241" xr:uid="{00000000-0005-0000-0000-0000AB0C0000}"/>
    <cellStyle name="Texte explicatif 2" xfId="3242" xr:uid="{00000000-0005-0000-0000-0000AC0C0000}"/>
    <cellStyle name="Title" xfId="2053" xr:uid="{00000000-0005-0000-0000-0000AD0C0000}"/>
    <cellStyle name="Titre 2" xfId="3243" xr:uid="{00000000-0005-0000-0000-0000AE0C0000}"/>
    <cellStyle name="Titre 2 2" xfId="3244" xr:uid="{00000000-0005-0000-0000-0000AF0C0000}"/>
    <cellStyle name="Titre 3 2" xfId="3245" xr:uid="{00000000-0005-0000-0000-0000B00C0000}"/>
    <cellStyle name="Titre 4 2" xfId="3246" xr:uid="{00000000-0005-0000-0000-0000B10C0000}"/>
    <cellStyle name="Vérification 2" xfId="3247" xr:uid="{00000000-0005-0000-0000-0000B20C0000}"/>
    <cellStyle name="Warning Text" xfId="2054" xr:uid="{00000000-0005-0000-0000-0000B30C0000}"/>
  </cellStyles>
  <dxfs count="103">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ont>
        <color theme="0"/>
      </font>
      <fill>
        <patternFill>
          <bgColor theme="0"/>
        </patternFill>
      </fill>
    </dxf>
    <dxf>
      <fill>
        <patternFill>
          <bgColor rgb="FFFF0000"/>
        </patternFill>
      </fill>
    </dxf>
    <dxf>
      <fill>
        <patternFill>
          <bgColor rgb="FF66990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theme="0"/>
      </font>
    </dxf>
    <dxf>
      <font>
        <b/>
        <i val="0"/>
        <color rgb="FF99CC00"/>
      </font>
    </dxf>
    <dxf>
      <font>
        <b/>
        <i val="0"/>
        <color theme="9" tint="-0.24994659260841701"/>
      </font>
    </dxf>
    <dxf>
      <font>
        <color theme="0"/>
      </font>
    </dxf>
    <dxf>
      <font>
        <color theme="9" tint="-0.24994659260841701"/>
      </font>
      <fill>
        <patternFill>
          <bgColor theme="0"/>
        </patternFill>
      </fill>
    </dxf>
    <dxf>
      <font>
        <color theme="0"/>
      </font>
    </dxf>
    <dxf>
      <fill>
        <patternFill>
          <bgColor theme="0"/>
        </patternFill>
      </fill>
    </dxf>
    <dxf>
      <font>
        <color theme="0"/>
      </font>
    </dxf>
    <dxf>
      <font>
        <color rgb="FF669900"/>
      </font>
      <fill>
        <patternFill>
          <bgColor theme="0"/>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val="0"/>
        <i val="0"/>
        <color theme="0" tint="-0.499984740745262"/>
      </font>
    </dxf>
    <dxf>
      <font>
        <color theme="0"/>
      </font>
    </dxf>
    <dxf>
      <font>
        <color theme="0"/>
      </font>
    </dxf>
    <dxf>
      <font>
        <b/>
        <i val="0"/>
        <color theme="1"/>
      </font>
    </dxf>
    <dxf>
      <font>
        <color theme="0"/>
      </font>
    </dxf>
    <dxf>
      <font>
        <color theme="0"/>
      </font>
      <fill>
        <patternFill>
          <bgColor theme="0"/>
        </patternFill>
      </fill>
    </dxf>
    <dxf>
      <font>
        <color theme="0"/>
      </font>
      <fill>
        <patternFill>
          <bgColor theme="0"/>
        </patternFill>
      </fill>
    </dxf>
    <dxf>
      <fill>
        <patternFill>
          <bgColor theme="0"/>
        </patternFill>
      </fill>
    </dxf>
    <dxf>
      <font>
        <b/>
        <i val="0"/>
        <color rgb="FFFF0000"/>
      </font>
      <fill>
        <patternFill>
          <bgColor theme="0"/>
        </patternFill>
      </fill>
    </dxf>
    <dxf>
      <font>
        <color theme="0"/>
      </font>
      <fill>
        <patternFill>
          <bgColor rgb="FFFF0000"/>
        </patternFill>
      </fill>
    </dxf>
    <dxf>
      <font>
        <color theme="0"/>
      </font>
      <fill>
        <patternFill>
          <bgColor rgb="FFFF0000"/>
        </patternFill>
      </fill>
    </dxf>
    <dxf>
      <font>
        <color rgb="FFFF0000"/>
      </font>
      <fill>
        <patternFill>
          <bgColor rgb="FFFFFF00"/>
        </patternFill>
      </fill>
    </dxf>
    <dxf>
      <font>
        <color theme="0"/>
      </font>
      <fill>
        <patternFill>
          <bgColor rgb="FFFF0000"/>
        </patternFill>
      </fill>
    </dxf>
    <dxf>
      <font>
        <b/>
        <i val="0"/>
        <color rgb="FF99CC00"/>
      </font>
      <fill>
        <patternFill>
          <bgColor theme="0"/>
        </patternFill>
      </fill>
    </dxf>
    <dxf>
      <font>
        <color theme="0"/>
      </font>
    </dxf>
    <dxf>
      <font>
        <b/>
        <i val="0"/>
        <color theme="1"/>
      </font>
    </dxf>
    <dxf>
      <font>
        <color theme="0"/>
      </font>
    </dxf>
    <dxf>
      <font>
        <color theme="9" tint="-0.24994659260841701"/>
      </font>
      <fill>
        <patternFill>
          <bgColor theme="0"/>
        </patternFill>
      </fill>
    </dxf>
    <dxf>
      <font>
        <color theme="0"/>
      </font>
      <fill>
        <patternFill>
          <bgColor theme="0" tint="-4.9989318521683403E-2"/>
        </patternFill>
      </fill>
    </dxf>
    <dxf>
      <font>
        <color theme="0"/>
      </font>
    </dxf>
    <dxf>
      <font>
        <color theme="0"/>
      </font>
      <fill>
        <patternFill>
          <bgColor rgb="FFFF0000"/>
        </patternFill>
      </fill>
    </dxf>
    <dxf>
      <font>
        <color theme="0"/>
      </font>
      <fill>
        <patternFill>
          <bgColor rgb="FFFF0000"/>
        </patternFill>
      </fill>
    </dxf>
    <dxf>
      <font>
        <color rgb="FF669900"/>
      </font>
      <fill>
        <patternFill>
          <bgColor theme="0"/>
        </patternFill>
      </fill>
    </dxf>
    <dxf>
      <font>
        <color theme="0"/>
      </font>
      <fill>
        <patternFill>
          <bgColor rgb="FFFF0000"/>
        </patternFill>
      </fill>
    </dxf>
    <dxf>
      <font>
        <b/>
        <i val="0"/>
        <color rgb="FFFF0000"/>
      </font>
      <fill>
        <patternFill>
          <bgColor theme="0"/>
        </patternFill>
      </fill>
    </dxf>
    <dxf>
      <font>
        <b/>
        <i val="0"/>
      </font>
      <fill>
        <patternFill>
          <bgColor rgb="FFFF0000"/>
        </patternFill>
      </fill>
    </dxf>
    <dxf>
      <fill>
        <patternFill>
          <bgColor theme="0"/>
        </patternFill>
      </fill>
    </dxf>
    <dxf>
      <font>
        <b/>
        <i val="0"/>
        <color rgb="FF669900"/>
      </font>
    </dxf>
    <dxf>
      <font>
        <b/>
        <i val="0"/>
        <color theme="9" tint="-0.24994659260841701"/>
      </font>
    </dxf>
    <dxf>
      <fill>
        <patternFill>
          <bgColor rgb="FFFF0000"/>
        </patternFill>
      </fill>
    </dxf>
    <dxf>
      <font>
        <color rgb="FFFF0000"/>
      </font>
      <fill>
        <patternFill>
          <bgColor rgb="FFFFFF00"/>
        </patternFill>
      </fill>
    </dxf>
    <dxf>
      <font>
        <color theme="0"/>
      </font>
      <fill>
        <patternFill>
          <bgColor rgb="FFFF0000"/>
        </patternFill>
      </fill>
    </dxf>
    <dxf>
      <font>
        <color theme="1"/>
      </font>
      <fill>
        <patternFill>
          <bgColor rgb="FFFF0000"/>
        </patternFill>
      </fill>
    </dxf>
    <dxf>
      <font>
        <color theme="0" tint="-4.9989318521683403E-2"/>
      </font>
      <fill>
        <patternFill>
          <bgColor rgb="FFFF0000"/>
        </patternFill>
      </fill>
    </dxf>
    <dxf>
      <font>
        <color theme="0"/>
      </font>
      <fill>
        <patternFill>
          <bgColor rgb="FFFF0000"/>
        </patternFill>
      </fill>
    </dxf>
    <dxf>
      <fill>
        <patternFill>
          <bgColor rgb="FFFF0000"/>
        </patternFill>
      </fill>
    </dxf>
    <dxf>
      <fill>
        <patternFill>
          <bgColor rgb="FF99CC00"/>
        </patternFill>
      </fill>
    </dxf>
    <dxf>
      <font>
        <b/>
        <i val="0"/>
        <color rgb="FF669900"/>
      </font>
    </dxf>
    <dxf>
      <font>
        <b/>
        <i val="0"/>
        <color theme="0"/>
      </font>
      <fill>
        <patternFill>
          <bgColor rgb="FFFF0000"/>
        </patternFill>
      </fill>
    </dxf>
    <dxf>
      <font>
        <color theme="9" tint="-0.499984740745262"/>
      </font>
    </dxf>
    <dxf>
      <font>
        <color theme="0"/>
      </font>
      <fill>
        <patternFill>
          <bgColor theme="0"/>
        </patternFill>
      </fill>
    </dxf>
    <dxf>
      <fill>
        <patternFill>
          <bgColor rgb="FF99CC00"/>
        </patternFill>
      </fill>
    </dxf>
    <dxf>
      <fill>
        <patternFill>
          <bgColor rgb="FF99CC00"/>
        </patternFill>
      </fill>
    </dxf>
    <dxf>
      <font>
        <b/>
        <i val="0"/>
        <color theme="0"/>
      </font>
      <fill>
        <patternFill>
          <bgColor rgb="FFFF0000"/>
        </patternFill>
      </fill>
    </dxf>
    <dxf>
      <font>
        <color theme="0"/>
      </font>
    </dxf>
    <dxf>
      <fill>
        <patternFill>
          <bgColor theme="0"/>
        </patternFill>
      </fill>
    </dxf>
    <dxf>
      <font>
        <color theme="0"/>
      </font>
    </dxf>
    <dxf>
      <font>
        <color theme="0"/>
      </font>
      <fill>
        <patternFill>
          <bgColor theme="0"/>
        </patternFill>
      </fill>
    </dxf>
    <dxf>
      <font>
        <b/>
        <i val="0"/>
        <color rgb="FF669900"/>
      </font>
    </dxf>
    <dxf>
      <font>
        <b/>
        <i val="0"/>
        <color theme="9" tint="-0.24994659260841701"/>
      </font>
    </dxf>
    <dxf>
      <font>
        <b/>
        <i val="0"/>
        <color rgb="FF99CC00"/>
      </font>
      <fill>
        <patternFill>
          <bgColor theme="0"/>
        </patternFill>
      </fill>
    </dxf>
    <dxf>
      <font>
        <b/>
        <i val="0"/>
        <color theme="1"/>
      </font>
    </dxf>
    <dxf>
      <font>
        <b/>
        <i val="0"/>
        <color rgb="FF99CC00"/>
      </font>
    </dxf>
    <dxf>
      <font>
        <b/>
        <i val="0"/>
        <color theme="9" tint="-0.24994659260841701"/>
      </font>
    </dxf>
    <dxf>
      <font>
        <b/>
        <i val="0"/>
        <color auto="1"/>
      </font>
      <fill>
        <patternFill>
          <bgColor rgb="FFFFC000"/>
        </patternFill>
      </fill>
    </dxf>
    <dxf>
      <font>
        <color theme="0"/>
      </font>
      <fill>
        <patternFill>
          <bgColor rgb="FF00B050"/>
        </patternFill>
      </fill>
    </dxf>
    <dxf>
      <font>
        <color theme="0"/>
      </font>
      <fill>
        <patternFill>
          <bgColor rgb="FFFF0000"/>
        </patternFill>
      </fill>
    </dxf>
    <dxf>
      <fill>
        <patternFill patternType="none">
          <bgColor auto="1"/>
        </patternFill>
      </fill>
    </dxf>
  </dxfs>
  <tableStyles count="0" defaultTableStyle="TableStyleMedium9" defaultPivotStyle="PivotStyleLight16"/>
  <colors>
    <mruColors>
      <color rgb="FFEC14B3"/>
      <color rgb="FF99CC00"/>
      <color rgb="FFA5C400"/>
      <color rgb="FF669900"/>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fmlaLink="$G$34" lockText="1"/>
</file>

<file path=xl/ctrlProps/ctrlProp2.xml><?xml version="1.0" encoding="utf-8"?>
<formControlPr xmlns="http://schemas.microsoft.com/office/spreadsheetml/2009/9/main" objectType="CheckBox" checked="Checked" fmlaLink="$G$9" lockText="1"/>
</file>

<file path=xl/ctrlProps/ctrlProp3.xml><?xml version="1.0" encoding="utf-8"?>
<formControlPr xmlns="http://schemas.microsoft.com/office/spreadsheetml/2009/9/main" objectType="CheckBox" checked="Checked" fmlaLink="$R$45" lockText="1"/>
</file>

<file path=xl/ctrlProps/ctrlProp4.xml><?xml version="1.0" encoding="utf-8"?>
<formControlPr xmlns="http://schemas.microsoft.com/office/spreadsheetml/2009/9/main" objectType="CheckBox" fmlaLink="$G$33" lockText="1"/>
</file>

<file path=xl/ctrlProps/ctrlProp5.xml><?xml version="1.0" encoding="utf-8"?>
<formControlPr xmlns="http://schemas.microsoft.com/office/spreadsheetml/2009/9/main" objectType="CheckBox" fmlaLink="$G$55" lockText="1"/>
</file>

<file path=xl/ctrlProps/ctrlProp6.xml><?xml version="1.0" encoding="utf-8"?>
<formControlPr xmlns="http://schemas.microsoft.com/office/spreadsheetml/2009/9/main" objectType="CheckBox" fmlaLink="$G$35" lockText="1"/>
</file>

<file path=xl/ctrlProps/ctrlProp7.xml><?xml version="1.0" encoding="utf-8"?>
<formControlPr xmlns="http://schemas.microsoft.com/office/spreadsheetml/2009/9/main" objectType="CheckBox" checked="Checked" fmlaLink="$M$45" lockText="1"/>
</file>

<file path=xl/ctrlProps/ctrlProp8.xml><?xml version="1.0" encoding="utf-8"?>
<formControlPr xmlns="http://schemas.microsoft.com/office/spreadsheetml/2009/9/main" objectType="CheckBox" checked="Checked" fmlaLink="#REF!" lockText="1"/>
</file>

<file path=xl/ctrlProps/ctrlProp9.xml><?xml version="1.0" encoding="utf-8"?>
<formControlPr xmlns="http://schemas.microsoft.com/office/spreadsheetml/2009/9/main" objectType="CheckBox" checked="Checked" fmlaLink="#REF!" lockText="1"/>
</file>

<file path=xl/ctrlProps/ctrlProp10.xml><?xml version="1.0" encoding="utf-8"?>
<formControlPr xmlns="http://schemas.microsoft.com/office/spreadsheetml/2009/9/main" objectType="CheckBox" checked="Checked" fmlaLink="L86" lockText="1"/>
</file>

<file path=xl/ctrlProps/ctrlProp11.xml><?xml version="1.0" encoding="utf-8"?>
<formControlPr xmlns="http://schemas.microsoft.com/office/spreadsheetml/2009/9/main" objectType="CheckBox" checked="Checked" fmlaLink="L87" lockText="1"/>
</file>

<file path=xl/ctrlProps/ctrlProp12.xml><?xml version="1.0" encoding="utf-8"?>
<formControlPr xmlns="http://schemas.microsoft.com/office/spreadsheetml/2009/9/main" objectType="CheckBox" fmlaLink="$G$69" lockText="1"/>
</file>

<file path=xl/ctrlProps/ctrlProp13.xml><?xml version="1.0" encoding="utf-8"?>
<formControlPr xmlns="http://schemas.microsoft.com/office/spreadsheetml/2009/9/main" objectType="CheckBox" fmlaLink="$G$62" lockText="1"/>
</file>

<file path=xl/ctrlProps/ctrlProp14.xml><?xml version="1.0" encoding="utf-8"?>
<formControlPr xmlns="http://schemas.microsoft.com/office/spreadsheetml/2009/9/main" objectType="CheckBox" fmlaLink="$G$68" lockText="1"/>
</file>

<file path=xl/ctrlProps/ctrlProp15.xml><?xml version="1.0" encoding="utf-8"?>
<formControlPr xmlns="http://schemas.microsoft.com/office/spreadsheetml/2009/9/main" objectType="CheckBox" fmlaLink="$V$52" lockText="1" noThreeD="1"/>
</file>

<file path=xl/ctrlProps/ctrlProp16.xml><?xml version="1.0" encoding="utf-8"?>
<formControlPr xmlns="http://schemas.microsoft.com/office/spreadsheetml/2009/9/main" objectType="CheckBox" fmlaLink="$V$54" lockText="1" noThreeD="1"/>
</file>

<file path=xl/ctrlProps/ctrlProp17.xml><?xml version="1.0" encoding="utf-8"?>
<formControlPr xmlns="http://schemas.microsoft.com/office/spreadsheetml/2009/9/main" objectType="CheckBox" fmlaLink="$V$53" lockText="1" noThreeD="1"/>
</file>

<file path=xl/ctrlProps/ctrlProp18.xml><?xml version="1.0" encoding="utf-8"?>
<formControlPr xmlns="http://schemas.microsoft.com/office/spreadsheetml/2009/9/main" objectType="CheckBox" fmlaLink="$V$55" lockText="1" noThreeD="1"/>
</file>

<file path=xl/ctrlProps/ctrlProp19.xml><?xml version="1.0" encoding="utf-8"?>
<formControlPr xmlns="http://schemas.microsoft.com/office/spreadsheetml/2009/9/main" objectType="CheckBox" fmlaLink="$V$56" lockText="1" noThreeD="1"/>
</file>

<file path=xl/ctrlProps/ctrlProp20.xml><?xml version="1.0" encoding="utf-8"?>
<formControlPr xmlns="http://schemas.microsoft.com/office/spreadsheetml/2009/9/main" objectType="CheckBox" fmlaLink="$V$57" lockText="1" noThreeD="1"/>
</file>

<file path=xl/ctrlProps/ctrlProp21.xml><?xml version="1.0" encoding="utf-8"?>
<formControlPr xmlns="http://schemas.microsoft.com/office/spreadsheetml/2009/9/main" objectType="CheckBox" fmlaLink="$V$52" lockText="1" noThreeD="1"/>
</file>

<file path=xl/ctrlProps/ctrlProp22.xml><?xml version="1.0" encoding="utf-8"?>
<formControlPr xmlns="http://schemas.microsoft.com/office/spreadsheetml/2009/9/main" objectType="CheckBox" fmlaLink="$V$54" lockText="1" noThreeD="1"/>
</file>

<file path=xl/ctrlProps/ctrlProp23.xml><?xml version="1.0" encoding="utf-8"?>
<formControlPr xmlns="http://schemas.microsoft.com/office/spreadsheetml/2009/9/main" objectType="CheckBox" fmlaLink="$V$53" lockText="1" noThreeD="1"/>
</file>

<file path=xl/ctrlProps/ctrlProp24.xml><?xml version="1.0" encoding="utf-8"?>
<formControlPr xmlns="http://schemas.microsoft.com/office/spreadsheetml/2009/9/main" objectType="CheckBox" fmlaLink="$V$55" lockText="1" noThreeD="1"/>
</file>

<file path=xl/ctrlProps/ctrlProp25.xml><?xml version="1.0" encoding="utf-8"?>
<formControlPr xmlns="http://schemas.microsoft.com/office/spreadsheetml/2009/9/main" objectType="CheckBox" fmlaLink="$V$56" lockText="1" noThreeD="1"/>
</file>

<file path=xl/ctrlProps/ctrlProp26.xml><?xml version="1.0" encoding="utf-8"?>
<formControlPr xmlns="http://schemas.microsoft.com/office/spreadsheetml/2009/9/main" objectType="CheckBox" fmlaLink="$V$57" lockText="1" noThreeD="1"/>
</file>

<file path=xl/ctrlProps/ctrlProp27.xml><?xml version="1.0" encoding="utf-8"?>
<formControlPr xmlns="http://schemas.microsoft.com/office/spreadsheetml/2009/9/main" objectType="CheckBox" checked="Checked" fmlaLink="$T$45" lockText="1"/>
</file>

<file path=xl/ctrlProps/ctrlProp28.xml><?xml version="1.0" encoding="utf-8"?>
<formControlPr xmlns="http://schemas.microsoft.com/office/spreadsheetml/2009/9/main" objectType="CheckBox" fmlaLink="$G$68" lockText="1"/>
</file>

<file path=xl/ctrlProps/ctrlProp29.xml><?xml version="1.0" encoding="utf-8"?>
<formControlPr xmlns="http://schemas.microsoft.com/office/spreadsheetml/2009/9/main" objectType="CheckBox" fmlaLink="$G$69" lockText="1"/>
</file>

<file path=xl/ctrlProps/ctrlProp30.xml><?xml version="1.0" encoding="utf-8"?>
<formControlPr xmlns="http://schemas.microsoft.com/office/spreadsheetml/2009/9/main" objectType="CheckBox" fmlaLink="$G$70" lockText="1"/>
</file>

<file path=xl/ctrlProps/ctrlProp31.xml><?xml version="1.0" encoding="utf-8"?>
<formControlPr xmlns="http://schemas.microsoft.com/office/spreadsheetml/2009/9/main" objectType="CheckBox" fmlaLink="$G$71" lockText="1"/>
</file>

<file path=xl/ctrlProps/ctrlProp32.xml><?xml version="1.0" encoding="utf-8"?>
<formControlPr xmlns="http://schemas.microsoft.com/office/spreadsheetml/2009/9/main" objectType="CheckBox" fmlaLink="$G$72" lockText="1"/>
</file>

<file path=xl/ctrlProps/ctrlProp33.xml><?xml version="1.0" encoding="utf-8"?>
<formControlPr xmlns="http://schemas.microsoft.com/office/spreadsheetml/2009/9/main" objectType="CheckBox" fmlaLink="$G$73" lockText="1"/>
</file>

<file path=xl/ctrlProps/ctrlProp34.xml><?xml version="1.0" encoding="utf-8"?>
<formControlPr xmlns="http://schemas.microsoft.com/office/spreadsheetml/2009/9/main" objectType="CheckBox" checked="Checked" fmlaLink="$G$76" lockText="1"/>
</file>

<file path=xl/ctrlProps/ctrlProp35.xml><?xml version="1.0" encoding="utf-8"?>
<formControlPr xmlns="http://schemas.microsoft.com/office/spreadsheetml/2009/9/main" objectType="CheckBox" checked="Checked" fmlaLink="$G$77" lockText="1"/>
</file>

<file path=xl/ctrlProps/ctrlProp36.xml><?xml version="1.0" encoding="utf-8"?>
<formControlPr xmlns="http://schemas.microsoft.com/office/spreadsheetml/2009/9/main" objectType="CheckBox" checked="Checked" fmlaLink="$G$78" lockText="1"/>
</file>

<file path=xl/ctrlProps/ctrlProp37.xml><?xml version="1.0" encoding="utf-8"?>
<formControlPr xmlns="http://schemas.microsoft.com/office/spreadsheetml/2009/9/main" objectType="CheckBox" checked="Checked" fmlaLink="$G$79" lockText="1"/>
</file>

<file path=xl/ctrlProps/ctrlProp38.xml><?xml version="1.0" encoding="utf-8"?>
<formControlPr xmlns="http://schemas.microsoft.com/office/spreadsheetml/2009/9/main" objectType="CheckBox" checked="Checked" fmlaLink="$G$80" lockText="1"/>
</file>

<file path=xl/ctrlProps/ctrlProp39.xml><?xml version="1.0" encoding="utf-8"?>
<formControlPr xmlns="http://schemas.microsoft.com/office/spreadsheetml/2009/9/main" objectType="CheckBox" checked="Checked" fmlaLink="$G$81" lockText="1"/>
</file>

<file path=xl/ctrlProps/ctrlProp40.xml><?xml version="1.0" encoding="utf-8"?>
<formControlPr xmlns="http://schemas.microsoft.com/office/spreadsheetml/2009/9/main" objectType="CheckBox" checked="Checked" fmlaLink="$G$82" lockText="1"/>
</file>

<file path=xl/ctrlProps/ctrlProp41.xml><?xml version="1.0" encoding="utf-8"?>
<formControlPr xmlns="http://schemas.microsoft.com/office/spreadsheetml/2009/9/main" objectType="CheckBox" checked="Checked" fmlaLink="$G$83" lockText="1"/>
</file>

<file path=xl/ctrlProps/ctrlProp42.xml><?xml version="1.0" encoding="utf-8"?>
<formControlPr xmlns="http://schemas.microsoft.com/office/spreadsheetml/2009/9/main" objectType="CheckBox" checked="Checked" fmlaLink="$G$84" lockText="1"/>
</file>

<file path=xl/ctrlProps/ctrlProp43.xml><?xml version="1.0" encoding="utf-8"?>
<formControlPr xmlns="http://schemas.microsoft.com/office/spreadsheetml/2009/9/main" objectType="CheckBox" checked="Checked" fmlaLink="$G$86" lockText="1"/>
</file>

<file path=xl/ctrlProps/ctrlProp44.xml><?xml version="1.0" encoding="utf-8"?>
<formControlPr xmlns="http://schemas.microsoft.com/office/spreadsheetml/2009/9/main" objectType="CheckBox" checked="Checked" fmlaLink="$G$85" lockText="1"/>
</file>

<file path=xl/ctrlProps/ctrlProp45.xml><?xml version="1.0" encoding="utf-8"?>
<formControlPr xmlns="http://schemas.microsoft.com/office/spreadsheetml/2009/9/main" objectType="CheckBox" fmlaLink="$G$59" lockText="1"/>
</file>

<file path=xl/ctrlProps/ctrlProp46.xml><?xml version="1.0" encoding="utf-8"?>
<formControlPr xmlns="http://schemas.microsoft.com/office/spreadsheetml/2009/9/main" objectType="CheckBox" fmlaLink="$G$60" lockText="1"/>
</file>

<file path=xl/ctrlProps/ctrlProp47.xml><?xml version="1.0" encoding="utf-8"?>
<formControlPr xmlns="http://schemas.microsoft.com/office/spreadsheetml/2009/9/main" objectType="CheckBox" fmlaLink="$G$87" lockText="1"/>
</file>

<file path=xl/ctrlProps/ctrlProp48.xml><?xml version="1.0" encoding="utf-8"?>
<formControlPr xmlns="http://schemas.microsoft.com/office/spreadsheetml/2009/9/main" objectType="CheckBox" fmlaLink="$G$88" lockText="1"/>
</file>

<file path=xl/ctrlProps/ctrlProp49.xml><?xml version="1.0" encoding="utf-8"?>
<formControlPr xmlns="http://schemas.microsoft.com/office/spreadsheetml/2009/9/main" objectType="CheckBox" fmlaLink="$G$89" lockText="1"/>
</file>

<file path=xl/ctrlProps/ctrlProp50.xml><?xml version="1.0" encoding="utf-8"?>
<formControlPr xmlns="http://schemas.microsoft.com/office/spreadsheetml/2009/9/main" objectType="CheckBox" fmlaLink="$G$90" lockText="1"/>
</file>

<file path=xl/ctrlProps/ctrlProp51.xml><?xml version="1.0" encoding="utf-8"?>
<formControlPr xmlns="http://schemas.microsoft.com/office/spreadsheetml/2009/9/main" objectType="CheckBox" fmlaLink="$G$91" lockText="1"/>
</file>

<file path=xl/ctrlProps/ctrlProp52.xml><?xml version="1.0" encoding="utf-8"?>
<formControlPr xmlns="http://schemas.microsoft.com/office/spreadsheetml/2009/9/main" objectType="CheckBox" fmlaLink="$G$92" lockText="1"/>
</file>

<file path=xl/ctrlProps/ctrlProp53.xml><?xml version="1.0" encoding="utf-8"?>
<formControlPr xmlns="http://schemas.microsoft.com/office/spreadsheetml/2009/9/main" objectType="CheckBox" checked="Checked" fmlaLink="$G$54" lockText="1"/>
</file>

<file path=xl/ctrlProps/ctrlProp54.xml><?xml version="1.0" encoding="utf-8"?>
<formControlPr xmlns="http://schemas.microsoft.com/office/spreadsheetml/2009/9/main" objectType="CheckBox" checked="Checked" fmlaLink="G$39" lockText="1"/>
</file>

<file path=xl/ctrlProps/ctrlProp55.xml><?xml version="1.0" encoding="utf-8"?>
<formControlPr xmlns="http://schemas.microsoft.com/office/spreadsheetml/2009/9/main" objectType="CheckBox" fmlaLink="$G$40" lockText="1"/>
</file>

<file path=xl/ctrlProps/ctrlProp56.xml><?xml version="1.0" encoding="utf-8"?>
<formControlPr xmlns="http://schemas.microsoft.com/office/spreadsheetml/2009/9/main" objectType="CheckBox" fmlaLink="$G$38"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CheckBox" fmlaLink="$F$109" lockText="1"/>
</file>

<file path=xl/ctrlProps/ctrlProp59.xml><?xml version="1.0" encoding="utf-8"?>
<formControlPr xmlns="http://schemas.microsoft.com/office/spreadsheetml/2009/9/main" objectType="CheckBox" fmlaLink="$F$106" lockText="1"/>
</file>

<file path=xl/ctrlProps/ctrlProp60.xml><?xml version="1.0" encoding="utf-8"?>
<formControlPr xmlns="http://schemas.microsoft.com/office/spreadsheetml/2009/9/main" objectType="CheckBox" fmlaLink="$F$108" lockText="1"/>
</file>

<file path=xl/ctrlProps/ctrlProp61.xml><?xml version="1.0" encoding="utf-8"?>
<formControlPr xmlns="http://schemas.microsoft.com/office/spreadsheetml/2009/9/main" objectType="CheckBox" fmlaLink="$F$107" lockText="1"/>
</file>

<file path=xl/ctrlProps/ctrlProp62.xml><?xml version="1.0" encoding="utf-8"?>
<formControlPr xmlns="http://schemas.microsoft.com/office/spreadsheetml/2009/9/main" objectType="CheckBox" fmlaLink="$F$50" lockText="1"/>
</file>

<file path=xl/ctrlProps/ctrlProp63.xml><?xml version="1.0" encoding="utf-8"?>
<formControlPr xmlns="http://schemas.microsoft.com/office/spreadsheetml/2009/9/main" objectType="CheckBox" fmlaLink="$F$51" lockText="1"/>
</file>

<file path=xl/ctrlProps/ctrlProp64.xml><?xml version="1.0" encoding="utf-8"?>
<formControlPr xmlns="http://schemas.microsoft.com/office/spreadsheetml/2009/9/main" objectType="CheckBox" fmlaLink="$F$50" lockText="1"/>
</file>

<file path=xl/ctrlProps/ctrlProp65.xml><?xml version="1.0" encoding="utf-8"?>
<formControlPr xmlns="http://schemas.microsoft.com/office/spreadsheetml/2009/9/main" objectType="CheckBox" fmlaLink="$F$52" lockText="1"/>
</file>

<file path=xl/ctrlProps/ctrlProp66.xml><?xml version="1.0" encoding="utf-8"?>
<formControlPr xmlns="http://schemas.microsoft.com/office/spreadsheetml/2009/9/main" objectType="CheckBox" fmlaLink="$F$53" lockText="1"/>
</file>

<file path=xl/ctrlProps/ctrlProp67.xml><?xml version="1.0" encoding="utf-8"?>
<formControlPr xmlns="http://schemas.microsoft.com/office/spreadsheetml/2009/9/main" objectType="CheckBox" fmlaLink="$F$54" lockText="1"/>
</file>

<file path=xl/ctrlProps/ctrlProp68.xml><?xml version="1.0" encoding="utf-8"?>
<formControlPr xmlns="http://schemas.microsoft.com/office/spreadsheetml/2009/9/main" objectType="CheckBox" fmlaLink="$F$11" lockText="1"/>
</file>

<file path=xl/ctrlProps/ctrlProp69.xml><?xml version="1.0" encoding="utf-8"?>
<formControlPr xmlns="http://schemas.microsoft.com/office/spreadsheetml/2009/9/main" objectType="CheckBox" fmlaLink="$F$77" lockText="1"/>
</file>

<file path=xl/ctrlProps/ctrlProp70.xml><?xml version="1.0" encoding="utf-8"?>
<formControlPr xmlns="http://schemas.microsoft.com/office/spreadsheetml/2009/9/main" objectType="CheckBox" fmlaLink="$F78" lockText="1"/>
</file>

<file path=xl/ctrlProps/ctrlProp71.xml><?xml version="1.0" encoding="utf-8"?>
<formControlPr xmlns="http://schemas.microsoft.com/office/spreadsheetml/2009/9/main" objectType="CheckBox" fmlaLink="$F79" lockText="1"/>
</file>

<file path=xl/ctrlProps/ctrlProp72.xml><?xml version="1.0" encoding="utf-8"?>
<formControlPr xmlns="http://schemas.microsoft.com/office/spreadsheetml/2009/9/main" objectType="CheckBox" fmlaLink="$F80" lockText="1"/>
</file>

<file path=xl/ctrlProps/ctrlProp73.xml><?xml version="1.0" encoding="utf-8"?>
<formControlPr xmlns="http://schemas.microsoft.com/office/spreadsheetml/2009/9/main" objectType="CheckBox" fmlaLink="$F81"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F$16" lockText="1"/>
</file>

<file path=xl/ctrlProps/ctrlProp76.xml><?xml version="1.0" encoding="utf-8"?>
<formControlPr xmlns="http://schemas.microsoft.com/office/spreadsheetml/2009/9/main" objectType="CheckBox" fmlaLink="$F$17" lockText="1"/>
</file>

<file path=xl/ctrlProps/ctrlProp77.xml><?xml version="1.0" encoding="utf-8"?>
<formControlPr xmlns="http://schemas.microsoft.com/office/spreadsheetml/2009/9/main" objectType="CheckBox" fmlaLink="$F$18" lockText="1"/>
</file>

<file path=xl/ctrlProps/ctrlProp78.xml><?xml version="1.0" encoding="utf-8"?>
<formControlPr xmlns="http://schemas.microsoft.com/office/spreadsheetml/2009/9/main" objectType="CheckBox" fmlaLink="$F$15" lockText="1"/>
</file>

<file path=xl/ctrlProps/ctrlProp79.xml><?xml version="1.0" encoding="utf-8"?>
<formControlPr xmlns="http://schemas.microsoft.com/office/spreadsheetml/2009/9/main" objectType="CheckBox" checked="Checked" fmlaLink="$K$222" lockText="1"/>
</file>

<file path=xl/ctrlProps/ctrlProp80.xml><?xml version="1.0" encoding="utf-8"?>
<formControlPr xmlns="http://schemas.microsoft.com/office/spreadsheetml/2009/9/main" objectType="CheckBox" checked="Checked" fmlaLink="$L$222" lockText="1"/>
</file>

<file path=xl/ctrlProps/ctrlProp81.xml><?xml version="1.0" encoding="utf-8"?>
<formControlPr xmlns="http://schemas.microsoft.com/office/spreadsheetml/2009/9/main" objectType="CheckBox" checked="Checked" fmlaLink="$E172" lockText="1"/>
</file>

<file path=xl/ctrlProps/ctrlProp82.xml><?xml version="1.0" encoding="utf-8"?>
<formControlPr xmlns="http://schemas.microsoft.com/office/spreadsheetml/2009/9/main" objectType="CheckBox" checked="Checked" fmlaLink="$E184" lockText="1"/>
</file>

<file path=xl/ctrlProps/ctrlProp83.xml><?xml version="1.0" encoding="utf-8"?>
<formControlPr xmlns="http://schemas.microsoft.com/office/spreadsheetml/2009/9/main" objectType="CheckBox" checked="Checked" fmlaLink="$E185" lockText="1"/>
</file>

<file path=xl/ctrlProps/ctrlProp84.xml><?xml version="1.0" encoding="utf-8"?>
<formControlPr xmlns="http://schemas.microsoft.com/office/spreadsheetml/2009/9/main" objectType="CheckBox" checked="Checked" fmlaLink="$E187" lockText="1"/>
</file>

<file path=xl/ctrlProps/ctrlProp85.xml><?xml version="1.0" encoding="utf-8"?>
<formControlPr xmlns="http://schemas.microsoft.com/office/spreadsheetml/2009/9/main" objectType="CheckBox" checked="Checked" fmlaLink="$E194" lockText="1"/>
</file>

<file path=xl/ctrlProps/ctrlProp86.xml><?xml version="1.0" encoding="utf-8"?>
<formControlPr xmlns="http://schemas.microsoft.com/office/spreadsheetml/2009/9/main" objectType="CheckBox" checked="Checked" fmlaLink="$E195" lockText="1"/>
</file>

<file path=xl/ctrlProps/ctrlProp87.xml><?xml version="1.0" encoding="utf-8"?>
<formControlPr xmlns="http://schemas.microsoft.com/office/spreadsheetml/2009/9/main" objectType="CheckBox" checked="Checked" fmlaLink="$E196" lockText="1"/>
</file>

<file path=xl/ctrlProps/ctrlProp88.xml><?xml version="1.0" encoding="utf-8"?>
<formControlPr xmlns="http://schemas.microsoft.com/office/spreadsheetml/2009/9/main" objectType="CheckBox" checked="Checked" fmlaLink="$E197" lockText="1"/>
</file>

<file path=xl/ctrlProps/ctrlProp89.xml><?xml version="1.0" encoding="utf-8"?>
<formControlPr xmlns="http://schemas.microsoft.com/office/spreadsheetml/2009/9/main" objectType="CheckBox" checked="Checked" fmlaLink="$E198" lockText="1"/>
</file>

<file path=xl/ctrlProps/ctrlProp90.xml><?xml version="1.0" encoding="utf-8"?>
<formControlPr xmlns="http://schemas.microsoft.com/office/spreadsheetml/2009/9/main" objectType="CheckBox" checked="Checked" fmlaLink="$E199" lockText="1"/>
</file>

<file path=xl/ctrlProps/ctrlProp91.xml><?xml version="1.0" encoding="utf-8"?>
<formControlPr xmlns="http://schemas.microsoft.com/office/spreadsheetml/2009/9/main" objectType="CheckBox" checked="Checked" fmlaLink="$E200" lockText="1"/>
</file>

<file path=xl/ctrlProps/ctrlProp92.xml><?xml version="1.0" encoding="utf-8"?>
<formControlPr xmlns="http://schemas.microsoft.com/office/spreadsheetml/2009/9/main" objectType="CheckBox" checked="Checked" fmlaLink="$E201" lockText="1"/>
</file>

<file path=xl/ctrlProps/ctrlProp93.xml><?xml version="1.0" encoding="utf-8"?>
<formControlPr xmlns="http://schemas.microsoft.com/office/spreadsheetml/2009/9/main" objectType="CheckBox" checked="Checked" fmlaLink="$E202" lockText="1"/>
</file>

<file path=xl/ctrlProps/ctrlProp94.xml><?xml version="1.0" encoding="utf-8"?>
<formControlPr xmlns="http://schemas.microsoft.com/office/spreadsheetml/2009/9/main" objectType="CheckBox" checked="Checked" fmlaLink="$E203" lockText="1"/>
</file>

<file path=xl/ctrlProps/ctrlProp95.xml><?xml version="1.0" encoding="utf-8"?>
<formControlPr xmlns="http://schemas.microsoft.com/office/spreadsheetml/2009/9/main" objectType="CheckBox" checked="Checked" fmlaLink="$E209" lockText="1"/>
</file>

<file path=xl/ctrlProps/ctrlProp96.xml><?xml version="1.0" encoding="utf-8"?>
<formControlPr xmlns="http://schemas.microsoft.com/office/spreadsheetml/2009/9/main" objectType="CheckBox" checked="Checked" fmlaLink="$E210" lockText="1"/>
</file>

<file path=xl/ctrlProps/ctrlProp97.xml><?xml version="1.0" encoding="utf-8"?>
<formControlPr xmlns="http://schemas.microsoft.com/office/spreadsheetml/2009/9/main" objectType="CheckBox" checked="Checked" fmlaLink="$E211" lockText="1"/>
</file>

<file path=xl/ctrlProps/ctrlProp98.xml><?xml version="1.0" encoding="utf-8"?>
<formControlPr xmlns="http://schemas.microsoft.com/office/spreadsheetml/2009/9/main" objectType="CheckBox" checked="Checked" fmlaLink="$E212" lockText="1"/>
</file>

<file path=xl/ctrlProps/ctrlProp99.xml><?xml version="1.0" encoding="utf-8"?>
<formControlPr xmlns="http://schemas.microsoft.com/office/spreadsheetml/2009/9/main" objectType="CheckBox" checked="Checked" fmlaLink="$E213" lockText="1"/>
</file>

<file path=xl/ctrlProps/ctrlProp100.xml><?xml version="1.0" encoding="utf-8"?>
<formControlPr xmlns="http://schemas.microsoft.com/office/spreadsheetml/2009/9/main" objectType="CheckBox" checked="Checked" fmlaLink="$E214" lockText="1"/>
</file>

<file path=xl/ctrlProps/ctrlProp101.xml><?xml version="1.0" encoding="utf-8"?>
<formControlPr xmlns="http://schemas.microsoft.com/office/spreadsheetml/2009/9/main" objectType="CheckBox" checked="Checked" fmlaLink="$E215" lockText="1"/>
</file>

<file path=xl/ctrlProps/ctrlProp102.xml><?xml version="1.0" encoding="utf-8"?>
<formControlPr xmlns="http://schemas.microsoft.com/office/spreadsheetml/2009/9/main" objectType="CheckBox" checked="Checked" fmlaLink="$E216" lockText="1"/>
</file>

<file path=xl/ctrlProps/ctrlProp103.xml><?xml version="1.0" encoding="utf-8"?>
<formControlPr xmlns="http://schemas.microsoft.com/office/spreadsheetml/2009/9/main" objectType="CheckBox" checked="Checked" fmlaLink="$E217" lockText="1"/>
</file>

<file path=xl/ctrlProps/ctrlProp104.xml><?xml version="1.0" encoding="utf-8"?>
<formControlPr xmlns="http://schemas.microsoft.com/office/spreadsheetml/2009/9/main" objectType="CheckBox" checked="Checked" fmlaLink="$E218" lockText="1"/>
</file>

<file path=xl/ctrlProps/ctrlProp105.xml><?xml version="1.0" encoding="utf-8"?>
<formControlPr xmlns="http://schemas.microsoft.com/office/spreadsheetml/2009/9/main" objectType="CheckBox" checked="Checked" fmlaLink="$E219" lockText="1"/>
</file>

<file path=xl/ctrlProps/ctrlProp106.xml><?xml version="1.0" encoding="utf-8"?>
<formControlPr xmlns="http://schemas.microsoft.com/office/spreadsheetml/2009/9/main" objectType="CheckBox" checked="Checked" fmlaLink="$E180" lockText="1"/>
</file>

<file path=xl/ctrlProps/ctrlProp107.xml><?xml version="1.0" encoding="utf-8"?>
<formControlPr xmlns="http://schemas.microsoft.com/office/spreadsheetml/2009/9/main" objectType="CheckBox" checked="Checked" fmlaLink="$E186" lockText="1"/>
</file>

<file path=xl/ctrlProps/ctrlProp108.xml><?xml version="1.0" encoding="utf-8"?>
<formControlPr xmlns="http://schemas.microsoft.com/office/spreadsheetml/2009/9/main" objectType="CheckBox" checked="Checked" fmlaLink="$E188" lockText="1"/>
</file>

<file path=xl/ctrlProps/ctrlProp109.xml><?xml version="1.0" encoding="utf-8"?>
<formControlPr xmlns="http://schemas.microsoft.com/office/spreadsheetml/2009/9/main" objectType="CheckBox" checked="Checked" fmlaLink="$E189" lockText="1"/>
</file>

<file path=xl/ctrlProps/ctrlProp110.xml><?xml version="1.0" encoding="utf-8"?>
<formControlPr xmlns="http://schemas.microsoft.com/office/spreadsheetml/2009/9/main" objectType="CheckBox" checked="Checked" fmlaLink="$E190" lockText="1"/>
</file>

<file path=xl/ctrlProps/ctrlProp111.xml><?xml version="1.0" encoding="utf-8"?>
<formControlPr xmlns="http://schemas.microsoft.com/office/spreadsheetml/2009/9/main" objectType="CheckBox" checked="Checked" fmlaLink="$E191" lockText="1"/>
</file>

<file path=xl/ctrlProps/ctrlProp112.xml><?xml version="1.0" encoding="utf-8"?>
<formControlPr xmlns="http://schemas.microsoft.com/office/spreadsheetml/2009/9/main" objectType="CheckBox" checked="Checked" fmlaLink="$E192" lockText="1"/>
</file>

<file path=xl/ctrlProps/ctrlProp113.xml><?xml version="1.0" encoding="utf-8"?>
<formControlPr xmlns="http://schemas.microsoft.com/office/spreadsheetml/2009/9/main" objectType="CheckBox" checked="Checked" fmlaLink="$E193" lockText="1"/>
</file>

<file path=xl/ctrlProps/ctrlProp114.xml><?xml version="1.0" encoding="utf-8"?>
<formControlPr xmlns="http://schemas.microsoft.com/office/spreadsheetml/2009/9/main" objectType="CheckBox" checked="Checked" fmlaLink="$E208" lockText="1"/>
</file>

<file path=xl/ctrlProps/ctrlProp115.xml><?xml version="1.0" encoding="utf-8"?>
<formControlPr xmlns="http://schemas.microsoft.com/office/spreadsheetml/2009/9/main" objectType="CheckBox" checked="Checked" fmlaLink="$E203" lockText="1"/>
</file>

<file path=xl/ctrlProps/ctrlProp116.xml><?xml version="1.0" encoding="utf-8"?>
<formControlPr xmlns="http://schemas.microsoft.com/office/spreadsheetml/2009/9/main" objectType="CheckBox" checked="Checked" fmlaLink="$E203" lockText="1"/>
</file>

<file path=xl/ctrlProps/ctrlProp117.xml><?xml version="1.0" encoding="utf-8"?>
<formControlPr xmlns="http://schemas.microsoft.com/office/spreadsheetml/2009/9/main" objectType="CheckBox" checked="Checked" fmlaLink="$E203" lockText="1"/>
</file>

<file path=xl/ctrlProps/ctrlProp118.xml><?xml version="1.0" encoding="utf-8"?>
<formControlPr xmlns="http://schemas.microsoft.com/office/spreadsheetml/2009/9/main" objectType="CheckBox" checked="Checked" fmlaLink="$E203" lockText="1"/>
</file>

<file path=xl/ctrlProps/ctrlProp119.xml><?xml version="1.0" encoding="utf-8"?>
<formControlPr xmlns="http://schemas.microsoft.com/office/spreadsheetml/2009/9/main" objectType="CheckBox" fmlaLink="$E173" lockText="1"/>
</file>

<file path=xl/ctrlProps/ctrlProp120.xml><?xml version="1.0" encoding="utf-8"?>
<formControlPr xmlns="http://schemas.microsoft.com/office/spreadsheetml/2009/9/main" objectType="CheckBox" checked="Checked" fmlaLink="$E$183" lockText="1"/>
</file>

<file path=xl/ctrlProps/ctrlProp121.xml><?xml version="1.0" encoding="utf-8"?>
<formControlPr xmlns="http://schemas.microsoft.com/office/spreadsheetml/2009/9/main" objectType="CheckBox" checked="Checked" fmlaLink="$E$181" lockText="1"/>
</file>

<file path=xl/ctrlProps/ctrlProp122.xml><?xml version="1.0" encoding="utf-8"?>
<formControlPr xmlns="http://schemas.microsoft.com/office/spreadsheetml/2009/9/main" objectType="CheckBox" checked="Checked" fmlaLink="$E$182" lockText="1"/>
</file>

<file path=xl/ctrlProps/ctrlProp123.xml><?xml version="1.0" encoding="utf-8"?>
<formControlPr xmlns="http://schemas.microsoft.com/office/spreadsheetml/2009/9/main" objectType="CheckBox" checked="Checked" fmlaLink="$J$220" lockText="1"/>
</file>

<file path=xl/ctrlProps/ctrlProp124.xml><?xml version="1.0" encoding="utf-8"?>
<formControlPr xmlns="http://schemas.microsoft.com/office/spreadsheetml/2009/9/main" objectType="CheckBox" checked="Checked" fmlaLink="$K$220" lockText="1"/>
</file>

<file path=xl/ctrlProps/ctrlProp125.xml><?xml version="1.0" encoding="utf-8"?>
<formControlPr xmlns="http://schemas.microsoft.com/office/spreadsheetml/2009/9/main" objectType="CheckBox" checked="Checked" fmlaLink="$E171" lockText="1"/>
</file>

<file path=xl/ctrlProps/ctrlProp126.xml><?xml version="1.0" encoding="utf-8"?>
<formControlPr xmlns="http://schemas.microsoft.com/office/spreadsheetml/2009/9/main" objectType="CheckBox" checked="Checked" fmlaLink="$E182"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checked="Checked" fmlaLink="$E183" lockText="1"/>
</file>

<file path=xl/ctrlProps/ctrlProp130.xml><?xml version="1.0" encoding="utf-8"?>
<formControlPr xmlns="http://schemas.microsoft.com/office/spreadsheetml/2009/9/main" objectType="CheckBox" checked="Checked" fmlaLink="$E183" lockText="1"/>
</file>

<file path=xl/ctrlProps/ctrlProp131.xml><?xml version="1.0" encoding="utf-8"?>
<formControlPr xmlns="http://schemas.microsoft.com/office/spreadsheetml/2009/9/main" objectType="CheckBox" checked="Checked" fmlaLink="$E183" lockText="1"/>
</file>

<file path=xl/ctrlProps/ctrlProp132.xml><?xml version="1.0" encoding="utf-8"?>
<formControlPr xmlns="http://schemas.microsoft.com/office/spreadsheetml/2009/9/main" objectType="CheckBox" checked="Checked" fmlaLink="$E183" lockText="1"/>
</file>

<file path=xl/ctrlProps/ctrlProp133.xml><?xml version="1.0" encoding="utf-8"?>
<formControlPr xmlns="http://schemas.microsoft.com/office/spreadsheetml/2009/9/main" objectType="CheckBox" checked="Checked" fmlaLink="$E187" lockText="1"/>
</file>

<file path=xl/ctrlProps/ctrlProp134.xml><?xml version="1.0" encoding="utf-8"?>
<formControlPr xmlns="http://schemas.microsoft.com/office/spreadsheetml/2009/9/main" objectType="CheckBox" checked="Checked" fmlaLink="$E188" lockText="1"/>
</file>

<file path=xl/ctrlProps/ctrlProp135.xml><?xml version="1.0" encoding="utf-8"?>
<formControlPr xmlns="http://schemas.microsoft.com/office/spreadsheetml/2009/9/main" objectType="CheckBox" checked="Checked" fmlaLink="$E183" lockText="1"/>
</file>

<file path=xl/ctrlProps/ctrlProp136.xml><?xml version="1.0" encoding="utf-8"?>
<formControlPr xmlns="http://schemas.microsoft.com/office/spreadsheetml/2009/9/main" objectType="CheckBox" checked="Checked" fmlaLink="$E183" lockText="1"/>
</file>

<file path=xl/ctrlProps/ctrlProp137.xml><?xml version="1.0" encoding="utf-8"?>
<formControlPr xmlns="http://schemas.microsoft.com/office/spreadsheetml/2009/9/main" objectType="CheckBox" checked="Checked" fmlaLink="$E183" lockText="1"/>
</file>

<file path=xl/ctrlProps/ctrlProp138.xml><?xml version="1.0" encoding="utf-8"?>
<formControlPr xmlns="http://schemas.microsoft.com/office/spreadsheetml/2009/9/main" objectType="CheckBox" checked="Checked" fmlaLink="$E183" lockText="1"/>
</file>

<file path=xl/ctrlProps/ctrlProp139.xml><?xml version="1.0" encoding="utf-8"?>
<formControlPr xmlns="http://schemas.microsoft.com/office/spreadsheetml/2009/9/main" objectType="CheckBox" checked="Checked" fmlaLink="$E183" lockText="1"/>
</file>

<file path=xl/ctrlProps/ctrlProp140.xml><?xml version="1.0" encoding="utf-8"?>
<formControlPr xmlns="http://schemas.microsoft.com/office/spreadsheetml/2009/9/main" objectType="CheckBox" checked="Checked" fmlaLink="$E183" lockText="1"/>
</file>

<file path=xl/ctrlProps/ctrlProp141.xml><?xml version="1.0" encoding="utf-8"?>
<formControlPr xmlns="http://schemas.microsoft.com/office/spreadsheetml/2009/9/main" objectType="CheckBox" checked="Checked" fmlaLink="$E183" lockText="1"/>
</file>

<file path=xl/ctrlProps/ctrlProp142.xml><?xml version="1.0" encoding="utf-8"?>
<formControlPr xmlns="http://schemas.microsoft.com/office/spreadsheetml/2009/9/main" objectType="CheckBox" checked="Checked" fmlaLink="$E183" lockText="1"/>
</file>

<file path=xl/ctrlProps/ctrlProp143.xml><?xml version="1.0" encoding="utf-8"?>
<formControlPr xmlns="http://schemas.microsoft.com/office/spreadsheetml/2009/9/main" objectType="CheckBox" checked="Checked" fmlaLink="$E183" lockText="1"/>
</file>

<file path=xl/ctrlProps/ctrlProp144.xml><?xml version="1.0" encoding="utf-8"?>
<formControlPr xmlns="http://schemas.microsoft.com/office/spreadsheetml/2009/9/main" objectType="CheckBox" checked="Checked" fmlaLink="$E183" lockText="1"/>
</file>

<file path=xl/ctrlProps/ctrlProp145.xml><?xml version="1.0" encoding="utf-8"?>
<formControlPr xmlns="http://schemas.microsoft.com/office/spreadsheetml/2009/9/main" objectType="CheckBox" checked="Checked" fmlaLink="$E183" lockText="1"/>
</file>

<file path=xl/ctrlProps/ctrlProp146.xml><?xml version="1.0" encoding="utf-8"?>
<formControlPr xmlns="http://schemas.microsoft.com/office/spreadsheetml/2009/9/main" objectType="CheckBox" checked="Checked" fmlaLink="$E183" lockText="1"/>
</file>

<file path=xl/ctrlProps/ctrlProp147.xml><?xml version="1.0" encoding="utf-8"?>
<formControlPr xmlns="http://schemas.microsoft.com/office/spreadsheetml/2009/9/main" objectType="CheckBox" checked="Checked" fmlaLink="$E183" lockText="1"/>
</file>

<file path=xl/ctrlProps/ctrlProp148.xml><?xml version="1.0" encoding="utf-8"?>
<formControlPr xmlns="http://schemas.microsoft.com/office/spreadsheetml/2009/9/main" objectType="CheckBox" checked="Checked" fmlaLink="$E183" lockText="1"/>
</file>

<file path=xl/ctrlProps/ctrlProp149.xml><?xml version="1.0" encoding="utf-8"?>
<formControlPr xmlns="http://schemas.microsoft.com/office/spreadsheetml/2009/9/main" objectType="CheckBox" checked="Checked" fmlaLink="$E183" lockText="1"/>
</file>

<file path=xl/ctrlProps/ctrlProp150.xml><?xml version="1.0" encoding="utf-8"?>
<formControlPr xmlns="http://schemas.microsoft.com/office/spreadsheetml/2009/9/main" objectType="CheckBox" checked="Checked" fmlaLink="$E183" lockText="1"/>
</file>

<file path=xl/ctrlProps/ctrlProp151.xml><?xml version="1.0" encoding="utf-8"?>
<formControlPr xmlns="http://schemas.microsoft.com/office/spreadsheetml/2009/9/main" objectType="CheckBox" checked="Checked" fmlaLink="$E183" lockText="1"/>
</file>

<file path=xl/ctrlProps/ctrlProp152.xml><?xml version="1.0" encoding="utf-8"?>
<formControlPr xmlns="http://schemas.microsoft.com/office/spreadsheetml/2009/9/main" objectType="CheckBox" checked="Checked" fmlaLink="$E183" lockText="1"/>
</file>

<file path=xl/ctrlProps/ctrlProp153.xml><?xml version="1.0" encoding="utf-8"?>
<formControlPr xmlns="http://schemas.microsoft.com/office/spreadsheetml/2009/9/main" objectType="CheckBox" checked="Checked" fmlaLink="$E183" lockText="1"/>
</file>

<file path=xl/ctrlProps/ctrlProp154.xml><?xml version="1.0" encoding="utf-8"?>
<formControlPr xmlns="http://schemas.microsoft.com/office/spreadsheetml/2009/9/main" objectType="CheckBox" checked="Checked" fmlaLink="$E183" lockText="1"/>
</file>

<file path=xl/ctrlProps/ctrlProp155.xml><?xml version="1.0" encoding="utf-8"?>
<formControlPr xmlns="http://schemas.microsoft.com/office/spreadsheetml/2009/9/main" objectType="CheckBox" checked="Checked" fmlaLink="$E183" lockText="1"/>
</file>

<file path=xl/ctrlProps/ctrlProp156.xml><?xml version="1.0" encoding="utf-8"?>
<formControlPr xmlns="http://schemas.microsoft.com/office/spreadsheetml/2009/9/main" objectType="CheckBox" checked="Checked" fmlaLink="$E183" lockText="1"/>
</file>

<file path=xl/ctrlProps/ctrlProp157.xml><?xml version="1.0" encoding="utf-8"?>
<formControlPr xmlns="http://schemas.microsoft.com/office/spreadsheetml/2009/9/main" objectType="CheckBox" checked="Checked" fmlaLink="$E178" lockText="1"/>
</file>

<file path=xl/ctrlProps/ctrlProp158.xml><?xml version="1.0" encoding="utf-8"?>
<formControlPr xmlns="http://schemas.microsoft.com/office/spreadsheetml/2009/9/main" objectType="CheckBox" checked="Checked" fmlaLink="$E184" lockText="1"/>
</file>

<file path=xl/ctrlProps/ctrlProp159.xml><?xml version="1.0" encoding="utf-8"?>
<formControlPr xmlns="http://schemas.microsoft.com/office/spreadsheetml/2009/9/main" objectType="CheckBox" checked="Checked" fmlaLink="$E183" lockText="1"/>
</file>

<file path=xl/ctrlProps/ctrlProp160.xml><?xml version="1.0" encoding="utf-8"?>
<formControlPr xmlns="http://schemas.microsoft.com/office/spreadsheetml/2009/9/main" objectType="CheckBox" checked="Checked" fmlaLink="$E185" lockText="1"/>
</file>

<file path=xl/ctrlProps/ctrlProp161.xml><?xml version="1.0" encoding="utf-8"?>
<formControlPr xmlns="http://schemas.microsoft.com/office/spreadsheetml/2009/9/main" objectType="CheckBox" checked="Checked" fmlaLink="$E183" lockText="1"/>
</file>

<file path=xl/ctrlProps/ctrlProp162.xml><?xml version="1.0" encoding="utf-8"?>
<formControlPr xmlns="http://schemas.microsoft.com/office/spreadsheetml/2009/9/main" objectType="CheckBox" checked="Checked" fmlaLink="$E183" lockText="1"/>
</file>

<file path=xl/ctrlProps/ctrlProp163.xml><?xml version="1.0" encoding="utf-8"?>
<formControlPr xmlns="http://schemas.microsoft.com/office/spreadsheetml/2009/9/main" objectType="CheckBox" checked="Checked" fmlaLink="$E186" lockText="1"/>
</file>

<file path=xl/ctrlProps/ctrlProp164.xml><?xml version="1.0" encoding="utf-8"?>
<formControlPr xmlns="http://schemas.microsoft.com/office/spreadsheetml/2009/9/main" objectType="CheckBox" checked="Checked" fmlaLink="$E189" lockText="1"/>
</file>

<file path=xl/ctrlProps/ctrlProp165.xml><?xml version="1.0" encoding="utf-8"?>
<formControlPr xmlns="http://schemas.microsoft.com/office/spreadsheetml/2009/9/main" objectType="CheckBox" checked="Checked" fmlaLink="$E190" lockText="1"/>
</file>

<file path=xl/ctrlProps/ctrlProp166.xml><?xml version="1.0" encoding="utf-8"?>
<formControlPr xmlns="http://schemas.microsoft.com/office/spreadsheetml/2009/9/main" objectType="CheckBox" checked="Checked" fmlaLink="$E189" lockText="1"/>
</file>

<file path=xl/ctrlProps/ctrlProp167.xml><?xml version="1.0" encoding="utf-8"?>
<formControlPr xmlns="http://schemas.microsoft.com/office/spreadsheetml/2009/9/main" objectType="CheckBox" checked="Checked" fmlaLink="$E191" lockText="1"/>
</file>

<file path=xl/ctrlProps/ctrlProp168.xml><?xml version="1.0" encoding="utf-8"?>
<formControlPr xmlns="http://schemas.microsoft.com/office/spreadsheetml/2009/9/main" objectType="CheckBox" checked="Checked" fmlaLink="$E183" lockText="1"/>
</file>

<file path=xl/ctrlProps/ctrlProp169.xml><?xml version="1.0" encoding="utf-8"?>
<formControlPr xmlns="http://schemas.microsoft.com/office/spreadsheetml/2009/9/main" objectType="CheckBox" checked="Checked" fmlaLink="$E183" lockText="1"/>
</file>

<file path=xl/ctrlProps/ctrlProp170.xml><?xml version="1.0" encoding="utf-8"?>
<formControlPr xmlns="http://schemas.microsoft.com/office/spreadsheetml/2009/9/main" objectType="CheckBox" checked="Checked" fmlaLink="$E183" lockText="1"/>
</file>

<file path=xl/ctrlProps/ctrlProp171.xml><?xml version="1.0" encoding="utf-8"?>
<formControlPr xmlns="http://schemas.microsoft.com/office/spreadsheetml/2009/9/main" objectType="CheckBox" checked="Checked" fmlaLink="$E183" lockText="1"/>
</file>

<file path=xl/ctrlProps/ctrlProp172.xml><?xml version="1.0" encoding="utf-8"?>
<formControlPr xmlns="http://schemas.microsoft.com/office/spreadsheetml/2009/9/main" objectType="CheckBox" checked="Checked" fmlaLink="$E183" lockText="1"/>
</file>

<file path=xl/ctrlProps/ctrlProp173.xml><?xml version="1.0" encoding="utf-8"?>
<formControlPr xmlns="http://schemas.microsoft.com/office/spreadsheetml/2009/9/main" objectType="CheckBox" checked="Checked" fmlaLink="$E$181" lockText="1"/>
</file>

<file path=xl/ctrlProps/ctrlProp174.xml><?xml version="1.0" encoding="utf-8"?>
<formControlPr xmlns="http://schemas.microsoft.com/office/spreadsheetml/2009/9/main" objectType="CheckBox" checked="Checked" fmlaLink="$E$179" lockText="1"/>
</file>

<file path=xl/ctrlProps/ctrlProp175.xml><?xml version="1.0" encoding="utf-8"?>
<formControlPr xmlns="http://schemas.microsoft.com/office/spreadsheetml/2009/9/main" objectType="CheckBox" checked="Checked" fmlaLink="$E$181" lockText="1"/>
</file>

<file path=xl/ctrlProps/ctrlProp176.xml><?xml version="1.0" encoding="utf-8"?>
<formControlPr xmlns="http://schemas.microsoft.com/office/spreadsheetml/2009/9/main" objectType="CheckBox" checked="Checked" fmlaLink="$E180" lockText="1"/>
</file>

<file path=xl/drawings/_rels/drawing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20.png"/><Relationship Id="rId7" Type="http://schemas.openxmlformats.org/officeDocument/2006/relationships/image" Target="../media/image24.png"/><Relationship Id="rId12" Type="http://schemas.openxmlformats.org/officeDocument/2006/relationships/image" Target="../media/image29.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11" Type="http://schemas.openxmlformats.org/officeDocument/2006/relationships/image" Target="../media/image28.png"/><Relationship Id="rId5" Type="http://schemas.openxmlformats.org/officeDocument/2006/relationships/image" Target="../media/image22.png"/><Relationship Id="rId10" Type="http://schemas.openxmlformats.org/officeDocument/2006/relationships/image" Target="../media/image27.png"/><Relationship Id="rId4" Type="http://schemas.openxmlformats.org/officeDocument/2006/relationships/image" Target="../media/image21.png"/><Relationship Id="rId9" Type="http://schemas.openxmlformats.org/officeDocument/2006/relationships/image" Target="../media/image2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1.png"/><Relationship Id="rId7" Type="http://schemas.openxmlformats.org/officeDocument/2006/relationships/image" Target="../media/image31.png"/><Relationship Id="rId12" Type="http://schemas.openxmlformats.org/officeDocument/2006/relationships/image" Target="../media/image29.png"/><Relationship Id="rId2" Type="http://schemas.openxmlformats.org/officeDocument/2006/relationships/image" Target="../media/image20.png"/><Relationship Id="rId1" Type="http://schemas.openxmlformats.org/officeDocument/2006/relationships/image" Target="../media/image30.png"/><Relationship Id="rId6" Type="http://schemas.openxmlformats.org/officeDocument/2006/relationships/image" Target="../media/image24.png"/><Relationship Id="rId11" Type="http://schemas.openxmlformats.org/officeDocument/2006/relationships/image" Target="../media/image28.png"/><Relationship Id="rId5" Type="http://schemas.openxmlformats.org/officeDocument/2006/relationships/image" Target="../media/image14.png"/><Relationship Id="rId10" Type="http://schemas.openxmlformats.org/officeDocument/2006/relationships/image" Target="../media/image34.png"/><Relationship Id="rId4" Type="http://schemas.openxmlformats.org/officeDocument/2006/relationships/image" Target="../media/image22.png"/><Relationship Id="rId9" Type="http://schemas.openxmlformats.org/officeDocument/2006/relationships/image" Target="../media/image3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12"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8.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1695190</xdr:colOff>
      <xdr:row>45</xdr:row>
      <xdr:rowOff>42094</xdr:rowOff>
    </xdr:from>
    <xdr:to>
      <xdr:col>0</xdr:col>
      <xdr:colOff>1695190</xdr:colOff>
      <xdr:row>48</xdr:row>
      <xdr:rowOff>148595</xdr:rowOff>
    </xdr:to>
    <xdr:pic>
      <xdr:nvPicPr>
        <xdr:cNvPr id="7" name="Picture 6" descr="Z:\Echange Kaelia\APRIL\Eléments graphiques MARQUE APRIL\PICTOGRAMMES et ELEMENTS GRAPHIQUES\Pince - trombone\trombone.png">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4929669"/>
          <a:ext cx="0" cy="1006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33</xdr:row>
          <xdr:rowOff>9525</xdr:rowOff>
        </xdr:from>
        <xdr:to>
          <xdr:col>6</xdr:col>
          <xdr:colOff>390525</xdr:colOff>
          <xdr:row>33</xdr:row>
          <xdr:rowOff>371475</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xdr:row>
          <xdr:rowOff>342900</xdr:rowOff>
        </xdr:from>
        <xdr:to>
          <xdr:col>6</xdr:col>
          <xdr:colOff>885825</xdr:colOff>
          <xdr:row>9</xdr:row>
          <xdr:rowOff>57150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428625</xdr:colOff>
          <xdr:row>44</xdr:row>
          <xdr:rowOff>38100</xdr:rowOff>
        </xdr:from>
        <xdr:to>
          <xdr:col>17</xdr:col>
          <xdr:colOff>933450</xdr:colOff>
          <xdr:row>44</xdr:row>
          <xdr:rowOff>323850</xdr:rowOff>
        </xdr:to>
        <xdr:sp macro="" textlink="">
          <xdr:nvSpPr>
            <xdr:cNvPr id="12316" name="Check Box 28" hidden="1">
              <a:extLst>
                <a:ext uri="{63B3BB69-23CF-44E3-9099-C40C66FF867C}">
                  <a14:compatExt spid="_x0000_s12316"/>
                </a:ext>
                <a:ext uri="{FF2B5EF4-FFF2-40B4-BE49-F238E27FC236}">
                  <a16:creationId xmlns:a16="http://schemas.microsoft.com/office/drawing/2014/main" id="{00000000-0008-0000-0200-00001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32</xdr:row>
          <xdr:rowOff>47625</xdr:rowOff>
        </xdr:from>
        <xdr:to>
          <xdr:col>6</xdr:col>
          <xdr:colOff>466725</xdr:colOff>
          <xdr:row>32</xdr:row>
          <xdr:rowOff>371475</xdr:rowOff>
        </xdr:to>
        <xdr:sp macro="" textlink="">
          <xdr:nvSpPr>
            <xdr:cNvPr id="12325" name="Check Box 37" hidden="1">
              <a:extLst>
                <a:ext uri="{63B3BB69-23CF-44E3-9099-C40C66FF867C}">
                  <a14:compatExt spid="_x0000_s12325"/>
                </a:ext>
                <a:ext uri="{FF2B5EF4-FFF2-40B4-BE49-F238E27FC236}">
                  <a16:creationId xmlns:a16="http://schemas.microsoft.com/office/drawing/2014/main" id="{00000000-0008-0000-0200-00002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54</xdr:row>
          <xdr:rowOff>76200</xdr:rowOff>
        </xdr:from>
        <xdr:to>
          <xdr:col>6</xdr:col>
          <xdr:colOff>1028700</xdr:colOff>
          <xdr:row>54</xdr:row>
          <xdr:rowOff>371475</xdr:rowOff>
        </xdr:to>
        <xdr:sp macro="" textlink="">
          <xdr:nvSpPr>
            <xdr:cNvPr id="12328" name="Check Box 40" hidden="1">
              <a:extLst>
                <a:ext uri="{63B3BB69-23CF-44E3-9099-C40C66FF867C}">
                  <a14:compatExt spid="_x0000_s12328"/>
                </a:ext>
                <a:ext uri="{FF2B5EF4-FFF2-40B4-BE49-F238E27FC236}">
                  <a16:creationId xmlns:a16="http://schemas.microsoft.com/office/drawing/2014/main" id="{00000000-0008-0000-0200-00002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34</xdr:row>
          <xdr:rowOff>9525</xdr:rowOff>
        </xdr:from>
        <xdr:to>
          <xdr:col>6</xdr:col>
          <xdr:colOff>390525</xdr:colOff>
          <xdr:row>34</xdr:row>
          <xdr:rowOff>371475</xdr:rowOff>
        </xdr:to>
        <xdr:sp macro="" textlink="">
          <xdr:nvSpPr>
            <xdr:cNvPr id="12329" name="Check Box 41" hidden="1">
              <a:extLst>
                <a:ext uri="{63B3BB69-23CF-44E3-9099-C40C66FF867C}">
                  <a14:compatExt spid="_x0000_s12329"/>
                </a:ext>
                <a:ext uri="{FF2B5EF4-FFF2-40B4-BE49-F238E27FC236}">
                  <a16:creationId xmlns:a16="http://schemas.microsoft.com/office/drawing/2014/main" id="{00000000-0008-0000-0200-00002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35</xdr:row>
          <xdr:rowOff>9525</xdr:rowOff>
        </xdr:from>
        <xdr:to>
          <xdr:col>7</xdr:col>
          <xdr:colOff>1514475</xdr:colOff>
          <xdr:row>36</xdr:row>
          <xdr:rowOff>19050</xdr:rowOff>
        </xdr:to>
        <xdr:sp macro="" textlink="">
          <xdr:nvSpPr>
            <xdr:cNvPr id="12330" name="ComboBox1" hidden="1">
              <a:extLst>
                <a:ext uri="{63B3BB69-23CF-44E3-9099-C40C66FF867C}">
                  <a14:compatExt spid="_x0000_s12330"/>
                </a:ext>
                <a:ext uri="{FF2B5EF4-FFF2-40B4-BE49-F238E27FC236}">
                  <a16:creationId xmlns:a16="http://schemas.microsoft.com/office/drawing/2014/main" id="{00000000-0008-0000-0200-00002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27</xdr:row>
          <xdr:rowOff>76200</xdr:rowOff>
        </xdr:from>
        <xdr:to>
          <xdr:col>8</xdr:col>
          <xdr:colOff>1104900</xdr:colOff>
          <xdr:row>27</xdr:row>
          <xdr:rowOff>390525</xdr:rowOff>
        </xdr:to>
        <xdr:sp macro="" textlink="">
          <xdr:nvSpPr>
            <xdr:cNvPr id="12331" name="ComboBox2" hidden="1">
              <a:extLst>
                <a:ext uri="{63B3BB69-23CF-44E3-9099-C40C66FF867C}">
                  <a14:compatExt spid="_x0000_s12331"/>
                </a:ext>
                <a:ext uri="{FF2B5EF4-FFF2-40B4-BE49-F238E27FC236}">
                  <a16:creationId xmlns:a16="http://schemas.microsoft.com/office/drawing/2014/main" id="{00000000-0008-0000-0200-00002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485775</xdr:colOff>
          <xdr:row>44</xdr:row>
          <xdr:rowOff>0</xdr:rowOff>
        </xdr:from>
        <xdr:to>
          <xdr:col>12</xdr:col>
          <xdr:colOff>790575</xdr:colOff>
          <xdr:row>44</xdr:row>
          <xdr:rowOff>361950</xdr:rowOff>
        </xdr:to>
        <xdr:sp macro="" textlink="">
          <xdr:nvSpPr>
            <xdr:cNvPr id="12332" name="Check Box 44" hidden="1">
              <a:extLst>
                <a:ext uri="{63B3BB69-23CF-44E3-9099-C40C66FF867C}">
                  <a14:compatExt spid="_x0000_s12332"/>
                </a:ext>
                <a:ext uri="{FF2B5EF4-FFF2-40B4-BE49-F238E27FC236}">
                  <a16:creationId xmlns:a16="http://schemas.microsoft.com/office/drawing/2014/main" id="{00000000-0008-0000-0200-00002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76</xdr:row>
          <xdr:rowOff>9525</xdr:rowOff>
        </xdr:from>
        <xdr:to>
          <xdr:col>9</xdr:col>
          <xdr:colOff>152400</xdr:colOff>
          <xdr:row>76</xdr:row>
          <xdr:rowOff>447675</xdr:rowOff>
        </xdr:to>
        <xdr:sp macro="" textlink="">
          <xdr:nvSpPr>
            <xdr:cNvPr id="12335" name="ComboBox3" hidden="1">
              <a:extLst>
                <a:ext uri="{63B3BB69-23CF-44E3-9099-C40C66FF867C}">
                  <a14:compatExt spid="_x0000_s12335"/>
                </a:ext>
                <a:ext uri="{FF2B5EF4-FFF2-40B4-BE49-F238E27FC236}">
                  <a16:creationId xmlns:a16="http://schemas.microsoft.com/office/drawing/2014/main" id="{00000000-0008-0000-0200-00002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77</xdr:row>
          <xdr:rowOff>28575</xdr:rowOff>
        </xdr:from>
        <xdr:to>
          <xdr:col>9</xdr:col>
          <xdr:colOff>190500</xdr:colOff>
          <xdr:row>77</xdr:row>
          <xdr:rowOff>457200</xdr:rowOff>
        </xdr:to>
        <xdr:sp macro="" textlink="">
          <xdr:nvSpPr>
            <xdr:cNvPr id="12336" name="ComboBox4" hidden="1">
              <a:extLst>
                <a:ext uri="{63B3BB69-23CF-44E3-9099-C40C66FF867C}">
                  <a14:compatExt spid="_x0000_s12336"/>
                </a:ext>
                <a:ext uri="{FF2B5EF4-FFF2-40B4-BE49-F238E27FC236}">
                  <a16:creationId xmlns:a16="http://schemas.microsoft.com/office/drawing/2014/main" id="{00000000-0008-0000-0200-00003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89</xdr:row>
          <xdr:rowOff>57150</xdr:rowOff>
        </xdr:from>
        <xdr:to>
          <xdr:col>11</xdr:col>
          <xdr:colOff>952500</xdr:colOff>
          <xdr:row>90</xdr:row>
          <xdr:rowOff>19050</xdr:rowOff>
        </xdr:to>
        <xdr:sp macro="" textlink="">
          <xdr:nvSpPr>
            <xdr:cNvPr id="12337" name="ComboBox5" hidden="1">
              <a:extLst>
                <a:ext uri="{63B3BB69-23CF-44E3-9099-C40C66FF867C}">
                  <a14:compatExt spid="_x0000_s12337"/>
                </a:ext>
                <a:ext uri="{FF2B5EF4-FFF2-40B4-BE49-F238E27FC236}">
                  <a16:creationId xmlns:a16="http://schemas.microsoft.com/office/drawing/2014/main" id="{00000000-0008-0000-0200-00003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90</xdr:row>
          <xdr:rowOff>57150</xdr:rowOff>
        </xdr:from>
        <xdr:to>
          <xdr:col>8</xdr:col>
          <xdr:colOff>1181100</xdr:colOff>
          <xdr:row>90</xdr:row>
          <xdr:rowOff>476250</xdr:rowOff>
        </xdr:to>
        <xdr:sp macro="" textlink="">
          <xdr:nvSpPr>
            <xdr:cNvPr id="12338" name="ComboBox9" hidden="1">
              <a:extLst>
                <a:ext uri="{63B3BB69-23CF-44E3-9099-C40C66FF867C}">
                  <a14:compatExt spid="_x0000_s12338"/>
                </a:ext>
                <a:ext uri="{FF2B5EF4-FFF2-40B4-BE49-F238E27FC236}">
                  <a16:creationId xmlns:a16="http://schemas.microsoft.com/office/drawing/2014/main" id="{00000000-0008-0000-0200-00003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84</xdr:row>
          <xdr:rowOff>9525</xdr:rowOff>
        </xdr:from>
        <xdr:to>
          <xdr:col>6</xdr:col>
          <xdr:colOff>390525</xdr:colOff>
          <xdr:row>84</xdr:row>
          <xdr:rowOff>371475</xdr:rowOff>
        </xdr:to>
        <xdr:sp macro="" textlink="">
          <xdr:nvSpPr>
            <xdr:cNvPr id="12339" name="Check Box 51" hidden="1">
              <a:extLst>
                <a:ext uri="{63B3BB69-23CF-44E3-9099-C40C66FF867C}">
                  <a14:compatExt spid="_x0000_s12339"/>
                </a:ext>
                <a:ext uri="{FF2B5EF4-FFF2-40B4-BE49-F238E27FC236}">
                  <a16:creationId xmlns:a16="http://schemas.microsoft.com/office/drawing/2014/main" id="{00000000-0008-0000-0200-00003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71</xdr:row>
          <xdr:rowOff>47625</xdr:rowOff>
        </xdr:from>
        <xdr:to>
          <xdr:col>9</xdr:col>
          <xdr:colOff>123825</xdr:colOff>
          <xdr:row>71</xdr:row>
          <xdr:rowOff>438150</xdr:rowOff>
        </xdr:to>
        <xdr:sp macro="" textlink="">
          <xdr:nvSpPr>
            <xdr:cNvPr id="12341" name="ComboBox8" hidden="1">
              <a:extLst>
                <a:ext uri="{63B3BB69-23CF-44E3-9099-C40C66FF867C}">
                  <a14:compatExt spid="_x0000_s12341"/>
                </a:ext>
                <a:ext uri="{FF2B5EF4-FFF2-40B4-BE49-F238E27FC236}">
                  <a16:creationId xmlns:a16="http://schemas.microsoft.com/office/drawing/2014/main" id="{00000000-0008-0000-0200-00003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72</xdr:row>
          <xdr:rowOff>28575</xdr:rowOff>
        </xdr:from>
        <xdr:to>
          <xdr:col>6</xdr:col>
          <xdr:colOff>1019175</xdr:colOff>
          <xdr:row>72</xdr:row>
          <xdr:rowOff>381000</xdr:rowOff>
        </xdr:to>
        <xdr:sp macro="" textlink="">
          <xdr:nvSpPr>
            <xdr:cNvPr id="12342" name="ComboBox7" hidden="1">
              <a:extLst>
                <a:ext uri="{63B3BB69-23CF-44E3-9099-C40C66FF867C}">
                  <a14:compatExt spid="_x0000_s12342"/>
                </a:ext>
                <a:ext uri="{FF2B5EF4-FFF2-40B4-BE49-F238E27FC236}">
                  <a16:creationId xmlns:a16="http://schemas.microsoft.com/office/drawing/2014/main" id="{00000000-0008-0000-0200-00003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91</xdr:row>
          <xdr:rowOff>38100</xdr:rowOff>
        </xdr:from>
        <xdr:to>
          <xdr:col>8</xdr:col>
          <xdr:colOff>314325</xdr:colOff>
          <xdr:row>91</xdr:row>
          <xdr:rowOff>342900</xdr:rowOff>
        </xdr:to>
        <xdr:sp macro="" textlink="">
          <xdr:nvSpPr>
            <xdr:cNvPr id="12362" name="ComboBox12" hidden="1">
              <a:extLst>
                <a:ext uri="{63B3BB69-23CF-44E3-9099-C40C66FF867C}">
                  <a14:compatExt spid="_x0000_s12362"/>
                </a:ext>
                <a:ext uri="{FF2B5EF4-FFF2-40B4-BE49-F238E27FC236}">
                  <a16:creationId xmlns:a16="http://schemas.microsoft.com/office/drawing/2014/main" id="{00000000-0008-0000-0200-00004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83</xdr:row>
          <xdr:rowOff>9525</xdr:rowOff>
        </xdr:from>
        <xdr:to>
          <xdr:col>11</xdr:col>
          <xdr:colOff>409575</xdr:colOff>
          <xdr:row>83</xdr:row>
          <xdr:rowOff>371475</xdr:rowOff>
        </xdr:to>
        <xdr:sp macro="" textlink="">
          <xdr:nvSpPr>
            <xdr:cNvPr id="12363" name="Check Box 75" hidden="1">
              <a:extLst>
                <a:ext uri="{63B3BB69-23CF-44E3-9099-C40C66FF867C}">
                  <a14:compatExt spid="_x0000_s12363"/>
                </a:ext>
                <a:ext uri="{FF2B5EF4-FFF2-40B4-BE49-F238E27FC236}">
                  <a16:creationId xmlns:a16="http://schemas.microsoft.com/office/drawing/2014/main" id="{00000000-0008-0000-0200-00004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85</xdr:row>
          <xdr:rowOff>9525</xdr:rowOff>
        </xdr:from>
        <xdr:to>
          <xdr:col>11</xdr:col>
          <xdr:colOff>409575</xdr:colOff>
          <xdr:row>85</xdr:row>
          <xdr:rowOff>390525</xdr:rowOff>
        </xdr:to>
        <xdr:sp macro="" textlink="">
          <xdr:nvSpPr>
            <xdr:cNvPr id="12364" name="Check Box 76" hidden="1">
              <a:extLst>
                <a:ext uri="{63B3BB69-23CF-44E3-9099-C40C66FF867C}">
                  <a14:compatExt spid="_x0000_s12364"/>
                </a:ext>
                <a:ext uri="{FF2B5EF4-FFF2-40B4-BE49-F238E27FC236}">
                  <a16:creationId xmlns:a16="http://schemas.microsoft.com/office/drawing/2014/main" id="{00000000-0008-0000-02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86</xdr:row>
          <xdr:rowOff>142875</xdr:rowOff>
        </xdr:from>
        <xdr:to>
          <xdr:col>11</xdr:col>
          <xdr:colOff>438150</xdr:colOff>
          <xdr:row>86</xdr:row>
          <xdr:rowOff>371475</xdr:rowOff>
        </xdr:to>
        <xdr:sp macro="" textlink="">
          <xdr:nvSpPr>
            <xdr:cNvPr id="12365" name="Check Box 77" hidden="1">
              <a:extLst>
                <a:ext uri="{63B3BB69-23CF-44E3-9099-C40C66FF867C}">
                  <a14:compatExt spid="_x0000_s12365"/>
                </a:ext>
                <a:ext uri="{FF2B5EF4-FFF2-40B4-BE49-F238E27FC236}">
                  <a16:creationId xmlns:a16="http://schemas.microsoft.com/office/drawing/2014/main" id="{00000000-0008-0000-02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92</xdr:row>
          <xdr:rowOff>123825</xdr:rowOff>
        </xdr:from>
        <xdr:to>
          <xdr:col>7</xdr:col>
          <xdr:colOff>485775</xdr:colOff>
          <xdr:row>92</xdr:row>
          <xdr:rowOff>514350</xdr:rowOff>
        </xdr:to>
        <xdr:sp macro="" textlink="">
          <xdr:nvSpPr>
            <xdr:cNvPr id="12366" name="ComboBox11" hidden="1">
              <a:extLst>
                <a:ext uri="{63B3BB69-23CF-44E3-9099-C40C66FF867C}">
                  <a14:compatExt spid="_x0000_s12366"/>
                </a:ext>
                <a:ext uri="{FF2B5EF4-FFF2-40B4-BE49-F238E27FC236}">
                  <a16:creationId xmlns:a16="http://schemas.microsoft.com/office/drawing/2014/main" id="{00000000-0008-0000-0200-00004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79</xdr:row>
          <xdr:rowOff>28575</xdr:rowOff>
        </xdr:from>
        <xdr:to>
          <xdr:col>8</xdr:col>
          <xdr:colOff>304800</xdr:colOff>
          <xdr:row>79</xdr:row>
          <xdr:rowOff>390525</xdr:rowOff>
        </xdr:to>
        <xdr:sp macro="" textlink="">
          <xdr:nvSpPr>
            <xdr:cNvPr id="12373" name="ComboBox10" hidden="1">
              <a:extLst>
                <a:ext uri="{63B3BB69-23CF-44E3-9099-C40C66FF867C}">
                  <a14:compatExt spid="_x0000_s12373"/>
                </a:ext>
                <a:ext uri="{FF2B5EF4-FFF2-40B4-BE49-F238E27FC236}">
                  <a16:creationId xmlns:a16="http://schemas.microsoft.com/office/drawing/2014/main" id="{00000000-0008-0000-0200-00005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68</xdr:row>
          <xdr:rowOff>9525</xdr:rowOff>
        </xdr:from>
        <xdr:to>
          <xdr:col>6</xdr:col>
          <xdr:colOff>952500</xdr:colOff>
          <xdr:row>69</xdr:row>
          <xdr:rowOff>38100</xdr:rowOff>
        </xdr:to>
        <xdr:sp macro="" textlink="">
          <xdr:nvSpPr>
            <xdr:cNvPr id="12376" name="Check Box 88" hidden="1">
              <a:extLst>
                <a:ext uri="{63B3BB69-23CF-44E3-9099-C40C66FF867C}">
                  <a14:compatExt spid="_x0000_s12376"/>
                </a:ext>
                <a:ext uri="{FF2B5EF4-FFF2-40B4-BE49-F238E27FC236}">
                  <a16:creationId xmlns:a16="http://schemas.microsoft.com/office/drawing/2014/main" id="{00000000-0008-0000-02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61</xdr:row>
          <xdr:rowOff>19050</xdr:rowOff>
        </xdr:from>
        <xdr:to>
          <xdr:col>6</xdr:col>
          <xdr:colOff>933450</xdr:colOff>
          <xdr:row>61</xdr:row>
          <xdr:rowOff>381000</xdr:rowOff>
        </xdr:to>
        <xdr:sp macro="" textlink="">
          <xdr:nvSpPr>
            <xdr:cNvPr id="12377" name="Check Box 89" hidden="1">
              <a:extLst>
                <a:ext uri="{63B3BB69-23CF-44E3-9099-C40C66FF867C}">
                  <a14:compatExt spid="_x0000_s12377"/>
                </a:ext>
                <a:ext uri="{FF2B5EF4-FFF2-40B4-BE49-F238E27FC236}">
                  <a16:creationId xmlns:a16="http://schemas.microsoft.com/office/drawing/2014/main" id="{00000000-0008-0000-0200-00005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67</xdr:row>
          <xdr:rowOff>0</xdr:rowOff>
        </xdr:from>
        <xdr:to>
          <xdr:col>6</xdr:col>
          <xdr:colOff>933450</xdr:colOff>
          <xdr:row>68</xdr:row>
          <xdr:rowOff>85725</xdr:rowOff>
        </xdr:to>
        <xdr:sp macro="" textlink="">
          <xdr:nvSpPr>
            <xdr:cNvPr id="12378" name="Check Box 90" hidden="1">
              <a:extLst>
                <a:ext uri="{63B3BB69-23CF-44E3-9099-C40C66FF867C}">
                  <a14:compatExt spid="_x0000_s12378"/>
                </a:ext>
                <a:ext uri="{FF2B5EF4-FFF2-40B4-BE49-F238E27FC236}">
                  <a16:creationId xmlns:a16="http://schemas.microsoft.com/office/drawing/2014/main" id="{00000000-0008-0000-0200-00005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73</xdr:row>
          <xdr:rowOff>76200</xdr:rowOff>
        </xdr:from>
        <xdr:to>
          <xdr:col>9</xdr:col>
          <xdr:colOff>133350</xdr:colOff>
          <xdr:row>73</xdr:row>
          <xdr:rowOff>457200</xdr:rowOff>
        </xdr:to>
        <xdr:sp macro="" textlink="">
          <xdr:nvSpPr>
            <xdr:cNvPr id="12381" name="ComboBox6" hidden="1">
              <a:extLst>
                <a:ext uri="{63B3BB69-23CF-44E3-9099-C40C66FF867C}">
                  <a14:compatExt spid="_x0000_s12381"/>
                </a:ext>
                <a:ext uri="{FF2B5EF4-FFF2-40B4-BE49-F238E27FC236}">
                  <a16:creationId xmlns:a16="http://schemas.microsoft.com/office/drawing/2014/main" id="{00000000-0008-0000-0200-00005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43</xdr:row>
          <xdr:rowOff>9525</xdr:rowOff>
        </xdr:from>
        <xdr:to>
          <xdr:col>32</xdr:col>
          <xdr:colOff>1028700</xdr:colOff>
          <xdr:row>43</xdr:row>
          <xdr:rowOff>228600</xdr:rowOff>
        </xdr:to>
        <xdr:sp macro="" textlink="">
          <xdr:nvSpPr>
            <xdr:cNvPr id="12388" name="Check Box 100" hidden="1">
              <a:extLst>
                <a:ext uri="{63B3BB69-23CF-44E3-9099-C40C66FF867C}">
                  <a14:compatExt spid="_x0000_s12388"/>
                </a:ext>
                <a:ext uri="{FF2B5EF4-FFF2-40B4-BE49-F238E27FC236}">
                  <a16:creationId xmlns:a16="http://schemas.microsoft.com/office/drawing/2014/main" id="{00000000-0008-0000-0200-00006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45</xdr:row>
          <xdr:rowOff>9525</xdr:rowOff>
        </xdr:from>
        <xdr:to>
          <xdr:col>32</xdr:col>
          <xdr:colOff>1028700</xdr:colOff>
          <xdr:row>45</xdr:row>
          <xdr:rowOff>228600</xdr:rowOff>
        </xdr:to>
        <xdr:sp macro="" textlink="">
          <xdr:nvSpPr>
            <xdr:cNvPr id="12389" name="Check Box 101" hidden="1">
              <a:extLst>
                <a:ext uri="{63B3BB69-23CF-44E3-9099-C40C66FF867C}">
                  <a14:compatExt spid="_x0000_s12389"/>
                </a:ext>
                <a:ext uri="{FF2B5EF4-FFF2-40B4-BE49-F238E27FC236}">
                  <a16:creationId xmlns:a16="http://schemas.microsoft.com/office/drawing/2014/main" id="{00000000-0008-0000-02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44</xdr:row>
          <xdr:rowOff>9525</xdr:rowOff>
        </xdr:from>
        <xdr:to>
          <xdr:col>32</xdr:col>
          <xdr:colOff>1028700</xdr:colOff>
          <xdr:row>44</xdr:row>
          <xdr:rowOff>247650</xdr:rowOff>
        </xdr:to>
        <xdr:sp macro="" textlink="">
          <xdr:nvSpPr>
            <xdr:cNvPr id="12390" name="Check Box 102" hidden="1">
              <a:extLst>
                <a:ext uri="{63B3BB69-23CF-44E3-9099-C40C66FF867C}">
                  <a14:compatExt spid="_x0000_s12390"/>
                </a:ext>
                <a:ext uri="{FF2B5EF4-FFF2-40B4-BE49-F238E27FC236}">
                  <a16:creationId xmlns:a16="http://schemas.microsoft.com/office/drawing/2014/main" id="{00000000-0008-0000-02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46</xdr:row>
          <xdr:rowOff>9525</xdr:rowOff>
        </xdr:from>
        <xdr:to>
          <xdr:col>32</xdr:col>
          <xdr:colOff>1028700</xdr:colOff>
          <xdr:row>46</xdr:row>
          <xdr:rowOff>228600</xdr:rowOff>
        </xdr:to>
        <xdr:sp macro="" textlink="">
          <xdr:nvSpPr>
            <xdr:cNvPr id="12391" name="Check Box 103" hidden="1">
              <a:extLst>
                <a:ext uri="{63B3BB69-23CF-44E3-9099-C40C66FF867C}">
                  <a14:compatExt spid="_x0000_s12391"/>
                </a:ext>
                <a:ext uri="{FF2B5EF4-FFF2-40B4-BE49-F238E27FC236}">
                  <a16:creationId xmlns:a16="http://schemas.microsoft.com/office/drawing/2014/main" id="{00000000-0008-0000-02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47</xdr:row>
          <xdr:rowOff>9525</xdr:rowOff>
        </xdr:from>
        <xdr:to>
          <xdr:col>32</xdr:col>
          <xdr:colOff>1028700</xdr:colOff>
          <xdr:row>47</xdr:row>
          <xdr:rowOff>228600</xdr:rowOff>
        </xdr:to>
        <xdr:sp macro="" textlink="">
          <xdr:nvSpPr>
            <xdr:cNvPr id="12392" name="Check Box 104" hidden="1">
              <a:extLst>
                <a:ext uri="{63B3BB69-23CF-44E3-9099-C40C66FF867C}">
                  <a14:compatExt spid="_x0000_s12392"/>
                </a:ext>
                <a:ext uri="{FF2B5EF4-FFF2-40B4-BE49-F238E27FC236}">
                  <a16:creationId xmlns:a16="http://schemas.microsoft.com/office/drawing/2014/main" id="{00000000-0008-0000-02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48</xdr:row>
          <xdr:rowOff>9525</xdr:rowOff>
        </xdr:from>
        <xdr:to>
          <xdr:col>32</xdr:col>
          <xdr:colOff>1028700</xdr:colOff>
          <xdr:row>48</xdr:row>
          <xdr:rowOff>228600</xdr:rowOff>
        </xdr:to>
        <xdr:sp macro="" textlink="">
          <xdr:nvSpPr>
            <xdr:cNvPr id="12393" name="Check Box 105" hidden="1">
              <a:extLst>
                <a:ext uri="{63B3BB69-23CF-44E3-9099-C40C66FF867C}">
                  <a14:compatExt spid="_x0000_s12393"/>
                </a:ext>
                <a:ext uri="{FF2B5EF4-FFF2-40B4-BE49-F238E27FC236}">
                  <a16:creationId xmlns:a16="http://schemas.microsoft.com/office/drawing/2014/main" id="{00000000-0008-0000-0200-00006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43</xdr:row>
          <xdr:rowOff>9525</xdr:rowOff>
        </xdr:from>
        <xdr:to>
          <xdr:col>32</xdr:col>
          <xdr:colOff>1028700</xdr:colOff>
          <xdr:row>43</xdr:row>
          <xdr:rowOff>228600</xdr:rowOff>
        </xdr:to>
        <xdr:sp macro="" textlink="">
          <xdr:nvSpPr>
            <xdr:cNvPr id="12394" name="Check Box 106" hidden="1">
              <a:extLst>
                <a:ext uri="{63B3BB69-23CF-44E3-9099-C40C66FF867C}">
                  <a14:compatExt spid="_x0000_s12394"/>
                </a:ext>
                <a:ext uri="{FF2B5EF4-FFF2-40B4-BE49-F238E27FC236}">
                  <a16:creationId xmlns:a16="http://schemas.microsoft.com/office/drawing/2014/main" id="{00000000-0008-0000-0200-00006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45</xdr:row>
          <xdr:rowOff>9525</xdr:rowOff>
        </xdr:from>
        <xdr:to>
          <xdr:col>32</xdr:col>
          <xdr:colOff>1028700</xdr:colOff>
          <xdr:row>45</xdr:row>
          <xdr:rowOff>228600</xdr:rowOff>
        </xdr:to>
        <xdr:sp macro="" textlink="">
          <xdr:nvSpPr>
            <xdr:cNvPr id="12395" name="Check Box 107" hidden="1">
              <a:extLst>
                <a:ext uri="{63B3BB69-23CF-44E3-9099-C40C66FF867C}">
                  <a14:compatExt spid="_x0000_s12395"/>
                </a:ext>
                <a:ext uri="{FF2B5EF4-FFF2-40B4-BE49-F238E27FC236}">
                  <a16:creationId xmlns:a16="http://schemas.microsoft.com/office/drawing/2014/main" id="{00000000-0008-0000-0200-00006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44</xdr:row>
          <xdr:rowOff>9525</xdr:rowOff>
        </xdr:from>
        <xdr:to>
          <xdr:col>32</xdr:col>
          <xdr:colOff>1028700</xdr:colOff>
          <xdr:row>44</xdr:row>
          <xdr:rowOff>247650</xdr:rowOff>
        </xdr:to>
        <xdr:sp macro="" textlink="">
          <xdr:nvSpPr>
            <xdr:cNvPr id="12396" name="Check Box 108" hidden="1">
              <a:extLst>
                <a:ext uri="{63B3BB69-23CF-44E3-9099-C40C66FF867C}">
                  <a14:compatExt spid="_x0000_s12396"/>
                </a:ext>
                <a:ext uri="{FF2B5EF4-FFF2-40B4-BE49-F238E27FC236}">
                  <a16:creationId xmlns:a16="http://schemas.microsoft.com/office/drawing/2014/main" id="{00000000-0008-0000-0200-00006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46</xdr:row>
          <xdr:rowOff>9525</xdr:rowOff>
        </xdr:from>
        <xdr:to>
          <xdr:col>32</xdr:col>
          <xdr:colOff>1028700</xdr:colOff>
          <xdr:row>46</xdr:row>
          <xdr:rowOff>228600</xdr:rowOff>
        </xdr:to>
        <xdr:sp macro="" textlink="">
          <xdr:nvSpPr>
            <xdr:cNvPr id="12397" name="Check Box 109" hidden="1">
              <a:extLst>
                <a:ext uri="{63B3BB69-23CF-44E3-9099-C40C66FF867C}">
                  <a14:compatExt spid="_x0000_s12397"/>
                </a:ext>
                <a:ext uri="{FF2B5EF4-FFF2-40B4-BE49-F238E27FC236}">
                  <a16:creationId xmlns:a16="http://schemas.microsoft.com/office/drawing/2014/main" id="{00000000-0008-0000-0200-00006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47</xdr:row>
          <xdr:rowOff>9525</xdr:rowOff>
        </xdr:from>
        <xdr:to>
          <xdr:col>32</xdr:col>
          <xdr:colOff>1028700</xdr:colOff>
          <xdr:row>47</xdr:row>
          <xdr:rowOff>228600</xdr:rowOff>
        </xdr:to>
        <xdr:sp macro="" textlink="">
          <xdr:nvSpPr>
            <xdr:cNvPr id="12398" name="Check Box 110" hidden="1">
              <a:extLst>
                <a:ext uri="{63B3BB69-23CF-44E3-9099-C40C66FF867C}">
                  <a14:compatExt spid="_x0000_s12398"/>
                </a:ext>
                <a:ext uri="{FF2B5EF4-FFF2-40B4-BE49-F238E27FC236}">
                  <a16:creationId xmlns:a16="http://schemas.microsoft.com/office/drawing/2014/main" id="{00000000-0008-0000-0200-00006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48</xdr:row>
          <xdr:rowOff>9525</xdr:rowOff>
        </xdr:from>
        <xdr:to>
          <xdr:col>32</xdr:col>
          <xdr:colOff>1028700</xdr:colOff>
          <xdr:row>48</xdr:row>
          <xdr:rowOff>228600</xdr:rowOff>
        </xdr:to>
        <xdr:sp macro="" textlink="">
          <xdr:nvSpPr>
            <xdr:cNvPr id="12399" name="Check Box 111" hidden="1">
              <a:extLst>
                <a:ext uri="{63B3BB69-23CF-44E3-9099-C40C66FF867C}">
                  <a14:compatExt spid="_x0000_s12399"/>
                </a:ext>
                <a:ext uri="{FF2B5EF4-FFF2-40B4-BE49-F238E27FC236}">
                  <a16:creationId xmlns:a16="http://schemas.microsoft.com/office/drawing/2014/main" id="{00000000-0008-0000-0200-00006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428625</xdr:colOff>
          <xdr:row>44</xdr:row>
          <xdr:rowOff>38100</xdr:rowOff>
        </xdr:from>
        <xdr:to>
          <xdr:col>19</xdr:col>
          <xdr:colOff>933450</xdr:colOff>
          <xdr:row>44</xdr:row>
          <xdr:rowOff>323850</xdr:rowOff>
        </xdr:to>
        <xdr:sp macro="" textlink="">
          <xdr:nvSpPr>
            <xdr:cNvPr id="12401" name="Check Box 113" hidden="1">
              <a:extLst>
                <a:ext uri="{63B3BB69-23CF-44E3-9099-C40C66FF867C}">
                  <a14:compatExt spid="_x0000_s12401"/>
                </a:ext>
                <a:ext uri="{FF2B5EF4-FFF2-40B4-BE49-F238E27FC236}">
                  <a16:creationId xmlns:a16="http://schemas.microsoft.com/office/drawing/2014/main" id="{00000000-0008-0000-0200-00007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67</xdr:row>
          <xdr:rowOff>0</xdr:rowOff>
        </xdr:from>
        <xdr:to>
          <xdr:col>6</xdr:col>
          <xdr:colOff>438150</xdr:colOff>
          <xdr:row>68</xdr:row>
          <xdr:rowOff>9525</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68</xdr:row>
          <xdr:rowOff>57150</xdr:rowOff>
        </xdr:from>
        <xdr:to>
          <xdr:col>6</xdr:col>
          <xdr:colOff>438150</xdr:colOff>
          <xdr:row>68</xdr:row>
          <xdr:rowOff>333375</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69</xdr:row>
          <xdr:rowOff>76200</xdr:rowOff>
        </xdr:from>
        <xdr:to>
          <xdr:col>6</xdr:col>
          <xdr:colOff>419100</xdr:colOff>
          <xdr:row>69</xdr:row>
          <xdr:rowOff>295275</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70</xdr:row>
          <xdr:rowOff>0</xdr:rowOff>
        </xdr:from>
        <xdr:to>
          <xdr:col>6</xdr:col>
          <xdr:colOff>409575</xdr:colOff>
          <xdr:row>71</xdr:row>
          <xdr:rowOff>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71</xdr:row>
          <xdr:rowOff>76200</xdr:rowOff>
        </xdr:from>
        <xdr:to>
          <xdr:col>6</xdr:col>
          <xdr:colOff>428625</xdr:colOff>
          <xdr:row>72</xdr:row>
          <xdr:rowOff>19050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71</xdr:row>
          <xdr:rowOff>381000</xdr:rowOff>
        </xdr:from>
        <xdr:to>
          <xdr:col>6</xdr:col>
          <xdr:colOff>428625</xdr:colOff>
          <xdr:row>72</xdr:row>
          <xdr:rowOff>304800</xdr:rowOff>
        </xdr:to>
        <xdr:sp macro="" textlink="">
          <xdr:nvSpPr>
            <xdr:cNvPr id="11270" name="Check Box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74</xdr:row>
          <xdr:rowOff>552450</xdr:rowOff>
        </xdr:from>
        <xdr:to>
          <xdr:col>6</xdr:col>
          <xdr:colOff>409575</xdr:colOff>
          <xdr:row>75</xdr:row>
          <xdr:rowOff>342900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76</xdr:row>
          <xdr:rowOff>9525</xdr:rowOff>
        </xdr:from>
        <xdr:to>
          <xdr:col>6</xdr:col>
          <xdr:colOff>390525</xdr:colOff>
          <xdr:row>77</xdr:row>
          <xdr:rowOff>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77</xdr:row>
          <xdr:rowOff>28575</xdr:rowOff>
        </xdr:from>
        <xdr:to>
          <xdr:col>6</xdr:col>
          <xdr:colOff>390525</xdr:colOff>
          <xdr:row>78</xdr:row>
          <xdr:rowOff>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3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78</xdr:row>
          <xdr:rowOff>28575</xdr:rowOff>
        </xdr:from>
        <xdr:to>
          <xdr:col>6</xdr:col>
          <xdr:colOff>390525</xdr:colOff>
          <xdr:row>79</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79</xdr:row>
          <xdr:rowOff>38100</xdr:rowOff>
        </xdr:from>
        <xdr:to>
          <xdr:col>6</xdr:col>
          <xdr:colOff>409575</xdr:colOff>
          <xdr:row>80</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79</xdr:row>
          <xdr:rowOff>390525</xdr:rowOff>
        </xdr:from>
        <xdr:to>
          <xdr:col>6</xdr:col>
          <xdr:colOff>428625</xdr:colOff>
          <xdr:row>80</xdr:row>
          <xdr:rowOff>371475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81</xdr:row>
          <xdr:rowOff>28575</xdr:rowOff>
        </xdr:from>
        <xdr:to>
          <xdr:col>6</xdr:col>
          <xdr:colOff>428625</xdr:colOff>
          <xdr:row>82</xdr:row>
          <xdr:rowOff>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82</xdr:row>
          <xdr:rowOff>85725</xdr:rowOff>
        </xdr:from>
        <xdr:to>
          <xdr:col>6</xdr:col>
          <xdr:colOff>466725</xdr:colOff>
          <xdr:row>83</xdr:row>
          <xdr:rowOff>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82</xdr:row>
          <xdr:rowOff>609600</xdr:rowOff>
        </xdr:from>
        <xdr:to>
          <xdr:col>6</xdr:col>
          <xdr:colOff>466725</xdr:colOff>
          <xdr:row>83</xdr:row>
          <xdr:rowOff>342900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85</xdr:row>
          <xdr:rowOff>0</xdr:rowOff>
        </xdr:from>
        <xdr:to>
          <xdr:col>6</xdr:col>
          <xdr:colOff>419100</xdr:colOff>
          <xdr:row>85</xdr:row>
          <xdr:rowOff>371475</xdr:rowOff>
        </xdr:to>
        <xdr:sp macro="" textlink="">
          <xdr:nvSpPr>
            <xdr:cNvPr id="11292" name="Check Box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84</xdr:row>
          <xdr:rowOff>85725</xdr:rowOff>
        </xdr:from>
        <xdr:to>
          <xdr:col>6</xdr:col>
          <xdr:colOff>438150</xdr:colOff>
          <xdr:row>85</xdr:row>
          <xdr:rowOff>0</xdr:rowOff>
        </xdr:to>
        <xdr:sp macro="" textlink="">
          <xdr:nvSpPr>
            <xdr:cNvPr id="11293" name="Check Box 29" hidden="1">
              <a:extLst>
                <a:ext uri="{63B3BB69-23CF-44E3-9099-C40C66FF867C}">
                  <a14:compatExt spid="_x0000_s11293"/>
                </a:ext>
                <a:ext uri="{FF2B5EF4-FFF2-40B4-BE49-F238E27FC236}">
                  <a16:creationId xmlns:a16="http://schemas.microsoft.com/office/drawing/2014/main" id="{00000000-0008-0000-03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58</xdr:row>
          <xdr:rowOff>0</xdr:rowOff>
        </xdr:from>
        <xdr:to>
          <xdr:col>6</xdr:col>
          <xdr:colOff>419100</xdr:colOff>
          <xdr:row>59</xdr:row>
          <xdr:rowOff>0</xdr:rowOff>
        </xdr:to>
        <xdr:sp macro="" textlink="">
          <xdr:nvSpPr>
            <xdr:cNvPr id="11294" name="Check Box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59</xdr:row>
          <xdr:rowOff>0</xdr:rowOff>
        </xdr:from>
        <xdr:to>
          <xdr:col>6</xdr:col>
          <xdr:colOff>419100</xdr:colOff>
          <xdr:row>60</xdr:row>
          <xdr:rowOff>0</xdr:rowOff>
        </xdr:to>
        <xdr:sp macro="" textlink="">
          <xdr:nvSpPr>
            <xdr:cNvPr id="11295" name="Check Box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86</xdr:row>
          <xdr:rowOff>0</xdr:rowOff>
        </xdr:from>
        <xdr:to>
          <xdr:col>6</xdr:col>
          <xdr:colOff>419100</xdr:colOff>
          <xdr:row>86</xdr:row>
          <xdr:rowOff>371475</xdr:rowOff>
        </xdr:to>
        <xdr:sp macro="" textlink="">
          <xdr:nvSpPr>
            <xdr:cNvPr id="11297" name="Check Box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87</xdr:row>
          <xdr:rowOff>0</xdr:rowOff>
        </xdr:from>
        <xdr:to>
          <xdr:col>6</xdr:col>
          <xdr:colOff>419100</xdr:colOff>
          <xdr:row>87</xdr:row>
          <xdr:rowOff>371475</xdr:rowOff>
        </xdr:to>
        <xdr:sp macro="" textlink="">
          <xdr:nvSpPr>
            <xdr:cNvPr id="11298" name="Check Box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88</xdr:row>
          <xdr:rowOff>0</xdr:rowOff>
        </xdr:from>
        <xdr:to>
          <xdr:col>6</xdr:col>
          <xdr:colOff>419100</xdr:colOff>
          <xdr:row>88</xdr:row>
          <xdr:rowOff>371475</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89</xdr:row>
          <xdr:rowOff>0</xdr:rowOff>
        </xdr:from>
        <xdr:to>
          <xdr:col>6</xdr:col>
          <xdr:colOff>419100</xdr:colOff>
          <xdr:row>89</xdr:row>
          <xdr:rowOff>371475</xdr:rowOff>
        </xdr:to>
        <xdr:sp macro="" textlink="">
          <xdr:nvSpPr>
            <xdr:cNvPr id="11300" name="Check Box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90</xdr:row>
          <xdr:rowOff>0</xdr:rowOff>
        </xdr:from>
        <xdr:to>
          <xdr:col>6</xdr:col>
          <xdr:colOff>419100</xdr:colOff>
          <xdr:row>90</xdr:row>
          <xdr:rowOff>371475</xdr:rowOff>
        </xdr:to>
        <xdr:sp macro="" textlink="">
          <xdr:nvSpPr>
            <xdr:cNvPr id="11301" name="Check Box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91</xdr:row>
          <xdr:rowOff>0</xdr:rowOff>
        </xdr:from>
        <xdr:to>
          <xdr:col>6</xdr:col>
          <xdr:colOff>419100</xdr:colOff>
          <xdr:row>91</xdr:row>
          <xdr:rowOff>371475</xdr:rowOff>
        </xdr:to>
        <xdr:sp macro="" textlink="">
          <xdr:nvSpPr>
            <xdr:cNvPr id="11302" name="Check Box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53</xdr:row>
          <xdr:rowOff>0</xdr:rowOff>
        </xdr:from>
        <xdr:to>
          <xdr:col>6</xdr:col>
          <xdr:colOff>419100</xdr:colOff>
          <xdr:row>53</xdr:row>
          <xdr:rowOff>371475</xdr:rowOff>
        </xdr:to>
        <xdr:sp macro="" textlink="">
          <xdr:nvSpPr>
            <xdr:cNvPr id="11305" name="Check Box 41" hidden="1">
              <a:extLst>
                <a:ext uri="{63B3BB69-23CF-44E3-9099-C40C66FF867C}">
                  <a14:compatExt spid="_x0000_s11305"/>
                </a:ext>
                <a:ext uri="{FF2B5EF4-FFF2-40B4-BE49-F238E27FC236}">
                  <a16:creationId xmlns:a16="http://schemas.microsoft.com/office/drawing/2014/main" id="{00000000-0008-0000-03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38</xdr:row>
          <xdr:rowOff>85725</xdr:rowOff>
        </xdr:from>
        <xdr:to>
          <xdr:col>6</xdr:col>
          <xdr:colOff>409575</xdr:colOff>
          <xdr:row>38</xdr:row>
          <xdr:rowOff>295275</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300-00002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39</xdr:row>
          <xdr:rowOff>85725</xdr:rowOff>
        </xdr:from>
        <xdr:to>
          <xdr:col>6</xdr:col>
          <xdr:colOff>409575</xdr:colOff>
          <xdr:row>39</xdr:row>
          <xdr:rowOff>295275</xdr:rowOff>
        </xdr:to>
        <xdr:sp macro="" textlink="">
          <xdr:nvSpPr>
            <xdr:cNvPr id="11308" name="Check Box 44" hidden="1">
              <a:extLst>
                <a:ext uri="{63B3BB69-23CF-44E3-9099-C40C66FF867C}">
                  <a14:compatExt spid="_x0000_s11308"/>
                </a:ext>
                <a:ext uri="{FF2B5EF4-FFF2-40B4-BE49-F238E27FC236}">
                  <a16:creationId xmlns:a16="http://schemas.microsoft.com/office/drawing/2014/main" id="{00000000-0008-0000-0300-00002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37</xdr:row>
          <xdr:rowOff>47625</xdr:rowOff>
        </xdr:from>
        <xdr:to>
          <xdr:col>6</xdr:col>
          <xdr:colOff>466725</xdr:colOff>
          <xdr:row>37</xdr:row>
          <xdr:rowOff>361950</xdr:rowOff>
        </xdr:to>
        <xdr:sp macro="" textlink="">
          <xdr:nvSpPr>
            <xdr:cNvPr id="11335" name="Check Box 71" hidden="1">
              <a:extLst>
                <a:ext uri="{63B3BB69-23CF-44E3-9099-C40C66FF867C}">
                  <a14:compatExt spid="_x0000_s11335"/>
                </a:ext>
                <a:ext uri="{FF2B5EF4-FFF2-40B4-BE49-F238E27FC236}">
                  <a16:creationId xmlns:a16="http://schemas.microsoft.com/office/drawing/2014/main" id="{00000000-0008-0000-0300-00004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60</xdr:col>
          <xdr:colOff>828675</xdr:colOff>
          <xdr:row>2</xdr:row>
          <xdr:rowOff>285750</xdr:rowOff>
        </xdr:from>
        <xdr:to>
          <xdr:col>64</xdr:col>
          <xdr:colOff>85725</xdr:colOff>
          <xdr:row>7</xdr:row>
          <xdr:rowOff>114300</xdr:rowOff>
        </xdr:to>
        <xdr:sp macro="" textlink="">
          <xdr:nvSpPr>
            <xdr:cNvPr id="11337" name="Button 73" hidden="1">
              <a:extLst>
                <a:ext uri="{63B3BB69-23CF-44E3-9099-C40C66FF867C}">
                  <a14:compatExt spid="_x0000_s11337"/>
                </a:ext>
                <a:ext uri="{FF2B5EF4-FFF2-40B4-BE49-F238E27FC236}">
                  <a16:creationId xmlns:a16="http://schemas.microsoft.com/office/drawing/2014/main" id="{00000000-0008-0000-0300-00004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0</xdr:colOff>
      <xdr:row>100</xdr:row>
      <xdr:rowOff>328085</xdr:rowOff>
    </xdr:from>
    <xdr:to>
      <xdr:col>9</xdr:col>
      <xdr:colOff>992898</xdr:colOff>
      <xdr:row>101</xdr:row>
      <xdr:rowOff>96916</xdr:rowOff>
    </xdr:to>
    <xdr:pic>
      <xdr:nvPicPr>
        <xdr:cNvPr id="5" name="Picture 4" descr="Z:\Echange Kaelia\VIOLAINE\APRIL_PP Charte corpo\PNG\Trait\APRIL_EG_Trait_Taupe clair_300514.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0" y="9853085"/>
          <a:ext cx="4593348" cy="2831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704850</xdr:colOff>
      <xdr:row>103</xdr:row>
      <xdr:rowOff>38100</xdr:rowOff>
    </xdr:from>
    <xdr:to>
      <xdr:col>3</xdr:col>
      <xdr:colOff>1140718</xdr:colOff>
      <xdr:row>105</xdr:row>
      <xdr:rowOff>121397</xdr:rowOff>
    </xdr:to>
    <xdr:pic>
      <xdr:nvPicPr>
        <xdr:cNvPr id="3" name="Picture 2" descr="C:\Users\mdominikiewicz\Desktop\Pictos 4 atouts PNG\Pictos 4 atouts PNG\pictos_plaquette_4atouts_medaille9.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43775" y="20354925"/>
          <a:ext cx="435868" cy="5500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419100</xdr:colOff>
      <xdr:row>103</xdr:row>
      <xdr:rowOff>47625</xdr:rowOff>
    </xdr:from>
    <xdr:to>
      <xdr:col>4</xdr:col>
      <xdr:colOff>854968</xdr:colOff>
      <xdr:row>105</xdr:row>
      <xdr:rowOff>121396</xdr:rowOff>
    </xdr:to>
    <xdr:pic>
      <xdr:nvPicPr>
        <xdr:cNvPr id="6" name="Picture 5" descr="C:\Users\mdominikiewicz\Desktop\Pictos 4 atouts PNG\Pictos 4 atouts PNG\pictos_plaquette_4atouts_medaille5.png">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58025" y="20364450"/>
          <a:ext cx="435868" cy="54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485775</xdr:colOff>
      <xdr:row>60</xdr:row>
      <xdr:rowOff>114300</xdr:rowOff>
    </xdr:from>
    <xdr:to>
      <xdr:col>18</xdr:col>
      <xdr:colOff>552450</xdr:colOff>
      <xdr:row>88</xdr:row>
      <xdr:rowOff>66675</xdr:rowOff>
    </xdr:to>
    <xdr:pic>
      <xdr:nvPicPr>
        <xdr:cNvPr id="20481" name="Image 1" descr="cid:image006.jpg@01D75BAA.56011B40">
          <a:extLst>
            <a:ext uri="{FF2B5EF4-FFF2-40B4-BE49-F238E27FC236}">
              <a16:creationId xmlns:a16="http://schemas.microsoft.com/office/drawing/2014/main" id="{00000000-0008-0000-0400-0000015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3896975" y="12734925"/>
          <a:ext cx="6915150" cy="54959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1695190</xdr:colOff>
      <xdr:row>0</xdr:row>
      <xdr:rowOff>0</xdr:rowOff>
    </xdr:from>
    <xdr:to>
      <xdr:col>0</xdr:col>
      <xdr:colOff>0</xdr:colOff>
      <xdr:row>4</xdr:row>
      <xdr:rowOff>475596</xdr:rowOff>
    </xdr:to>
    <xdr:pic>
      <xdr:nvPicPr>
        <xdr:cNvPr id="14" name="Picture 13" descr="Z:\Echange Kaelia\APRIL\Eléments graphiques MARQUE APRIL\PICTOGRAMMES et ELEMENTS GRAPHIQUES\Pince - trombone\trombone.png">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97909" y="9209907"/>
          <a:ext cx="764645" cy="1011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38100</xdr:colOff>
          <xdr:row>107</xdr:row>
          <xdr:rowOff>304800</xdr:rowOff>
        </xdr:from>
        <xdr:to>
          <xdr:col>5</xdr:col>
          <xdr:colOff>409575</xdr:colOff>
          <xdr:row>109</xdr:row>
          <xdr:rowOff>9525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7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105</xdr:row>
          <xdr:rowOff>123825</xdr:rowOff>
        </xdr:from>
        <xdr:to>
          <xdr:col>5</xdr:col>
          <xdr:colOff>466725</xdr:colOff>
          <xdr:row>105</xdr:row>
          <xdr:rowOff>342900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7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106</xdr:row>
          <xdr:rowOff>266700</xdr:rowOff>
        </xdr:from>
        <xdr:to>
          <xdr:col>5</xdr:col>
          <xdr:colOff>438150</xdr:colOff>
          <xdr:row>107</xdr:row>
          <xdr:rowOff>295275</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7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105</xdr:row>
          <xdr:rowOff>304800</xdr:rowOff>
        </xdr:from>
        <xdr:to>
          <xdr:col>5</xdr:col>
          <xdr:colOff>438150</xdr:colOff>
          <xdr:row>106</xdr:row>
          <xdr:rowOff>266700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7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48</xdr:row>
          <xdr:rowOff>400050</xdr:rowOff>
        </xdr:from>
        <xdr:to>
          <xdr:col>5</xdr:col>
          <xdr:colOff>438150</xdr:colOff>
          <xdr:row>49</xdr:row>
          <xdr:rowOff>285750</xdr:rowOff>
        </xdr:to>
        <xdr:sp macro="" textlink="">
          <xdr:nvSpPr>
            <xdr:cNvPr id="2169" name="Check Box 121" hidden="1">
              <a:extLst>
                <a:ext uri="{63B3BB69-23CF-44E3-9099-C40C66FF867C}">
                  <a14:compatExt spid="_x0000_s2169"/>
                </a:ext>
                <a:ext uri="{FF2B5EF4-FFF2-40B4-BE49-F238E27FC236}">
                  <a16:creationId xmlns:a16="http://schemas.microsoft.com/office/drawing/2014/main" id="{00000000-0008-0000-07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49</xdr:row>
          <xdr:rowOff>400050</xdr:rowOff>
        </xdr:from>
        <xdr:to>
          <xdr:col>5</xdr:col>
          <xdr:colOff>438150</xdr:colOff>
          <xdr:row>50</xdr:row>
          <xdr:rowOff>342900</xdr:rowOff>
        </xdr:to>
        <xdr:sp macro="" textlink="">
          <xdr:nvSpPr>
            <xdr:cNvPr id="2170" name="Check Box 122" hidden="1">
              <a:extLst>
                <a:ext uri="{63B3BB69-23CF-44E3-9099-C40C66FF867C}">
                  <a14:compatExt spid="_x0000_s2170"/>
                </a:ext>
                <a:ext uri="{FF2B5EF4-FFF2-40B4-BE49-F238E27FC236}">
                  <a16:creationId xmlns:a16="http://schemas.microsoft.com/office/drawing/2014/main" id="{00000000-0008-0000-0700-00007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48</xdr:row>
          <xdr:rowOff>400050</xdr:rowOff>
        </xdr:from>
        <xdr:to>
          <xdr:col>5</xdr:col>
          <xdr:colOff>438150</xdr:colOff>
          <xdr:row>49</xdr:row>
          <xdr:rowOff>285750</xdr:rowOff>
        </xdr:to>
        <xdr:sp macro="" textlink="">
          <xdr:nvSpPr>
            <xdr:cNvPr id="2172" name="Check Box 124" hidden="1">
              <a:extLst>
                <a:ext uri="{63B3BB69-23CF-44E3-9099-C40C66FF867C}">
                  <a14:compatExt spid="_x0000_s2172"/>
                </a:ext>
                <a:ext uri="{FF2B5EF4-FFF2-40B4-BE49-F238E27FC236}">
                  <a16:creationId xmlns:a16="http://schemas.microsoft.com/office/drawing/2014/main" id="{00000000-0008-0000-0700-00007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51</xdr:row>
          <xdr:rowOff>0</xdr:rowOff>
        </xdr:from>
        <xdr:to>
          <xdr:col>5</xdr:col>
          <xdr:colOff>438150</xdr:colOff>
          <xdr:row>51</xdr:row>
          <xdr:rowOff>342900</xdr:rowOff>
        </xdr:to>
        <xdr:sp macro="" textlink="">
          <xdr:nvSpPr>
            <xdr:cNvPr id="2175" name="Check Box 127" hidden="1">
              <a:extLst>
                <a:ext uri="{63B3BB69-23CF-44E3-9099-C40C66FF867C}">
                  <a14:compatExt spid="_x0000_s2175"/>
                </a:ext>
                <a:ext uri="{FF2B5EF4-FFF2-40B4-BE49-F238E27FC236}">
                  <a16:creationId xmlns:a16="http://schemas.microsoft.com/office/drawing/2014/main" id="{00000000-0008-0000-0700-00007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52</xdr:row>
          <xdr:rowOff>0</xdr:rowOff>
        </xdr:from>
        <xdr:to>
          <xdr:col>5</xdr:col>
          <xdr:colOff>438150</xdr:colOff>
          <xdr:row>52</xdr:row>
          <xdr:rowOff>342900</xdr:rowOff>
        </xdr:to>
        <xdr:sp macro="" textlink="">
          <xdr:nvSpPr>
            <xdr:cNvPr id="2176" name="Check Box 128" hidden="1">
              <a:extLst>
                <a:ext uri="{63B3BB69-23CF-44E3-9099-C40C66FF867C}">
                  <a14:compatExt spid="_x0000_s2176"/>
                </a:ext>
                <a:ext uri="{FF2B5EF4-FFF2-40B4-BE49-F238E27FC236}">
                  <a16:creationId xmlns:a16="http://schemas.microsoft.com/office/drawing/2014/main" id="{00000000-0008-0000-0700-00008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53</xdr:row>
          <xdr:rowOff>0</xdr:rowOff>
        </xdr:from>
        <xdr:to>
          <xdr:col>5</xdr:col>
          <xdr:colOff>438150</xdr:colOff>
          <xdr:row>53</xdr:row>
          <xdr:rowOff>342900</xdr:rowOff>
        </xdr:to>
        <xdr:sp macro="" textlink="">
          <xdr:nvSpPr>
            <xdr:cNvPr id="2177" name="Check Box 129" hidden="1">
              <a:extLst>
                <a:ext uri="{63B3BB69-23CF-44E3-9099-C40C66FF867C}">
                  <a14:compatExt spid="_x0000_s2177"/>
                </a:ext>
                <a:ext uri="{FF2B5EF4-FFF2-40B4-BE49-F238E27FC236}">
                  <a16:creationId xmlns:a16="http://schemas.microsoft.com/office/drawing/2014/main" id="{00000000-0008-0000-0700-00008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28575</xdr:rowOff>
        </xdr:from>
        <xdr:to>
          <xdr:col>5</xdr:col>
          <xdr:colOff>438150</xdr:colOff>
          <xdr:row>11</xdr:row>
          <xdr:rowOff>9525</xdr:rowOff>
        </xdr:to>
        <xdr:sp macro="" textlink="">
          <xdr:nvSpPr>
            <xdr:cNvPr id="2258" name="Check Box 210" hidden="1">
              <a:extLst>
                <a:ext uri="{63B3BB69-23CF-44E3-9099-C40C66FF867C}">
                  <a14:compatExt spid="_x0000_s2258"/>
                </a:ext>
                <a:ext uri="{FF2B5EF4-FFF2-40B4-BE49-F238E27FC236}">
                  <a16:creationId xmlns:a16="http://schemas.microsoft.com/office/drawing/2014/main" id="{00000000-0008-0000-0700-0000D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76</xdr:row>
          <xdr:rowOff>0</xdr:rowOff>
        </xdr:from>
        <xdr:to>
          <xdr:col>5</xdr:col>
          <xdr:colOff>438150</xdr:colOff>
          <xdr:row>76</xdr:row>
          <xdr:rowOff>342900</xdr:rowOff>
        </xdr:to>
        <xdr:sp macro="" textlink="">
          <xdr:nvSpPr>
            <xdr:cNvPr id="2273" name="Check Box 225" hidden="1">
              <a:extLst>
                <a:ext uri="{63B3BB69-23CF-44E3-9099-C40C66FF867C}">
                  <a14:compatExt spid="_x0000_s2273"/>
                </a:ext>
                <a:ext uri="{FF2B5EF4-FFF2-40B4-BE49-F238E27FC236}">
                  <a16:creationId xmlns:a16="http://schemas.microsoft.com/office/drawing/2014/main" id="{00000000-0008-0000-0700-0000E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77</xdr:row>
          <xdr:rowOff>0</xdr:rowOff>
        </xdr:from>
        <xdr:to>
          <xdr:col>5</xdr:col>
          <xdr:colOff>438150</xdr:colOff>
          <xdr:row>77</xdr:row>
          <xdr:rowOff>342900</xdr:rowOff>
        </xdr:to>
        <xdr:sp macro="" textlink="">
          <xdr:nvSpPr>
            <xdr:cNvPr id="2274" name="Check Box 226" hidden="1">
              <a:extLst>
                <a:ext uri="{63B3BB69-23CF-44E3-9099-C40C66FF867C}">
                  <a14:compatExt spid="_x0000_s2274"/>
                </a:ext>
                <a:ext uri="{FF2B5EF4-FFF2-40B4-BE49-F238E27FC236}">
                  <a16:creationId xmlns:a16="http://schemas.microsoft.com/office/drawing/2014/main" id="{00000000-0008-0000-0700-0000E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78</xdr:row>
          <xdr:rowOff>0</xdr:rowOff>
        </xdr:from>
        <xdr:to>
          <xdr:col>5</xdr:col>
          <xdr:colOff>438150</xdr:colOff>
          <xdr:row>78</xdr:row>
          <xdr:rowOff>342900</xdr:rowOff>
        </xdr:to>
        <xdr:sp macro="" textlink="">
          <xdr:nvSpPr>
            <xdr:cNvPr id="2275" name="Check Box 227" hidden="1">
              <a:extLst>
                <a:ext uri="{63B3BB69-23CF-44E3-9099-C40C66FF867C}">
                  <a14:compatExt spid="_x0000_s2275"/>
                </a:ext>
                <a:ext uri="{FF2B5EF4-FFF2-40B4-BE49-F238E27FC236}">
                  <a16:creationId xmlns:a16="http://schemas.microsoft.com/office/drawing/2014/main" id="{00000000-0008-0000-0700-0000E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79</xdr:row>
          <xdr:rowOff>0</xdr:rowOff>
        </xdr:from>
        <xdr:to>
          <xdr:col>5</xdr:col>
          <xdr:colOff>438150</xdr:colOff>
          <xdr:row>79</xdr:row>
          <xdr:rowOff>342900</xdr:rowOff>
        </xdr:to>
        <xdr:sp macro="" textlink="">
          <xdr:nvSpPr>
            <xdr:cNvPr id="2276" name="Check Box 228" hidden="1">
              <a:extLst>
                <a:ext uri="{63B3BB69-23CF-44E3-9099-C40C66FF867C}">
                  <a14:compatExt spid="_x0000_s2276"/>
                </a:ext>
                <a:ext uri="{FF2B5EF4-FFF2-40B4-BE49-F238E27FC236}">
                  <a16:creationId xmlns:a16="http://schemas.microsoft.com/office/drawing/2014/main" id="{00000000-0008-0000-0700-0000E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80</xdr:row>
          <xdr:rowOff>0</xdr:rowOff>
        </xdr:from>
        <xdr:to>
          <xdr:col>5</xdr:col>
          <xdr:colOff>438150</xdr:colOff>
          <xdr:row>80</xdr:row>
          <xdr:rowOff>342900</xdr:rowOff>
        </xdr:to>
        <xdr:sp macro="" textlink="">
          <xdr:nvSpPr>
            <xdr:cNvPr id="2277" name="Check Box 229" hidden="1">
              <a:extLst>
                <a:ext uri="{63B3BB69-23CF-44E3-9099-C40C66FF867C}">
                  <a14:compatExt spid="_x0000_s2277"/>
                </a:ext>
                <a:ext uri="{FF2B5EF4-FFF2-40B4-BE49-F238E27FC236}">
                  <a16:creationId xmlns:a16="http://schemas.microsoft.com/office/drawing/2014/main" id="{00000000-0008-0000-0700-0000E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314325</xdr:colOff>
          <xdr:row>0</xdr:row>
          <xdr:rowOff>57150</xdr:rowOff>
        </xdr:from>
        <xdr:to>
          <xdr:col>20</xdr:col>
          <xdr:colOff>666750</xdr:colOff>
          <xdr:row>1</xdr:row>
          <xdr:rowOff>123825</xdr:rowOff>
        </xdr:to>
        <xdr:sp macro="" textlink="">
          <xdr:nvSpPr>
            <xdr:cNvPr id="2282" name="Button 234" hidden="1">
              <a:extLst>
                <a:ext uri="{63B3BB69-23CF-44E3-9099-C40C66FF867C}">
                  <a14:compatExt spid="_x0000_s2282"/>
                </a:ext>
                <a:ext uri="{FF2B5EF4-FFF2-40B4-BE49-F238E27FC236}">
                  <a16:creationId xmlns:a16="http://schemas.microsoft.com/office/drawing/2014/main" id="{00000000-0008-0000-0700-0000E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Reset affichage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15</xdr:row>
          <xdr:rowOff>28575</xdr:rowOff>
        </xdr:from>
        <xdr:to>
          <xdr:col>5</xdr:col>
          <xdr:colOff>438150</xdr:colOff>
          <xdr:row>16</xdr:row>
          <xdr:rowOff>352425</xdr:rowOff>
        </xdr:to>
        <xdr:sp macro="" textlink="">
          <xdr:nvSpPr>
            <xdr:cNvPr id="2283" name="Check Box 235" hidden="1">
              <a:extLst>
                <a:ext uri="{63B3BB69-23CF-44E3-9099-C40C66FF867C}">
                  <a14:compatExt spid="_x0000_s2283"/>
                </a:ext>
                <a:ext uri="{FF2B5EF4-FFF2-40B4-BE49-F238E27FC236}">
                  <a16:creationId xmlns:a16="http://schemas.microsoft.com/office/drawing/2014/main" id="{00000000-0008-0000-0700-0000E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16</xdr:row>
          <xdr:rowOff>28575</xdr:rowOff>
        </xdr:from>
        <xdr:to>
          <xdr:col>5</xdr:col>
          <xdr:colOff>438150</xdr:colOff>
          <xdr:row>18</xdr:row>
          <xdr:rowOff>9525</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00000000-0008-0000-0700-0000E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28575</xdr:rowOff>
        </xdr:from>
        <xdr:to>
          <xdr:col>5</xdr:col>
          <xdr:colOff>438150</xdr:colOff>
          <xdr:row>19</xdr:row>
          <xdr:rowOff>38100</xdr:rowOff>
        </xdr:to>
        <xdr:sp macro="" textlink="">
          <xdr:nvSpPr>
            <xdr:cNvPr id="2285" name="Check Box 237" hidden="1">
              <a:extLst>
                <a:ext uri="{63B3BB69-23CF-44E3-9099-C40C66FF867C}">
                  <a14:compatExt spid="_x0000_s2285"/>
                </a:ext>
                <a:ext uri="{FF2B5EF4-FFF2-40B4-BE49-F238E27FC236}">
                  <a16:creationId xmlns:a16="http://schemas.microsoft.com/office/drawing/2014/main" id="{00000000-0008-0000-0700-0000E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438150</xdr:colOff>
          <xdr:row>14</xdr:row>
          <xdr:rowOff>381000</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00000000-0008-0000-0700-0000E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11</xdr:col>
      <xdr:colOff>460376</xdr:colOff>
      <xdr:row>220</xdr:row>
      <xdr:rowOff>5286</xdr:rowOff>
    </xdr:from>
    <xdr:to>
      <xdr:col>11</xdr:col>
      <xdr:colOff>820865</xdr:colOff>
      <xdr:row>222</xdr:row>
      <xdr:rowOff>161926</xdr:rowOff>
    </xdr:to>
    <xdr:pic>
      <xdr:nvPicPr>
        <xdr:cNvPr id="4" name="Picture 3" descr="C:\Users\mdominikiewicz\Desktop\Pictos 4 atouts PNG\Pictos 4 atouts PNG\pictos_plaquette_4atouts_medaille5.png">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052051" y="50411586"/>
          <a:ext cx="360489" cy="499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777874</xdr:colOff>
      <xdr:row>13</xdr:row>
      <xdr:rowOff>226483</xdr:rowOff>
    </xdr:from>
    <xdr:to>
      <xdr:col>13</xdr:col>
      <xdr:colOff>1126067</xdr:colOff>
      <xdr:row>15</xdr:row>
      <xdr:rowOff>120650</xdr:rowOff>
    </xdr:to>
    <xdr:pic>
      <xdr:nvPicPr>
        <xdr:cNvPr id="14" name="Image 56">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32041" y="1041400"/>
          <a:ext cx="348193" cy="359833"/>
        </a:xfrm>
        <a:prstGeom prst="rect">
          <a:avLst/>
        </a:prstGeom>
      </xdr:spPr>
    </xdr:pic>
    <xdr:clientData/>
  </xdr:twoCellAnchor>
  <xdr:twoCellAnchor editAs="oneCell">
    <xdr:from>
      <xdr:col>4</xdr:col>
      <xdr:colOff>132291</xdr:colOff>
      <xdr:row>165</xdr:row>
      <xdr:rowOff>641355</xdr:rowOff>
    </xdr:from>
    <xdr:to>
      <xdr:col>4</xdr:col>
      <xdr:colOff>676518</xdr:colOff>
      <xdr:row>169</xdr:row>
      <xdr:rowOff>126188</xdr:rowOff>
    </xdr:to>
    <xdr:pic>
      <xdr:nvPicPr>
        <xdr:cNvPr id="23" name="Image 26">
          <a:extLst>
            <a:ext uri="{FF2B5EF4-FFF2-40B4-BE49-F238E27FC236}">
              <a16:creationId xmlns:a16="http://schemas.microsoft.com/office/drawing/2014/main" id="{00000000-0008-0000-0C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5400000">
          <a:off x="857780" y="42598449"/>
          <a:ext cx="553750" cy="544227"/>
        </a:xfrm>
        <a:prstGeom prst="rect">
          <a:avLst/>
        </a:prstGeom>
      </xdr:spPr>
    </xdr:pic>
    <xdr:clientData/>
  </xdr:twoCellAnchor>
  <xdr:twoCellAnchor editAs="oneCell">
    <xdr:from>
      <xdr:col>4</xdr:col>
      <xdr:colOff>128715</xdr:colOff>
      <xdr:row>163</xdr:row>
      <xdr:rowOff>33306</xdr:rowOff>
    </xdr:from>
    <xdr:to>
      <xdr:col>4</xdr:col>
      <xdr:colOff>672942</xdr:colOff>
      <xdr:row>165</xdr:row>
      <xdr:rowOff>347876</xdr:rowOff>
    </xdr:to>
    <xdr:pic>
      <xdr:nvPicPr>
        <xdr:cNvPr id="24" name="Image 28">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5400000">
          <a:off x="862669" y="41759685"/>
          <a:ext cx="536820" cy="544227"/>
        </a:xfrm>
        <a:prstGeom prst="rect">
          <a:avLst/>
        </a:prstGeom>
      </xdr:spPr>
    </xdr:pic>
    <xdr:clientData/>
  </xdr:twoCellAnchor>
  <xdr:twoCellAnchor editAs="oneCell">
    <xdr:from>
      <xdr:col>4</xdr:col>
      <xdr:colOff>139700</xdr:colOff>
      <xdr:row>240</xdr:row>
      <xdr:rowOff>0</xdr:rowOff>
    </xdr:from>
    <xdr:to>
      <xdr:col>4</xdr:col>
      <xdr:colOff>683927</xdr:colOff>
      <xdr:row>242</xdr:row>
      <xdr:rowOff>217202</xdr:rowOff>
    </xdr:to>
    <xdr:pic>
      <xdr:nvPicPr>
        <xdr:cNvPr id="26" name="Image 29">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rot="5400000">
          <a:off x="866775" y="53766508"/>
          <a:ext cx="550577" cy="544227"/>
        </a:xfrm>
        <a:prstGeom prst="rect">
          <a:avLst/>
        </a:prstGeom>
      </xdr:spPr>
    </xdr:pic>
    <xdr:clientData/>
  </xdr:twoCellAnchor>
  <xdr:twoCellAnchor editAs="oneCell">
    <xdr:from>
      <xdr:col>10</xdr:col>
      <xdr:colOff>615950</xdr:colOff>
      <xdr:row>220</xdr:row>
      <xdr:rowOff>5284</xdr:rowOff>
    </xdr:from>
    <xdr:to>
      <xdr:col>10</xdr:col>
      <xdr:colOff>976439</xdr:colOff>
      <xdr:row>222</xdr:row>
      <xdr:rowOff>160174</xdr:rowOff>
    </xdr:to>
    <xdr:pic>
      <xdr:nvPicPr>
        <xdr:cNvPr id="15" name="Picture 14" descr="C:\Users\mdominikiewicz\Desktop\Pictos 4 atouts PNG\Pictos 4 atouts PNG\pictos_plaquette_4atouts_medaille9.png">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855075" y="50411584"/>
          <a:ext cx="360489" cy="497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205318</xdr:colOff>
      <xdr:row>219</xdr:row>
      <xdr:rowOff>0</xdr:rowOff>
    </xdr:from>
    <xdr:to>
      <xdr:col>5</xdr:col>
      <xdr:colOff>15876</xdr:colOff>
      <xdr:row>222</xdr:row>
      <xdr:rowOff>83891</xdr:rowOff>
    </xdr:to>
    <xdr:pic>
      <xdr:nvPicPr>
        <xdr:cNvPr id="21" name="Image 9">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24468" y="49682400"/>
          <a:ext cx="782108" cy="798266"/>
        </a:xfrm>
        <a:prstGeom prst="rect">
          <a:avLst/>
        </a:prstGeom>
      </xdr:spPr>
    </xdr:pic>
    <xdr:clientData/>
  </xdr:twoCellAnchor>
  <xdr:twoCellAnchor editAs="oneCell">
    <xdr:from>
      <xdr:col>13</xdr:col>
      <xdr:colOff>642403</xdr:colOff>
      <xdr:row>160</xdr:row>
      <xdr:rowOff>0</xdr:rowOff>
    </xdr:from>
    <xdr:to>
      <xdr:col>13</xdr:col>
      <xdr:colOff>1053041</xdr:colOff>
      <xdr:row>161</xdr:row>
      <xdr:rowOff>47912</xdr:rowOff>
    </xdr:to>
    <xdr:pic>
      <xdr:nvPicPr>
        <xdr:cNvPr id="19" name="Image 56">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696570" y="41116250"/>
          <a:ext cx="410638" cy="375995"/>
        </a:xfrm>
        <a:prstGeom prst="rect">
          <a:avLst/>
        </a:prstGeom>
      </xdr:spPr>
    </xdr:pic>
    <xdr:clientData/>
  </xdr:twoCellAnchor>
  <xdr:twoCellAnchor editAs="oneCell">
    <xdr:from>
      <xdr:col>6</xdr:col>
      <xdr:colOff>2176987</xdr:colOff>
      <xdr:row>237</xdr:row>
      <xdr:rowOff>47626</xdr:rowOff>
    </xdr:from>
    <xdr:to>
      <xdr:col>6</xdr:col>
      <xdr:colOff>2727325</xdr:colOff>
      <xdr:row>237</xdr:row>
      <xdr:rowOff>424391</xdr:rowOff>
    </xdr:to>
    <xdr:pic>
      <xdr:nvPicPr>
        <xdr:cNvPr id="29" name="Image 22">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348937" y="54168676"/>
          <a:ext cx="547164" cy="380999"/>
        </a:xfrm>
        <a:prstGeom prst="rect">
          <a:avLst/>
        </a:prstGeom>
      </xdr:spPr>
    </xdr:pic>
    <xdr:clientData/>
  </xdr:twoCellAnchor>
  <xdr:twoCellAnchor editAs="oneCell">
    <xdr:from>
      <xdr:col>6</xdr:col>
      <xdr:colOff>2228849</xdr:colOff>
      <xdr:row>236</xdr:row>
      <xdr:rowOff>25819</xdr:rowOff>
    </xdr:from>
    <xdr:to>
      <xdr:col>6</xdr:col>
      <xdr:colOff>2698748</xdr:colOff>
      <xdr:row>236</xdr:row>
      <xdr:rowOff>372192</xdr:rowOff>
    </xdr:to>
    <xdr:pic>
      <xdr:nvPicPr>
        <xdr:cNvPr id="33" name="Picture 32" descr="Z:\Echange Kaelia\MELANIE\APRIL-PICTOS\VENDREDI 20052016\chemise\chemise -vert.png">
          <a:extLst>
            <a:ext uri="{FF2B5EF4-FFF2-40B4-BE49-F238E27FC236}">
              <a16:creationId xmlns:a16="http://schemas.microsoft.com/office/drawing/2014/main" id="{00000000-0008-0000-0C00-000021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6400799" y="53784919"/>
          <a:ext cx="466725" cy="346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105834</xdr:colOff>
      <xdr:row>4</xdr:row>
      <xdr:rowOff>19050</xdr:rowOff>
    </xdr:from>
    <xdr:to>
      <xdr:col>4</xdr:col>
      <xdr:colOff>781050</xdr:colOff>
      <xdr:row>4</xdr:row>
      <xdr:rowOff>685800</xdr:rowOff>
    </xdr:to>
    <xdr:pic>
      <xdr:nvPicPr>
        <xdr:cNvPr id="36" name="Picture 35" descr="PastedGraphic-1">
          <a:extLst>
            <a:ext uri="{FF2B5EF4-FFF2-40B4-BE49-F238E27FC236}">
              <a16:creationId xmlns:a16="http://schemas.microsoft.com/office/drawing/2014/main" id="{00000000-0008-0000-0C00-000024000000}"/>
            </a:ext>
          </a:extLst>
        </xdr:cNvPr>
        <xdr:cNvPicPr/>
      </xdr:nvPicPr>
      <xdr:blipFill>
        <a:blip xmlns:r="http://schemas.openxmlformats.org/officeDocument/2006/relationships" r:embed="rId11" cstate="print"/>
        <a:srcRect/>
        <a:stretch>
          <a:fillRect/>
        </a:stretch>
      </xdr:blipFill>
      <xdr:spPr bwMode="auto">
        <a:xfrm>
          <a:off x="686859" y="104775"/>
          <a:ext cx="779991" cy="666750"/>
        </a:xfrm>
        <a:prstGeom prst="rect">
          <a:avLst/>
        </a:prstGeom>
        <a:noFill/>
        <a:ln w="9525">
          <a:noFill/>
          <a:miter lim="800000"/>
          <a:headEnd/>
          <a:tailEnd/>
        </a:ln>
      </xdr:spPr>
    </xdr:pic>
    <xdr:clientData/>
  </xdr:twoCellAnchor>
  <xdr:twoCellAnchor editAs="oneCell">
    <xdr:from>
      <xdr:col>4</xdr:col>
      <xdr:colOff>0</xdr:colOff>
      <xdr:row>158</xdr:row>
      <xdr:rowOff>38100</xdr:rowOff>
    </xdr:from>
    <xdr:to>
      <xdr:col>4</xdr:col>
      <xdr:colOff>890807</xdr:colOff>
      <xdr:row>163</xdr:row>
      <xdr:rowOff>17683</xdr:rowOff>
    </xdr:to>
    <xdr:pic>
      <xdr:nvPicPr>
        <xdr:cNvPr id="20" name="Image 25">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81025" y="40538400"/>
          <a:ext cx="893982" cy="8908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266700</xdr:colOff>
          <xdr:row>220</xdr:row>
          <xdr:rowOff>0</xdr:rowOff>
        </xdr:from>
        <xdr:to>
          <xdr:col>10</xdr:col>
          <xdr:colOff>647700</xdr:colOff>
          <xdr:row>222</xdr:row>
          <xdr:rowOff>104775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C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220</xdr:row>
          <xdr:rowOff>0</xdr:rowOff>
        </xdr:from>
        <xdr:to>
          <xdr:col>11</xdr:col>
          <xdr:colOff>561975</xdr:colOff>
          <xdr:row>222</xdr:row>
          <xdr:rowOff>104775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C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170</xdr:row>
          <xdr:rowOff>152400</xdr:rowOff>
        </xdr:from>
        <xdr:to>
          <xdr:col>4</xdr:col>
          <xdr:colOff>762000</xdr:colOff>
          <xdr:row>172</xdr:row>
          <xdr:rowOff>76200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C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182</xdr:row>
          <xdr:rowOff>133350</xdr:rowOff>
        </xdr:from>
        <xdr:to>
          <xdr:col>4</xdr:col>
          <xdr:colOff>762000</xdr:colOff>
          <xdr:row>184</xdr:row>
          <xdr:rowOff>47625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C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183</xdr:row>
          <xdr:rowOff>142875</xdr:rowOff>
        </xdr:from>
        <xdr:to>
          <xdr:col>4</xdr:col>
          <xdr:colOff>771525</xdr:colOff>
          <xdr:row>185</xdr:row>
          <xdr:rowOff>57150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C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185</xdr:row>
          <xdr:rowOff>180975</xdr:rowOff>
        </xdr:from>
        <xdr:to>
          <xdr:col>4</xdr:col>
          <xdr:colOff>676275</xdr:colOff>
          <xdr:row>187</xdr:row>
          <xdr:rowOff>9525</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C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193</xdr:row>
          <xdr:rowOff>9525</xdr:rowOff>
        </xdr:from>
        <xdr:to>
          <xdr:col>4</xdr:col>
          <xdr:colOff>676275</xdr:colOff>
          <xdr:row>194</xdr:row>
          <xdr:rowOff>9525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C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193</xdr:row>
          <xdr:rowOff>133350</xdr:rowOff>
        </xdr:from>
        <xdr:to>
          <xdr:col>4</xdr:col>
          <xdr:colOff>762000</xdr:colOff>
          <xdr:row>195</xdr:row>
          <xdr:rowOff>66675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C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194</xdr:row>
          <xdr:rowOff>133350</xdr:rowOff>
        </xdr:from>
        <xdr:to>
          <xdr:col>4</xdr:col>
          <xdr:colOff>762000</xdr:colOff>
          <xdr:row>196</xdr:row>
          <xdr:rowOff>66675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C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195</xdr:row>
          <xdr:rowOff>133350</xdr:rowOff>
        </xdr:from>
        <xdr:to>
          <xdr:col>4</xdr:col>
          <xdr:colOff>762000</xdr:colOff>
          <xdr:row>197</xdr:row>
          <xdr:rowOff>66675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C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196</xdr:row>
          <xdr:rowOff>133350</xdr:rowOff>
        </xdr:from>
        <xdr:to>
          <xdr:col>4</xdr:col>
          <xdr:colOff>762000</xdr:colOff>
          <xdr:row>198</xdr:row>
          <xdr:rowOff>66675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C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197</xdr:row>
          <xdr:rowOff>133350</xdr:rowOff>
        </xdr:from>
        <xdr:to>
          <xdr:col>4</xdr:col>
          <xdr:colOff>762000</xdr:colOff>
          <xdr:row>199</xdr:row>
          <xdr:rowOff>66675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C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198</xdr:row>
          <xdr:rowOff>133350</xdr:rowOff>
        </xdr:from>
        <xdr:to>
          <xdr:col>4</xdr:col>
          <xdr:colOff>762000</xdr:colOff>
          <xdr:row>200</xdr:row>
          <xdr:rowOff>66675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C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199</xdr:row>
          <xdr:rowOff>133350</xdr:rowOff>
        </xdr:from>
        <xdr:to>
          <xdr:col>4</xdr:col>
          <xdr:colOff>762000</xdr:colOff>
          <xdr:row>201</xdr:row>
          <xdr:rowOff>66675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C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200</xdr:row>
          <xdr:rowOff>133350</xdr:rowOff>
        </xdr:from>
        <xdr:to>
          <xdr:col>4</xdr:col>
          <xdr:colOff>762000</xdr:colOff>
          <xdr:row>202</xdr:row>
          <xdr:rowOff>66675</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C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201</xdr:row>
          <xdr:rowOff>133350</xdr:rowOff>
        </xdr:from>
        <xdr:to>
          <xdr:col>4</xdr:col>
          <xdr:colOff>762000</xdr:colOff>
          <xdr:row>203</xdr:row>
          <xdr:rowOff>57150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C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207</xdr:row>
          <xdr:rowOff>133350</xdr:rowOff>
        </xdr:from>
        <xdr:to>
          <xdr:col>4</xdr:col>
          <xdr:colOff>762000</xdr:colOff>
          <xdr:row>209</xdr:row>
          <xdr:rowOff>66675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C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208</xdr:row>
          <xdr:rowOff>133350</xdr:rowOff>
        </xdr:from>
        <xdr:to>
          <xdr:col>4</xdr:col>
          <xdr:colOff>762000</xdr:colOff>
          <xdr:row>210</xdr:row>
          <xdr:rowOff>28575</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C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209</xdr:row>
          <xdr:rowOff>142875</xdr:rowOff>
        </xdr:from>
        <xdr:to>
          <xdr:col>4</xdr:col>
          <xdr:colOff>762000</xdr:colOff>
          <xdr:row>211</xdr:row>
          <xdr:rowOff>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C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210</xdr:row>
          <xdr:rowOff>142875</xdr:rowOff>
        </xdr:from>
        <xdr:to>
          <xdr:col>4</xdr:col>
          <xdr:colOff>762000</xdr:colOff>
          <xdr:row>212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C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211</xdr:row>
          <xdr:rowOff>142875</xdr:rowOff>
        </xdr:from>
        <xdr:to>
          <xdr:col>4</xdr:col>
          <xdr:colOff>762000</xdr:colOff>
          <xdr:row>213</xdr:row>
          <xdr:rowOff>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C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212</xdr:row>
          <xdr:rowOff>142875</xdr:rowOff>
        </xdr:from>
        <xdr:to>
          <xdr:col>4</xdr:col>
          <xdr:colOff>762000</xdr:colOff>
          <xdr:row>214</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C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213</xdr:row>
          <xdr:rowOff>142875</xdr:rowOff>
        </xdr:from>
        <xdr:to>
          <xdr:col>4</xdr:col>
          <xdr:colOff>762000</xdr:colOff>
          <xdr:row>214</xdr:row>
          <xdr:rowOff>257175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C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214</xdr:row>
          <xdr:rowOff>161925</xdr:rowOff>
        </xdr:from>
        <xdr:to>
          <xdr:col>4</xdr:col>
          <xdr:colOff>762000</xdr:colOff>
          <xdr:row>215</xdr:row>
          <xdr:rowOff>257175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C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215</xdr:row>
          <xdr:rowOff>161925</xdr:rowOff>
        </xdr:from>
        <xdr:to>
          <xdr:col>4</xdr:col>
          <xdr:colOff>762000</xdr:colOff>
          <xdr:row>216</xdr:row>
          <xdr:rowOff>257175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C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216</xdr:row>
          <xdr:rowOff>161925</xdr:rowOff>
        </xdr:from>
        <xdr:to>
          <xdr:col>4</xdr:col>
          <xdr:colOff>762000</xdr:colOff>
          <xdr:row>217</xdr:row>
          <xdr:rowOff>257175</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C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217</xdr:row>
          <xdr:rowOff>228600</xdr:rowOff>
        </xdr:from>
        <xdr:to>
          <xdr:col>4</xdr:col>
          <xdr:colOff>714375</xdr:colOff>
          <xdr:row>218</xdr:row>
          <xdr:rowOff>257175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C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178</xdr:row>
          <xdr:rowOff>142875</xdr:rowOff>
        </xdr:from>
        <xdr:to>
          <xdr:col>4</xdr:col>
          <xdr:colOff>771525</xdr:colOff>
          <xdr:row>180</xdr:row>
          <xdr:rowOff>57150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C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184</xdr:row>
          <xdr:rowOff>142875</xdr:rowOff>
        </xdr:from>
        <xdr:to>
          <xdr:col>4</xdr:col>
          <xdr:colOff>771525</xdr:colOff>
          <xdr:row>186</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C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186</xdr:row>
          <xdr:rowOff>209550</xdr:rowOff>
        </xdr:from>
        <xdr:to>
          <xdr:col>4</xdr:col>
          <xdr:colOff>666750</xdr:colOff>
          <xdr:row>188</xdr:row>
          <xdr:rowOff>38100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C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188</xdr:row>
          <xdr:rowOff>19050</xdr:rowOff>
        </xdr:from>
        <xdr:to>
          <xdr:col>4</xdr:col>
          <xdr:colOff>657225</xdr:colOff>
          <xdr:row>189</xdr:row>
          <xdr:rowOff>28575</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C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189</xdr:row>
          <xdr:rowOff>0</xdr:rowOff>
        </xdr:from>
        <xdr:to>
          <xdr:col>4</xdr:col>
          <xdr:colOff>657225</xdr:colOff>
          <xdr:row>190</xdr:row>
          <xdr:rowOff>9525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C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190</xdr:row>
          <xdr:rowOff>0</xdr:rowOff>
        </xdr:from>
        <xdr:to>
          <xdr:col>4</xdr:col>
          <xdr:colOff>657225</xdr:colOff>
          <xdr:row>191</xdr:row>
          <xdr:rowOff>9525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C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191</xdr:row>
          <xdr:rowOff>38100</xdr:rowOff>
        </xdr:from>
        <xdr:to>
          <xdr:col>4</xdr:col>
          <xdr:colOff>657225</xdr:colOff>
          <xdr:row>192</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C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192</xdr:row>
          <xdr:rowOff>38100</xdr:rowOff>
        </xdr:from>
        <xdr:to>
          <xdr:col>4</xdr:col>
          <xdr:colOff>657225</xdr:colOff>
          <xdr:row>193</xdr:row>
          <xdr:rowOff>38100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C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390525</xdr:colOff>
          <xdr:row>206</xdr:row>
          <xdr:rowOff>114300</xdr:rowOff>
        </xdr:from>
        <xdr:to>
          <xdr:col>4</xdr:col>
          <xdr:colOff>781050</xdr:colOff>
          <xdr:row>208</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C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202</xdr:row>
          <xdr:rowOff>123825</xdr:rowOff>
        </xdr:from>
        <xdr:to>
          <xdr:col>4</xdr:col>
          <xdr:colOff>752475</xdr:colOff>
          <xdr:row>204</xdr:row>
          <xdr:rowOff>47625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C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203</xdr:row>
          <xdr:rowOff>85725</xdr:rowOff>
        </xdr:from>
        <xdr:to>
          <xdr:col>4</xdr:col>
          <xdr:colOff>752475</xdr:colOff>
          <xdr:row>205</xdr:row>
          <xdr:rowOff>19050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C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204</xdr:row>
          <xdr:rowOff>123825</xdr:rowOff>
        </xdr:from>
        <xdr:to>
          <xdr:col>4</xdr:col>
          <xdr:colOff>771525</xdr:colOff>
          <xdr:row>206</xdr:row>
          <xdr:rowOff>57150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C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205</xdr:row>
          <xdr:rowOff>123825</xdr:rowOff>
        </xdr:from>
        <xdr:to>
          <xdr:col>4</xdr:col>
          <xdr:colOff>790575</xdr:colOff>
          <xdr:row>207</xdr:row>
          <xdr:rowOff>57150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C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171</xdr:row>
          <xdr:rowOff>152400</xdr:rowOff>
        </xdr:from>
        <xdr:to>
          <xdr:col>4</xdr:col>
          <xdr:colOff>762000</xdr:colOff>
          <xdr:row>173</xdr:row>
          <xdr:rowOff>66675</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C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181</xdr:row>
          <xdr:rowOff>152400</xdr:rowOff>
        </xdr:from>
        <xdr:to>
          <xdr:col>4</xdr:col>
          <xdr:colOff>733425</xdr:colOff>
          <xdr:row>183</xdr:row>
          <xdr:rowOff>47625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C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179</xdr:row>
          <xdr:rowOff>133350</xdr:rowOff>
        </xdr:from>
        <xdr:to>
          <xdr:col>4</xdr:col>
          <xdr:colOff>742950</xdr:colOff>
          <xdr:row>181</xdr:row>
          <xdr:rowOff>28575</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C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180</xdr:row>
          <xdr:rowOff>142875</xdr:rowOff>
        </xdr:from>
        <xdr:to>
          <xdr:col>4</xdr:col>
          <xdr:colOff>742950</xdr:colOff>
          <xdr:row>182</xdr:row>
          <xdr:rowOff>38100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C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12</xdr:col>
      <xdr:colOff>679449</xdr:colOff>
      <xdr:row>14</xdr:row>
      <xdr:rowOff>184149</xdr:rowOff>
    </xdr:from>
    <xdr:to>
      <xdr:col>12</xdr:col>
      <xdr:colOff>1027642</xdr:colOff>
      <xdr:row>16</xdr:row>
      <xdr:rowOff>99482</xdr:rowOff>
    </xdr:to>
    <xdr:pic>
      <xdr:nvPicPr>
        <xdr:cNvPr id="3" name="Image 56">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7116" y="1041399"/>
          <a:ext cx="348193" cy="359833"/>
        </a:xfrm>
        <a:prstGeom prst="rect">
          <a:avLst/>
        </a:prstGeom>
      </xdr:spPr>
    </xdr:pic>
    <xdr:clientData/>
  </xdr:twoCellAnchor>
  <xdr:twoCellAnchor editAs="oneCell">
    <xdr:from>
      <xdr:col>4</xdr:col>
      <xdr:colOff>129650</xdr:colOff>
      <xdr:row>164</xdr:row>
      <xdr:rowOff>14556</xdr:rowOff>
    </xdr:from>
    <xdr:to>
      <xdr:col>4</xdr:col>
      <xdr:colOff>673877</xdr:colOff>
      <xdr:row>167</xdr:row>
      <xdr:rowOff>22209</xdr:rowOff>
    </xdr:to>
    <xdr:pic>
      <xdr:nvPicPr>
        <xdr:cNvPr id="5" name="Image 26">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5400000">
          <a:off x="778938" y="41168112"/>
          <a:ext cx="531528" cy="544227"/>
        </a:xfrm>
        <a:prstGeom prst="rect">
          <a:avLst/>
        </a:prstGeom>
      </xdr:spPr>
    </xdr:pic>
    <xdr:clientData/>
  </xdr:twoCellAnchor>
  <xdr:twoCellAnchor editAs="oneCell">
    <xdr:from>
      <xdr:col>4</xdr:col>
      <xdr:colOff>57280</xdr:colOff>
      <xdr:row>161</xdr:row>
      <xdr:rowOff>42567</xdr:rowOff>
    </xdr:from>
    <xdr:to>
      <xdr:col>4</xdr:col>
      <xdr:colOff>601507</xdr:colOff>
      <xdr:row>163</xdr:row>
      <xdr:rowOff>335967</xdr:rowOff>
    </xdr:to>
    <xdr:pic>
      <xdr:nvPicPr>
        <xdr:cNvPr id="6" name="Image 28">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5400000">
          <a:off x="694663" y="40207903"/>
          <a:ext cx="555338" cy="544227"/>
        </a:xfrm>
        <a:prstGeom prst="rect">
          <a:avLst/>
        </a:prstGeom>
      </xdr:spPr>
    </xdr:pic>
    <xdr:clientData/>
  </xdr:twoCellAnchor>
  <xdr:twoCellAnchor editAs="oneCell">
    <xdr:from>
      <xdr:col>4</xdr:col>
      <xdr:colOff>170125</xdr:colOff>
      <xdr:row>227</xdr:row>
      <xdr:rowOff>119064</xdr:rowOff>
    </xdr:from>
    <xdr:to>
      <xdr:col>4</xdr:col>
      <xdr:colOff>714352</xdr:colOff>
      <xdr:row>230</xdr:row>
      <xdr:rowOff>1303</xdr:rowOff>
    </xdr:to>
    <xdr:pic>
      <xdr:nvPicPr>
        <xdr:cNvPr id="7" name="Image 29">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5400000">
          <a:off x="813063" y="51065908"/>
          <a:ext cx="544227" cy="544227"/>
        </a:xfrm>
        <a:prstGeom prst="rect">
          <a:avLst/>
        </a:prstGeom>
      </xdr:spPr>
    </xdr:pic>
    <xdr:clientData/>
  </xdr:twoCellAnchor>
  <xdr:twoCellAnchor editAs="oneCell">
    <xdr:from>
      <xdr:col>6</xdr:col>
      <xdr:colOff>2703256</xdr:colOff>
      <xdr:row>226</xdr:row>
      <xdr:rowOff>130968</xdr:rowOff>
    </xdr:from>
    <xdr:to>
      <xdr:col>10</xdr:col>
      <xdr:colOff>1047750</xdr:colOff>
      <xdr:row>227</xdr:row>
      <xdr:rowOff>178672</xdr:rowOff>
    </xdr:to>
    <xdr:pic>
      <xdr:nvPicPr>
        <xdr:cNvPr id="8" name="Picture 7" descr="Z:\Echange Kaelia\VIOLAINE\APRIL_PP Charte corpo\PNG\Trait\APRIL_EG_Trait_Taupe clair_300514.png">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346569" y="50601562"/>
          <a:ext cx="4333337" cy="3096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33868</xdr:colOff>
      <xdr:row>216</xdr:row>
      <xdr:rowOff>144992</xdr:rowOff>
    </xdr:from>
    <xdr:to>
      <xdr:col>5</xdr:col>
      <xdr:colOff>80964</xdr:colOff>
      <xdr:row>219</xdr:row>
      <xdr:rowOff>57431</xdr:rowOff>
    </xdr:to>
    <xdr:pic>
      <xdr:nvPicPr>
        <xdr:cNvPr id="10" name="Imag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14893" y="40435742"/>
          <a:ext cx="785283" cy="798264"/>
        </a:xfrm>
        <a:prstGeom prst="rect">
          <a:avLst/>
        </a:prstGeom>
      </xdr:spPr>
    </xdr:pic>
    <xdr:clientData/>
  </xdr:twoCellAnchor>
  <xdr:twoCellAnchor editAs="oneCell">
    <xdr:from>
      <xdr:col>6</xdr:col>
      <xdr:colOff>352423</xdr:colOff>
      <xdr:row>226</xdr:row>
      <xdr:rowOff>7408</xdr:rowOff>
    </xdr:from>
    <xdr:to>
      <xdr:col>6</xdr:col>
      <xdr:colOff>676272</xdr:colOff>
      <xdr:row>227</xdr:row>
      <xdr:rowOff>35530</xdr:rowOff>
    </xdr:to>
    <xdr:pic>
      <xdr:nvPicPr>
        <xdr:cNvPr id="11" name="Picture 10" descr="Z:\Echange Kaelia\VIOLAINE\APRIL_PP Charte corpo\PNG\Trait\APRIL_EG_Trait_Vert_300514.png">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114798" y="18457333"/>
          <a:ext cx="323849" cy="2948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350315</xdr:colOff>
      <xdr:row>226</xdr:row>
      <xdr:rowOff>25405</xdr:rowOff>
    </xdr:from>
    <xdr:to>
      <xdr:col>6</xdr:col>
      <xdr:colOff>646424</xdr:colOff>
      <xdr:row>227</xdr:row>
      <xdr:rowOff>5068</xdr:rowOff>
    </xdr:to>
    <xdr:pic>
      <xdr:nvPicPr>
        <xdr:cNvPr id="12" name="Picture 11" descr="Z:\Echange Kaelia\VIOLAINE\APRIL_PP Charte corpo\PNG\Trait\APRIL_EG_Trait_Vert_300514.png">
          <a:extLst>
            <a:ext uri="{FF2B5EF4-FFF2-40B4-BE49-F238E27FC236}">
              <a16:creationId xmlns:a16="http://schemas.microsoft.com/office/drawing/2014/main" id="{00000000-0008-0000-0D00-00000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rot="16200000">
          <a:off x="4137562" y="18450458"/>
          <a:ext cx="246365" cy="2961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143665</xdr:colOff>
      <xdr:row>156</xdr:row>
      <xdr:rowOff>21429</xdr:rowOff>
    </xdr:from>
    <xdr:to>
      <xdr:col>12</xdr:col>
      <xdr:colOff>491858</xdr:colOff>
      <xdr:row>157</xdr:row>
      <xdr:rowOff>184148</xdr:rowOff>
    </xdr:to>
    <xdr:pic>
      <xdr:nvPicPr>
        <xdr:cNvPr id="13" name="Image 56">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871071" y="39121554"/>
          <a:ext cx="348193" cy="377032"/>
        </a:xfrm>
        <a:prstGeom prst="rect">
          <a:avLst/>
        </a:prstGeom>
      </xdr:spPr>
    </xdr:pic>
    <xdr:clientData/>
  </xdr:twoCellAnchor>
  <xdr:twoCellAnchor editAs="oneCell">
    <xdr:from>
      <xdr:col>10</xdr:col>
      <xdr:colOff>259284</xdr:colOff>
      <xdr:row>217</xdr:row>
      <xdr:rowOff>358913</xdr:rowOff>
    </xdr:from>
    <xdr:to>
      <xdr:col>10</xdr:col>
      <xdr:colOff>1127118</xdr:colOff>
      <xdr:row>220</xdr:row>
      <xdr:rowOff>327162</xdr:rowOff>
    </xdr:to>
    <xdr:pic>
      <xdr:nvPicPr>
        <xdr:cNvPr id="15" name="Image 22">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760347" y="48710194"/>
          <a:ext cx="867834" cy="861218"/>
        </a:xfrm>
        <a:prstGeom prst="rect">
          <a:avLst/>
        </a:prstGeom>
      </xdr:spPr>
    </xdr:pic>
    <xdr:clientData/>
  </xdr:twoCellAnchor>
  <xdr:twoCellAnchor editAs="oneCell">
    <xdr:from>
      <xdr:col>9</xdr:col>
      <xdr:colOff>485509</xdr:colOff>
      <xdr:row>217</xdr:row>
      <xdr:rowOff>473605</xdr:rowOff>
    </xdr:from>
    <xdr:to>
      <xdr:col>9</xdr:col>
      <xdr:colOff>1300428</xdr:colOff>
      <xdr:row>220</xdr:row>
      <xdr:rowOff>231962</xdr:rowOff>
    </xdr:to>
    <xdr:pic>
      <xdr:nvPicPr>
        <xdr:cNvPr id="16" name="Picture 15" descr="Z:\Echange Kaelia\MELANIE\APRIL-PICTOS\VENDREDI 20052016\chemise\chemise -vert.png">
          <a:extLst>
            <a:ext uri="{FF2B5EF4-FFF2-40B4-BE49-F238E27FC236}">
              <a16:creationId xmlns:a16="http://schemas.microsoft.com/office/drawing/2014/main" id="{00000000-0008-0000-0D00-000010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676884" y="48824886"/>
          <a:ext cx="814919" cy="6513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25400</xdr:colOff>
      <xdr:row>5</xdr:row>
      <xdr:rowOff>38100</xdr:rowOff>
    </xdr:from>
    <xdr:to>
      <xdr:col>5</xdr:col>
      <xdr:colOff>28575</xdr:colOff>
      <xdr:row>5</xdr:row>
      <xdr:rowOff>676275</xdr:rowOff>
    </xdr:to>
    <xdr:pic>
      <xdr:nvPicPr>
        <xdr:cNvPr id="18" name="Picture 17" descr="PastedGraphic-1">
          <a:extLst>
            <a:ext uri="{FF2B5EF4-FFF2-40B4-BE49-F238E27FC236}">
              <a16:creationId xmlns:a16="http://schemas.microsoft.com/office/drawing/2014/main" id="{00000000-0008-0000-0D00-000012000000}"/>
            </a:ext>
          </a:extLst>
        </xdr:cNvPr>
        <xdr:cNvPicPr/>
      </xdr:nvPicPr>
      <xdr:blipFill>
        <a:blip xmlns:r="http://schemas.openxmlformats.org/officeDocument/2006/relationships" r:embed="rId11" cstate="print"/>
        <a:srcRect/>
        <a:stretch>
          <a:fillRect/>
        </a:stretch>
      </xdr:blipFill>
      <xdr:spPr bwMode="auto">
        <a:xfrm>
          <a:off x="606425" y="123825"/>
          <a:ext cx="793750" cy="638175"/>
        </a:xfrm>
        <a:prstGeom prst="rect">
          <a:avLst/>
        </a:prstGeom>
        <a:noFill/>
        <a:ln w="9525">
          <a:noFill/>
          <a:miter lim="800000"/>
          <a:headEnd/>
          <a:tailEnd/>
        </a:ln>
      </xdr:spPr>
    </xdr:pic>
    <xdr:clientData/>
  </xdr:twoCellAnchor>
  <xdr:twoCellAnchor editAs="oneCell">
    <xdr:from>
      <xdr:col>1</xdr:col>
      <xdr:colOff>505356</xdr:colOff>
      <xdr:row>156</xdr:row>
      <xdr:rowOff>179919</xdr:rowOff>
    </xdr:from>
    <xdr:to>
      <xdr:col>5</xdr:col>
      <xdr:colOff>37263</xdr:colOff>
      <xdr:row>160</xdr:row>
      <xdr:rowOff>210303</xdr:rowOff>
    </xdr:to>
    <xdr:pic>
      <xdr:nvPicPr>
        <xdr:cNvPr id="20" name="Image 25">
          <a:extLst>
            <a:ext uri="{FF2B5EF4-FFF2-40B4-BE49-F238E27FC236}">
              <a16:creationId xmlns:a16="http://schemas.microsoft.com/office/drawing/2014/main" id="{00000000-0008-0000-0D00-00001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5356" y="39280044"/>
          <a:ext cx="893982" cy="8757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257175</xdr:colOff>
          <xdr:row>218</xdr:row>
          <xdr:rowOff>9525</xdr:rowOff>
        </xdr:from>
        <xdr:to>
          <xdr:col>9</xdr:col>
          <xdr:colOff>647700</xdr:colOff>
          <xdr:row>220</xdr:row>
          <xdr:rowOff>76200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D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217</xdr:row>
          <xdr:rowOff>581025</xdr:rowOff>
        </xdr:from>
        <xdr:to>
          <xdr:col>10</xdr:col>
          <xdr:colOff>514350</xdr:colOff>
          <xdr:row>220</xdr:row>
          <xdr:rowOff>28575</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D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169</xdr:row>
          <xdr:rowOff>152400</xdr:rowOff>
        </xdr:from>
        <xdr:to>
          <xdr:col>5</xdr:col>
          <xdr:colOff>66675</xdr:colOff>
          <xdr:row>171</xdr:row>
          <xdr:rowOff>76200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D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180</xdr:row>
          <xdr:rowOff>152400</xdr:rowOff>
        </xdr:from>
        <xdr:to>
          <xdr:col>5</xdr:col>
          <xdr:colOff>66675</xdr:colOff>
          <xdr:row>182</xdr:row>
          <xdr:rowOff>76200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D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666750</xdr:colOff>
          <xdr:row>0</xdr:row>
          <xdr:rowOff>123825</xdr:rowOff>
        </xdr:from>
        <xdr:to>
          <xdr:col>6</xdr:col>
          <xdr:colOff>2076450</xdr:colOff>
          <xdr:row>3</xdr:row>
          <xdr:rowOff>28575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D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2466975</xdr:colOff>
          <xdr:row>0</xdr:row>
          <xdr:rowOff>123825</xdr:rowOff>
        </xdr:from>
        <xdr:to>
          <xdr:col>6</xdr:col>
          <xdr:colOff>3933825</xdr:colOff>
          <xdr:row>3</xdr:row>
          <xdr:rowOff>38100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D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181</xdr:row>
          <xdr:rowOff>152400</xdr:rowOff>
        </xdr:from>
        <xdr:to>
          <xdr:col>5</xdr:col>
          <xdr:colOff>66675</xdr:colOff>
          <xdr:row>183</xdr:row>
          <xdr:rowOff>76200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D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182</xdr:row>
          <xdr:rowOff>152400</xdr:rowOff>
        </xdr:from>
        <xdr:to>
          <xdr:col>5</xdr:col>
          <xdr:colOff>66675</xdr:colOff>
          <xdr:row>184</xdr:row>
          <xdr:rowOff>76200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D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183</xdr:row>
          <xdr:rowOff>152400</xdr:rowOff>
        </xdr:from>
        <xdr:to>
          <xdr:col>5</xdr:col>
          <xdr:colOff>66675</xdr:colOff>
          <xdr:row>185</xdr:row>
          <xdr:rowOff>76200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D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184</xdr:row>
          <xdr:rowOff>152400</xdr:rowOff>
        </xdr:from>
        <xdr:to>
          <xdr:col>5</xdr:col>
          <xdr:colOff>66675</xdr:colOff>
          <xdr:row>186</xdr:row>
          <xdr:rowOff>76200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D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185</xdr:row>
          <xdr:rowOff>190500</xdr:rowOff>
        </xdr:from>
        <xdr:to>
          <xdr:col>4</xdr:col>
          <xdr:colOff>723900</xdr:colOff>
          <xdr:row>187</xdr:row>
          <xdr:rowOff>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D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186</xdr:row>
          <xdr:rowOff>152400</xdr:rowOff>
        </xdr:from>
        <xdr:to>
          <xdr:col>4</xdr:col>
          <xdr:colOff>714375</xdr:colOff>
          <xdr:row>188</xdr:row>
          <xdr:rowOff>19050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D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191</xdr:row>
          <xdr:rowOff>0</xdr:rowOff>
        </xdr:from>
        <xdr:to>
          <xdr:col>4</xdr:col>
          <xdr:colOff>704850</xdr:colOff>
          <xdr:row>192</xdr:row>
          <xdr:rowOff>28575</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D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191</xdr:row>
          <xdr:rowOff>152400</xdr:rowOff>
        </xdr:from>
        <xdr:to>
          <xdr:col>5</xdr:col>
          <xdr:colOff>66675</xdr:colOff>
          <xdr:row>193</xdr:row>
          <xdr:rowOff>76200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D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192</xdr:row>
          <xdr:rowOff>152400</xdr:rowOff>
        </xdr:from>
        <xdr:to>
          <xdr:col>5</xdr:col>
          <xdr:colOff>66675</xdr:colOff>
          <xdr:row>194</xdr:row>
          <xdr:rowOff>76200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D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193</xdr:row>
          <xdr:rowOff>152400</xdr:rowOff>
        </xdr:from>
        <xdr:to>
          <xdr:col>5</xdr:col>
          <xdr:colOff>66675</xdr:colOff>
          <xdr:row>195</xdr:row>
          <xdr:rowOff>76200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D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194</xdr:row>
          <xdr:rowOff>152400</xdr:rowOff>
        </xdr:from>
        <xdr:to>
          <xdr:col>5</xdr:col>
          <xdr:colOff>66675</xdr:colOff>
          <xdr:row>196</xdr:row>
          <xdr:rowOff>76200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D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195</xdr:row>
          <xdr:rowOff>152400</xdr:rowOff>
        </xdr:from>
        <xdr:to>
          <xdr:col>5</xdr:col>
          <xdr:colOff>66675</xdr:colOff>
          <xdr:row>197</xdr:row>
          <xdr:rowOff>76200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D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196</xdr:row>
          <xdr:rowOff>152400</xdr:rowOff>
        </xdr:from>
        <xdr:to>
          <xdr:col>5</xdr:col>
          <xdr:colOff>66675</xdr:colOff>
          <xdr:row>198</xdr:row>
          <xdr:rowOff>76200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D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197</xdr:row>
          <xdr:rowOff>152400</xdr:rowOff>
        </xdr:from>
        <xdr:to>
          <xdr:col>5</xdr:col>
          <xdr:colOff>66675</xdr:colOff>
          <xdr:row>199</xdr:row>
          <xdr:rowOff>76200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D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198</xdr:row>
          <xdr:rowOff>152400</xdr:rowOff>
        </xdr:from>
        <xdr:to>
          <xdr:col>5</xdr:col>
          <xdr:colOff>66675</xdr:colOff>
          <xdr:row>200</xdr:row>
          <xdr:rowOff>76200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D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199</xdr:row>
          <xdr:rowOff>152400</xdr:rowOff>
        </xdr:from>
        <xdr:to>
          <xdr:col>5</xdr:col>
          <xdr:colOff>66675</xdr:colOff>
          <xdr:row>201</xdr:row>
          <xdr:rowOff>76200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D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203</xdr:row>
          <xdr:rowOff>171450</xdr:rowOff>
        </xdr:from>
        <xdr:to>
          <xdr:col>5</xdr:col>
          <xdr:colOff>66675</xdr:colOff>
          <xdr:row>205</xdr:row>
          <xdr:rowOff>95250</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D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204</xdr:row>
          <xdr:rowOff>152400</xdr:rowOff>
        </xdr:from>
        <xdr:to>
          <xdr:col>5</xdr:col>
          <xdr:colOff>66675</xdr:colOff>
          <xdr:row>206</xdr:row>
          <xdr:rowOff>76200</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D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205</xdr:row>
          <xdr:rowOff>152400</xdr:rowOff>
        </xdr:from>
        <xdr:to>
          <xdr:col>5</xdr:col>
          <xdr:colOff>66675</xdr:colOff>
          <xdr:row>207</xdr:row>
          <xdr:rowOff>76200</xdr:rowOff>
        </xdr:to>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D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206</xdr:row>
          <xdr:rowOff>152400</xdr:rowOff>
        </xdr:from>
        <xdr:to>
          <xdr:col>5</xdr:col>
          <xdr:colOff>66675</xdr:colOff>
          <xdr:row>208</xdr:row>
          <xdr:rowOff>76200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D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207</xdr:row>
          <xdr:rowOff>152400</xdr:rowOff>
        </xdr:from>
        <xdr:to>
          <xdr:col>5</xdr:col>
          <xdr:colOff>66675</xdr:colOff>
          <xdr:row>209</xdr:row>
          <xdr:rowOff>76200</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D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208</xdr:row>
          <xdr:rowOff>152400</xdr:rowOff>
        </xdr:from>
        <xdr:to>
          <xdr:col>5</xdr:col>
          <xdr:colOff>66675</xdr:colOff>
          <xdr:row>210</xdr:row>
          <xdr:rowOff>76200</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D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209</xdr:row>
          <xdr:rowOff>152400</xdr:rowOff>
        </xdr:from>
        <xdr:to>
          <xdr:col>5</xdr:col>
          <xdr:colOff>66675</xdr:colOff>
          <xdr:row>211</xdr:row>
          <xdr:rowOff>76200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D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210</xdr:row>
          <xdr:rowOff>152400</xdr:rowOff>
        </xdr:from>
        <xdr:to>
          <xdr:col>5</xdr:col>
          <xdr:colOff>66675</xdr:colOff>
          <xdr:row>212</xdr:row>
          <xdr:rowOff>76200</xdr:rowOff>
        </xdr:to>
        <xdr:sp macro="" textlink="">
          <xdr:nvSpPr>
            <xdr:cNvPr id="3111" name="Check Box 39" hidden="1">
              <a:extLst>
                <a:ext uri="{63B3BB69-23CF-44E3-9099-C40C66FF867C}">
                  <a14:compatExt spid="_x0000_s3111"/>
                </a:ext>
                <a:ext uri="{FF2B5EF4-FFF2-40B4-BE49-F238E27FC236}">
                  <a16:creationId xmlns:a16="http://schemas.microsoft.com/office/drawing/2014/main" id="{00000000-0008-0000-0D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211</xdr:row>
          <xdr:rowOff>152400</xdr:rowOff>
        </xdr:from>
        <xdr:to>
          <xdr:col>5</xdr:col>
          <xdr:colOff>66675</xdr:colOff>
          <xdr:row>213</xdr:row>
          <xdr:rowOff>76200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D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212</xdr:row>
          <xdr:rowOff>152400</xdr:rowOff>
        </xdr:from>
        <xdr:to>
          <xdr:col>5</xdr:col>
          <xdr:colOff>66675</xdr:colOff>
          <xdr:row>214</xdr:row>
          <xdr:rowOff>76200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D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213</xdr:row>
          <xdr:rowOff>152400</xdr:rowOff>
        </xdr:from>
        <xdr:to>
          <xdr:col>5</xdr:col>
          <xdr:colOff>66675</xdr:colOff>
          <xdr:row>215</xdr:row>
          <xdr:rowOff>76200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D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214</xdr:row>
          <xdr:rowOff>152400</xdr:rowOff>
        </xdr:from>
        <xdr:to>
          <xdr:col>5</xdr:col>
          <xdr:colOff>66675</xdr:colOff>
          <xdr:row>216</xdr:row>
          <xdr:rowOff>76200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D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176</xdr:row>
          <xdr:rowOff>152400</xdr:rowOff>
        </xdr:from>
        <xdr:to>
          <xdr:col>5</xdr:col>
          <xdr:colOff>66675</xdr:colOff>
          <xdr:row>178</xdr:row>
          <xdr:rowOff>76200</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D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182</xdr:row>
          <xdr:rowOff>152400</xdr:rowOff>
        </xdr:from>
        <xdr:to>
          <xdr:col>5</xdr:col>
          <xdr:colOff>66675</xdr:colOff>
          <xdr:row>184</xdr:row>
          <xdr:rowOff>76200</xdr:rowOff>
        </xdr:to>
        <xdr:sp macro="" textlink="">
          <xdr:nvSpPr>
            <xdr:cNvPr id="3118" name="Check Box 46" hidden="1">
              <a:extLst>
                <a:ext uri="{63B3BB69-23CF-44E3-9099-C40C66FF867C}">
                  <a14:compatExt spid="_x0000_s3118"/>
                </a:ext>
                <a:ext uri="{FF2B5EF4-FFF2-40B4-BE49-F238E27FC236}">
                  <a16:creationId xmlns:a16="http://schemas.microsoft.com/office/drawing/2014/main" id="{00000000-0008-0000-0D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183</xdr:row>
          <xdr:rowOff>152400</xdr:rowOff>
        </xdr:from>
        <xdr:to>
          <xdr:col>5</xdr:col>
          <xdr:colOff>66675</xdr:colOff>
          <xdr:row>185</xdr:row>
          <xdr:rowOff>76200</xdr:rowOff>
        </xdr:to>
        <xdr:sp macro="" textlink="">
          <xdr:nvSpPr>
            <xdr:cNvPr id="3119" name="Check Box 47" hidden="1">
              <a:extLst>
                <a:ext uri="{63B3BB69-23CF-44E3-9099-C40C66FF867C}">
                  <a14:compatExt spid="_x0000_s3119"/>
                </a:ext>
                <a:ext uri="{FF2B5EF4-FFF2-40B4-BE49-F238E27FC236}">
                  <a16:creationId xmlns:a16="http://schemas.microsoft.com/office/drawing/2014/main" id="{00000000-0008-0000-0D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183</xdr:row>
          <xdr:rowOff>152400</xdr:rowOff>
        </xdr:from>
        <xdr:to>
          <xdr:col>5</xdr:col>
          <xdr:colOff>66675</xdr:colOff>
          <xdr:row>185</xdr:row>
          <xdr:rowOff>76200</xdr:rowOff>
        </xdr:to>
        <xdr:sp macro="" textlink="">
          <xdr:nvSpPr>
            <xdr:cNvPr id="3120" name="Check Box 48" hidden="1">
              <a:extLst>
                <a:ext uri="{63B3BB69-23CF-44E3-9099-C40C66FF867C}">
                  <a14:compatExt spid="_x0000_s3120"/>
                </a:ext>
                <a:ext uri="{FF2B5EF4-FFF2-40B4-BE49-F238E27FC236}">
                  <a16:creationId xmlns:a16="http://schemas.microsoft.com/office/drawing/2014/main" id="{00000000-0008-0000-0D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184</xdr:row>
          <xdr:rowOff>152400</xdr:rowOff>
        </xdr:from>
        <xdr:to>
          <xdr:col>5</xdr:col>
          <xdr:colOff>66675</xdr:colOff>
          <xdr:row>186</xdr:row>
          <xdr:rowOff>76200</xdr:rowOff>
        </xdr:to>
        <xdr:sp macro="" textlink="">
          <xdr:nvSpPr>
            <xdr:cNvPr id="3121" name="Check Box 49" hidden="1">
              <a:extLst>
                <a:ext uri="{63B3BB69-23CF-44E3-9099-C40C66FF867C}">
                  <a14:compatExt spid="_x0000_s3121"/>
                </a:ext>
                <a:ext uri="{FF2B5EF4-FFF2-40B4-BE49-F238E27FC236}">
                  <a16:creationId xmlns:a16="http://schemas.microsoft.com/office/drawing/2014/main" id="{00000000-0008-0000-0D00-00003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184</xdr:row>
          <xdr:rowOff>152400</xdr:rowOff>
        </xdr:from>
        <xdr:to>
          <xdr:col>5</xdr:col>
          <xdr:colOff>66675</xdr:colOff>
          <xdr:row>186</xdr:row>
          <xdr:rowOff>76200</xdr:rowOff>
        </xdr:to>
        <xdr:sp macro="" textlink="">
          <xdr:nvSpPr>
            <xdr:cNvPr id="3122" name="Check Box 50" hidden="1">
              <a:extLst>
                <a:ext uri="{63B3BB69-23CF-44E3-9099-C40C66FF867C}">
                  <a14:compatExt spid="_x0000_s3122"/>
                </a:ext>
                <a:ext uri="{FF2B5EF4-FFF2-40B4-BE49-F238E27FC236}">
                  <a16:creationId xmlns:a16="http://schemas.microsoft.com/office/drawing/2014/main" id="{00000000-0008-0000-0D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184</xdr:row>
          <xdr:rowOff>152400</xdr:rowOff>
        </xdr:from>
        <xdr:to>
          <xdr:col>5</xdr:col>
          <xdr:colOff>66675</xdr:colOff>
          <xdr:row>186</xdr:row>
          <xdr:rowOff>76200</xdr:rowOff>
        </xdr:to>
        <xdr:sp macro="" textlink="">
          <xdr:nvSpPr>
            <xdr:cNvPr id="3123" name="Check Box 51" hidden="1">
              <a:extLst>
                <a:ext uri="{63B3BB69-23CF-44E3-9099-C40C66FF867C}">
                  <a14:compatExt spid="_x0000_s3123"/>
                </a:ext>
                <a:ext uri="{FF2B5EF4-FFF2-40B4-BE49-F238E27FC236}">
                  <a16:creationId xmlns:a16="http://schemas.microsoft.com/office/drawing/2014/main" id="{00000000-0008-0000-0D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188</xdr:row>
          <xdr:rowOff>0</xdr:rowOff>
        </xdr:from>
        <xdr:to>
          <xdr:col>4</xdr:col>
          <xdr:colOff>714375</xdr:colOff>
          <xdr:row>189</xdr:row>
          <xdr:rowOff>28575</xdr:rowOff>
        </xdr:to>
        <xdr:sp macro="" textlink="">
          <xdr:nvSpPr>
            <xdr:cNvPr id="3134" name="Check Box 62" hidden="1">
              <a:extLst>
                <a:ext uri="{63B3BB69-23CF-44E3-9099-C40C66FF867C}">
                  <a14:compatExt spid="_x0000_s3134"/>
                </a:ext>
                <a:ext uri="{FF2B5EF4-FFF2-40B4-BE49-F238E27FC236}">
                  <a16:creationId xmlns:a16="http://schemas.microsoft.com/office/drawing/2014/main" id="{00000000-0008-0000-0D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189</xdr:row>
          <xdr:rowOff>0</xdr:rowOff>
        </xdr:from>
        <xdr:to>
          <xdr:col>4</xdr:col>
          <xdr:colOff>714375</xdr:colOff>
          <xdr:row>190</xdr:row>
          <xdr:rowOff>28575</xdr:rowOff>
        </xdr:to>
        <xdr:sp macro="" textlink="">
          <xdr:nvSpPr>
            <xdr:cNvPr id="3145" name="Check Box 73" hidden="1">
              <a:extLst>
                <a:ext uri="{63B3BB69-23CF-44E3-9099-C40C66FF867C}">
                  <a14:compatExt spid="_x0000_s3145"/>
                </a:ext>
                <a:ext uri="{FF2B5EF4-FFF2-40B4-BE49-F238E27FC236}">
                  <a16:creationId xmlns:a16="http://schemas.microsoft.com/office/drawing/2014/main" id="{00000000-0008-0000-0D00-00004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189</xdr:row>
          <xdr:rowOff>0</xdr:rowOff>
        </xdr:from>
        <xdr:to>
          <xdr:col>4</xdr:col>
          <xdr:colOff>714375</xdr:colOff>
          <xdr:row>190</xdr:row>
          <xdr:rowOff>28575</xdr:rowOff>
        </xdr:to>
        <xdr:sp macro="" textlink="">
          <xdr:nvSpPr>
            <xdr:cNvPr id="3146" name="Check Box 74" hidden="1">
              <a:extLst>
                <a:ext uri="{63B3BB69-23CF-44E3-9099-C40C66FF867C}">
                  <a14:compatExt spid="_x0000_s3146"/>
                </a:ext>
                <a:ext uri="{FF2B5EF4-FFF2-40B4-BE49-F238E27FC236}">
                  <a16:creationId xmlns:a16="http://schemas.microsoft.com/office/drawing/2014/main" id="{00000000-0008-0000-0D00-00004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190</xdr:row>
          <xdr:rowOff>0</xdr:rowOff>
        </xdr:from>
        <xdr:to>
          <xdr:col>4</xdr:col>
          <xdr:colOff>714375</xdr:colOff>
          <xdr:row>191</xdr:row>
          <xdr:rowOff>28575</xdr:rowOff>
        </xdr:to>
        <xdr:sp macro="" textlink="">
          <xdr:nvSpPr>
            <xdr:cNvPr id="3147" name="Check Box 75" hidden="1">
              <a:extLst>
                <a:ext uri="{63B3BB69-23CF-44E3-9099-C40C66FF867C}">
                  <a14:compatExt spid="_x0000_s3147"/>
                </a:ext>
                <a:ext uri="{FF2B5EF4-FFF2-40B4-BE49-F238E27FC236}">
                  <a16:creationId xmlns:a16="http://schemas.microsoft.com/office/drawing/2014/main" id="{00000000-0008-0000-0D00-00004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200</xdr:row>
          <xdr:rowOff>152400</xdr:rowOff>
        </xdr:from>
        <xdr:to>
          <xdr:col>5</xdr:col>
          <xdr:colOff>66675</xdr:colOff>
          <xdr:row>202</xdr:row>
          <xdr:rowOff>76200</xdr:rowOff>
        </xdr:to>
        <xdr:sp macro="" textlink="">
          <xdr:nvSpPr>
            <xdr:cNvPr id="3148" name="Check Box 76" hidden="1">
              <a:extLst>
                <a:ext uri="{63B3BB69-23CF-44E3-9099-C40C66FF867C}">
                  <a14:compatExt spid="_x0000_s3148"/>
                </a:ext>
                <a:ext uri="{FF2B5EF4-FFF2-40B4-BE49-F238E27FC236}">
                  <a16:creationId xmlns:a16="http://schemas.microsoft.com/office/drawing/2014/main" id="{00000000-0008-0000-0D00-00004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201</xdr:row>
          <xdr:rowOff>152400</xdr:rowOff>
        </xdr:from>
        <xdr:to>
          <xdr:col>5</xdr:col>
          <xdr:colOff>66675</xdr:colOff>
          <xdr:row>203</xdr:row>
          <xdr:rowOff>76200</xdr:rowOff>
        </xdr:to>
        <xdr:sp macro="" textlink="">
          <xdr:nvSpPr>
            <xdr:cNvPr id="3150" name="Check Box 78" hidden="1">
              <a:extLst>
                <a:ext uri="{63B3BB69-23CF-44E3-9099-C40C66FF867C}">
                  <a14:compatExt spid="_x0000_s3150"/>
                </a:ext>
                <a:ext uri="{FF2B5EF4-FFF2-40B4-BE49-F238E27FC236}">
                  <a16:creationId xmlns:a16="http://schemas.microsoft.com/office/drawing/2014/main" id="{00000000-0008-0000-0D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202</xdr:row>
          <xdr:rowOff>152400</xdr:rowOff>
        </xdr:from>
        <xdr:to>
          <xdr:col>5</xdr:col>
          <xdr:colOff>66675</xdr:colOff>
          <xdr:row>204</xdr:row>
          <xdr:rowOff>76200</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D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201</xdr:row>
          <xdr:rowOff>152400</xdr:rowOff>
        </xdr:from>
        <xdr:to>
          <xdr:col>5</xdr:col>
          <xdr:colOff>66675</xdr:colOff>
          <xdr:row>203</xdr:row>
          <xdr:rowOff>76200</xdr:rowOff>
        </xdr:to>
        <xdr:sp macro="" textlink="">
          <xdr:nvSpPr>
            <xdr:cNvPr id="3153" name="Check Box 81" hidden="1">
              <a:extLst>
                <a:ext uri="{63B3BB69-23CF-44E3-9099-C40C66FF867C}">
                  <a14:compatExt spid="_x0000_s3153"/>
                </a:ext>
                <a:ext uri="{FF2B5EF4-FFF2-40B4-BE49-F238E27FC236}">
                  <a16:creationId xmlns:a16="http://schemas.microsoft.com/office/drawing/2014/main" id="{00000000-0008-0000-0D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202</xdr:row>
          <xdr:rowOff>152400</xdr:rowOff>
        </xdr:from>
        <xdr:to>
          <xdr:col>5</xdr:col>
          <xdr:colOff>66675</xdr:colOff>
          <xdr:row>204</xdr:row>
          <xdr:rowOff>76200</xdr:rowOff>
        </xdr:to>
        <xdr:sp macro="" textlink="">
          <xdr:nvSpPr>
            <xdr:cNvPr id="3154" name="Check Box 82" hidden="1">
              <a:extLst>
                <a:ext uri="{63B3BB69-23CF-44E3-9099-C40C66FF867C}">
                  <a14:compatExt spid="_x0000_s3154"/>
                </a:ext>
                <a:ext uri="{FF2B5EF4-FFF2-40B4-BE49-F238E27FC236}">
                  <a16:creationId xmlns:a16="http://schemas.microsoft.com/office/drawing/2014/main" id="{00000000-0008-0000-0D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179</xdr:row>
          <xdr:rowOff>171450</xdr:rowOff>
        </xdr:from>
        <xdr:to>
          <xdr:col>5</xdr:col>
          <xdr:colOff>57150</xdr:colOff>
          <xdr:row>181</xdr:row>
          <xdr:rowOff>95250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D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177</xdr:row>
          <xdr:rowOff>114300</xdr:rowOff>
        </xdr:from>
        <xdr:to>
          <xdr:col>5</xdr:col>
          <xdr:colOff>57150</xdr:colOff>
          <xdr:row>179</xdr:row>
          <xdr:rowOff>38100</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D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178</xdr:row>
          <xdr:rowOff>152400</xdr:rowOff>
        </xdr:from>
        <xdr:to>
          <xdr:col>5</xdr:col>
          <xdr:colOff>57150</xdr:colOff>
          <xdr:row>180</xdr:row>
          <xdr:rowOff>76200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D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178</xdr:row>
          <xdr:rowOff>152400</xdr:rowOff>
        </xdr:from>
        <xdr:to>
          <xdr:col>5</xdr:col>
          <xdr:colOff>66675</xdr:colOff>
          <xdr:row>180</xdr:row>
          <xdr:rowOff>76200</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D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1E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1F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0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1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3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4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1281641</xdr:colOff>
      <xdr:row>1</xdr:row>
      <xdr:rowOff>190500</xdr:rowOff>
    </xdr:from>
    <xdr:to>
      <xdr:col>10</xdr:col>
      <xdr:colOff>190501</xdr:colOff>
      <xdr:row>3</xdr:row>
      <xdr:rowOff>52917</xdr:rowOff>
    </xdr:to>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6863291" y="409575"/>
          <a:ext cx="4271435" cy="3005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accent2">
                  <a:lumMod val="75000"/>
                </a:schemeClr>
              </a:solidFill>
            </a:rPr>
            <a:t>Instructions :   Only light</a:t>
          </a:r>
          <a:r>
            <a:rPr lang="en-US" sz="1100" b="1" baseline="0">
              <a:solidFill>
                <a:schemeClr val="accent2">
                  <a:lumMod val="75000"/>
                </a:schemeClr>
              </a:solidFill>
            </a:rPr>
            <a:t> green cells  are to be filled out</a:t>
          </a:r>
          <a:r>
            <a:rPr lang="en-US" sz="1100" b="1" i="0" u="none" strike="noStrike">
              <a:solidFill>
                <a:schemeClr val="dk1"/>
              </a:solidFill>
              <a:latin typeface="+mn-lt"/>
              <a:ea typeface="+mn-ea"/>
              <a:cs typeface="+mn-cs"/>
            </a:rPr>
            <a:t> </a:t>
          </a:r>
          <a:r>
            <a:rPr lang="en-US" b="1"/>
            <a:t> </a:t>
          </a:r>
          <a:endParaRPr lang="en-US" sz="11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sokolova\AppData\Local\Microsoft\Windows\Temporary%20Internet%20Files\Content.Outlook\NQ4137XY\V%206.4%20Project%20Contractor's%20quote%20EN-FR%20opera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ville.montreal.qc.ca/DirDevEconUrb/AffEconInst/Statistiques%20et%20&#233;tudes/Profils%20socio&#233;conomiques%202006/Donn&#233;es%20et%20graphiques/M&#233;nages/&#201;tat%20matrimoni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benmahmoud\AppData\Local\Microsoft\Windows\Temporary%20Internet%20Files\Content.Outlook\EB57AYTW\Operational%20Analysis\Renewal%20Exampler\2017%20NEW%20Monthly%20Renewal%20template%20%20Quebec%20%2012%2014%20201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fbenmahmoud\AppData\Local\Microsoft\Windows\Temporary%20Internet%20Files\Content.Outlook\EB57AYTW\To%20delet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omm_Contractor_202205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zards updated Dec 2018"/>
      <sheetName val="Input Property info "/>
      <sheetName val="Input"/>
      <sheetName val="Quote template-1"/>
      <sheetName val="Quote template-2"/>
      <sheetName val="Capacty Calculator Updated Dec "/>
      <sheetName val="April Rating Property"/>
      <sheetName val="Avenants -Endorsements"/>
      <sheetName val="Mandatory"/>
      <sheetName val="Additional"/>
      <sheetName val="Not Identified FR"/>
      <sheetName val="Not Identified EN"/>
      <sheetName val="Additional condition CGL Amlin"/>
      <sheetName val="Settings"/>
      <sheetName val="BordereauExport "/>
      <sheetName val="Aide-Help IBC codes"/>
      <sheetName val="Hazard codes"/>
      <sheetName val="April Property risk grading"/>
      <sheetName val="Intact property rates"/>
      <sheetName val="Opta bins Model New"/>
      <sheetName val="Capacity calculator settings q "/>
      <sheetName val="No1"/>
      <sheetName val="No3"/>
      <sheetName val="Package simulation"/>
      <sheetName val="Printing"/>
      <sheetName val="Soumission First"/>
      <sheetName val="First Billing"/>
      <sheetName val="NBQSData"/>
      <sheetName val="Algorithm"/>
      <sheetName val="EQ rate no1"/>
      <sheetName val="EQ rate no2"/>
      <sheetName val="EQ rate no3"/>
      <sheetName val="EQ rate no4"/>
      <sheetName val="EQ rate no5"/>
      <sheetName val="EQ rate no6"/>
      <sheetName val="EQ rate no7"/>
      <sheetName val="EQ rate no8"/>
      <sheetName val="EQ rate no9"/>
      <sheetName val="EQ rate no10"/>
      <sheetName val="PCODES EQ"/>
      <sheetName val="Algorithm_Temple"/>
      <sheetName val="Algorithm_QC"/>
      <sheetName val="Algorithm_ON"/>
      <sheetName val="Algorithm_BC"/>
      <sheetName val="Algorithm_West"/>
      <sheetName val="Algorithm_ATL"/>
      <sheetName val="Algorithm_QC_2590"/>
      <sheetName val="Algorithm_ON_2590"/>
      <sheetName val="Algorithm_West_2590"/>
      <sheetName val="Algorithm_Other_2590"/>
      <sheetName val="Algorithm_East_2590"/>
      <sheetName val="Algorithm_QC_Eco"/>
      <sheetName val="Algorithm_ON_Eco"/>
      <sheetName val="Algorithm_BC_Eco"/>
      <sheetName val="Algorithm_AB_Other_Eco"/>
      <sheetName val="Sheet3"/>
    </sheetNames>
    <sheetDataSet>
      <sheetData sheetId="0"/>
      <sheetData sheetId="1"/>
      <sheetData sheetId="2">
        <row r="39">
          <cell r="E39" t="str">
            <v>Y</v>
          </cell>
        </row>
        <row r="268">
          <cell r="G268">
            <v>0</v>
          </cell>
        </row>
      </sheetData>
      <sheetData sheetId="3"/>
      <sheetData sheetId="4"/>
      <sheetData sheetId="5"/>
      <sheetData sheetId="6">
        <row r="20">
          <cell r="B20" t="str">
            <v>Sprinklered and Alarmed</v>
          </cell>
        </row>
        <row r="21">
          <cell r="B21" t="str">
            <v>Sprinklered and Non Alarmed</v>
          </cell>
        </row>
        <row r="22">
          <cell r="B22" t="str">
            <v>Non Sprinklered and Alarmed</v>
          </cell>
        </row>
        <row r="23">
          <cell r="B23" t="str">
            <v>Non Sprinklered and Non Alarmed</v>
          </cell>
        </row>
        <row r="27">
          <cell r="B27" t="str">
            <v>1</v>
          </cell>
        </row>
        <row r="28">
          <cell r="B28" t="str">
            <v>2</v>
          </cell>
        </row>
        <row r="29">
          <cell r="B29" t="str">
            <v>3</v>
          </cell>
        </row>
        <row r="30">
          <cell r="B30" t="str">
            <v>4</v>
          </cell>
        </row>
        <row r="31">
          <cell r="B31" t="str">
            <v>5</v>
          </cell>
        </row>
        <row r="32">
          <cell r="B32" t="str">
            <v>6</v>
          </cell>
        </row>
        <row r="33">
          <cell r="B33" t="str">
            <v>7</v>
          </cell>
        </row>
        <row r="34">
          <cell r="B34" t="str">
            <v>8</v>
          </cell>
        </row>
        <row r="35">
          <cell r="B35" t="str">
            <v>9</v>
          </cell>
        </row>
        <row r="36">
          <cell r="B36" t="str">
            <v>10</v>
          </cell>
        </row>
        <row r="39">
          <cell r="B39" t="str">
            <v>Fire Resistive</v>
          </cell>
        </row>
        <row r="40">
          <cell r="B40" t="str">
            <v>Non-Combustible/Masonry</v>
          </cell>
        </row>
        <row r="41">
          <cell r="B41" t="str">
            <v>Non-Combustible/Non-Masonry</v>
          </cell>
        </row>
        <row r="42">
          <cell r="B42" t="str">
            <v>Masonry</v>
          </cell>
        </row>
        <row r="43">
          <cell r="B43" t="str">
            <v>Brick Veneer</v>
          </cell>
        </row>
        <row r="44">
          <cell r="B44" t="str">
            <v>Frame</v>
          </cell>
        </row>
        <row r="53">
          <cell r="F53">
            <v>0</v>
          </cell>
        </row>
      </sheetData>
      <sheetData sheetId="7"/>
      <sheetData sheetId="8"/>
      <sheetData sheetId="9"/>
      <sheetData sheetId="10"/>
      <sheetData sheetId="11"/>
      <sheetData sheetId="12"/>
      <sheetData sheetId="13">
        <row r="2">
          <cell r="E2" t="str">
            <v>Y</v>
          </cell>
          <cell r="I2" t="str">
            <v>EN</v>
          </cell>
        </row>
        <row r="3">
          <cell r="E3" t="str">
            <v>N</v>
          </cell>
          <cell r="G3">
            <v>0</v>
          </cell>
          <cell r="I3" t="str">
            <v>FR</v>
          </cell>
        </row>
        <row r="4">
          <cell r="G4">
            <v>5000</v>
          </cell>
        </row>
        <row r="5">
          <cell r="G5">
            <v>10000</v>
          </cell>
          <cell r="I5" t="str">
            <v>Quote template-1</v>
          </cell>
        </row>
        <row r="6">
          <cell r="G6">
            <v>25000</v>
          </cell>
          <cell r="I6" t="str">
            <v>Quote template-2</v>
          </cell>
        </row>
        <row r="7">
          <cell r="G7">
            <v>50000</v>
          </cell>
        </row>
        <row r="8">
          <cell r="G8">
            <v>100000</v>
          </cell>
        </row>
        <row r="9">
          <cell r="G9">
            <v>250000</v>
          </cell>
        </row>
        <row r="10">
          <cell r="G10">
            <v>500000</v>
          </cell>
        </row>
        <row r="11">
          <cell r="G11">
            <v>1000000</v>
          </cell>
        </row>
        <row r="19">
          <cell r="B19">
            <v>1000000</v>
          </cell>
        </row>
        <row r="20">
          <cell r="B20">
            <v>2000000</v>
          </cell>
        </row>
        <row r="21">
          <cell r="B21">
            <v>3000000</v>
          </cell>
        </row>
        <row r="22">
          <cell r="B22">
            <v>4000000</v>
          </cell>
        </row>
        <row r="23">
          <cell r="B23">
            <v>5000000</v>
          </cell>
        </row>
        <row r="120">
          <cell r="B120" t="str">
            <v>All risks</v>
          </cell>
          <cell r="C120" t="str">
            <v>RC</v>
          </cell>
        </row>
        <row r="121">
          <cell r="B121" t="str">
            <v>Named Perils</v>
          </cell>
          <cell r="C121" t="str">
            <v>ACV</v>
          </cell>
        </row>
        <row r="122">
          <cell r="B122" t="str">
            <v>Formule Etendue</v>
          </cell>
          <cell r="C122" t="str">
            <v>VAN</v>
          </cell>
        </row>
        <row r="123">
          <cell r="B123" t="str">
            <v>Risques Désignés</v>
          </cell>
          <cell r="C123" t="str">
            <v>VJS</v>
          </cell>
        </row>
        <row r="159">
          <cell r="B159" t="str">
            <v>With data</v>
          </cell>
        </row>
        <row r="160">
          <cell r="B160" t="str">
            <v>Without data</v>
          </cell>
        </row>
        <row r="164">
          <cell r="B164" t="str">
            <v>choose from list:</v>
          </cell>
        </row>
        <row r="165">
          <cell r="B165" t="str">
            <v>CFC / Open Market</v>
          </cell>
        </row>
        <row r="166">
          <cell r="B166" t="str">
            <v>Amlin Market Approved</v>
          </cell>
        </row>
        <row r="170">
          <cell r="B170" t="str">
            <v>-not included</v>
          </cell>
        </row>
        <row r="171">
          <cell r="B171" t="str">
            <v>Package Silver</v>
          </cell>
        </row>
        <row r="172">
          <cell r="B172" t="str">
            <v>Package Gold</v>
          </cell>
        </row>
        <row r="182">
          <cell r="A182" t="str">
            <v>Criminal Record</v>
          </cell>
        </row>
        <row r="183">
          <cell r="A183" t="str">
            <v>Bankruptcy</v>
          </cell>
        </row>
        <row r="184">
          <cell r="A184" t="str">
            <v>cancelled by previous Insurer for non- payment</v>
          </cell>
        </row>
        <row r="187">
          <cell r="A187" t="str">
            <v>New Business</v>
          </cell>
        </row>
        <row r="188">
          <cell r="A188" t="str">
            <v>Renewal</v>
          </cell>
        </row>
        <row r="189">
          <cell r="A189" t="str">
            <v>Endorsement</v>
          </cell>
        </row>
        <row r="208">
          <cell r="B208" t="str">
            <v>option:</v>
          </cell>
        </row>
        <row r="209">
          <cell r="B209">
            <v>5000</v>
          </cell>
        </row>
        <row r="210">
          <cell r="B210">
            <v>7500</v>
          </cell>
        </row>
      </sheetData>
      <sheetData sheetId="14"/>
      <sheetData sheetId="15"/>
      <sheetData sheetId="16"/>
      <sheetData sheetId="17">
        <row r="3">
          <cell r="C3" t="str">
            <v>Garage / Storage / Shop</v>
          </cell>
        </row>
        <row r="4">
          <cell r="C4" t="str">
            <v>Office</v>
          </cell>
        </row>
        <row r="5">
          <cell r="C5" t="str">
            <v>Rented storage</v>
          </cell>
        </row>
        <row r="7">
          <cell r="C7" t="str">
            <v>No Claims up to 5 Years</v>
          </cell>
        </row>
        <row r="8">
          <cell r="C8" t="str">
            <v xml:space="preserve">New </v>
          </cell>
        </row>
        <row r="9">
          <cell r="C9" t="str">
            <v>1 Claim in 5 years  less than 50 K$</v>
          </cell>
        </row>
        <row r="10">
          <cell r="C10" t="str">
            <v>2 Or more Claims in 5 years /Or any one claim max $50K</v>
          </cell>
        </row>
        <row r="11">
          <cell r="C11" t="str">
            <v>Claim over 50K$</v>
          </cell>
        </row>
        <row r="18">
          <cell r="C18" t="str">
            <v>Central / Electric</v>
          </cell>
        </row>
        <row r="19">
          <cell r="C19" t="str">
            <v>Gas</v>
          </cell>
        </row>
        <row r="20">
          <cell r="C20" t="str">
            <v>Main wood heating*</v>
          </cell>
        </row>
        <row r="21">
          <cell r="C21" t="str">
            <v>Main Electric  and wood auxiliary</v>
          </cell>
        </row>
        <row r="22">
          <cell r="C22" t="str">
            <v>main Gaz and  Wood Auxiliary</v>
          </cell>
        </row>
        <row r="29">
          <cell r="C29" t="str">
            <v>Clear area min 50 '</v>
          </cell>
        </row>
        <row r="30">
          <cell r="C30" t="str">
            <v>Location with a nearby risk lower than the insured risk</v>
          </cell>
        </row>
        <row r="31">
          <cell r="C31" t="str">
            <v>Location with nearby risk  higher than the insured risk (ex: cabinetmaking, restaurant)</v>
          </cell>
        </row>
        <row r="32">
          <cell r="C32" t="str">
            <v>Location in congested area, low risk nearby</v>
          </cell>
        </row>
        <row r="33">
          <cell r="C33" t="str">
            <v xml:space="preserve">Location in  congested area with nearby risk higher that the main risk (ex: cabinetmaking, restaurant) </v>
          </cell>
        </row>
        <row r="35">
          <cell r="C35" t="str">
            <v>Inspection not received yet</v>
          </cell>
        </row>
        <row r="36">
          <cell r="C36" t="str">
            <v>Inspection not necessary (TIV under 100K)</v>
          </cell>
        </row>
        <row r="37">
          <cell r="C37" t="str">
            <v>Excellent</v>
          </cell>
        </row>
        <row r="38">
          <cell r="C38" t="str">
            <v>Good</v>
          </cell>
        </row>
        <row r="39">
          <cell r="C39" t="str">
            <v>Average</v>
          </cell>
        </row>
        <row r="40">
          <cell r="C40" t="str">
            <v>Below Average</v>
          </cell>
        </row>
        <row r="41">
          <cell r="C41" t="str">
            <v>Poor / Recommendations not followed</v>
          </cell>
        </row>
        <row r="43">
          <cell r="C43" t="str">
            <v>No</v>
          </cell>
        </row>
        <row r="44">
          <cell r="C44" t="str">
            <v>Criminal Record</v>
          </cell>
        </row>
        <row r="45">
          <cell r="C45" t="str">
            <v>Bankruptcy</v>
          </cell>
        </row>
        <row r="46">
          <cell r="C46" t="str">
            <v>cancelled by previous Insurer for non- payment</v>
          </cell>
        </row>
        <row r="48">
          <cell r="C48" t="str">
            <v>Fire and Burglar</v>
          </cell>
        </row>
        <row r="49">
          <cell r="C49" t="str">
            <v>Burglar Only</v>
          </cell>
        </row>
        <row r="50">
          <cell r="C50" t="str">
            <v>Fire Only</v>
          </cell>
        </row>
        <row r="51">
          <cell r="C51" t="str">
            <v>N</v>
          </cell>
        </row>
      </sheetData>
      <sheetData sheetId="18"/>
      <sheetData sheetId="19"/>
      <sheetData sheetId="20"/>
      <sheetData sheetId="21"/>
      <sheetData sheetId="22"/>
      <sheetData sheetId="23"/>
      <sheetData sheetId="24"/>
      <sheetData sheetId="25"/>
      <sheetData sheetId="26"/>
      <sheetData sheetId="27"/>
      <sheetData sheetId="28"/>
      <sheetData sheetId="29">
        <row r="3">
          <cell r="D3" t="str">
            <v>0</v>
          </cell>
        </row>
        <row r="7">
          <cell r="D7">
            <v>0</v>
          </cell>
        </row>
        <row r="9">
          <cell r="D9">
            <v>1</v>
          </cell>
        </row>
        <row r="18">
          <cell r="D18">
            <v>0</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huntsic"/>
      <sheetName val="Anjou"/>
      <sheetName val="Baie d'Urfé"/>
      <sheetName val="Beaconsfield"/>
      <sheetName val="CDN_NDG"/>
      <sheetName val="Côte-St-Luc"/>
      <sheetName val="DDO"/>
      <sheetName val="Dorval"/>
      <sheetName val="Hampstead"/>
      <sheetName val="Kirkland"/>
      <sheetName val="Lachine"/>
      <sheetName val="LaSalle"/>
      <sheetName val="L'Île Biz"/>
      <sheetName val="Mercier"/>
      <sheetName val="Mont-Royal"/>
      <sheetName val="Montréal-Est"/>
      <sheetName val="Montréal-Nord"/>
      <sheetName val="Montréal-Ouest"/>
      <sheetName val="Outremont"/>
      <sheetName val="Pierrefonds-Rox"/>
      <sheetName val="Plateau"/>
      <sheetName val="Pointe-Claire"/>
      <sheetName val="RDP-PAT"/>
      <sheetName val="Rosemont"/>
      <sheetName val="Ste-Anne"/>
      <sheetName val="St-Laurent"/>
      <sheetName val="St-Léonard"/>
      <sheetName val="Senneville"/>
      <sheetName val="Sud-Ouest"/>
      <sheetName val="Verdun"/>
      <sheetName val="Ville-Marie"/>
      <sheetName val="Villeray"/>
      <sheetName val="Westmount"/>
      <sheetName val="Ville de Montréal"/>
      <sheetName val="Agglomération de Montréal"/>
      <sheetName val="Compilation SR"/>
      <sheetName val="SR_Etatmat_fam_loge_men_f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row r="1">
          <cell r="A1" t="str">
            <v>SRIDU</v>
          </cell>
          <cell r="B1" t="str">
            <v>SRNOM</v>
          </cell>
          <cell r="C1" t="str">
            <v>ARR_VILLE</v>
          </cell>
          <cell r="D1" t="str">
            <v>Population totale de 15 ans et plus selon l'état matrimonial légal - Données intégrales (100 %)</v>
          </cell>
          <cell r="E1" t="str">
            <v xml:space="preserve">  Jamais légalement marié(e) (célibataire)</v>
          </cell>
          <cell r="F1" t="str">
            <v xml:space="preserve">  Légalement marié(e) (et non séparé(e))</v>
          </cell>
          <cell r="G1" t="str">
            <v xml:space="preserve">  Séparé(e), mais toujours légalement marié(e)</v>
          </cell>
          <cell r="H1" t="str">
            <v xml:space="preserve">  Divorcé(e)</v>
          </cell>
          <cell r="I1" t="str">
            <v xml:space="preserve">  Veuf(ve)</v>
          </cell>
          <cell r="J1" t="str">
            <v>Population totale de 15 ans et plus selon l'union libre - Données intégrales (100 %)</v>
          </cell>
          <cell r="K1" t="str">
            <v xml:space="preserve">  Ne vivant pas en union libre</v>
          </cell>
          <cell r="L1" t="str">
            <v xml:space="preserve">  Vivant en union libre</v>
          </cell>
          <cell r="M1" t="str">
            <v>Nombre total de familles de recensement dans les ménages privés - Données-échantillon (20 %)</v>
          </cell>
          <cell r="N1" t="str">
            <v xml:space="preserve">  Taille de la famille de recensement : 2 personnes</v>
          </cell>
          <cell r="O1" t="str">
            <v xml:space="preserve">  Taille de la famille de recensement : 3 personnes</v>
          </cell>
          <cell r="P1" t="str">
            <v xml:space="preserve">  Taille de la famille de recensement : 4 personnes</v>
          </cell>
          <cell r="Q1" t="str">
            <v xml:space="preserve">  Taille de la famille de recensement : 5 personnes ou plus</v>
          </cell>
          <cell r="R1" t="str">
            <v>Nombre total de familles de recensement dans les ménages privés - Données-échantillon (20 %)</v>
          </cell>
          <cell r="S1" t="str">
            <v xml:space="preserve">  Total des familles avec conjoints selon la structure de la famille et le nombre d'enfants</v>
          </cell>
          <cell r="T1" t="str">
            <v xml:space="preserve">    Couples mariés</v>
          </cell>
          <cell r="U1" t="str">
            <v xml:space="preserve">      Sans enfants à la maison</v>
          </cell>
          <cell r="V1" t="str">
            <v xml:space="preserve">      Avec enfants à la maison</v>
          </cell>
          <cell r="W1" t="str">
            <v xml:space="preserve">        1 enfant</v>
          </cell>
          <cell r="X1" t="str">
            <v xml:space="preserve">        2 enfants</v>
          </cell>
          <cell r="Y1" t="str">
            <v xml:space="preserve">        3 enfants ou plus</v>
          </cell>
          <cell r="Z1" t="str">
            <v xml:space="preserve">    Couples en union libre</v>
          </cell>
          <cell r="AA1" t="str">
            <v xml:space="preserve">      Sans enfants à la maison</v>
          </cell>
          <cell r="AB1" t="str">
            <v xml:space="preserve">      Avec enfants à la maison</v>
          </cell>
          <cell r="AC1" t="str">
            <v xml:space="preserve">        1 enfant</v>
          </cell>
          <cell r="AD1" t="str">
            <v xml:space="preserve">        2 enfants</v>
          </cell>
          <cell r="AE1" t="str">
            <v xml:space="preserve">        3 enfants ou plus</v>
          </cell>
          <cell r="AF1" t="str">
            <v xml:space="preserve">  Total des familles monoparentales selon le sexe du parent et le nombre d'enfants</v>
          </cell>
          <cell r="AG1" t="str">
            <v xml:space="preserve">    Parent de sexe féminin</v>
          </cell>
          <cell r="AH1" t="str">
            <v xml:space="preserve">      1 enfant</v>
          </cell>
          <cell r="AI1" t="str">
            <v xml:space="preserve">      2 enfants</v>
          </cell>
          <cell r="AJ1" t="str">
            <v xml:space="preserve">      3 enfants ou plus</v>
          </cell>
          <cell r="AK1" t="str">
            <v xml:space="preserve">    Parent de sexe masculin</v>
          </cell>
          <cell r="AL1" t="str">
            <v xml:space="preserve">      1 enfant</v>
          </cell>
          <cell r="AM1" t="str">
            <v xml:space="preserve">      2 enfants</v>
          </cell>
          <cell r="AN1" t="str">
            <v xml:space="preserve">      3 enfants ou plus</v>
          </cell>
          <cell r="AO1" t="str">
            <v>Nombre total d'enfants à la maison - Données-échantillon (20 %)</v>
          </cell>
          <cell r="AP1" t="str">
            <v xml:space="preserve">  Moins de 6 ans</v>
          </cell>
          <cell r="AQ1" t="str">
            <v xml:space="preserve">  6 à 14 ans</v>
          </cell>
          <cell r="AR1" t="str">
            <v xml:space="preserve">  15 à 17 ans</v>
          </cell>
          <cell r="AS1" t="str">
            <v xml:space="preserve">  18 à 24 ans</v>
          </cell>
          <cell r="AT1" t="str">
            <v xml:space="preserve">  25 ans et plus</v>
          </cell>
          <cell r="AU1" t="str">
            <v>Nombre moyen d'enfants à la maison par famille de recensement</v>
          </cell>
          <cell r="AV1" t="str">
            <v>Nombre total de personnes dans les ménages privés - Données-échantillon (20 %)</v>
          </cell>
          <cell r="AW1" t="str">
            <v xml:space="preserve">  Nombre de personnes hors famille de recensement</v>
          </cell>
          <cell r="AX1" t="str">
            <v xml:space="preserve">    Vivant avec des personnes apparentées</v>
          </cell>
          <cell r="AY1" t="str">
            <v xml:space="preserve">    Vivant avec des personnes non apparentées seulement</v>
          </cell>
          <cell r="AZ1" t="str">
            <v xml:space="preserve">    Vivant seules</v>
          </cell>
          <cell r="BA1" t="str">
            <v xml:space="preserve">  Nombre de membres d'une famille de recensement</v>
          </cell>
          <cell r="BB1" t="str">
            <v>Nombre moyen de personnes par famille de recensement</v>
          </cell>
          <cell r="BC1" t="str">
            <v>Nombre total de personnes âgées de 65 ans et plus - Données-échantillon (20 %)</v>
          </cell>
          <cell r="BD1" t="str">
            <v xml:space="preserve">  Nombre de personnes hors famille de recensement âgées de 65 ans et plus</v>
          </cell>
          <cell r="BE1" t="str">
            <v xml:space="preserve">    Vivant avec des personnes apparentées</v>
          </cell>
          <cell r="BF1" t="str">
            <v xml:space="preserve">    Vivant avec des personnes non apparentées seulement</v>
          </cell>
          <cell r="BG1" t="str">
            <v xml:space="preserve">    Vivant seules</v>
          </cell>
          <cell r="BH1" t="str">
            <v xml:space="preserve">  Nombre de membres d'une famille de recensement âgés de 65 ans et plus</v>
          </cell>
          <cell r="BI1" t="str">
            <v>Nombre total de logements privés occupés - Données-échantillon (20 %)</v>
          </cell>
          <cell r="BJ1" t="str">
            <v>Nombre moyen de pièces par logement</v>
          </cell>
          <cell r="BK1" t="str">
            <v>Nombre total de pièces dans les logements</v>
          </cell>
          <cell r="BL1" t="str">
            <v>Nombre moyen de chambres à coucher par logement</v>
          </cell>
          <cell r="BM1" t="str">
            <v>Nombre total de chambres à coucher dans les logements</v>
          </cell>
          <cell r="BN1" t="str">
            <v>Nombre total de logements privés occupés selon le mode d'occupation - Données-échantillon (20 %)</v>
          </cell>
          <cell r="BO1" t="str">
            <v xml:space="preserve">  Possédé</v>
          </cell>
          <cell r="BP1" t="str">
            <v xml:space="preserve">  Loué</v>
          </cell>
          <cell r="BQ1" t="str">
            <v xml:space="preserve">  Logement de bande</v>
          </cell>
          <cell r="BR1" t="str">
            <v>Nombre total de logements privés occupés selon l'état du logement - Données-échantillon (20 %)</v>
          </cell>
          <cell r="BS1" t="str">
            <v xml:space="preserve">  Entretien régulier seulement</v>
          </cell>
          <cell r="BT1" t="str">
            <v xml:space="preserve">  Réparations mineures</v>
          </cell>
          <cell r="BU1" t="str">
            <v xml:space="preserve">  Réparations majeures</v>
          </cell>
          <cell r="BV1" t="str">
            <v>Nombre total de logements privés occupés selon la période de construction - Données-échantillon (20 %)</v>
          </cell>
          <cell r="BW1" t="str">
            <v xml:space="preserve">  Période de construction, avant 1946</v>
          </cell>
          <cell r="BX1" t="str">
            <v xml:space="preserve">  Période de construction, 1946 à 1960</v>
          </cell>
          <cell r="BY1" t="str">
            <v xml:space="preserve">  Période de construction, 1961 à 1970</v>
          </cell>
          <cell r="BZ1" t="str">
            <v xml:space="preserve">  Période de construction, 1971 à 1980</v>
          </cell>
          <cell r="CA1" t="str">
            <v xml:space="preserve">  Période de construction, 1981 à 1985</v>
          </cell>
          <cell r="CB1" t="str">
            <v xml:space="preserve">  Période de construction, 1986 à 1990</v>
          </cell>
          <cell r="CC1" t="str">
            <v xml:space="preserve">  Période de construction, 1991 à 1995</v>
          </cell>
          <cell r="CD1" t="str">
            <v xml:space="preserve">  Période de construction, 1996 à 2000</v>
          </cell>
          <cell r="CE1" t="str">
            <v xml:space="preserve">  Période de construction, 2001 à 2006</v>
          </cell>
          <cell r="CF1" t="str">
            <v>Nombre total de logements privés occupés selon le type de construction résidentielle - Données intégrales (100 %)</v>
          </cell>
          <cell r="CG1" t="str">
            <v xml:space="preserve">  Maison individuelle non attenante</v>
          </cell>
          <cell r="CH1" t="str">
            <v xml:space="preserve">  Maison jumelée</v>
          </cell>
          <cell r="CI1" t="str">
            <v xml:space="preserve">  Maison en rangée</v>
          </cell>
          <cell r="CJ1" t="str">
            <v xml:space="preserve">  Appartement, duplex</v>
          </cell>
          <cell r="CK1" t="str">
            <v xml:space="preserve">  Appartement, immeuble de cinq étages ou plus</v>
          </cell>
          <cell r="CL1" t="str">
            <v xml:space="preserve">  Appartement, immeuble de moins de cinq étages</v>
          </cell>
          <cell r="CM1" t="str">
            <v xml:space="preserve">  Autre maison individuelle attenante</v>
          </cell>
          <cell r="CN1" t="str">
            <v xml:space="preserve">  Logement mobile</v>
          </cell>
          <cell r="CO1" t="str">
            <v>Nombre total de ménages privés selon la taille du ménage - Données intégrales (100 %)</v>
          </cell>
          <cell r="CP1" t="str">
            <v xml:space="preserve">  1 personne</v>
          </cell>
          <cell r="CQ1" t="str">
            <v xml:space="preserve">  2 personnes</v>
          </cell>
          <cell r="CR1" t="str">
            <v xml:space="preserve">  3 personnes</v>
          </cell>
          <cell r="CS1" t="str">
            <v xml:space="preserve">  4 à 5 personnes</v>
          </cell>
          <cell r="CT1" t="str">
            <v xml:space="preserve">  6 personnes ou plus</v>
          </cell>
          <cell r="CU1" t="str">
            <v>Nombre de personnes dans les ménages privés</v>
          </cell>
          <cell r="CV1" t="str">
            <v>Nombre moyen de personnes dans les ménages privés</v>
          </cell>
          <cell r="CW1" t="str">
            <v>Nombre total de ménages privés selon le genre de ménage - Données-échantillon (20 %)</v>
          </cell>
          <cell r="CX1" t="str">
            <v xml:space="preserve">  Ménages unifamiliaux</v>
          </cell>
          <cell r="CY1" t="str">
            <v xml:space="preserve">  Ménages multifamiliaux</v>
          </cell>
          <cell r="CZ1" t="str">
            <v xml:space="preserve">  Ménages non familiaux</v>
          </cell>
        </row>
        <row r="2">
          <cell r="A2" t="str">
            <v>4620264.01</v>
          </cell>
          <cell r="B2" t="str">
            <v>0264.01</v>
          </cell>
          <cell r="C2" t="str">
            <v>Ahuntsic-Cartierville</v>
          </cell>
          <cell r="D2">
            <v>4735</v>
          </cell>
          <cell r="E2">
            <v>1955</v>
          </cell>
          <cell r="F2">
            <v>1680</v>
          </cell>
          <cell r="G2">
            <v>125</v>
          </cell>
          <cell r="H2">
            <v>505</v>
          </cell>
          <cell r="I2">
            <v>465</v>
          </cell>
          <cell r="J2">
            <v>4735</v>
          </cell>
          <cell r="K2">
            <v>4025</v>
          </cell>
          <cell r="L2">
            <v>710</v>
          </cell>
          <cell r="M2">
            <v>1490</v>
          </cell>
          <cell r="N2">
            <v>825</v>
          </cell>
          <cell r="O2">
            <v>305</v>
          </cell>
          <cell r="P2">
            <v>265</v>
          </cell>
          <cell r="Q2">
            <v>95</v>
          </cell>
          <cell r="R2">
            <v>1490</v>
          </cell>
          <cell r="S2">
            <v>1185</v>
          </cell>
          <cell r="T2">
            <v>825</v>
          </cell>
          <cell r="U2">
            <v>440</v>
          </cell>
          <cell r="V2">
            <v>380</v>
          </cell>
          <cell r="W2">
            <v>155</v>
          </cell>
          <cell r="X2">
            <v>160</v>
          </cell>
          <cell r="Y2">
            <v>65</v>
          </cell>
          <cell r="Z2">
            <v>360</v>
          </cell>
          <cell r="AA2">
            <v>190</v>
          </cell>
          <cell r="AB2">
            <v>165</v>
          </cell>
          <cell r="AC2">
            <v>65</v>
          </cell>
          <cell r="AD2">
            <v>80</v>
          </cell>
          <cell r="AE2">
            <v>20</v>
          </cell>
          <cell r="AF2">
            <v>310</v>
          </cell>
          <cell r="AG2">
            <v>255</v>
          </cell>
          <cell r="AH2">
            <v>160</v>
          </cell>
          <cell r="AI2">
            <v>70</v>
          </cell>
          <cell r="AJ2">
            <v>25</v>
          </cell>
          <cell r="AK2">
            <v>45</v>
          </cell>
          <cell r="AL2">
            <v>35</v>
          </cell>
          <cell r="AM2">
            <v>0</v>
          </cell>
          <cell r="AN2">
            <v>0</v>
          </cell>
          <cell r="AO2">
            <v>1475</v>
          </cell>
          <cell r="AP2">
            <v>290</v>
          </cell>
          <cell r="AQ2">
            <v>455</v>
          </cell>
          <cell r="AR2">
            <v>185</v>
          </cell>
          <cell r="AS2">
            <v>340</v>
          </cell>
          <cell r="AT2">
            <v>200</v>
          </cell>
          <cell r="AU2">
            <v>1</v>
          </cell>
          <cell r="AV2">
            <v>5305</v>
          </cell>
          <cell r="AW2">
            <v>1160</v>
          </cell>
          <cell r="AX2">
            <v>110</v>
          </cell>
          <cell r="AY2">
            <v>105</v>
          </cell>
          <cell r="AZ2">
            <v>940</v>
          </cell>
          <cell r="BA2">
            <v>4145</v>
          </cell>
          <cell r="BB2">
            <v>2.8</v>
          </cell>
          <cell r="BC2">
            <v>1235</v>
          </cell>
          <cell r="BD2">
            <v>530</v>
          </cell>
          <cell r="BE2">
            <v>40</v>
          </cell>
          <cell r="BF2">
            <v>30</v>
          </cell>
          <cell r="BG2">
            <v>460</v>
          </cell>
          <cell r="BH2">
            <v>700</v>
          </cell>
          <cell r="BI2">
            <v>2505</v>
          </cell>
          <cell r="BJ2">
            <v>5.2</v>
          </cell>
          <cell r="BK2">
            <v>13026</v>
          </cell>
          <cell r="BL2">
            <v>2.2999999999999998</v>
          </cell>
          <cell r="BM2">
            <v>5761.5</v>
          </cell>
          <cell r="BN2">
            <v>2510</v>
          </cell>
          <cell r="BO2">
            <v>1025</v>
          </cell>
          <cell r="BP2">
            <v>1485</v>
          </cell>
          <cell r="BQ2">
            <v>0</v>
          </cell>
          <cell r="BR2">
            <v>2505</v>
          </cell>
          <cell r="BS2">
            <v>1905</v>
          </cell>
          <cell r="BT2">
            <v>495</v>
          </cell>
          <cell r="BU2">
            <v>105</v>
          </cell>
          <cell r="BV2">
            <v>2505</v>
          </cell>
          <cell r="BW2">
            <v>45</v>
          </cell>
          <cell r="BX2">
            <v>100</v>
          </cell>
          <cell r="BY2">
            <v>815</v>
          </cell>
          <cell r="BZ2">
            <v>590</v>
          </cell>
          <cell r="CA2">
            <v>725</v>
          </cell>
          <cell r="CB2">
            <v>205</v>
          </cell>
          <cell r="CC2">
            <v>20</v>
          </cell>
          <cell r="CD2">
            <v>0</v>
          </cell>
          <cell r="CE2">
            <v>0</v>
          </cell>
          <cell r="CF2">
            <v>2510</v>
          </cell>
          <cell r="CG2">
            <v>185</v>
          </cell>
          <cell r="CH2">
            <v>35</v>
          </cell>
          <cell r="CI2">
            <v>210</v>
          </cell>
          <cell r="CJ2">
            <v>385</v>
          </cell>
          <cell r="CK2">
            <v>395</v>
          </cell>
          <cell r="CL2">
            <v>1290</v>
          </cell>
          <cell r="CM2">
            <v>0</v>
          </cell>
          <cell r="CN2">
            <v>0</v>
          </cell>
          <cell r="CO2">
            <v>2510</v>
          </cell>
          <cell r="CP2">
            <v>940</v>
          </cell>
          <cell r="CQ2">
            <v>870</v>
          </cell>
          <cell r="CR2">
            <v>335</v>
          </cell>
          <cell r="CS2">
            <v>330</v>
          </cell>
          <cell r="CT2">
            <v>35</v>
          </cell>
          <cell r="CU2">
            <v>5305</v>
          </cell>
          <cell r="CV2">
            <v>2.1</v>
          </cell>
          <cell r="CW2">
            <v>2505</v>
          </cell>
          <cell r="CX2">
            <v>1490</v>
          </cell>
          <cell r="CY2">
            <v>0</v>
          </cell>
          <cell r="CZ2">
            <v>1020</v>
          </cell>
        </row>
        <row r="3">
          <cell r="A3" t="str">
            <v>4620264.02</v>
          </cell>
          <cell r="B3" t="str">
            <v>0264.02</v>
          </cell>
          <cell r="C3" t="str">
            <v>Ahuntsic-Cartierville</v>
          </cell>
          <cell r="D3">
            <v>3960</v>
          </cell>
          <cell r="E3">
            <v>2005</v>
          </cell>
          <cell r="F3">
            <v>1095</v>
          </cell>
          <cell r="G3">
            <v>100</v>
          </cell>
          <cell r="H3">
            <v>550</v>
          </cell>
          <cell r="I3">
            <v>205</v>
          </cell>
          <cell r="J3">
            <v>3960</v>
          </cell>
          <cell r="K3">
            <v>3220</v>
          </cell>
          <cell r="L3">
            <v>735</v>
          </cell>
          <cell r="M3">
            <v>1160</v>
          </cell>
          <cell r="N3">
            <v>655</v>
          </cell>
          <cell r="O3">
            <v>265</v>
          </cell>
          <cell r="P3">
            <v>145</v>
          </cell>
          <cell r="Q3">
            <v>95</v>
          </cell>
          <cell r="R3">
            <v>1155</v>
          </cell>
          <cell r="S3">
            <v>910</v>
          </cell>
          <cell r="T3">
            <v>540</v>
          </cell>
          <cell r="U3">
            <v>240</v>
          </cell>
          <cell r="V3">
            <v>300</v>
          </cell>
          <cell r="W3">
            <v>145</v>
          </cell>
          <cell r="X3">
            <v>105</v>
          </cell>
          <cell r="Y3">
            <v>50</v>
          </cell>
          <cell r="Z3">
            <v>370</v>
          </cell>
          <cell r="AA3">
            <v>255</v>
          </cell>
          <cell r="AB3">
            <v>110</v>
          </cell>
          <cell r="AC3">
            <v>60</v>
          </cell>
          <cell r="AD3">
            <v>25</v>
          </cell>
          <cell r="AE3">
            <v>30</v>
          </cell>
          <cell r="AF3">
            <v>245</v>
          </cell>
          <cell r="AG3">
            <v>220</v>
          </cell>
          <cell r="AH3">
            <v>140</v>
          </cell>
          <cell r="AI3">
            <v>50</v>
          </cell>
          <cell r="AJ3">
            <v>25</v>
          </cell>
          <cell r="AK3">
            <v>30</v>
          </cell>
          <cell r="AL3">
            <v>20</v>
          </cell>
          <cell r="AM3">
            <v>10</v>
          </cell>
          <cell r="AN3">
            <v>0</v>
          </cell>
          <cell r="AO3">
            <v>1135</v>
          </cell>
          <cell r="AP3">
            <v>175</v>
          </cell>
          <cell r="AQ3">
            <v>380</v>
          </cell>
          <cell r="AR3">
            <v>155</v>
          </cell>
          <cell r="AS3">
            <v>315</v>
          </cell>
          <cell r="AT3">
            <v>115</v>
          </cell>
          <cell r="AU3">
            <v>1</v>
          </cell>
          <cell r="AV3">
            <v>4505</v>
          </cell>
          <cell r="AW3">
            <v>1300</v>
          </cell>
          <cell r="AX3">
            <v>85</v>
          </cell>
          <cell r="AY3">
            <v>125</v>
          </cell>
          <cell r="AZ3">
            <v>1085</v>
          </cell>
          <cell r="BA3">
            <v>3210</v>
          </cell>
          <cell r="BB3">
            <v>2.8</v>
          </cell>
          <cell r="BC3">
            <v>545</v>
          </cell>
          <cell r="BD3">
            <v>280</v>
          </cell>
          <cell r="BE3">
            <v>35</v>
          </cell>
          <cell r="BF3">
            <v>10</v>
          </cell>
          <cell r="BG3">
            <v>240</v>
          </cell>
          <cell r="BH3">
            <v>265</v>
          </cell>
          <cell r="BI3">
            <v>2320</v>
          </cell>
          <cell r="BJ3">
            <v>4.5999999999999996</v>
          </cell>
          <cell r="BK3">
            <v>10672</v>
          </cell>
          <cell r="BL3">
            <v>1.9</v>
          </cell>
          <cell r="BM3">
            <v>4408</v>
          </cell>
          <cell r="BN3">
            <v>2320</v>
          </cell>
          <cell r="BO3">
            <v>1390</v>
          </cell>
          <cell r="BP3">
            <v>930</v>
          </cell>
          <cell r="BQ3">
            <v>0</v>
          </cell>
          <cell r="BR3">
            <v>2325</v>
          </cell>
          <cell r="BS3">
            <v>1600</v>
          </cell>
          <cell r="BT3">
            <v>640</v>
          </cell>
          <cell r="BU3">
            <v>90</v>
          </cell>
          <cell r="BV3">
            <v>2320</v>
          </cell>
          <cell r="BW3">
            <v>15</v>
          </cell>
          <cell r="BX3">
            <v>40</v>
          </cell>
          <cell r="BY3">
            <v>145</v>
          </cell>
          <cell r="BZ3">
            <v>340</v>
          </cell>
          <cell r="CA3">
            <v>1080</v>
          </cell>
          <cell r="CB3">
            <v>535</v>
          </cell>
          <cell r="CC3">
            <v>70</v>
          </cell>
          <cell r="CD3">
            <v>10</v>
          </cell>
          <cell r="CE3">
            <v>95</v>
          </cell>
          <cell r="CF3">
            <v>2320</v>
          </cell>
          <cell r="CG3">
            <v>0</v>
          </cell>
          <cell r="CH3">
            <v>110</v>
          </cell>
          <cell r="CI3">
            <v>55</v>
          </cell>
          <cell r="CJ3">
            <v>0</v>
          </cell>
          <cell r="CK3">
            <v>445</v>
          </cell>
          <cell r="CL3">
            <v>1715</v>
          </cell>
          <cell r="CM3">
            <v>0</v>
          </cell>
          <cell r="CN3">
            <v>0</v>
          </cell>
          <cell r="CO3">
            <v>2325</v>
          </cell>
          <cell r="CP3">
            <v>1085</v>
          </cell>
          <cell r="CQ3">
            <v>715</v>
          </cell>
          <cell r="CR3">
            <v>255</v>
          </cell>
          <cell r="CS3">
            <v>225</v>
          </cell>
          <cell r="CT3">
            <v>40</v>
          </cell>
          <cell r="CU3">
            <v>4505</v>
          </cell>
          <cell r="CV3">
            <v>1.9</v>
          </cell>
          <cell r="CW3">
            <v>2320</v>
          </cell>
          <cell r="CX3">
            <v>1150</v>
          </cell>
          <cell r="CY3">
            <v>0</v>
          </cell>
          <cell r="CZ3">
            <v>1165</v>
          </cell>
        </row>
        <row r="4">
          <cell r="A4" t="str">
            <v>4620265.00</v>
          </cell>
          <cell r="B4" t="str">
            <v>0265.00</v>
          </cell>
          <cell r="C4" t="str">
            <v>Ahuntsic-Cartierville</v>
          </cell>
          <cell r="D4">
            <v>3830</v>
          </cell>
          <cell r="E4">
            <v>2050</v>
          </cell>
          <cell r="F4">
            <v>1070</v>
          </cell>
          <cell r="G4">
            <v>100</v>
          </cell>
          <cell r="H4">
            <v>385</v>
          </cell>
          <cell r="I4">
            <v>225</v>
          </cell>
          <cell r="J4">
            <v>3830</v>
          </cell>
          <cell r="K4">
            <v>3155</v>
          </cell>
          <cell r="L4">
            <v>670</v>
          </cell>
          <cell r="M4">
            <v>1075</v>
          </cell>
          <cell r="N4">
            <v>610</v>
          </cell>
          <cell r="O4">
            <v>240</v>
          </cell>
          <cell r="P4">
            <v>170</v>
          </cell>
          <cell r="Q4">
            <v>50</v>
          </cell>
          <cell r="R4">
            <v>1075</v>
          </cell>
          <cell r="S4">
            <v>840</v>
          </cell>
          <cell r="T4">
            <v>505</v>
          </cell>
          <cell r="U4">
            <v>260</v>
          </cell>
          <cell r="V4">
            <v>245</v>
          </cell>
          <cell r="W4">
            <v>125</v>
          </cell>
          <cell r="X4">
            <v>85</v>
          </cell>
          <cell r="Y4">
            <v>25</v>
          </cell>
          <cell r="Z4">
            <v>340</v>
          </cell>
          <cell r="AA4">
            <v>200</v>
          </cell>
          <cell r="AB4">
            <v>135</v>
          </cell>
          <cell r="AC4">
            <v>60</v>
          </cell>
          <cell r="AD4">
            <v>55</v>
          </cell>
          <cell r="AE4">
            <v>25</v>
          </cell>
          <cell r="AF4">
            <v>230</v>
          </cell>
          <cell r="AG4">
            <v>170</v>
          </cell>
          <cell r="AH4">
            <v>100</v>
          </cell>
          <cell r="AI4">
            <v>45</v>
          </cell>
          <cell r="AJ4">
            <v>30</v>
          </cell>
          <cell r="AK4">
            <v>55</v>
          </cell>
          <cell r="AL4">
            <v>45</v>
          </cell>
          <cell r="AM4">
            <v>10</v>
          </cell>
          <cell r="AN4">
            <v>0</v>
          </cell>
          <cell r="AO4">
            <v>965</v>
          </cell>
          <cell r="AP4">
            <v>225</v>
          </cell>
          <cell r="AQ4">
            <v>295</v>
          </cell>
          <cell r="AR4">
            <v>120</v>
          </cell>
          <cell r="AS4">
            <v>155</v>
          </cell>
          <cell r="AT4">
            <v>170</v>
          </cell>
          <cell r="AU4">
            <v>0.9</v>
          </cell>
          <cell r="AV4">
            <v>4330</v>
          </cell>
          <cell r="AW4">
            <v>1445</v>
          </cell>
          <cell r="AX4">
            <v>110</v>
          </cell>
          <cell r="AY4">
            <v>380</v>
          </cell>
          <cell r="AZ4">
            <v>955</v>
          </cell>
          <cell r="BA4">
            <v>2885</v>
          </cell>
          <cell r="BB4">
            <v>2.7</v>
          </cell>
          <cell r="BC4">
            <v>635</v>
          </cell>
          <cell r="BD4">
            <v>315</v>
          </cell>
          <cell r="BE4">
            <v>20</v>
          </cell>
          <cell r="BF4">
            <v>15</v>
          </cell>
          <cell r="BG4">
            <v>280</v>
          </cell>
          <cell r="BH4">
            <v>320</v>
          </cell>
          <cell r="BI4">
            <v>2205</v>
          </cell>
          <cell r="BJ4">
            <v>4.8</v>
          </cell>
          <cell r="BK4">
            <v>10584</v>
          </cell>
          <cell r="BL4">
            <v>2</v>
          </cell>
          <cell r="BM4">
            <v>4410</v>
          </cell>
          <cell r="BN4">
            <v>2205</v>
          </cell>
          <cell r="BO4">
            <v>780</v>
          </cell>
          <cell r="BP4">
            <v>1425</v>
          </cell>
          <cell r="BQ4">
            <v>0</v>
          </cell>
          <cell r="BR4">
            <v>2205</v>
          </cell>
          <cell r="BS4">
            <v>1315</v>
          </cell>
          <cell r="BT4">
            <v>710</v>
          </cell>
          <cell r="BU4">
            <v>180</v>
          </cell>
          <cell r="BV4">
            <v>2205</v>
          </cell>
          <cell r="BW4">
            <v>415</v>
          </cell>
          <cell r="BX4">
            <v>1120</v>
          </cell>
          <cell r="BY4">
            <v>410</v>
          </cell>
          <cell r="BZ4">
            <v>110</v>
          </cell>
          <cell r="CA4">
            <v>65</v>
          </cell>
          <cell r="CB4">
            <v>45</v>
          </cell>
          <cell r="CC4">
            <v>10</v>
          </cell>
          <cell r="CD4">
            <v>10</v>
          </cell>
          <cell r="CE4">
            <v>35</v>
          </cell>
          <cell r="CF4">
            <v>2205</v>
          </cell>
          <cell r="CG4">
            <v>65</v>
          </cell>
          <cell r="CH4">
            <v>65</v>
          </cell>
          <cell r="CI4">
            <v>5</v>
          </cell>
          <cell r="CJ4">
            <v>330</v>
          </cell>
          <cell r="CK4">
            <v>0</v>
          </cell>
          <cell r="CL4">
            <v>1690</v>
          </cell>
          <cell r="CM4">
            <v>50</v>
          </cell>
          <cell r="CN4">
            <v>0</v>
          </cell>
          <cell r="CO4">
            <v>2210</v>
          </cell>
          <cell r="CP4">
            <v>955</v>
          </cell>
          <cell r="CQ4">
            <v>700</v>
          </cell>
          <cell r="CR4">
            <v>300</v>
          </cell>
          <cell r="CS4">
            <v>235</v>
          </cell>
          <cell r="CT4">
            <v>10</v>
          </cell>
          <cell r="CU4">
            <v>4335</v>
          </cell>
          <cell r="CV4">
            <v>2</v>
          </cell>
          <cell r="CW4">
            <v>2205</v>
          </cell>
          <cell r="CX4">
            <v>1075</v>
          </cell>
          <cell r="CY4">
            <v>0</v>
          </cell>
          <cell r="CZ4">
            <v>1130</v>
          </cell>
        </row>
        <row r="5">
          <cell r="A5" t="str">
            <v>4620266.00</v>
          </cell>
          <cell r="B5" t="str">
            <v>0266.00</v>
          </cell>
          <cell r="C5" t="str">
            <v>Ahuntsic-Cartierville</v>
          </cell>
          <cell r="D5">
            <v>3030</v>
          </cell>
          <cell r="E5">
            <v>1570</v>
          </cell>
          <cell r="F5">
            <v>710</v>
          </cell>
          <cell r="G5">
            <v>100</v>
          </cell>
          <cell r="H5">
            <v>325</v>
          </cell>
          <cell r="I5">
            <v>325</v>
          </cell>
          <cell r="J5">
            <v>3030</v>
          </cell>
          <cell r="K5">
            <v>2525</v>
          </cell>
          <cell r="L5">
            <v>505</v>
          </cell>
          <cell r="M5">
            <v>745</v>
          </cell>
          <cell r="N5">
            <v>435</v>
          </cell>
          <cell r="O5">
            <v>165</v>
          </cell>
          <cell r="P5">
            <v>100</v>
          </cell>
          <cell r="Q5">
            <v>40</v>
          </cell>
          <cell r="R5">
            <v>745</v>
          </cell>
          <cell r="S5">
            <v>595</v>
          </cell>
          <cell r="T5">
            <v>335</v>
          </cell>
          <cell r="U5">
            <v>150</v>
          </cell>
          <cell r="V5">
            <v>185</v>
          </cell>
          <cell r="W5">
            <v>80</v>
          </cell>
          <cell r="X5">
            <v>65</v>
          </cell>
          <cell r="Y5">
            <v>35</v>
          </cell>
          <cell r="Z5">
            <v>260</v>
          </cell>
          <cell r="AA5">
            <v>185</v>
          </cell>
          <cell r="AB5">
            <v>70</v>
          </cell>
          <cell r="AC5">
            <v>40</v>
          </cell>
          <cell r="AD5">
            <v>25</v>
          </cell>
          <cell r="AE5">
            <v>10</v>
          </cell>
          <cell r="AF5">
            <v>155</v>
          </cell>
          <cell r="AG5">
            <v>135</v>
          </cell>
          <cell r="AH5">
            <v>95</v>
          </cell>
          <cell r="AI5">
            <v>40</v>
          </cell>
          <cell r="AJ5">
            <v>0</v>
          </cell>
          <cell r="AK5">
            <v>20</v>
          </cell>
          <cell r="AL5">
            <v>10</v>
          </cell>
          <cell r="AM5">
            <v>10</v>
          </cell>
          <cell r="AN5">
            <v>0</v>
          </cell>
          <cell r="AO5">
            <v>655</v>
          </cell>
          <cell r="AP5">
            <v>165</v>
          </cell>
          <cell r="AQ5">
            <v>175</v>
          </cell>
          <cell r="AR5">
            <v>75</v>
          </cell>
          <cell r="AS5">
            <v>155</v>
          </cell>
          <cell r="AT5">
            <v>80</v>
          </cell>
          <cell r="AU5">
            <v>0.9</v>
          </cell>
          <cell r="AV5">
            <v>3220</v>
          </cell>
          <cell r="AW5">
            <v>1225</v>
          </cell>
          <cell r="AX5">
            <v>185</v>
          </cell>
          <cell r="AY5">
            <v>205</v>
          </cell>
          <cell r="AZ5">
            <v>835</v>
          </cell>
          <cell r="BA5">
            <v>1990</v>
          </cell>
          <cell r="BB5">
            <v>2.7</v>
          </cell>
          <cell r="BC5">
            <v>560</v>
          </cell>
          <cell r="BD5">
            <v>350</v>
          </cell>
          <cell r="BE5">
            <v>20</v>
          </cell>
          <cell r="BF5">
            <v>25</v>
          </cell>
          <cell r="BG5">
            <v>305</v>
          </cell>
          <cell r="BH5">
            <v>210</v>
          </cell>
          <cell r="BI5">
            <v>1725</v>
          </cell>
          <cell r="BJ5">
            <v>4.4000000000000004</v>
          </cell>
          <cell r="BK5">
            <v>7590.0000000000009</v>
          </cell>
          <cell r="BL5">
            <v>1.8</v>
          </cell>
          <cell r="BM5">
            <v>3105</v>
          </cell>
          <cell r="BN5">
            <v>1730</v>
          </cell>
          <cell r="BO5">
            <v>450</v>
          </cell>
          <cell r="BP5">
            <v>1275</v>
          </cell>
          <cell r="BQ5">
            <v>0</v>
          </cell>
          <cell r="BR5">
            <v>1730</v>
          </cell>
          <cell r="BS5">
            <v>1025</v>
          </cell>
          <cell r="BT5">
            <v>515</v>
          </cell>
          <cell r="BU5">
            <v>190</v>
          </cell>
          <cell r="BV5">
            <v>1725</v>
          </cell>
          <cell r="BW5">
            <v>355</v>
          </cell>
          <cell r="BX5">
            <v>680</v>
          </cell>
          <cell r="BY5">
            <v>330</v>
          </cell>
          <cell r="BZ5">
            <v>150</v>
          </cell>
          <cell r="CA5">
            <v>35</v>
          </cell>
          <cell r="CB5">
            <v>65</v>
          </cell>
          <cell r="CC5">
            <v>0</v>
          </cell>
          <cell r="CD5">
            <v>50</v>
          </cell>
          <cell r="CE5">
            <v>55</v>
          </cell>
          <cell r="CF5">
            <v>1730</v>
          </cell>
          <cell r="CG5">
            <v>10</v>
          </cell>
          <cell r="CH5">
            <v>15</v>
          </cell>
          <cell r="CI5">
            <v>0</v>
          </cell>
          <cell r="CJ5">
            <v>90</v>
          </cell>
          <cell r="CK5">
            <v>175</v>
          </cell>
          <cell r="CL5">
            <v>1435</v>
          </cell>
          <cell r="CM5">
            <v>5</v>
          </cell>
          <cell r="CN5">
            <v>0</v>
          </cell>
          <cell r="CO5">
            <v>1730</v>
          </cell>
          <cell r="CP5">
            <v>835</v>
          </cell>
          <cell r="CQ5">
            <v>550</v>
          </cell>
          <cell r="CR5">
            <v>180</v>
          </cell>
          <cell r="CS5">
            <v>145</v>
          </cell>
          <cell r="CT5">
            <v>25</v>
          </cell>
          <cell r="CU5">
            <v>3220</v>
          </cell>
          <cell r="CV5">
            <v>1.9</v>
          </cell>
          <cell r="CW5">
            <v>1730</v>
          </cell>
          <cell r="CX5">
            <v>710</v>
          </cell>
          <cell r="CY5">
            <v>15</v>
          </cell>
          <cell r="CZ5">
            <v>1000</v>
          </cell>
        </row>
        <row r="6">
          <cell r="A6" t="str">
            <v>4620267.00</v>
          </cell>
          <cell r="B6" t="str">
            <v>0267.00</v>
          </cell>
          <cell r="C6" t="str">
            <v>Ahuntsic-Cartierville</v>
          </cell>
          <cell r="D6">
            <v>4985</v>
          </cell>
          <cell r="E6">
            <v>1775</v>
          </cell>
          <cell r="F6">
            <v>2360</v>
          </cell>
          <cell r="G6">
            <v>120</v>
          </cell>
          <cell r="H6">
            <v>340</v>
          </cell>
          <cell r="I6">
            <v>390</v>
          </cell>
          <cell r="J6">
            <v>4990</v>
          </cell>
          <cell r="K6">
            <v>4630</v>
          </cell>
          <cell r="L6">
            <v>350</v>
          </cell>
          <cell r="M6">
            <v>1615</v>
          </cell>
          <cell r="N6">
            <v>710</v>
          </cell>
          <cell r="O6">
            <v>380</v>
          </cell>
          <cell r="P6">
            <v>355</v>
          </cell>
          <cell r="Q6">
            <v>180</v>
          </cell>
          <cell r="R6">
            <v>1615</v>
          </cell>
          <cell r="S6">
            <v>1330</v>
          </cell>
          <cell r="T6">
            <v>1150</v>
          </cell>
          <cell r="U6">
            <v>445</v>
          </cell>
          <cell r="V6">
            <v>705</v>
          </cell>
          <cell r="W6">
            <v>230</v>
          </cell>
          <cell r="X6">
            <v>305</v>
          </cell>
          <cell r="Y6">
            <v>165</v>
          </cell>
          <cell r="Z6">
            <v>175</v>
          </cell>
          <cell r="AA6">
            <v>90</v>
          </cell>
          <cell r="AB6">
            <v>90</v>
          </cell>
          <cell r="AC6">
            <v>50</v>
          </cell>
          <cell r="AD6">
            <v>30</v>
          </cell>
          <cell r="AE6">
            <v>10</v>
          </cell>
          <cell r="AF6">
            <v>285</v>
          </cell>
          <cell r="AG6">
            <v>245</v>
          </cell>
          <cell r="AH6">
            <v>140</v>
          </cell>
          <cell r="AI6">
            <v>95</v>
          </cell>
          <cell r="AJ6">
            <v>10</v>
          </cell>
          <cell r="AK6">
            <v>40</v>
          </cell>
          <cell r="AL6">
            <v>35</v>
          </cell>
          <cell r="AM6">
            <v>0</v>
          </cell>
          <cell r="AN6">
            <v>10</v>
          </cell>
          <cell r="AO6">
            <v>1950</v>
          </cell>
          <cell r="AP6">
            <v>435</v>
          </cell>
          <cell r="AQ6">
            <v>605</v>
          </cell>
          <cell r="AR6">
            <v>165</v>
          </cell>
          <cell r="AS6">
            <v>325</v>
          </cell>
          <cell r="AT6">
            <v>415</v>
          </cell>
          <cell r="AU6">
            <v>1.2</v>
          </cell>
          <cell r="AV6">
            <v>6015</v>
          </cell>
          <cell r="AW6">
            <v>1120</v>
          </cell>
          <cell r="AX6">
            <v>190</v>
          </cell>
          <cell r="AY6">
            <v>135</v>
          </cell>
          <cell r="AZ6">
            <v>795</v>
          </cell>
          <cell r="BA6">
            <v>4895</v>
          </cell>
          <cell r="BB6">
            <v>3</v>
          </cell>
          <cell r="BC6">
            <v>1040</v>
          </cell>
          <cell r="BD6">
            <v>375</v>
          </cell>
          <cell r="BE6">
            <v>75</v>
          </cell>
          <cell r="BF6">
            <v>0</v>
          </cell>
          <cell r="BG6">
            <v>300</v>
          </cell>
          <cell r="BH6">
            <v>665</v>
          </cell>
          <cell r="BI6">
            <v>2475</v>
          </cell>
          <cell r="BJ6">
            <v>4.9000000000000004</v>
          </cell>
          <cell r="BK6">
            <v>12127.5</v>
          </cell>
          <cell r="BL6">
            <v>2.2000000000000002</v>
          </cell>
          <cell r="BM6">
            <v>5445</v>
          </cell>
          <cell r="BN6">
            <v>2475</v>
          </cell>
          <cell r="BO6">
            <v>1020</v>
          </cell>
          <cell r="BP6">
            <v>1460</v>
          </cell>
          <cell r="BQ6">
            <v>0</v>
          </cell>
          <cell r="BR6">
            <v>2480</v>
          </cell>
          <cell r="BS6">
            <v>1430</v>
          </cell>
          <cell r="BT6">
            <v>840</v>
          </cell>
          <cell r="BU6">
            <v>210</v>
          </cell>
          <cell r="BV6">
            <v>2480</v>
          </cell>
          <cell r="BW6">
            <v>200</v>
          </cell>
          <cell r="BX6">
            <v>1430</v>
          </cell>
          <cell r="BY6">
            <v>530</v>
          </cell>
          <cell r="BZ6">
            <v>175</v>
          </cell>
          <cell r="CA6">
            <v>65</v>
          </cell>
          <cell r="CB6">
            <v>35</v>
          </cell>
          <cell r="CC6">
            <v>10</v>
          </cell>
          <cell r="CD6">
            <v>25</v>
          </cell>
          <cell r="CE6">
            <v>10</v>
          </cell>
          <cell r="CF6">
            <v>2475</v>
          </cell>
          <cell r="CG6">
            <v>30</v>
          </cell>
          <cell r="CH6">
            <v>45</v>
          </cell>
          <cell r="CI6">
            <v>0</v>
          </cell>
          <cell r="CJ6">
            <v>100</v>
          </cell>
          <cell r="CK6">
            <v>5</v>
          </cell>
          <cell r="CL6">
            <v>2290</v>
          </cell>
          <cell r="CM6">
            <v>5</v>
          </cell>
          <cell r="CN6">
            <v>0</v>
          </cell>
          <cell r="CO6">
            <v>2475</v>
          </cell>
          <cell r="CP6">
            <v>800</v>
          </cell>
          <cell r="CQ6">
            <v>730</v>
          </cell>
          <cell r="CR6">
            <v>380</v>
          </cell>
          <cell r="CS6">
            <v>505</v>
          </cell>
          <cell r="CT6">
            <v>70</v>
          </cell>
          <cell r="CU6">
            <v>6015</v>
          </cell>
          <cell r="CV6">
            <v>2.4</v>
          </cell>
          <cell r="CW6">
            <v>2480</v>
          </cell>
          <cell r="CX6">
            <v>1555</v>
          </cell>
          <cell r="CY6">
            <v>30</v>
          </cell>
          <cell r="CZ6">
            <v>890</v>
          </cell>
        </row>
        <row r="7">
          <cell r="A7" t="str">
            <v>4620268.01</v>
          </cell>
          <cell r="B7" t="str">
            <v>0268.01</v>
          </cell>
          <cell r="C7" t="str">
            <v>Ahuntsic-Cartierville</v>
          </cell>
          <cell r="D7">
            <v>5315</v>
          </cell>
          <cell r="E7">
            <v>1750</v>
          </cell>
          <cell r="F7">
            <v>2300</v>
          </cell>
          <cell r="G7">
            <v>145</v>
          </cell>
          <cell r="H7">
            <v>515</v>
          </cell>
          <cell r="I7">
            <v>605</v>
          </cell>
          <cell r="J7">
            <v>5315</v>
          </cell>
          <cell r="K7">
            <v>4945</v>
          </cell>
          <cell r="L7">
            <v>370</v>
          </cell>
          <cell r="M7">
            <v>1525</v>
          </cell>
          <cell r="N7">
            <v>840</v>
          </cell>
          <cell r="O7">
            <v>380</v>
          </cell>
          <cell r="P7">
            <v>225</v>
          </cell>
          <cell r="Q7">
            <v>80</v>
          </cell>
          <cell r="R7">
            <v>1520</v>
          </cell>
          <cell r="S7">
            <v>1290</v>
          </cell>
          <cell r="T7">
            <v>1105</v>
          </cell>
          <cell r="U7">
            <v>500</v>
          </cell>
          <cell r="V7">
            <v>605</v>
          </cell>
          <cell r="W7">
            <v>325</v>
          </cell>
          <cell r="X7">
            <v>205</v>
          </cell>
          <cell r="Y7">
            <v>80</v>
          </cell>
          <cell r="Z7">
            <v>180</v>
          </cell>
          <cell r="AA7">
            <v>170</v>
          </cell>
          <cell r="AB7">
            <v>10</v>
          </cell>
          <cell r="AC7">
            <v>10</v>
          </cell>
          <cell r="AD7">
            <v>10</v>
          </cell>
          <cell r="AE7">
            <v>0</v>
          </cell>
          <cell r="AF7">
            <v>235</v>
          </cell>
          <cell r="AG7">
            <v>190</v>
          </cell>
          <cell r="AH7">
            <v>140</v>
          </cell>
          <cell r="AI7">
            <v>25</v>
          </cell>
          <cell r="AJ7">
            <v>20</v>
          </cell>
          <cell r="AK7">
            <v>45</v>
          </cell>
          <cell r="AL7">
            <v>25</v>
          </cell>
          <cell r="AM7">
            <v>15</v>
          </cell>
          <cell r="AN7">
            <v>0</v>
          </cell>
          <cell r="AO7">
            <v>1345</v>
          </cell>
          <cell r="AP7">
            <v>390</v>
          </cell>
          <cell r="AQ7">
            <v>385</v>
          </cell>
          <cell r="AR7">
            <v>120</v>
          </cell>
          <cell r="AS7">
            <v>175</v>
          </cell>
          <cell r="AT7">
            <v>270</v>
          </cell>
          <cell r="AU7">
            <v>0.9</v>
          </cell>
          <cell r="AV7">
            <v>5975</v>
          </cell>
          <cell r="AW7">
            <v>1820</v>
          </cell>
          <cell r="AX7">
            <v>200</v>
          </cell>
          <cell r="AY7">
            <v>100</v>
          </cell>
          <cell r="AZ7">
            <v>1515</v>
          </cell>
          <cell r="BA7">
            <v>4155</v>
          </cell>
          <cell r="BB7">
            <v>2.7</v>
          </cell>
          <cell r="BC7">
            <v>1375</v>
          </cell>
          <cell r="BD7">
            <v>835</v>
          </cell>
          <cell r="BE7">
            <v>110</v>
          </cell>
          <cell r="BF7">
            <v>10</v>
          </cell>
          <cell r="BG7">
            <v>725</v>
          </cell>
          <cell r="BH7">
            <v>535</v>
          </cell>
          <cell r="BI7">
            <v>3120</v>
          </cell>
          <cell r="BJ7">
            <v>3.9</v>
          </cell>
          <cell r="BK7">
            <v>12168</v>
          </cell>
          <cell r="BL7">
            <v>1.6</v>
          </cell>
          <cell r="BM7">
            <v>4992</v>
          </cell>
          <cell r="BN7">
            <v>3115</v>
          </cell>
          <cell r="BO7">
            <v>1455</v>
          </cell>
          <cell r="BP7">
            <v>1665</v>
          </cell>
          <cell r="BQ7">
            <v>0</v>
          </cell>
          <cell r="BR7">
            <v>3120</v>
          </cell>
          <cell r="BS7">
            <v>2600</v>
          </cell>
          <cell r="BT7">
            <v>410</v>
          </cell>
          <cell r="BU7">
            <v>105</v>
          </cell>
          <cell r="BV7">
            <v>3115</v>
          </cell>
          <cell r="BW7">
            <v>15</v>
          </cell>
          <cell r="BX7">
            <v>40</v>
          </cell>
          <cell r="BY7">
            <v>310</v>
          </cell>
          <cell r="BZ7">
            <v>440</v>
          </cell>
          <cell r="CA7">
            <v>865</v>
          </cell>
          <cell r="CB7">
            <v>770</v>
          </cell>
          <cell r="CC7">
            <v>350</v>
          </cell>
          <cell r="CD7">
            <v>95</v>
          </cell>
          <cell r="CE7">
            <v>230</v>
          </cell>
          <cell r="CF7">
            <v>3115</v>
          </cell>
          <cell r="CG7">
            <v>15</v>
          </cell>
          <cell r="CH7">
            <v>80</v>
          </cell>
          <cell r="CI7">
            <v>15</v>
          </cell>
          <cell r="CJ7">
            <v>5</v>
          </cell>
          <cell r="CK7">
            <v>2315</v>
          </cell>
          <cell r="CL7">
            <v>695</v>
          </cell>
          <cell r="CM7">
            <v>0</v>
          </cell>
          <cell r="CN7">
            <v>0</v>
          </cell>
          <cell r="CO7">
            <v>3120</v>
          </cell>
          <cell r="CP7">
            <v>1515</v>
          </cell>
          <cell r="CQ7">
            <v>840</v>
          </cell>
          <cell r="CR7">
            <v>415</v>
          </cell>
          <cell r="CS7">
            <v>320</v>
          </cell>
          <cell r="CT7">
            <v>30</v>
          </cell>
          <cell r="CU7">
            <v>5975</v>
          </cell>
          <cell r="CV7">
            <v>1.9</v>
          </cell>
          <cell r="CW7">
            <v>3120</v>
          </cell>
          <cell r="CX7">
            <v>1480</v>
          </cell>
          <cell r="CY7">
            <v>25</v>
          </cell>
          <cell r="CZ7">
            <v>1615</v>
          </cell>
        </row>
        <row r="8">
          <cell r="A8" t="str">
            <v>4620268.02</v>
          </cell>
          <cell r="B8" t="str">
            <v>0268.02</v>
          </cell>
          <cell r="C8" t="str">
            <v>Ahuntsic-Cartierville</v>
          </cell>
          <cell r="D8">
            <v>3005</v>
          </cell>
          <cell r="E8">
            <v>1070</v>
          </cell>
          <cell r="F8">
            <v>1490</v>
          </cell>
          <cell r="G8">
            <v>95</v>
          </cell>
          <cell r="H8">
            <v>220</v>
          </cell>
          <cell r="I8">
            <v>135</v>
          </cell>
          <cell r="J8">
            <v>3010</v>
          </cell>
          <cell r="K8">
            <v>2870</v>
          </cell>
          <cell r="L8">
            <v>140</v>
          </cell>
          <cell r="M8">
            <v>970</v>
          </cell>
          <cell r="N8">
            <v>380</v>
          </cell>
          <cell r="O8">
            <v>230</v>
          </cell>
          <cell r="P8">
            <v>185</v>
          </cell>
          <cell r="Q8">
            <v>165</v>
          </cell>
          <cell r="R8">
            <v>970</v>
          </cell>
          <cell r="S8">
            <v>785</v>
          </cell>
          <cell r="T8">
            <v>715</v>
          </cell>
          <cell r="U8">
            <v>240</v>
          </cell>
          <cell r="V8">
            <v>475</v>
          </cell>
          <cell r="W8">
            <v>150</v>
          </cell>
          <cell r="X8">
            <v>175</v>
          </cell>
          <cell r="Y8">
            <v>150</v>
          </cell>
          <cell r="Z8">
            <v>70</v>
          </cell>
          <cell r="AA8">
            <v>55</v>
          </cell>
          <cell r="AB8">
            <v>15</v>
          </cell>
          <cell r="AC8">
            <v>0</v>
          </cell>
          <cell r="AD8">
            <v>10</v>
          </cell>
          <cell r="AE8">
            <v>10</v>
          </cell>
          <cell r="AF8">
            <v>180</v>
          </cell>
          <cell r="AG8">
            <v>140</v>
          </cell>
          <cell r="AH8">
            <v>65</v>
          </cell>
          <cell r="AI8">
            <v>60</v>
          </cell>
          <cell r="AJ8">
            <v>15</v>
          </cell>
          <cell r="AK8">
            <v>40</v>
          </cell>
          <cell r="AL8">
            <v>20</v>
          </cell>
          <cell r="AM8">
            <v>15</v>
          </cell>
          <cell r="AN8">
            <v>0</v>
          </cell>
          <cell r="AO8">
            <v>1345</v>
          </cell>
          <cell r="AP8">
            <v>310</v>
          </cell>
          <cell r="AQ8">
            <v>505</v>
          </cell>
          <cell r="AR8">
            <v>150</v>
          </cell>
          <cell r="AS8">
            <v>185</v>
          </cell>
          <cell r="AT8">
            <v>190</v>
          </cell>
          <cell r="AU8">
            <v>1.4</v>
          </cell>
          <cell r="AV8">
            <v>3790</v>
          </cell>
          <cell r="AW8">
            <v>690</v>
          </cell>
          <cell r="AX8">
            <v>85</v>
          </cell>
          <cell r="AY8">
            <v>120</v>
          </cell>
          <cell r="AZ8">
            <v>485</v>
          </cell>
          <cell r="BA8">
            <v>3100</v>
          </cell>
          <cell r="BB8">
            <v>3.2</v>
          </cell>
          <cell r="BC8">
            <v>430</v>
          </cell>
          <cell r="BD8">
            <v>120</v>
          </cell>
          <cell r="BE8">
            <v>15</v>
          </cell>
          <cell r="BF8">
            <v>0</v>
          </cell>
          <cell r="BG8">
            <v>105</v>
          </cell>
          <cell r="BH8">
            <v>310</v>
          </cell>
          <cell r="BI8">
            <v>1505</v>
          </cell>
          <cell r="BJ8">
            <v>4.2</v>
          </cell>
          <cell r="BK8">
            <v>6321</v>
          </cell>
          <cell r="BL8">
            <v>1.7</v>
          </cell>
          <cell r="BM8">
            <v>2558.5</v>
          </cell>
          <cell r="BN8">
            <v>1510</v>
          </cell>
          <cell r="BO8">
            <v>440</v>
          </cell>
          <cell r="BP8">
            <v>1070</v>
          </cell>
          <cell r="BQ8">
            <v>0</v>
          </cell>
          <cell r="BR8">
            <v>1510</v>
          </cell>
          <cell r="BS8">
            <v>1035</v>
          </cell>
          <cell r="BT8">
            <v>260</v>
          </cell>
          <cell r="BU8">
            <v>210</v>
          </cell>
          <cell r="BV8">
            <v>1510</v>
          </cell>
          <cell r="BW8">
            <v>50</v>
          </cell>
          <cell r="BX8">
            <v>60</v>
          </cell>
          <cell r="BY8">
            <v>155</v>
          </cell>
          <cell r="BZ8">
            <v>320</v>
          </cell>
          <cell r="CA8">
            <v>260</v>
          </cell>
          <cell r="CB8">
            <v>370</v>
          </cell>
          <cell r="CC8">
            <v>120</v>
          </cell>
          <cell r="CD8">
            <v>135</v>
          </cell>
          <cell r="CE8">
            <v>40</v>
          </cell>
          <cell r="CF8">
            <v>1510</v>
          </cell>
          <cell r="CG8">
            <v>0</v>
          </cell>
          <cell r="CH8">
            <v>10</v>
          </cell>
          <cell r="CI8">
            <v>85</v>
          </cell>
          <cell r="CJ8">
            <v>5</v>
          </cell>
          <cell r="CK8">
            <v>480</v>
          </cell>
          <cell r="CL8">
            <v>925</v>
          </cell>
          <cell r="CM8">
            <v>0</v>
          </cell>
          <cell r="CN8">
            <v>0</v>
          </cell>
          <cell r="CO8">
            <v>1510</v>
          </cell>
          <cell r="CP8">
            <v>510</v>
          </cell>
          <cell r="CQ8">
            <v>395</v>
          </cell>
          <cell r="CR8">
            <v>230</v>
          </cell>
          <cell r="CS8">
            <v>320</v>
          </cell>
          <cell r="CT8">
            <v>65</v>
          </cell>
          <cell r="CU8">
            <v>3770</v>
          </cell>
          <cell r="CV8">
            <v>2.5</v>
          </cell>
          <cell r="CW8">
            <v>1510</v>
          </cell>
          <cell r="CX8">
            <v>945</v>
          </cell>
          <cell r="CY8">
            <v>15</v>
          </cell>
          <cell r="CZ8">
            <v>550</v>
          </cell>
        </row>
        <row r="9">
          <cell r="A9" t="str">
            <v>4620269.00</v>
          </cell>
          <cell r="B9" t="str">
            <v>0269.00</v>
          </cell>
          <cell r="C9" t="str">
            <v>Ahuntsic-Cartierville</v>
          </cell>
          <cell r="D9">
            <v>3300</v>
          </cell>
          <cell r="E9">
            <v>1495</v>
          </cell>
          <cell r="F9">
            <v>1165</v>
          </cell>
          <cell r="G9">
            <v>100</v>
          </cell>
          <cell r="H9">
            <v>360</v>
          </cell>
          <cell r="I9">
            <v>180</v>
          </cell>
          <cell r="J9">
            <v>3300</v>
          </cell>
          <cell r="K9">
            <v>2945</v>
          </cell>
          <cell r="L9">
            <v>355</v>
          </cell>
          <cell r="M9">
            <v>1005</v>
          </cell>
          <cell r="N9">
            <v>440</v>
          </cell>
          <cell r="O9">
            <v>270</v>
          </cell>
          <cell r="P9">
            <v>205</v>
          </cell>
          <cell r="Q9">
            <v>95</v>
          </cell>
          <cell r="R9">
            <v>1005</v>
          </cell>
          <cell r="S9">
            <v>740</v>
          </cell>
          <cell r="T9">
            <v>560</v>
          </cell>
          <cell r="U9">
            <v>195</v>
          </cell>
          <cell r="V9">
            <v>365</v>
          </cell>
          <cell r="W9">
            <v>160</v>
          </cell>
          <cell r="X9">
            <v>125</v>
          </cell>
          <cell r="Y9">
            <v>80</v>
          </cell>
          <cell r="Z9">
            <v>180</v>
          </cell>
          <cell r="AA9">
            <v>95</v>
          </cell>
          <cell r="AB9">
            <v>85</v>
          </cell>
          <cell r="AC9">
            <v>40</v>
          </cell>
          <cell r="AD9">
            <v>25</v>
          </cell>
          <cell r="AE9">
            <v>15</v>
          </cell>
          <cell r="AF9">
            <v>270</v>
          </cell>
          <cell r="AG9">
            <v>215</v>
          </cell>
          <cell r="AH9">
            <v>115</v>
          </cell>
          <cell r="AI9">
            <v>45</v>
          </cell>
          <cell r="AJ9">
            <v>55</v>
          </cell>
          <cell r="AK9">
            <v>60</v>
          </cell>
          <cell r="AL9">
            <v>30</v>
          </cell>
          <cell r="AM9">
            <v>25</v>
          </cell>
          <cell r="AN9">
            <v>0</v>
          </cell>
          <cell r="AO9">
            <v>1255</v>
          </cell>
          <cell r="AP9">
            <v>335</v>
          </cell>
          <cell r="AQ9">
            <v>415</v>
          </cell>
          <cell r="AR9">
            <v>160</v>
          </cell>
          <cell r="AS9">
            <v>210</v>
          </cell>
          <cell r="AT9">
            <v>145</v>
          </cell>
          <cell r="AU9">
            <v>1.2</v>
          </cell>
          <cell r="AV9">
            <v>4050</v>
          </cell>
          <cell r="AW9">
            <v>1040</v>
          </cell>
          <cell r="AX9">
            <v>80</v>
          </cell>
          <cell r="AY9">
            <v>115</v>
          </cell>
          <cell r="AZ9">
            <v>845</v>
          </cell>
          <cell r="BA9">
            <v>3005</v>
          </cell>
          <cell r="BB9">
            <v>3</v>
          </cell>
          <cell r="BC9">
            <v>465</v>
          </cell>
          <cell r="BD9">
            <v>250</v>
          </cell>
          <cell r="BE9">
            <v>10</v>
          </cell>
          <cell r="BF9">
            <v>20</v>
          </cell>
          <cell r="BG9">
            <v>220</v>
          </cell>
          <cell r="BH9">
            <v>215</v>
          </cell>
          <cell r="BI9">
            <v>1910</v>
          </cell>
          <cell r="BJ9">
            <v>4.2</v>
          </cell>
          <cell r="BK9">
            <v>8022</v>
          </cell>
          <cell r="BL9">
            <v>1.7</v>
          </cell>
          <cell r="BM9">
            <v>3247</v>
          </cell>
          <cell r="BN9">
            <v>1910</v>
          </cell>
          <cell r="BO9">
            <v>435</v>
          </cell>
          <cell r="BP9">
            <v>1475</v>
          </cell>
          <cell r="BQ9">
            <v>0</v>
          </cell>
          <cell r="BR9">
            <v>1915</v>
          </cell>
          <cell r="BS9">
            <v>1105</v>
          </cell>
          <cell r="BT9">
            <v>560</v>
          </cell>
          <cell r="BU9">
            <v>245</v>
          </cell>
          <cell r="BV9">
            <v>1915</v>
          </cell>
          <cell r="BW9">
            <v>180</v>
          </cell>
          <cell r="BX9">
            <v>780</v>
          </cell>
          <cell r="BY9">
            <v>560</v>
          </cell>
          <cell r="BZ9">
            <v>190</v>
          </cell>
          <cell r="CA9">
            <v>70</v>
          </cell>
          <cell r="CB9">
            <v>45</v>
          </cell>
          <cell r="CC9">
            <v>45</v>
          </cell>
          <cell r="CD9">
            <v>15</v>
          </cell>
          <cell r="CE9">
            <v>25</v>
          </cell>
          <cell r="CF9">
            <v>1915</v>
          </cell>
          <cell r="CG9">
            <v>35</v>
          </cell>
          <cell r="CH9">
            <v>75</v>
          </cell>
          <cell r="CI9">
            <v>5</v>
          </cell>
          <cell r="CJ9">
            <v>250</v>
          </cell>
          <cell r="CK9">
            <v>0</v>
          </cell>
          <cell r="CL9">
            <v>1545</v>
          </cell>
          <cell r="CM9">
            <v>10</v>
          </cell>
          <cell r="CN9">
            <v>0</v>
          </cell>
          <cell r="CO9">
            <v>1915</v>
          </cell>
          <cell r="CP9">
            <v>850</v>
          </cell>
          <cell r="CQ9">
            <v>485</v>
          </cell>
          <cell r="CR9">
            <v>265</v>
          </cell>
          <cell r="CS9">
            <v>270</v>
          </cell>
          <cell r="CT9">
            <v>40</v>
          </cell>
          <cell r="CU9">
            <v>4050</v>
          </cell>
          <cell r="CV9">
            <v>2.1</v>
          </cell>
          <cell r="CW9">
            <v>1910</v>
          </cell>
          <cell r="CX9">
            <v>965</v>
          </cell>
          <cell r="CY9">
            <v>20</v>
          </cell>
          <cell r="CZ9">
            <v>925</v>
          </cell>
        </row>
        <row r="10">
          <cell r="A10" t="str">
            <v>4620270.00</v>
          </cell>
          <cell r="B10" t="str">
            <v>0270.00</v>
          </cell>
          <cell r="C10" t="str">
            <v>Ahuntsic-Cartierville</v>
          </cell>
          <cell r="D10">
            <v>3695</v>
          </cell>
          <cell r="E10">
            <v>1840</v>
          </cell>
          <cell r="F10">
            <v>1170</v>
          </cell>
          <cell r="G10">
            <v>110</v>
          </cell>
          <cell r="H10">
            <v>390</v>
          </cell>
          <cell r="I10">
            <v>180</v>
          </cell>
          <cell r="J10">
            <v>3695</v>
          </cell>
          <cell r="K10">
            <v>3075</v>
          </cell>
          <cell r="L10">
            <v>620</v>
          </cell>
          <cell r="M10">
            <v>1080</v>
          </cell>
          <cell r="N10">
            <v>580</v>
          </cell>
          <cell r="O10">
            <v>280</v>
          </cell>
          <cell r="P10">
            <v>170</v>
          </cell>
          <cell r="Q10">
            <v>55</v>
          </cell>
          <cell r="R10">
            <v>1080</v>
          </cell>
          <cell r="S10">
            <v>875</v>
          </cell>
          <cell r="T10">
            <v>560</v>
          </cell>
          <cell r="U10">
            <v>275</v>
          </cell>
          <cell r="V10">
            <v>285</v>
          </cell>
          <cell r="W10">
            <v>140</v>
          </cell>
          <cell r="X10">
            <v>110</v>
          </cell>
          <cell r="Y10">
            <v>35</v>
          </cell>
          <cell r="Z10">
            <v>315</v>
          </cell>
          <cell r="AA10">
            <v>170</v>
          </cell>
          <cell r="AB10">
            <v>140</v>
          </cell>
          <cell r="AC10">
            <v>60</v>
          </cell>
          <cell r="AD10">
            <v>65</v>
          </cell>
          <cell r="AE10">
            <v>15</v>
          </cell>
          <cell r="AF10">
            <v>210</v>
          </cell>
          <cell r="AG10">
            <v>145</v>
          </cell>
          <cell r="AH10">
            <v>85</v>
          </cell>
          <cell r="AI10">
            <v>55</v>
          </cell>
          <cell r="AJ10">
            <v>0</v>
          </cell>
          <cell r="AK10">
            <v>60</v>
          </cell>
          <cell r="AL10">
            <v>45</v>
          </cell>
          <cell r="AM10">
            <v>20</v>
          </cell>
          <cell r="AN10">
            <v>0</v>
          </cell>
          <cell r="AO10">
            <v>1005</v>
          </cell>
          <cell r="AP10">
            <v>255</v>
          </cell>
          <cell r="AQ10">
            <v>300</v>
          </cell>
          <cell r="AR10">
            <v>110</v>
          </cell>
          <cell r="AS10">
            <v>220</v>
          </cell>
          <cell r="AT10">
            <v>115</v>
          </cell>
          <cell r="AU10">
            <v>0.9</v>
          </cell>
          <cell r="AV10">
            <v>4230</v>
          </cell>
          <cell r="AW10">
            <v>1265</v>
          </cell>
          <cell r="AX10">
            <v>100</v>
          </cell>
          <cell r="AY10">
            <v>180</v>
          </cell>
          <cell r="AZ10">
            <v>985</v>
          </cell>
          <cell r="BA10">
            <v>2960</v>
          </cell>
          <cell r="BB10">
            <v>2.7</v>
          </cell>
          <cell r="BC10">
            <v>560</v>
          </cell>
          <cell r="BD10">
            <v>245</v>
          </cell>
          <cell r="BE10">
            <v>15</v>
          </cell>
          <cell r="BF10">
            <v>15</v>
          </cell>
          <cell r="BG10">
            <v>215</v>
          </cell>
          <cell r="BH10">
            <v>315</v>
          </cell>
          <cell r="BI10">
            <v>2170</v>
          </cell>
          <cell r="BJ10">
            <v>4.7</v>
          </cell>
          <cell r="BK10">
            <v>10199</v>
          </cell>
          <cell r="BL10">
            <v>1.9</v>
          </cell>
          <cell r="BM10">
            <v>4123</v>
          </cell>
          <cell r="BN10">
            <v>2170</v>
          </cell>
          <cell r="BO10">
            <v>735</v>
          </cell>
          <cell r="BP10">
            <v>1430</v>
          </cell>
          <cell r="BQ10">
            <v>0</v>
          </cell>
          <cell r="BR10">
            <v>2170</v>
          </cell>
          <cell r="BS10">
            <v>1355</v>
          </cell>
          <cell r="BT10">
            <v>650</v>
          </cell>
          <cell r="BU10">
            <v>170</v>
          </cell>
          <cell r="BV10">
            <v>2170</v>
          </cell>
          <cell r="BW10">
            <v>245</v>
          </cell>
          <cell r="BX10">
            <v>1140</v>
          </cell>
          <cell r="BY10">
            <v>365</v>
          </cell>
          <cell r="BZ10">
            <v>140</v>
          </cell>
          <cell r="CA10">
            <v>115</v>
          </cell>
          <cell r="CB10">
            <v>75</v>
          </cell>
          <cell r="CC10">
            <v>40</v>
          </cell>
          <cell r="CD10">
            <v>15</v>
          </cell>
          <cell r="CE10">
            <v>35</v>
          </cell>
          <cell r="CF10">
            <v>2170</v>
          </cell>
          <cell r="CG10">
            <v>75</v>
          </cell>
          <cell r="CH10">
            <v>10</v>
          </cell>
          <cell r="CI10">
            <v>20</v>
          </cell>
          <cell r="CJ10">
            <v>590</v>
          </cell>
          <cell r="CK10">
            <v>380</v>
          </cell>
          <cell r="CL10">
            <v>1085</v>
          </cell>
          <cell r="CM10">
            <v>10</v>
          </cell>
          <cell r="CN10">
            <v>0</v>
          </cell>
          <cell r="CO10">
            <v>2170</v>
          </cell>
          <cell r="CP10">
            <v>985</v>
          </cell>
          <cell r="CQ10">
            <v>665</v>
          </cell>
          <cell r="CR10">
            <v>260</v>
          </cell>
          <cell r="CS10">
            <v>240</v>
          </cell>
          <cell r="CT10">
            <v>15</v>
          </cell>
          <cell r="CU10">
            <v>4230</v>
          </cell>
          <cell r="CV10">
            <v>1.9</v>
          </cell>
          <cell r="CW10">
            <v>2170</v>
          </cell>
          <cell r="CX10">
            <v>1050</v>
          </cell>
          <cell r="CY10">
            <v>15</v>
          </cell>
          <cell r="CZ10">
            <v>1100</v>
          </cell>
        </row>
        <row r="11">
          <cell r="A11" t="str">
            <v>4620271.00</v>
          </cell>
          <cell r="B11" t="str">
            <v>0271.00</v>
          </cell>
          <cell r="C11" t="str">
            <v>Ahuntsic-Cartierville</v>
          </cell>
          <cell r="D11">
            <v>2680</v>
          </cell>
          <cell r="E11">
            <v>1290</v>
          </cell>
          <cell r="F11">
            <v>870</v>
          </cell>
          <cell r="G11">
            <v>60</v>
          </cell>
          <cell r="H11">
            <v>290</v>
          </cell>
          <cell r="I11">
            <v>175</v>
          </cell>
          <cell r="J11">
            <v>2685</v>
          </cell>
          <cell r="K11">
            <v>2110</v>
          </cell>
          <cell r="L11">
            <v>575</v>
          </cell>
          <cell r="M11">
            <v>890</v>
          </cell>
          <cell r="N11">
            <v>505</v>
          </cell>
          <cell r="O11">
            <v>185</v>
          </cell>
          <cell r="P11">
            <v>155</v>
          </cell>
          <cell r="Q11">
            <v>35</v>
          </cell>
          <cell r="R11">
            <v>890</v>
          </cell>
          <cell r="S11">
            <v>715</v>
          </cell>
          <cell r="T11">
            <v>430</v>
          </cell>
          <cell r="U11">
            <v>230</v>
          </cell>
          <cell r="V11">
            <v>200</v>
          </cell>
          <cell r="W11">
            <v>100</v>
          </cell>
          <cell r="X11">
            <v>85</v>
          </cell>
          <cell r="Y11">
            <v>15</v>
          </cell>
          <cell r="Z11">
            <v>285</v>
          </cell>
          <cell r="AA11">
            <v>150</v>
          </cell>
          <cell r="AB11">
            <v>140</v>
          </cell>
          <cell r="AC11">
            <v>50</v>
          </cell>
          <cell r="AD11">
            <v>65</v>
          </cell>
          <cell r="AE11">
            <v>25</v>
          </cell>
          <cell r="AF11">
            <v>170</v>
          </cell>
          <cell r="AG11">
            <v>135</v>
          </cell>
          <cell r="AH11">
            <v>110</v>
          </cell>
          <cell r="AI11">
            <v>20</v>
          </cell>
          <cell r="AJ11">
            <v>0</v>
          </cell>
          <cell r="AK11">
            <v>40</v>
          </cell>
          <cell r="AL11">
            <v>20</v>
          </cell>
          <cell r="AM11">
            <v>20</v>
          </cell>
          <cell r="AN11">
            <v>0</v>
          </cell>
          <cell r="AO11">
            <v>800</v>
          </cell>
          <cell r="AP11">
            <v>160</v>
          </cell>
          <cell r="AQ11">
            <v>300</v>
          </cell>
          <cell r="AR11">
            <v>70</v>
          </cell>
          <cell r="AS11">
            <v>185</v>
          </cell>
          <cell r="AT11">
            <v>80</v>
          </cell>
          <cell r="AU11">
            <v>0.9</v>
          </cell>
          <cell r="AV11">
            <v>3115</v>
          </cell>
          <cell r="AW11">
            <v>705</v>
          </cell>
          <cell r="AX11">
            <v>35</v>
          </cell>
          <cell r="AY11">
            <v>90</v>
          </cell>
          <cell r="AZ11">
            <v>575</v>
          </cell>
          <cell r="BA11">
            <v>2410</v>
          </cell>
          <cell r="BB11">
            <v>2.7</v>
          </cell>
          <cell r="BC11">
            <v>535</v>
          </cell>
          <cell r="BD11">
            <v>200</v>
          </cell>
          <cell r="BE11">
            <v>30</v>
          </cell>
          <cell r="BF11">
            <v>10</v>
          </cell>
          <cell r="BG11">
            <v>165</v>
          </cell>
          <cell r="BH11">
            <v>335</v>
          </cell>
          <cell r="BI11">
            <v>1500</v>
          </cell>
          <cell r="BJ11">
            <v>5.4</v>
          </cell>
          <cell r="BK11">
            <v>8100.0000000000009</v>
          </cell>
          <cell r="BL11">
            <v>2.1</v>
          </cell>
          <cell r="BM11">
            <v>3150</v>
          </cell>
          <cell r="BN11">
            <v>1500</v>
          </cell>
          <cell r="BO11">
            <v>815</v>
          </cell>
          <cell r="BP11">
            <v>685</v>
          </cell>
          <cell r="BQ11">
            <v>0</v>
          </cell>
          <cell r="BR11">
            <v>1500</v>
          </cell>
          <cell r="BS11">
            <v>905</v>
          </cell>
          <cell r="BT11">
            <v>510</v>
          </cell>
          <cell r="BU11">
            <v>85</v>
          </cell>
          <cell r="BV11">
            <v>1500</v>
          </cell>
          <cell r="BW11">
            <v>200</v>
          </cell>
          <cell r="BX11">
            <v>795</v>
          </cell>
          <cell r="BY11">
            <v>270</v>
          </cell>
          <cell r="BZ11">
            <v>75</v>
          </cell>
          <cell r="CA11">
            <v>30</v>
          </cell>
          <cell r="CB11">
            <v>30</v>
          </cell>
          <cell r="CC11">
            <v>40</v>
          </cell>
          <cell r="CD11">
            <v>0</v>
          </cell>
          <cell r="CE11">
            <v>55</v>
          </cell>
          <cell r="CF11">
            <v>1500</v>
          </cell>
          <cell r="CG11">
            <v>225</v>
          </cell>
          <cell r="CH11">
            <v>25</v>
          </cell>
          <cell r="CI11">
            <v>15</v>
          </cell>
          <cell r="CJ11">
            <v>375</v>
          </cell>
          <cell r="CK11">
            <v>0</v>
          </cell>
          <cell r="CL11">
            <v>785</v>
          </cell>
          <cell r="CM11">
            <v>75</v>
          </cell>
          <cell r="CN11">
            <v>0</v>
          </cell>
          <cell r="CO11">
            <v>1500</v>
          </cell>
          <cell r="CP11">
            <v>575</v>
          </cell>
          <cell r="CQ11">
            <v>530</v>
          </cell>
          <cell r="CR11">
            <v>200</v>
          </cell>
          <cell r="CS11">
            <v>170</v>
          </cell>
          <cell r="CT11">
            <v>25</v>
          </cell>
          <cell r="CU11">
            <v>3115</v>
          </cell>
          <cell r="CV11">
            <v>2.1</v>
          </cell>
          <cell r="CW11">
            <v>1500</v>
          </cell>
          <cell r="CX11">
            <v>865</v>
          </cell>
          <cell r="CY11">
            <v>15</v>
          </cell>
          <cell r="CZ11">
            <v>625</v>
          </cell>
        </row>
        <row r="12">
          <cell r="A12" t="str">
            <v>4620272.00</v>
          </cell>
          <cell r="B12" t="str">
            <v>0272.00</v>
          </cell>
          <cell r="C12" t="str">
            <v>Ahuntsic-Cartierville</v>
          </cell>
          <cell r="D12">
            <v>3060</v>
          </cell>
          <cell r="E12">
            <v>1405</v>
          </cell>
          <cell r="F12">
            <v>1025</v>
          </cell>
          <cell r="G12">
            <v>110</v>
          </cell>
          <cell r="H12">
            <v>345</v>
          </cell>
          <cell r="I12">
            <v>180</v>
          </cell>
          <cell r="J12">
            <v>3060</v>
          </cell>
          <cell r="K12">
            <v>2615</v>
          </cell>
          <cell r="L12">
            <v>445</v>
          </cell>
          <cell r="M12">
            <v>935</v>
          </cell>
          <cell r="N12">
            <v>540</v>
          </cell>
          <cell r="O12">
            <v>210</v>
          </cell>
          <cell r="P12">
            <v>140</v>
          </cell>
          <cell r="Q12">
            <v>40</v>
          </cell>
          <cell r="R12">
            <v>935</v>
          </cell>
          <cell r="S12">
            <v>725</v>
          </cell>
          <cell r="T12">
            <v>495</v>
          </cell>
          <cell r="U12">
            <v>245</v>
          </cell>
          <cell r="V12">
            <v>250</v>
          </cell>
          <cell r="W12">
            <v>100</v>
          </cell>
          <cell r="X12">
            <v>120</v>
          </cell>
          <cell r="Y12">
            <v>30</v>
          </cell>
          <cell r="Z12">
            <v>230</v>
          </cell>
          <cell r="AA12">
            <v>155</v>
          </cell>
          <cell r="AB12">
            <v>70</v>
          </cell>
          <cell r="AC12">
            <v>50</v>
          </cell>
          <cell r="AD12">
            <v>15</v>
          </cell>
          <cell r="AE12">
            <v>10</v>
          </cell>
          <cell r="AF12">
            <v>215</v>
          </cell>
          <cell r="AG12">
            <v>180</v>
          </cell>
          <cell r="AH12">
            <v>115</v>
          </cell>
          <cell r="AI12">
            <v>60</v>
          </cell>
          <cell r="AJ12">
            <v>10</v>
          </cell>
          <cell r="AK12">
            <v>25</v>
          </cell>
          <cell r="AL12">
            <v>20</v>
          </cell>
          <cell r="AM12">
            <v>10</v>
          </cell>
          <cell r="AN12">
            <v>0</v>
          </cell>
          <cell r="AO12">
            <v>850</v>
          </cell>
          <cell r="AP12">
            <v>215</v>
          </cell>
          <cell r="AQ12">
            <v>300</v>
          </cell>
          <cell r="AR12">
            <v>110</v>
          </cell>
          <cell r="AS12">
            <v>130</v>
          </cell>
          <cell r="AT12">
            <v>95</v>
          </cell>
          <cell r="AU12">
            <v>0.9</v>
          </cell>
          <cell r="AV12">
            <v>3570</v>
          </cell>
          <cell r="AW12">
            <v>1055</v>
          </cell>
          <cell r="AX12">
            <v>95</v>
          </cell>
          <cell r="AY12">
            <v>160</v>
          </cell>
          <cell r="AZ12">
            <v>800</v>
          </cell>
          <cell r="BA12">
            <v>2510</v>
          </cell>
          <cell r="BB12">
            <v>2.7</v>
          </cell>
          <cell r="BC12">
            <v>530</v>
          </cell>
          <cell r="BD12">
            <v>240</v>
          </cell>
          <cell r="BE12">
            <v>20</v>
          </cell>
          <cell r="BF12">
            <v>0</v>
          </cell>
          <cell r="BG12">
            <v>225</v>
          </cell>
          <cell r="BH12">
            <v>290</v>
          </cell>
          <cell r="BI12">
            <v>1825</v>
          </cell>
          <cell r="BJ12">
            <v>4.5</v>
          </cell>
          <cell r="BK12">
            <v>8212.5</v>
          </cell>
          <cell r="BL12">
            <v>1.8</v>
          </cell>
          <cell r="BM12">
            <v>3285</v>
          </cell>
          <cell r="BN12">
            <v>1825</v>
          </cell>
          <cell r="BO12">
            <v>590</v>
          </cell>
          <cell r="BP12">
            <v>1240</v>
          </cell>
          <cell r="BQ12">
            <v>0</v>
          </cell>
          <cell r="BR12">
            <v>1825</v>
          </cell>
          <cell r="BS12">
            <v>1310</v>
          </cell>
          <cell r="BT12">
            <v>395</v>
          </cell>
          <cell r="BU12">
            <v>120</v>
          </cell>
          <cell r="BV12">
            <v>1825</v>
          </cell>
          <cell r="BW12">
            <v>215</v>
          </cell>
          <cell r="BX12">
            <v>710</v>
          </cell>
          <cell r="BY12">
            <v>310</v>
          </cell>
          <cell r="BZ12">
            <v>220</v>
          </cell>
          <cell r="CA12">
            <v>210</v>
          </cell>
          <cell r="CB12">
            <v>35</v>
          </cell>
          <cell r="CC12">
            <v>40</v>
          </cell>
          <cell r="CD12">
            <v>10</v>
          </cell>
          <cell r="CE12">
            <v>65</v>
          </cell>
          <cell r="CF12">
            <v>1825</v>
          </cell>
          <cell r="CG12">
            <v>125</v>
          </cell>
          <cell r="CH12">
            <v>90</v>
          </cell>
          <cell r="CI12">
            <v>75</v>
          </cell>
          <cell r="CJ12">
            <v>190</v>
          </cell>
          <cell r="CK12">
            <v>5</v>
          </cell>
          <cell r="CL12">
            <v>1345</v>
          </cell>
          <cell r="CM12">
            <v>5</v>
          </cell>
          <cell r="CN12">
            <v>0</v>
          </cell>
          <cell r="CO12">
            <v>1825</v>
          </cell>
          <cell r="CP12">
            <v>800</v>
          </cell>
          <cell r="CQ12">
            <v>570</v>
          </cell>
          <cell r="CR12">
            <v>250</v>
          </cell>
          <cell r="CS12">
            <v>190</v>
          </cell>
          <cell r="CT12">
            <v>15</v>
          </cell>
          <cell r="CU12">
            <v>3565</v>
          </cell>
          <cell r="CV12">
            <v>2</v>
          </cell>
          <cell r="CW12">
            <v>1825</v>
          </cell>
          <cell r="CX12">
            <v>920</v>
          </cell>
          <cell r="CY12">
            <v>10</v>
          </cell>
          <cell r="CZ12">
            <v>895</v>
          </cell>
        </row>
        <row r="13">
          <cell r="A13" t="str">
            <v>4620273.00</v>
          </cell>
          <cell r="B13" t="str">
            <v>0273.00</v>
          </cell>
          <cell r="C13" t="str">
            <v>Ahuntsic-Cartierville</v>
          </cell>
          <cell r="D13">
            <v>3695</v>
          </cell>
          <cell r="E13">
            <v>1520</v>
          </cell>
          <cell r="F13">
            <v>1325</v>
          </cell>
          <cell r="G13">
            <v>95</v>
          </cell>
          <cell r="H13">
            <v>425</v>
          </cell>
          <cell r="I13">
            <v>330</v>
          </cell>
          <cell r="J13">
            <v>3695</v>
          </cell>
          <cell r="K13">
            <v>3260</v>
          </cell>
          <cell r="L13">
            <v>435</v>
          </cell>
          <cell r="M13">
            <v>1155</v>
          </cell>
          <cell r="N13">
            <v>645</v>
          </cell>
          <cell r="O13">
            <v>240</v>
          </cell>
          <cell r="P13">
            <v>185</v>
          </cell>
          <cell r="Q13">
            <v>80</v>
          </cell>
          <cell r="R13">
            <v>1155</v>
          </cell>
          <cell r="S13">
            <v>870</v>
          </cell>
          <cell r="T13">
            <v>650</v>
          </cell>
          <cell r="U13">
            <v>310</v>
          </cell>
          <cell r="V13">
            <v>340</v>
          </cell>
          <cell r="W13">
            <v>135</v>
          </cell>
          <cell r="X13">
            <v>135</v>
          </cell>
          <cell r="Y13">
            <v>70</v>
          </cell>
          <cell r="Z13">
            <v>215</v>
          </cell>
          <cell r="AA13">
            <v>145</v>
          </cell>
          <cell r="AB13">
            <v>70</v>
          </cell>
          <cell r="AC13">
            <v>30</v>
          </cell>
          <cell r="AD13">
            <v>25</v>
          </cell>
          <cell r="AE13">
            <v>10</v>
          </cell>
          <cell r="AF13">
            <v>290</v>
          </cell>
          <cell r="AG13">
            <v>215</v>
          </cell>
          <cell r="AH13">
            <v>145</v>
          </cell>
          <cell r="AI13">
            <v>50</v>
          </cell>
          <cell r="AJ13">
            <v>20</v>
          </cell>
          <cell r="AK13">
            <v>75</v>
          </cell>
          <cell r="AL13">
            <v>45</v>
          </cell>
          <cell r="AM13">
            <v>25</v>
          </cell>
          <cell r="AN13">
            <v>0</v>
          </cell>
          <cell r="AO13">
            <v>1160</v>
          </cell>
          <cell r="AP13">
            <v>265</v>
          </cell>
          <cell r="AQ13">
            <v>290</v>
          </cell>
          <cell r="AR13">
            <v>115</v>
          </cell>
          <cell r="AS13">
            <v>195</v>
          </cell>
          <cell r="AT13">
            <v>295</v>
          </cell>
          <cell r="AU13">
            <v>1</v>
          </cell>
          <cell r="AV13">
            <v>4180</v>
          </cell>
          <cell r="AW13">
            <v>1000</v>
          </cell>
          <cell r="AX13">
            <v>35</v>
          </cell>
          <cell r="AY13">
            <v>60</v>
          </cell>
          <cell r="AZ13">
            <v>905</v>
          </cell>
          <cell r="BA13">
            <v>3180</v>
          </cell>
          <cell r="BB13">
            <v>2.8</v>
          </cell>
          <cell r="BC13">
            <v>885</v>
          </cell>
          <cell r="BD13">
            <v>355</v>
          </cell>
          <cell r="BE13">
            <v>15</v>
          </cell>
          <cell r="BF13">
            <v>10</v>
          </cell>
          <cell r="BG13">
            <v>330</v>
          </cell>
          <cell r="BH13">
            <v>520</v>
          </cell>
          <cell r="BI13">
            <v>2080</v>
          </cell>
          <cell r="BJ13">
            <v>4.9000000000000004</v>
          </cell>
          <cell r="BK13">
            <v>10192</v>
          </cell>
          <cell r="BL13">
            <v>2</v>
          </cell>
          <cell r="BM13">
            <v>4160</v>
          </cell>
          <cell r="BN13">
            <v>2080</v>
          </cell>
          <cell r="BO13">
            <v>800</v>
          </cell>
          <cell r="BP13">
            <v>1275</v>
          </cell>
          <cell r="BQ13">
            <v>0</v>
          </cell>
          <cell r="BR13">
            <v>2075</v>
          </cell>
          <cell r="BS13">
            <v>1405</v>
          </cell>
          <cell r="BT13">
            <v>555</v>
          </cell>
          <cell r="BU13">
            <v>110</v>
          </cell>
          <cell r="BV13">
            <v>2075</v>
          </cell>
          <cell r="BW13">
            <v>140</v>
          </cell>
          <cell r="BX13">
            <v>905</v>
          </cell>
          <cell r="BY13">
            <v>615</v>
          </cell>
          <cell r="BZ13">
            <v>235</v>
          </cell>
          <cell r="CA13">
            <v>70</v>
          </cell>
          <cell r="CB13">
            <v>55</v>
          </cell>
          <cell r="CC13">
            <v>15</v>
          </cell>
          <cell r="CD13">
            <v>0</v>
          </cell>
          <cell r="CE13">
            <v>30</v>
          </cell>
          <cell r="CF13">
            <v>2080</v>
          </cell>
          <cell r="CG13">
            <v>80</v>
          </cell>
          <cell r="CH13">
            <v>15</v>
          </cell>
          <cell r="CI13">
            <v>0</v>
          </cell>
          <cell r="CJ13">
            <v>675</v>
          </cell>
          <cell r="CK13">
            <v>5</v>
          </cell>
          <cell r="CL13">
            <v>1295</v>
          </cell>
          <cell r="CM13">
            <v>10</v>
          </cell>
          <cell r="CN13">
            <v>5</v>
          </cell>
          <cell r="CO13">
            <v>2080</v>
          </cell>
          <cell r="CP13">
            <v>905</v>
          </cell>
          <cell r="CQ13">
            <v>640</v>
          </cell>
          <cell r="CR13">
            <v>250</v>
          </cell>
          <cell r="CS13">
            <v>260</v>
          </cell>
          <cell r="CT13">
            <v>20</v>
          </cell>
          <cell r="CU13">
            <v>4185</v>
          </cell>
          <cell r="CV13">
            <v>2</v>
          </cell>
          <cell r="CW13">
            <v>2075</v>
          </cell>
          <cell r="CX13">
            <v>1140</v>
          </cell>
          <cell r="CY13">
            <v>10</v>
          </cell>
          <cell r="CZ13">
            <v>930</v>
          </cell>
        </row>
        <row r="14">
          <cell r="A14" t="str">
            <v>4620274.00</v>
          </cell>
          <cell r="B14" t="str">
            <v>0274.00</v>
          </cell>
          <cell r="C14" t="str">
            <v>Ahuntsic-Cartierville</v>
          </cell>
          <cell r="D14">
            <v>2505</v>
          </cell>
          <cell r="E14">
            <v>905</v>
          </cell>
          <cell r="F14">
            <v>1055</v>
          </cell>
          <cell r="G14">
            <v>60</v>
          </cell>
          <cell r="H14">
            <v>275</v>
          </cell>
          <cell r="I14">
            <v>210</v>
          </cell>
          <cell r="J14">
            <v>2500</v>
          </cell>
          <cell r="K14">
            <v>2245</v>
          </cell>
          <cell r="L14">
            <v>260</v>
          </cell>
          <cell r="M14">
            <v>870</v>
          </cell>
          <cell r="N14">
            <v>485</v>
          </cell>
          <cell r="O14">
            <v>200</v>
          </cell>
          <cell r="P14">
            <v>140</v>
          </cell>
          <cell r="Q14">
            <v>45</v>
          </cell>
          <cell r="R14">
            <v>875</v>
          </cell>
          <cell r="S14">
            <v>635</v>
          </cell>
          <cell r="T14">
            <v>505</v>
          </cell>
          <cell r="U14">
            <v>195</v>
          </cell>
          <cell r="V14">
            <v>310</v>
          </cell>
          <cell r="W14">
            <v>145</v>
          </cell>
          <cell r="X14">
            <v>120</v>
          </cell>
          <cell r="Y14">
            <v>45</v>
          </cell>
          <cell r="Z14">
            <v>130</v>
          </cell>
          <cell r="AA14">
            <v>120</v>
          </cell>
          <cell r="AB14">
            <v>10</v>
          </cell>
          <cell r="AC14">
            <v>0</v>
          </cell>
          <cell r="AD14">
            <v>0</v>
          </cell>
          <cell r="AE14">
            <v>0</v>
          </cell>
          <cell r="AF14">
            <v>240</v>
          </cell>
          <cell r="AG14">
            <v>220</v>
          </cell>
          <cell r="AH14">
            <v>155</v>
          </cell>
          <cell r="AI14">
            <v>50</v>
          </cell>
          <cell r="AJ14">
            <v>15</v>
          </cell>
          <cell r="AK14">
            <v>15</v>
          </cell>
          <cell r="AL14">
            <v>10</v>
          </cell>
          <cell r="AM14">
            <v>0</v>
          </cell>
          <cell r="AN14">
            <v>0</v>
          </cell>
          <cell r="AO14">
            <v>850</v>
          </cell>
          <cell r="AP14">
            <v>240</v>
          </cell>
          <cell r="AQ14">
            <v>235</v>
          </cell>
          <cell r="AR14">
            <v>90</v>
          </cell>
          <cell r="AS14">
            <v>115</v>
          </cell>
          <cell r="AT14">
            <v>170</v>
          </cell>
          <cell r="AU14">
            <v>1</v>
          </cell>
          <cell r="AV14">
            <v>2955</v>
          </cell>
          <cell r="AW14">
            <v>595</v>
          </cell>
          <cell r="AX14">
            <v>45</v>
          </cell>
          <cell r="AY14">
            <v>35</v>
          </cell>
          <cell r="AZ14">
            <v>510</v>
          </cell>
          <cell r="BA14">
            <v>2360</v>
          </cell>
          <cell r="BB14">
            <v>2.7</v>
          </cell>
          <cell r="BC14">
            <v>645</v>
          </cell>
          <cell r="BD14">
            <v>280</v>
          </cell>
          <cell r="BE14">
            <v>30</v>
          </cell>
          <cell r="BF14">
            <v>0</v>
          </cell>
          <cell r="BG14">
            <v>245</v>
          </cell>
          <cell r="BH14">
            <v>365</v>
          </cell>
          <cell r="BI14">
            <v>1360</v>
          </cell>
          <cell r="BJ14">
            <v>4.7</v>
          </cell>
          <cell r="BK14">
            <v>6392</v>
          </cell>
          <cell r="BL14">
            <v>2</v>
          </cell>
          <cell r="BM14">
            <v>2720</v>
          </cell>
          <cell r="BN14">
            <v>1355</v>
          </cell>
          <cell r="BO14">
            <v>470</v>
          </cell>
          <cell r="BP14">
            <v>885</v>
          </cell>
          <cell r="BQ14">
            <v>0</v>
          </cell>
          <cell r="BR14">
            <v>1360</v>
          </cell>
          <cell r="BS14">
            <v>840</v>
          </cell>
          <cell r="BT14">
            <v>465</v>
          </cell>
          <cell r="BU14">
            <v>55</v>
          </cell>
          <cell r="BV14">
            <v>1360</v>
          </cell>
          <cell r="BW14">
            <v>70</v>
          </cell>
          <cell r="BX14">
            <v>560</v>
          </cell>
          <cell r="BY14">
            <v>545</v>
          </cell>
          <cell r="BZ14">
            <v>120</v>
          </cell>
          <cell r="CA14">
            <v>55</v>
          </cell>
          <cell r="CB14">
            <v>0</v>
          </cell>
          <cell r="CC14">
            <v>0</v>
          </cell>
          <cell r="CD14">
            <v>0</v>
          </cell>
          <cell r="CE14">
            <v>10</v>
          </cell>
          <cell r="CF14">
            <v>1355</v>
          </cell>
          <cell r="CG14">
            <v>30</v>
          </cell>
          <cell r="CH14">
            <v>40</v>
          </cell>
          <cell r="CI14">
            <v>0</v>
          </cell>
          <cell r="CJ14">
            <v>515</v>
          </cell>
          <cell r="CK14">
            <v>75</v>
          </cell>
          <cell r="CL14">
            <v>700</v>
          </cell>
          <cell r="CM14">
            <v>5</v>
          </cell>
          <cell r="CN14">
            <v>5</v>
          </cell>
          <cell r="CO14">
            <v>1360</v>
          </cell>
          <cell r="CP14">
            <v>510</v>
          </cell>
          <cell r="CQ14">
            <v>430</v>
          </cell>
          <cell r="CR14">
            <v>190</v>
          </cell>
          <cell r="CS14">
            <v>200</v>
          </cell>
          <cell r="CT14">
            <v>30</v>
          </cell>
          <cell r="CU14">
            <v>2960</v>
          </cell>
          <cell r="CV14">
            <v>2.2000000000000002</v>
          </cell>
          <cell r="CW14">
            <v>1355</v>
          </cell>
          <cell r="CX14">
            <v>805</v>
          </cell>
          <cell r="CY14">
            <v>30</v>
          </cell>
          <cell r="CZ14">
            <v>520</v>
          </cell>
        </row>
        <row r="15">
          <cell r="A15" t="str">
            <v>4620275.00</v>
          </cell>
          <cell r="B15" t="str">
            <v>0275.00</v>
          </cell>
          <cell r="C15" t="str">
            <v>Ahuntsic-Cartierville</v>
          </cell>
          <cell r="D15">
            <v>3495</v>
          </cell>
          <cell r="E15">
            <v>1615</v>
          </cell>
          <cell r="F15">
            <v>1105</v>
          </cell>
          <cell r="G15">
            <v>90</v>
          </cell>
          <cell r="H15">
            <v>430</v>
          </cell>
          <cell r="I15">
            <v>245</v>
          </cell>
          <cell r="J15">
            <v>3495</v>
          </cell>
          <cell r="K15">
            <v>2950</v>
          </cell>
          <cell r="L15">
            <v>545</v>
          </cell>
          <cell r="M15">
            <v>1010</v>
          </cell>
          <cell r="N15">
            <v>550</v>
          </cell>
          <cell r="O15">
            <v>210</v>
          </cell>
          <cell r="P15">
            <v>175</v>
          </cell>
          <cell r="Q15">
            <v>75</v>
          </cell>
          <cell r="R15">
            <v>1010</v>
          </cell>
          <cell r="S15">
            <v>810</v>
          </cell>
          <cell r="T15">
            <v>535</v>
          </cell>
          <cell r="U15">
            <v>270</v>
          </cell>
          <cell r="V15">
            <v>265</v>
          </cell>
          <cell r="W15">
            <v>85</v>
          </cell>
          <cell r="X15">
            <v>110</v>
          </cell>
          <cell r="Y15">
            <v>70</v>
          </cell>
          <cell r="Z15">
            <v>275</v>
          </cell>
          <cell r="AA15">
            <v>165</v>
          </cell>
          <cell r="AB15">
            <v>110</v>
          </cell>
          <cell r="AC15">
            <v>75</v>
          </cell>
          <cell r="AD15">
            <v>25</v>
          </cell>
          <cell r="AE15">
            <v>0</v>
          </cell>
          <cell r="AF15">
            <v>205</v>
          </cell>
          <cell r="AG15">
            <v>160</v>
          </cell>
          <cell r="AH15">
            <v>95</v>
          </cell>
          <cell r="AI15">
            <v>25</v>
          </cell>
          <cell r="AJ15">
            <v>35</v>
          </cell>
          <cell r="AK15">
            <v>45</v>
          </cell>
          <cell r="AL15">
            <v>25</v>
          </cell>
          <cell r="AM15">
            <v>20</v>
          </cell>
          <cell r="AN15">
            <v>0</v>
          </cell>
          <cell r="AO15">
            <v>995</v>
          </cell>
          <cell r="AP15">
            <v>230</v>
          </cell>
          <cell r="AQ15">
            <v>315</v>
          </cell>
          <cell r="AR15">
            <v>120</v>
          </cell>
          <cell r="AS15">
            <v>150</v>
          </cell>
          <cell r="AT15">
            <v>175</v>
          </cell>
          <cell r="AU15">
            <v>1</v>
          </cell>
          <cell r="AV15">
            <v>4015</v>
          </cell>
          <cell r="AW15">
            <v>1200</v>
          </cell>
          <cell r="AX15">
            <v>105</v>
          </cell>
          <cell r="AY15">
            <v>185</v>
          </cell>
          <cell r="AZ15">
            <v>910</v>
          </cell>
          <cell r="BA15">
            <v>2820</v>
          </cell>
          <cell r="BB15">
            <v>2.8</v>
          </cell>
          <cell r="BC15">
            <v>665</v>
          </cell>
          <cell r="BD15">
            <v>315</v>
          </cell>
          <cell r="BE15">
            <v>20</v>
          </cell>
          <cell r="BF15">
            <v>15</v>
          </cell>
          <cell r="BG15">
            <v>275</v>
          </cell>
          <cell r="BH15">
            <v>355</v>
          </cell>
          <cell r="BI15">
            <v>2020</v>
          </cell>
          <cell r="BJ15">
            <v>4.7</v>
          </cell>
          <cell r="BK15">
            <v>9494</v>
          </cell>
          <cell r="BL15">
            <v>1.9</v>
          </cell>
          <cell r="BM15">
            <v>3838</v>
          </cell>
          <cell r="BN15">
            <v>2020</v>
          </cell>
          <cell r="BO15">
            <v>695</v>
          </cell>
          <cell r="BP15">
            <v>1325</v>
          </cell>
          <cell r="BQ15">
            <v>0</v>
          </cell>
          <cell r="BR15">
            <v>2015</v>
          </cell>
          <cell r="BS15">
            <v>1175</v>
          </cell>
          <cell r="BT15">
            <v>700</v>
          </cell>
          <cell r="BU15">
            <v>140</v>
          </cell>
          <cell r="BV15">
            <v>2015</v>
          </cell>
          <cell r="BW15">
            <v>175</v>
          </cell>
          <cell r="BX15">
            <v>990</v>
          </cell>
          <cell r="BY15">
            <v>485</v>
          </cell>
          <cell r="BZ15">
            <v>160</v>
          </cell>
          <cell r="CA15">
            <v>130</v>
          </cell>
          <cell r="CB15">
            <v>50</v>
          </cell>
          <cell r="CC15">
            <v>15</v>
          </cell>
          <cell r="CD15">
            <v>10</v>
          </cell>
          <cell r="CE15">
            <v>10</v>
          </cell>
          <cell r="CF15">
            <v>2020</v>
          </cell>
          <cell r="CG15">
            <v>125</v>
          </cell>
          <cell r="CH15">
            <v>40</v>
          </cell>
          <cell r="CI15">
            <v>5</v>
          </cell>
          <cell r="CJ15">
            <v>400</v>
          </cell>
          <cell r="CK15">
            <v>5</v>
          </cell>
          <cell r="CL15">
            <v>1440</v>
          </cell>
          <cell r="CM15">
            <v>10</v>
          </cell>
          <cell r="CN15">
            <v>0</v>
          </cell>
          <cell r="CO15">
            <v>2020</v>
          </cell>
          <cell r="CP15">
            <v>915</v>
          </cell>
          <cell r="CQ15">
            <v>595</v>
          </cell>
          <cell r="CR15">
            <v>245</v>
          </cell>
          <cell r="CS15">
            <v>245</v>
          </cell>
          <cell r="CT15">
            <v>25</v>
          </cell>
          <cell r="CU15">
            <v>4020</v>
          </cell>
          <cell r="CV15">
            <v>2</v>
          </cell>
          <cell r="CW15">
            <v>2015</v>
          </cell>
          <cell r="CX15">
            <v>995</v>
          </cell>
          <cell r="CY15">
            <v>10</v>
          </cell>
          <cell r="CZ15">
            <v>1015</v>
          </cell>
        </row>
        <row r="16">
          <cell r="A16" t="str">
            <v>4620276.00</v>
          </cell>
          <cell r="B16" t="str">
            <v>0276.00</v>
          </cell>
          <cell r="C16" t="str">
            <v>Ahuntsic-Cartierville</v>
          </cell>
          <cell r="D16">
            <v>4205</v>
          </cell>
          <cell r="E16">
            <v>1900</v>
          </cell>
          <cell r="F16">
            <v>1350</v>
          </cell>
          <cell r="G16">
            <v>105</v>
          </cell>
          <cell r="H16">
            <v>550</v>
          </cell>
          <cell r="I16">
            <v>300</v>
          </cell>
          <cell r="J16">
            <v>4205</v>
          </cell>
          <cell r="K16">
            <v>3545</v>
          </cell>
          <cell r="L16">
            <v>660</v>
          </cell>
          <cell r="M16">
            <v>1270</v>
          </cell>
          <cell r="N16">
            <v>695</v>
          </cell>
          <cell r="O16">
            <v>295</v>
          </cell>
          <cell r="P16">
            <v>185</v>
          </cell>
          <cell r="Q16">
            <v>95</v>
          </cell>
          <cell r="R16">
            <v>1270</v>
          </cell>
          <cell r="S16">
            <v>980</v>
          </cell>
          <cell r="T16">
            <v>655</v>
          </cell>
          <cell r="U16">
            <v>295</v>
          </cell>
          <cell r="V16">
            <v>360</v>
          </cell>
          <cell r="W16">
            <v>145</v>
          </cell>
          <cell r="X16">
            <v>150</v>
          </cell>
          <cell r="Y16">
            <v>65</v>
          </cell>
          <cell r="Z16">
            <v>325</v>
          </cell>
          <cell r="AA16">
            <v>180</v>
          </cell>
          <cell r="AB16">
            <v>145</v>
          </cell>
          <cell r="AC16">
            <v>90</v>
          </cell>
          <cell r="AD16">
            <v>40</v>
          </cell>
          <cell r="AE16">
            <v>15</v>
          </cell>
          <cell r="AF16">
            <v>290</v>
          </cell>
          <cell r="AG16">
            <v>275</v>
          </cell>
          <cell r="AH16">
            <v>215</v>
          </cell>
          <cell r="AI16">
            <v>45</v>
          </cell>
          <cell r="AJ16">
            <v>10</v>
          </cell>
          <cell r="AK16">
            <v>15</v>
          </cell>
          <cell r="AL16">
            <v>10</v>
          </cell>
          <cell r="AM16">
            <v>0</v>
          </cell>
          <cell r="AN16">
            <v>0</v>
          </cell>
          <cell r="AO16">
            <v>1275</v>
          </cell>
          <cell r="AP16">
            <v>325</v>
          </cell>
          <cell r="AQ16">
            <v>410</v>
          </cell>
          <cell r="AR16">
            <v>130</v>
          </cell>
          <cell r="AS16">
            <v>230</v>
          </cell>
          <cell r="AT16">
            <v>175</v>
          </cell>
          <cell r="AU16">
            <v>1</v>
          </cell>
          <cell r="AV16">
            <v>4910</v>
          </cell>
          <cell r="AW16">
            <v>1385</v>
          </cell>
          <cell r="AX16">
            <v>105</v>
          </cell>
          <cell r="AY16">
            <v>155</v>
          </cell>
          <cell r="AZ16">
            <v>1125</v>
          </cell>
          <cell r="BA16">
            <v>3525</v>
          </cell>
          <cell r="BB16">
            <v>2.8</v>
          </cell>
          <cell r="BC16">
            <v>800</v>
          </cell>
          <cell r="BD16">
            <v>395</v>
          </cell>
          <cell r="BE16">
            <v>30</v>
          </cell>
          <cell r="BF16">
            <v>10</v>
          </cell>
          <cell r="BG16">
            <v>360</v>
          </cell>
          <cell r="BH16">
            <v>400</v>
          </cell>
          <cell r="BI16">
            <v>2480</v>
          </cell>
          <cell r="BJ16">
            <v>4.5</v>
          </cell>
          <cell r="BK16">
            <v>11160</v>
          </cell>
          <cell r="BL16">
            <v>1.8</v>
          </cell>
          <cell r="BM16">
            <v>4464</v>
          </cell>
          <cell r="BN16">
            <v>2480</v>
          </cell>
          <cell r="BO16">
            <v>800</v>
          </cell>
          <cell r="BP16">
            <v>1680</v>
          </cell>
          <cell r="BQ16">
            <v>0</v>
          </cell>
          <cell r="BR16">
            <v>2480</v>
          </cell>
          <cell r="BS16">
            <v>1485</v>
          </cell>
          <cell r="BT16">
            <v>765</v>
          </cell>
          <cell r="BU16">
            <v>230</v>
          </cell>
          <cell r="BV16">
            <v>2480</v>
          </cell>
          <cell r="BW16">
            <v>195</v>
          </cell>
          <cell r="BX16">
            <v>1120</v>
          </cell>
          <cell r="BY16">
            <v>560</v>
          </cell>
          <cell r="BZ16">
            <v>325</v>
          </cell>
          <cell r="CA16">
            <v>115</v>
          </cell>
          <cell r="CB16">
            <v>15</v>
          </cell>
          <cell r="CC16">
            <v>0</v>
          </cell>
          <cell r="CD16">
            <v>35</v>
          </cell>
          <cell r="CE16">
            <v>100</v>
          </cell>
          <cell r="CF16">
            <v>2480</v>
          </cell>
          <cell r="CG16">
            <v>145</v>
          </cell>
          <cell r="CH16">
            <v>35</v>
          </cell>
          <cell r="CI16">
            <v>5</v>
          </cell>
          <cell r="CJ16">
            <v>555</v>
          </cell>
          <cell r="CK16">
            <v>95</v>
          </cell>
          <cell r="CL16">
            <v>1630</v>
          </cell>
          <cell r="CM16">
            <v>10</v>
          </cell>
          <cell r="CN16">
            <v>0</v>
          </cell>
          <cell r="CO16">
            <v>2480</v>
          </cell>
          <cell r="CP16">
            <v>1125</v>
          </cell>
          <cell r="CQ16">
            <v>730</v>
          </cell>
          <cell r="CR16">
            <v>320</v>
          </cell>
          <cell r="CS16">
            <v>275</v>
          </cell>
          <cell r="CT16">
            <v>30</v>
          </cell>
          <cell r="CU16">
            <v>4910</v>
          </cell>
          <cell r="CV16">
            <v>2</v>
          </cell>
          <cell r="CW16">
            <v>2480</v>
          </cell>
          <cell r="CX16">
            <v>1250</v>
          </cell>
          <cell r="CY16">
            <v>10</v>
          </cell>
          <cell r="CZ16">
            <v>1220</v>
          </cell>
        </row>
        <row r="17">
          <cell r="A17" t="str">
            <v>4620277.00</v>
          </cell>
          <cell r="B17" t="str">
            <v>0277.00</v>
          </cell>
          <cell r="C17" t="str">
            <v>Ahuntsic-Cartierville</v>
          </cell>
          <cell r="D17">
            <v>3905</v>
          </cell>
          <cell r="E17">
            <v>1845</v>
          </cell>
          <cell r="F17">
            <v>1200</v>
          </cell>
          <cell r="G17">
            <v>115</v>
          </cell>
          <cell r="H17">
            <v>365</v>
          </cell>
          <cell r="I17">
            <v>380</v>
          </cell>
          <cell r="J17">
            <v>3905</v>
          </cell>
          <cell r="K17">
            <v>3520</v>
          </cell>
          <cell r="L17">
            <v>385</v>
          </cell>
          <cell r="M17">
            <v>905</v>
          </cell>
          <cell r="N17">
            <v>475</v>
          </cell>
          <cell r="O17">
            <v>215</v>
          </cell>
          <cell r="P17">
            <v>160</v>
          </cell>
          <cell r="Q17">
            <v>55</v>
          </cell>
          <cell r="R17">
            <v>905</v>
          </cell>
          <cell r="S17">
            <v>715</v>
          </cell>
          <cell r="T17">
            <v>530</v>
          </cell>
          <cell r="U17">
            <v>220</v>
          </cell>
          <cell r="V17">
            <v>310</v>
          </cell>
          <cell r="W17">
            <v>150</v>
          </cell>
          <cell r="X17">
            <v>135</v>
          </cell>
          <cell r="Y17">
            <v>30</v>
          </cell>
          <cell r="Z17">
            <v>185</v>
          </cell>
          <cell r="AA17">
            <v>120</v>
          </cell>
          <cell r="AB17">
            <v>70</v>
          </cell>
          <cell r="AC17">
            <v>15</v>
          </cell>
          <cell r="AD17">
            <v>25</v>
          </cell>
          <cell r="AE17">
            <v>30</v>
          </cell>
          <cell r="AF17">
            <v>190</v>
          </cell>
          <cell r="AG17">
            <v>145</v>
          </cell>
          <cell r="AH17">
            <v>105</v>
          </cell>
          <cell r="AI17">
            <v>45</v>
          </cell>
          <cell r="AJ17">
            <v>0</v>
          </cell>
          <cell r="AK17">
            <v>45</v>
          </cell>
          <cell r="AL17">
            <v>40</v>
          </cell>
          <cell r="AM17">
            <v>10</v>
          </cell>
          <cell r="AN17">
            <v>0</v>
          </cell>
          <cell r="AO17">
            <v>920</v>
          </cell>
          <cell r="AP17">
            <v>230</v>
          </cell>
          <cell r="AQ17">
            <v>330</v>
          </cell>
          <cell r="AR17">
            <v>110</v>
          </cell>
          <cell r="AS17">
            <v>155</v>
          </cell>
          <cell r="AT17">
            <v>95</v>
          </cell>
          <cell r="AU17">
            <v>1</v>
          </cell>
          <cell r="AV17">
            <v>3745</v>
          </cell>
          <cell r="AW17">
            <v>1205</v>
          </cell>
          <cell r="AX17">
            <v>60</v>
          </cell>
          <cell r="AY17">
            <v>200</v>
          </cell>
          <cell r="AZ17">
            <v>945</v>
          </cell>
          <cell r="BA17">
            <v>2540</v>
          </cell>
          <cell r="BB17">
            <v>2.8</v>
          </cell>
          <cell r="BC17">
            <v>585</v>
          </cell>
          <cell r="BD17">
            <v>315</v>
          </cell>
          <cell r="BE17">
            <v>20</v>
          </cell>
          <cell r="BF17">
            <v>20</v>
          </cell>
          <cell r="BG17">
            <v>270</v>
          </cell>
          <cell r="BH17">
            <v>270</v>
          </cell>
          <cell r="BI17">
            <v>1940</v>
          </cell>
          <cell r="BJ17">
            <v>4.4000000000000004</v>
          </cell>
          <cell r="BK17">
            <v>8536</v>
          </cell>
          <cell r="BL17">
            <v>1.7</v>
          </cell>
          <cell r="BM17">
            <v>3298</v>
          </cell>
          <cell r="BN17">
            <v>1940</v>
          </cell>
          <cell r="BO17">
            <v>505</v>
          </cell>
          <cell r="BP17">
            <v>1440</v>
          </cell>
          <cell r="BQ17">
            <v>0</v>
          </cell>
          <cell r="BR17">
            <v>1940</v>
          </cell>
          <cell r="BS17">
            <v>1115</v>
          </cell>
          <cell r="BT17">
            <v>615</v>
          </cell>
          <cell r="BU17">
            <v>210</v>
          </cell>
          <cell r="BV17">
            <v>1940</v>
          </cell>
          <cell r="BW17">
            <v>190</v>
          </cell>
          <cell r="BX17">
            <v>755</v>
          </cell>
          <cell r="BY17">
            <v>600</v>
          </cell>
          <cell r="BZ17">
            <v>205</v>
          </cell>
          <cell r="CA17">
            <v>100</v>
          </cell>
          <cell r="CB17">
            <v>25</v>
          </cell>
          <cell r="CC17">
            <v>15</v>
          </cell>
          <cell r="CD17">
            <v>0</v>
          </cell>
          <cell r="CE17">
            <v>45</v>
          </cell>
          <cell r="CF17">
            <v>1940</v>
          </cell>
          <cell r="CG17">
            <v>120</v>
          </cell>
          <cell r="CH17">
            <v>70</v>
          </cell>
          <cell r="CI17">
            <v>5</v>
          </cell>
          <cell r="CJ17">
            <v>160</v>
          </cell>
          <cell r="CK17">
            <v>115</v>
          </cell>
          <cell r="CL17">
            <v>1475</v>
          </cell>
          <cell r="CM17">
            <v>0</v>
          </cell>
          <cell r="CN17">
            <v>0</v>
          </cell>
          <cell r="CO17">
            <v>1940</v>
          </cell>
          <cell r="CP17">
            <v>945</v>
          </cell>
          <cell r="CQ17">
            <v>525</v>
          </cell>
          <cell r="CR17">
            <v>240</v>
          </cell>
          <cell r="CS17">
            <v>215</v>
          </cell>
          <cell r="CT17">
            <v>20</v>
          </cell>
          <cell r="CU17">
            <v>3745</v>
          </cell>
          <cell r="CV17">
            <v>1.9</v>
          </cell>
          <cell r="CW17">
            <v>1940</v>
          </cell>
          <cell r="CX17">
            <v>885</v>
          </cell>
          <cell r="CY17">
            <v>10</v>
          </cell>
          <cell r="CZ17">
            <v>1045</v>
          </cell>
        </row>
        <row r="18">
          <cell r="A18" t="str">
            <v>4620278.00</v>
          </cell>
          <cell r="B18" t="str">
            <v>0278.00</v>
          </cell>
          <cell r="C18" t="str">
            <v>Ahuntsic-Cartierville</v>
          </cell>
          <cell r="D18">
            <v>3680</v>
          </cell>
          <cell r="E18">
            <v>1910</v>
          </cell>
          <cell r="F18">
            <v>1075</v>
          </cell>
          <cell r="G18">
            <v>75</v>
          </cell>
          <cell r="H18">
            <v>415</v>
          </cell>
          <cell r="I18">
            <v>205</v>
          </cell>
          <cell r="J18">
            <v>3680</v>
          </cell>
          <cell r="K18">
            <v>2965</v>
          </cell>
          <cell r="L18">
            <v>715</v>
          </cell>
          <cell r="M18">
            <v>1130</v>
          </cell>
          <cell r="N18">
            <v>585</v>
          </cell>
          <cell r="O18">
            <v>285</v>
          </cell>
          <cell r="P18">
            <v>200</v>
          </cell>
          <cell r="Q18">
            <v>55</v>
          </cell>
          <cell r="R18">
            <v>1130</v>
          </cell>
          <cell r="S18">
            <v>865</v>
          </cell>
          <cell r="T18">
            <v>510</v>
          </cell>
          <cell r="U18">
            <v>250</v>
          </cell>
          <cell r="V18">
            <v>260</v>
          </cell>
          <cell r="W18">
            <v>100</v>
          </cell>
          <cell r="X18">
            <v>125</v>
          </cell>
          <cell r="Y18">
            <v>35</v>
          </cell>
          <cell r="Z18">
            <v>355</v>
          </cell>
          <cell r="AA18">
            <v>165</v>
          </cell>
          <cell r="AB18">
            <v>185</v>
          </cell>
          <cell r="AC18">
            <v>100</v>
          </cell>
          <cell r="AD18">
            <v>65</v>
          </cell>
          <cell r="AE18">
            <v>20</v>
          </cell>
          <cell r="AF18">
            <v>265</v>
          </cell>
          <cell r="AG18">
            <v>210</v>
          </cell>
          <cell r="AH18">
            <v>140</v>
          </cell>
          <cell r="AI18">
            <v>65</v>
          </cell>
          <cell r="AJ18">
            <v>0</v>
          </cell>
          <cell r="AK18">
            <v>55</v>
          </cell>
          <cell r="AL18">
            <v>35</v>
          </cell>
          <cell r="AM18">
            <v>15</v>
          </cell>
          <cell r="AN18">
            <v>10</v>
          </cell>
          <cell r="AO18">
            <v>1125</v>
          </cell>
          <cell r="AP18">
            <v>230</v>
          </cell>
          <cell r="AQ18">
            <v>390</v>
          </cell>
          <cell r="AR18">
            <v>125</v>
          </cell>
          <cell r="AS18">
            <v>220</v>
          </cell>
          <cell r="AT18">
            <v>160</v>
          </cell>
          <cell r="AU18">
            <v>1</v>
          </cell>
          <cell r="AV18">
            <v>4280</v>
          </cell>
          <cell r="AW18">
            <v>1160</v>
          </cell>
          <cell r="AX18">
            <v>95</v>
          </cell>
          <cell r="AY18">
            <v>165</v>
          </cell>
          <cell r="AZ18">
            <v>900</v>
          </cell>
          <cell r="BA18">
            <v>3115</v>
          </cell>
          <cell r="BB18">
            <v>2.8</v>
          </cell>
          <cell r="BC18">
            <v>585</v>
          </cell>
          <cell r="BD18">
            <v>280</v>
          </cell>
          <cell r="BE18">
            <v>30</v>
          </cell>
          <cell r="BF18">
            <v>15</v>
          </cell>
          <cell r="BG18">
            <v>240</v>
          </cell>
          <cell r="BH18">
            <v>300</v>
          </cell>
          <cell r="BI18">
            <v>2120</v>
          </cell>
          <cell r="BJ18">
            <v>4.9000000000000004</v>
          </cell>
          <cell r="BK18">
            <v>10388</v>
          </cell>
          <cell r="BL18">
            <v>1.9</v>
          </cell>
          <cell r="BM18">
            <v>4028</v>
          </cell>
          <cell r="BN18">
            <v>2120</v>
          </cell>
          <cell r="BO18">
            <v>665</v>
          </cell>
          <cell r="BP18">
            <v>1455</v>
          </cell>
          <cell r="BQ18">
            <v>0</v>
          </cell>
          <cell r="BR18">
            <v>2120</v>
          </cell>
          <cell r="BS18">
            <v>1265</v>
          </cell>
          <cell r="BT18">
            <v>650</v>
          </cell>
          <cell r="BU18">
            <v>205</v>
          </cell>
          <cell r="BV18">
            <v>2120</v>
          </cell>
          <cell r="BW18">
            <v>470</v>
          </cell>
          <cell r="BX18">
            <v>875</v>
          </cell>
          <cell r="BY18">
            <v>430</v>
          </cell>
          <cell r="BZ18">
            <v>140</v>
          </cell>
          <cell r="CA18">
            <v>100</v>
          </cell>
          <cell r="CB18">
            <v>45</v>
          </cell>
          <cell r="CC18">
            <v>45</v>
          </cell>
          <cell r="CD18">
            <v>15</v>
          </cell>
          <cell r="CE18">
            <v>0</v>
          </cell>
          <cell r="CF18">
            <v>2120</v>
          </cell>
          <cell r="CG18">
            <v>145</v>
          </cell>
          <cell r="CH18">
            <v>25</v>
          </cell>
          <cell r="CI18">
            <v>5</v>
          </cell>
          <cell r="CJ18">
            <v>550</v>
          </cell>
          <cell r="CK18">
            <v>90</v>
          </cell>
          <cell r="CL18">
            <v>1270</v>
          </cell>
          <cell r="CM18">
            <v>35</v>
          </cell>
          <cell r="CN18">
            <v>0</v>
          </cell>
          <cell r="CO18">
            <v>2120</v>
          </cell>
          <cell r="CP18">
            <v>900</v>
          </cell>
          <cell r="CQ18">
            <v>650</v>
          </cell>
          <cell r="CR18">
            <v>290</v>
          </cell>
          <cell r="CS18">
            <v>270</v>
          </cell>
          <cell r="CT18">
            <v>10</v>
          </cell>
          <cell r="CU18">
            <v>4280</v>
          </cell>
          <cell r="CV18">
            <v>2</v>
          </cell>
          <cell r="CW18">
            <v>2120</v>
          </cell>
          <cell r="CX18">
            <v>1085</v>
          </cell>
          <cell r="CY18">
            <v>20</v>
          </cell>
          <cell r="CZ18">
            <v>1015</v>
          </cell>
        </row>
        <row r="19">
          <cell r="A19" t="str">
            <v>4620279.00</v>
          </cell>
          <cell r="B19" t="str">
            <v>0279.00</v>
          </cell>
          <cell r="C19" t="str">
            <v>Ahuntsic-Cartierville</v>
          </cell>
          <cell r="D19">
            <v>3695</v>
          </cell>
          <cell r="E19">
            <v>1820</v>
          </cell>
          <cell r="F19">
            <v>1080</v>
          </cell>
          <cell r="G19">
            <v>110</v>
          </cell>
          <cell r="H19">
            <v>465</v>
          </cell>
          <cell r="I19">
            <v>220</v>
          </cell>
          <cell r="J19">
            <v>3695</v>
          </cell>
          <cell r="K19">
            <v>3070</v>
          </cell>
          <cell r="L19">
            <v>620</v>
          </cell>
          <cell r="M19">
            <v>1005</v>
          </cell>
          <cell r="N19">
            <v>565</v>
          </cell>
          <cell r="O19">
            <v>235</v>
          </cell>
          <cell r="P19">
            <v>145</v>
          </cell>
          <cell r="Q19">
            <v>60</v>
          </cell>
          <cell r="R19">
            <v>1010</v>
          </cell>
          <cell r="S19">
            <v>830</v>
          </cell>
          <cell r="T19">
            <v>520</v>
          </cell>
          <cell r="U19">
            <v>255</v>
          </cell>
          <cell r="V19">
            <v>270</v>
          </cell>
          <cell r="W19">
            <v>150</v>
          </cell>
          <cell r="X19">
            <v>85</v>
          </cell>
          <cell r="Y19">
            <v>30</v>
          </cell>
          <cell r="Z19">
            <v>315</v>
          </cell>
          <cell r="AA19">
            <v>175</v>
          </cell>
          <cell r="AB19">
            <v>135</v>
          </cell>
          <cell r="AC19">
            <v>55</v>
          </cell>
          <cell r="AD19">
            <v>60</v>
          </cell>
          <cell r="AE19">
            <v>20</v>
          </cell>
          <cell r="AF19">
            <v>175</v>
          </cell>
          <cell r="AG19">
            <v>120</v>
          </cell>
          <cell r="AH19">
            <v>90</v>
          </cell>
          <cell r="AI19">
            <v>20</v>
          </cell>
          <cell r="AJ19">
            <v>10</v>
          </cell>
          <cell r="AK19">
            <v>55</v>
          </cell>
          <cell r="AL19">
            <v>45</v>
          </cell>
          <cell r="AM19">
            <v>10</v>
          </cell>
          <cell r="AN19">
            <v>0</v>
          </cell>
          <cell r="AO19">
            <v>885</v>
          </cell>
          <cell r="AP19">
            <v>220</v>
          </cell>
          <cell r="AQ19">
            <v>340</v>
          </cell>
          <cell r="AR19">
            <v>110</v>
          </cell>
          <cell r="AS19">
            <v>130</v>
          </cell>
          <cell r="AT19">
            <v>85</v>
          </cell>
          <cell r="AU19">
            <v>0.9</v>
          </cell>
          <cell r="AV19">
            <v>4090</v>
          </cell>
          <cell r="AW19">
            <v>1365</v>
          </cell>
          <cell r="AX19">
            <v>110</v>
          </cell>
          <cell r="AY19">
            <v>255</v>
          </cell>
          <cell r="AZ19">
            <v>1000</v>
          </cell>
          <cell r="BA19">
            <v>2725</v>
          </cell>
          <cell r="BB19">
            <v>2.7</v>
          </cell>
          <cell r="BC19">
            <v>640</v>
          </cell>
          <cell r="BD19">
            <v>385</v>
          </cell>
          <cell r="BE19">
            <v>10</v>
          </cell>
          <cell r="BF19">
            <v>80</v>
          </cell>
          <cell r="BG19">
            <v>300</v>
          </cell>
          <cell r="BH19">
            <v>250</v>
          </cell>
          <cell r="BI19">
            <v>2105</v>
          </cell>
          <cell r="BJ19">
            <v>4.7</v>
          </cell>
          <cell r="BK19">
            <v>9893.5</v>
          </cell>
          <cell r="BL19">
            <v>1.8</v>
          </cell>
          <cell r="BM19">
            <v>3789</v>
          </cell>
          <cell r="BN19">
            <v>2105</v>
          </cell>
          <cell r="BO19">
            <v>630</v>
          </cell>
          <cell r="BP19">
            <v>1475</v>
          </cell>
          <cell r="BQ19">
            <v>0</v>
          </cell>
          <cell r="BR19">
            <v>2100</v>
          </cell>
          <cell r="BS19">
            <v>1430</v>
          </cell>
          <cell r="BT19">
            <v>515</v>
          </cell>
          <cell r="BU19">
            <v>155</v>
          </cell>
          <cell r="BV19">
            <v>2105</v>
          </cell>
          <cell r="BW19">
            <v>565</v>
          </cell>
          <cell r="BX19">
            <v>840</v>
          </cell>
          <cell r="BY19">
            <v>300</v>
          </cell>
          <cell r="BZ19">
            <v>155</v>
          </cell>
          <cell r="CA19">
            <v>80</v>
          </cell>
          <cell r="CB19">
            <v>75</v>
          </cell>
          <cell r="CC19">
            <v>45</v>
          </cell>
          <cell r="CD19">
            <v>30</v>
          </cell>
          <cell r="CE19">
            <v>15</v>
          </cell>
          <cell r="CF19">
            <v>2105</v>
          </cell>
          <cell r="CG19">
            <v>120</v>
          </cell>
          <cell r="CH19">
            <v>60</v>
          </cell>
          <cell r="CI19">
            <v>10</v>
          </cell>
          <cell r="CJ19">
            <v>405</v>
          </cell>
          <cell r="CK19">
            <v>270</v>
          </cell>
          <cell r="CL19">
            <v>1225</v>
          </cell>
          <cell r="CM19">
            <v>15</v>
          </cell>
          <cell r="CN19">
            <v>0</v>
          </cell>
          <cell r="CO19">
            <v>2110</v>
          </cell>
          <cell r="CP19">
            <v>1000</v>
          </cell>
          <cell r="CQ19">
            <v>605</v>
          </cell>
          <cell r="CR19">
            <v>245</v>
          </cell>
          <cell r="CS19">
            <v>235</v>
          </cell>
          <cell r="CT19">
            <v>20</v>
          </cell>
          <cell r="CU19">
            <v>4095</v>
          </cell>
          <cell r="CV19">
            <v>1.9</v>
          </cell>
          <cell r="CW19">
            <v>2105</v>
          </cell>
          <cell r="CX19">
            <v>990</v>
          </cell>
          <cell r="CY19">
            <v>10</v>
          </cell>
          <cell r="CZ19">
            <v>1110</v>
          </cell>
        </row>
        <row r="20">
          <cell r="A20" t="str">
            <v>4620280.00</v>
          </cell>
          <cell r="B20" t="str">
            <v>0280.00</v>
          </cell>
          <cell r="C20" t="str">
            <v>Ahuntsic-Cartierville</v>
          </cell>
          <cell r="D20">
            <v>3705</v>
          </cell>
          <cell r="E20">
            <v>1775</v>
          </cell>
          <cell r="F20">
            <v>1255</v>
          </cell>
          <cell r="G20">
            <v>100</v>
          </cell>
          <cell r="H20">
            <v>400</v>
          </cell>
          <cell r="I20">
            <v>175</v>
          </cell>
          <cell r="J20">
            <v>3700</v>
          </cell>
          <cell r="K20">
            <v>3140</v>
          </cell>
          <cell r="L20">
            <v>560</v>
          </cell>
          <cell r="M20">
            <v>1045</v>
          </cell>
          <cell r="N20">
            <v>485</v>
          </cell>
          <cell r="O20">
            <v>250</v>
          </cell>
          <cell r="P20">
            <v>215</v>
          </cell>
          <cell r="Q20">
            <v>90</v>
          </cell>
          <cell r="R20">
            <v>1050</v>
          </cell>
          <cell r="S20">
            <v>895</v>
          </cell>
          <cell r="T20">
            <v>615</v>
          </cell>
          <cell r="U20">
            <v>230</v>
          </cell>
          <cell r="V20">
            <v>385</v>
          </cell>
          <cell r="W20">
            <v>150</v>
          </cell>
          <cell r="X20">
            <v>160</v>
          </cell>
          <cell r="Y20">
            <v>75</v>
          </cell>
          <cell r="Z20">
            <v>280</v>
          </cell>
          <cell r="AA20">
            <v>135</v>
          </cell>
          <cell r="AB20">
            <v>145</v>
          </cell>
          <cell r="AC20">
            <v>70</v>
          </cell>
          <cell r="AD20">
            <v>55</v>
          </cell>
          <cell r="AE20">
            <v>20</v>
          </cell>
          <cell r="AF20">
            <v>155</v>
          </cell>
          <cell r="AG20">
            <v>125</v>
          </cell>
          <cell r="AH20">
            <v>100</v>
          </cell>
          <cell r="AI20">
            <v>25</v>
          </cell>
          <cell r="AJ20">
            <v>0</v>
          </cell>
          <cell r="AK20">
            <v>30</v>
          </cell>
          <cell r="AL20">
            <v>20</v>
          </cell>
          <cell r="AM20">
            <v>0</v>
          </cell>
          <cell r="AN20">
            <v>0</v>
          </cell>
          <cell r="AO20">
            <v>1155</v>
          </cell>
          <cell r="AP20">
            <v>265</v>
          </cell>
          <cell r="AQ20">
            <v>420</v>
          </cell>
          <cell r="AR20">
            <v>110</v>
          </cell>
          <cell r="AS20">
            <v>235</v>
          </cell>
          <cell r="AT20">
            <v>115</v>
          </cell>
          <cell r="AU20">
            <v>1.1000000000000001</v>
          </cell>
          <cell r="AV20">
            <v>4390</v>
          </cell>
          <cell r="AW20">
            <v>1290</v>
          </cell>
          <cell r="AX20">
            <v>100</v>
          </cell>
          <cell r="AY20">
            <v>230</v>
          </cell>
          <cell r="AZ20">
            <v>955</v>
          </cell>
          <cell r="BA20">
            <v>3095</v>
          </cell>
          <cell r="BB20">
            <v>3</v>
          </cell>
          <cell r="BC20">
            <v>555</v>
          </cell>
          <cell r="BD20">
            <v>280</v>
          </cell>
          <cell r="BE20">
            <v>15</v>
          </cell>
          <cell r="BF20">
            <v>15</v>
          </cell>
          <cell r="BG20">
            <v>245</v>
          </cell>
          <cell r="BH20">
            <v>280</v>
          </cell>
          <cell r="BI20">
            <v>2135</v>
          </cell>
          <cell r="BJ20">
            <v>4.8</v>
          </cell>
          <cell r="BK20">
            <v>10248</v>
          </cell>
          <cell r="BL20">
            <v>1.9</v>
          </cell>
          <cell r="BM20">
            <v>4056.5</v>
          </cell>
          <cell r="BN20">
            <v>2135</v>
          </cell>
          <cell r="BO20">
            <v>785</v>
          </cell>
          <cell r="BP20">
            <v>1350</v>
          </cell>
          <cell r="BQ20">
            <v>0</v>
          </cell>
          <cell r="BR20">
            <v>2135</v>
          </cell>
          <cell r="BS20">
            <v>1240</v>
          </cell>
          <cell r="BT20">
            <v>690</v>
          </cell>
          <cell r="BU20">
            <v>205</v>
          </cell>
          <cell r="BV20">
            <v>2135</v>
          </cell>
          <cell r="BW20">
            <v>170</v>
          </cell>
          <cell r="BX20">
            <v>1240</v>
          </cell>
          <cell r="BY20">
            <v>435</v>
          </cell>
          <cell r="BZ20">
            <v>185</v>
          </cell>
          <cell r="CA20">
            <v>45</v>
          </cell>
          <cell r="CB20">
            <v>25</v>
          </cell>
          <cell r="CC20">
            <v>15</v>
          </cell>
          <cell r="CD20">
            <v>15</v>
          </cell>
          <cell r="CE20">
            <v>0</v>
          </cell>
          <cell r="CF20">
            <v>2135</v>
          </cell>
          <cell r="CG20">
            <v>90</v>
          </cell>
          <cell r="CH20">
            <v>300</v>
          </cell>
          <cell r="CI20">
            <v>0</v>
          </cell>
          <cell r="CJ20">
            <v>390</v>
          </cell>
          <cell r="CK20">
            <v>5</v>
          </cell>
          <cell r="CL20">
            <v>1330</v>
          </cell>
          <cell r="CM20">
            <v>15</v>
          </cell>
          <cell r="CN20">
            <v>0</v>
          </cell>
          <cell r="CO20">
            <v>2135</v>
          </cell>
          <cell r="CP20">
            <v>960</v>
          </cell>
          <cell r="CQ20">
            <v>585</v>
          </cell>
          <cell r="CR20">
            <v>275</v>
          </cell>
          <cell r="CS20">
            <v>285</v>
          </cell>
          <cell r="CT20">
            <v>30</v>
          </cell>
          <cell r="CU20">
            <v>4390</v>
          </cell>
          <cell r="CV20">
            <v>2.1</v>
          </cell>
          <cell r="CW20">
            <v>2135</v>
          </cell>
          <cell r="CX20">
            <v>1025</v>
          </cell>
          <cell r="CY20">
            <v>10</v>
          </cell>
          <cell r="CZ20">
            <v>1095</v>
          </cell>
        </row>
        <row r="21">
          <cell r="A21" t="str">
            <v>4620281.00</v>
          </cell>
          <cell r="B21" t="str">
            <v>0281.00</v>
          </cell>
          <cell r="C21" t="str">
            <v>Ahuntsic-Cartierville</v>
          </cell>
          <cell r="D21">
            <v>3100</v>
          </cell>
          <cell r="E21">
            <v>1420</v>
          </cell>
          <cell r="F21">
            <v>925</v>
          </cell>
          <cell r="G21">
            <v>95</v>
          </cell>
          <cell r="H21">
            <v>315</v>
          </cell>
          <cell r="I21">
            <v>335</v>
          </cell>
          <cell r="J21">
            <v>3100</v>
          </cell>
          <cell r="K21">
            <v>2620</v>
          </cell>
          <cell r="L21">
            <v>485</v>
          </cell>
          <cell r="M21">
            <v>820</v>
          </cell>
          <cell r="N21">
            <v>410</v>
          </cell>
          <cell r="O21">
            <v>185</v>
          </cell>
          <cell r="P21">
            <v>150</v>
          </cell>
          <cell r="Q21">
            <v>65</v>
          </cell>
          <cell r="R21">
            <v>820</v>
          </cell>
          <cell r="S21">
            <v>685</v>
          </cell>
          <cell r="T21">
            <v>440</v>
          </cell>
          <cell r="U21">
            <v>200</v>
          </cell>
          <cell r="V21">
            <v>245</v>
          </cell>
          <cell r="W21">
            <v>80</v>
          </cell>
          <cell r="X21">
            <v>100</v>
          </cell>
          <cell r="Y21">
            <v>55</v>
          </cell>
          <cell r="Z21">
            <v>240</v>
          </cell>
          <cell r="AA21">
            <v>115</v>
          </cell>
          <cell r="AB21">
            <v>125</v>
          </cell>
          <cell r="AC21">
            <v>70</v>
          </cell>
          <cell r="AD21">
            <v>50</v>
          </cell>
          <cell r="AE21">
            <v>0</v>
          </cell>
          <cell r="AF21">
            <v>135</v>
          </cell>
          <cell r="AG21">
            <v>110</v>
          </cell>
          <cell r="AH21">
            <v>80</v>
          </cell>
          <cell r="AI21">
            <v>25</v>
          </cell>
          <cell r="AJ21">
            <v>0</v>
          </cell>
          <cell r="AK21">
            <v>25</v>
          </cell>
          <cell r="AL21">
            <v>10</v>
          </cell>
          <cell r="AM21">
            <v>10</v>
          </cell>
          <cell r="AN21">
            <v>0</v>
          </cell>
          <cell r="AO21">
            <v>830</v>
          </cell>
          <cell r="AP21">
            <v>165</v>
          </cell>
          <cell r="AQ21">
            <v>295</v>
          </cell>
          <cell r="AR21">
            <v>135</v>
          </cell>
          <cell r="AS21">
            <v>155</v>
          </cell>
          <cell r="AT21">
            <v>85</v>
          </cell>
          <cell r="AU21">
            <v>1</v>
          </cell>
          <cell r="AV21">
            <v>3230</v>
          </cell>
          <cell r="AW21">
            <v>895</v>
          </cell>
          <cell r="AX21">
            <v>80</v>
          </cell>
          <cell r="AY21">
            <v>45</v>
          </cell>
          <cell r="AZ21">
            <v>770</v>
          </cell>
          <cell r="BA21">
            <v>2335</v>
          </cell>
          <cell r="BB21">
            <v>2.8</v>
          </cell>
          <cell r="BC21">
            <v>725</v>
          </cell>
          <cell r="BD21">
            <v>415</v>
          </cell>
          <cell r="BE21">
            <v>40</v>
          </cell>
          <cell r="BF21">
            <v>0</v>
          </cell>
          <cell r="BG21">
            <v>380</v>
          </cell>
          <cell r="BH21">
            <v>305</v>
          </cell>
          <cell r="BI21">
            <v>1635</v>
          </cell>
          <cell r="BJ21">
            <v>5.3</v>
          </cell>
          <cell r="BK21">
            <v>8665.5</v>
          </cell>
          <cell r="BL21">
            <v>2</v>
          </cell>
          <cell r="BM21">
            <v>3270</v>
          </cell>
          <cell r="BN21">
            <v>1635</v>
          </cell>
          <cell r="BO21">
            <v>825</v>
          </cell>
          <cell r="BP21">
            <v>810</v>
          </cell>
          <cell r="BQ21">
            <v>0</v>
          </cell>
          <cell r="BR21">
            <v>1635</v>
          </cell>
          <cell r="BS21">
            <v>1125</v>
          </cell>
          <cell r="BT21">
            <v>415</v>
          </cell>
          <cell r="BU21">
            <v>90</v>
          </cell>
          <cell r="BV21">
            <v>1635</v>
          </cell>
          <cell r="BW21">
            <v>170</v>
          </cell>
          <cell r="BX21">
            <v>785</v>
          </cell>
          <cell r="BY21">
            <v>190</v>
          </cell>
          <cell r="BZ21">
            <v>75</v>
          </cell>
          <cell r="CA21">
            <v>95</v>
          </cell>
          <cell r="CB21">
            <v>185</v>
          </cell>
          <cell r="CC21">
            <v>20</v>
          </cell>
          <cell r="CD21">
            <v>25</v>
          </cell>
          <cell r="CE21">
            <v>90</v>
          </cell>
          <cell r="CF21">
            <v>1635</v>
          </cell>
          <cell r="CG21">
            <v>180</v>
          </cell>
          <cell r="CH21">
            <v>160</v>
          </cell>
          <cell r="CI21">
            <v>15</v>
          </cell>
          <cell r="CJ21">
            <v>380</v>
          </cell>
          <cell r="CK21">
            <v>260</v>
          </cell>
          <cell r="CL21">
            <v>630</v>
          </cell>
          <cell r="CM21">
            <v>5</v>
          </cell>
          <cell r="CN21">
            <v>0</v>
          </cell>
          <cell r="CO21">
            <v>1640</v>
          </cell>
          <cell r="CP21">
            <v>770</v>
          </cell>
          <cell r="CQ21">
            <v>450</v>
          </cell>
          <cell r="CR21">
            <v>190</v>
          </cell>
          <cell r="CS21">
            <v>210</v>
          </cell>
          <cell r="CT21">
            <v>15</v>
          </cell>
          <cell r="CU21">
            <v>3230</v>
          </cell>
          <cell r="CV21">
            <v>2</v>
          </cell>
          <cell r="CW21">
            <v>1635</v>
          </cell>
          <cell r="CX21">
            <v>810</v>
          </cell>
          <cell r="CY21">
            <v>0</v>
          </cell>
          <cell r="CZ21">
            <v>820</v>
          </cell>
        </row>
        <row r="22">
          <cell r="A22" t="str">
            <v>4620282.00</v>
          </cell>
          <cell r="B22" t="str">
            <v>0282.00</v>
          </cell>
          <cell r="C22" t="str">
            <v>Ahuntsic-Cartierville</v>
          </cell>
          <cell r="D22">
            <v>5725</v>
          </cell>
          <cell r="E22">
            <v>2265</v>
          </cell>
          <cell r="F22">
            <v>2255</v>
          </cell>
          <cell r="G22">
            <v>155</v>
          </cell>
          <cell r="H22">
            <v>555</v>
          </cell>
          <cell r="I22">
            <v>500</v>
          </cell>
          <cell r="J22">
            <v>5725</v>
          </cell>
          <cell r="K22">
            <v>5225</v>
          </cell>
          <cell r="L22">
            <v>500</v>
          </cell>
          <cell r="M22">
            <v>1600</v>
          </cell>
          <cell r="N22">
            <v>790</v>
          </cell>
          <cell r="O22">
            <v>355</v>
          </cell>
          <cell r="P22">
            <v>320</v>
          </cell>
          <cell r="Q22">
            <v>140</v>
          </cell>
          <cell r="R22">
            <v>1600</v>
          </cell>
          <cell r="S22">
            <v>1325</v>
          </cell>
          <cell r="T22">
            <v>1075</v>
          </cell>
          <cell r="U22">
            <v>450</v>
          </cell>
          <cell r="V22">
            <v>625</v>
          </cell>
          <cell r="W22">
            <v>255</v>
          </cell>
          <cell r="X22">
            <v>255</v>
          </cell>
          <cell r="Y22">
            <v>110</v>
          </cell>
          <cell r="Z22">
            <v>250</v>
          </cell>
          <cell r="AA22">
            <v>155</v>
          </cell>
          <cell r="AB22">
            <v>95</v>
          </cell>
          <cell r="AC22">
            <v>45</v>
          </cell>
          <cell r="AD22">
            <v>25</v>
          </cell>
          <cell r="AE22">
            <v>25</v>
          </cell>
          <cell r="AF22">
            <v>275</v>
          </cell>
          <cell r="AG22">
            <v>235</v>
          </cell>
          <cell r="AH22">
            <v>170</v>
          </cell>
          <cell r="AI22">
            <v>35</v>
          </cell>
          <cell r="AJ22">
            <v>25</v>
          </cell>
          <cell r="AK22">
            <v>35</v>
          </cell>
          <cell r="AL22">
            <v>10</v>
          </cell>
          <cell r="AM22">
            <v>15</v>
          </cell>
          <cell r="AN22">
            <v>0</v>
          </cell>
          <cell r="AO22">
            <v>1705</v>
          </cell>
          <cell r="AP22">
            <v>385</v>
          </cell>
          <cell r="AQ22">
            <v>525</v>
          </cell>
          <cell r="AR22">
            <v>100</v>
          </cell>
          <cell r="AS22">
            <v>360</v>
          </cell>
          <cell r="AT22">
            <v>325</v>
          </cell>
          <cell r="AU22">
            <v>1.1000000000000001</v>
          </cell>
          <cell r="AV22">
            <v>6095</v>
          </cell>
          <cell r="AW22">
            <v>1465</v>
          </cell>
          <cell r="AX22">
            <v>235</v>
          </cell>
          <cell r="AY22">
            <v>195</v>
          </cell>
          <cell r="AZ22">
            <v>1035</v>
          </cell>
          <cell r="BA22">
            <v>4630</v>
          </cell>
          <cell r="BB22">
            <v>2.9</v>
          </cell>
          <cell r="BC22">
            <v>1120</v>
          </cell>
          <cell r="BD22">
            <v>460</v>
          </cell>
          <cell r="BE22">
            <v>125</v>
          </cell>
          <cell r="BF22">
            <v>15</v>
          </cell>
          <cell r="BG22">
            <v>315</v>
          </cell>
          <cell r="BH22">
            <v>660</v>
          </cell>
          <cell r="BI22">
            <v>2745</v>
          </cell>
          <cell r="BJ22">
            <v>5.0999999999999996</v>
          </cell>
          <cell r="BK22">
            <v>13999.499999999998</v>
          </cell>
          <cell r="BL22">
            <v>2.1</v>
          </cell>
          <cell r="BM22">
            <v>5764.5</v>
          </cell>
          <cell r="BN22">
            <v>2745</v>
          </cell>
          <cell r="BO22">
            <v>1300</v>
          </cell>
          <cell r="BP22">
            <v>1445</v>
          </cell>
          <cell r="BQ22">
            <v>0</v>
          </cell>
          <cell r="BR22">
            <v>2745</v>
          </cell>
          <cell r="BS22">
            <v>1665</v>
          </cell>
          <cell r="BT22">
            <v>845</v>
          </cell>
          <cell r="BU22">
            <v>235</v>
          </cell>
          <cell r="BV22">
            <v>2745</v>
          </cell>
          <cell r="BW22">
            <v>245</v>
          </cell>
          <cell r="BX22">
            <v>870</v>
          </cell>
          <cell r="BY22">
            <v>675</v>
          </cell>
          <cell r="BZ22">
            <v>370</v>
          </cell>
          <cell r="CA22">
            <v>235</v>
          </cell>
          <cell r="CB22">
            <v>105</v>
          </cell>
          <cell r="CC22">
            <v>110</v>
          </cell>
          <cell r="CD22">
            <v>60</v>
          </cell>
          <cell r="CE22">
            <v>65</v>
          </cell>
          <cell r="CF22">
            <v>2745</v>
          </cell>
          <cell r="CG22">
            <v>375</v>
          </cell>
          <cell r="CH22">
            <v>195</v>
          </cell>
          <cell r="CI22">
            <v>45</v>
          </cell>
          <cell r="CJ22">
            <v>330</v>
          </cell>
          <cell r="CK22">
            <v>240</v>
          </cell>
          <cell r="CL22">
            <v>1555</v>
          </cell>
          <cell r="CM22">
            <v>10</v>
          </cell>
          <cell r="CN22">
            <v>0</v>
          </cell>
          <cell r="CO22">
            <v>2750</v>
          </cell>
          <cell r="CP22">
            <v>1035</v>
          </cell>
          <cell r="CQ22">
            <v>800</v>
          </cell>
          <cell r="CR22">
            <v>425</v>
          </cell>
          <cell r="CS22">
            <v>430</v>
          </cell>
          <cell r="CT22">
            <v>55</v>
          </cell>
          <cell r="CU22">
            <v>6095</v>
          </cell>
          <cell r="CV22">
            <v>2.2000000000000002</v>
          </cell>
          <cell r="CW22">
            <v>2745</v>
          </cell>
          <cell r="CX22">
            <v>1540</v>
          </cell>
          <cell r="CY22">
            <v>30</v>
          </cell>
          <cell r="CZ22">
            <v>1175</v>
          </cell>
        </row>
        <row r="23">
          <cell r="A23" t="str">
            <v>4620283.01</v>
          </cell>
          <cell r="B23" t="str">
            <v>0283.01</v>
          </cell>
          <cell r="C23" t="str">
            <v>Ahuntsic-Cartierville</v>
          </cell>
          <cell r="D23">
            <v>3155</v>
          </cell>
          <cell r="E23">
            <v>990</v>
          </cell>
          <cell r="F23">
            <v>1750</v>
          </cell>
          <cell r="G23">
            <v>55</v>
          </cell>
          <cell r="H23">
            <v>145</v>
          </cell>
          <cell r="I23">
            <v>220</v>
          </cell>
          <cell r="J23">
            <v>3155</v>
          </cell>
          <cell r="K23">
            <v>3070</v>
          </cell>
          <cell r="L23">
            <v>85</v>
          </cell>
          <cell r="M23">
            <v>1075</v>
          </cell>
          <cell r="N23">
            <v>495</v>
          </cell>
          <cell r="O23">
            <v>240</v>
          </cell>
          <cell r="P23">
            <v>225</v>
          </cell>
          <cell r="Q23">
            <v>110</v>
          </cell>
          <cell r="R23">
            <v>1075</v>
          </cell>
          <cell r="S23">
            <v>920</v>
          </cell>
          <cell r="T23">
            <v>860</v>
          </cell>
          <cell r="U23">
            <v>370</v>
          </cell>
          <cell r="V23">
            <v>490</v>
          </cell>
          <cell r="W23">
            <v>150</v>
          </cell>
          <cell r="X23">
            <v>225</v>
          </cell>
          <cell r="Y23">
            <v>110</v>
          </cell>
          <cell r="Z23">
            <v>60</v>
          </cell>
          <cell r="AA23">
            <v>30</v>
          </cell>
          <cell r="AB23">
            <v>30</v>
          </cell>
          <cell r="AC23">
            <v>30</v>
          </cell>
          <cell r="AD23">
            <v>0</v>
          </cell>
          <cell r="AE23">
            <v>0</v>
          </cell>
          <cell r="AF23">
            <v>155</v>
          </cell>
          <cell r="AG23">
            <v>145</v>
          </cell>
          <cell r="AH23">
            <v>90</v>
          </cell>
          <cell r="AI23">
            <v>50</v>
          </cell>
          <cell r="AJ23">
            <v>0</v>
          </cell>
          <cell r="AK23">
            <v>10</v>
          </cell>
          <cell r="AL23">
            <v>0</v>
          </cell>
          <cell r="AM23">
            <v>10</v>
          </cell>
          <cell r="AN23">
            <v>0</v>
          </cell>
          <cell r="AO23">
            <v>1195</v>
          </cell>
          <cell r="AP23">
            <v>195</v>
          </cell>
          <cell r="AQ23">
            <v>295</v>
          </cell>
          <cell r="AR23">
            <v>90</v>
          </cell>
          <cell r="AS23">
            <v>250</v>
          </cell>
          <cell r="AT23">
            <v>370</v>
          </cell>
          <cell r="AU23">
            <v>1.1000000000000001</v>
          </cell>
          <cell r="AV23">
            <v>3565</v>
          </cell>
          <cell r="AW23">
            <v>370</v>
          </cell>
          <cell r="AX23">
            <v>55</v>
          </cell>
          <cell r="AY23">
            <v>20</v>
          </cell>
          <cell r="AZ23">
            <v>300</v>
          </cell>
          <cell r="BA23">
            <v>3190</v>
          </cell>
          <cell r="BB23">
            <v>3</v>
          </cell>
          <cell r="BC23">
            <v>910</v>
          </cell>
          <cell r="BD23">
            <v>145</v>
          </cell>
          <cell r="BE23">
            <v>30</v>
          </cell>
          <cell r="BF23">
            <v>0</v>
          </cell>
          <cell r="BG23">
            <v>115</v>
          </cell>
          <cell r="BH23">
            <v>770</v>
          </cell>
          <cell r="BI23">
            <v>1365</v>
          </cell>
          <cell r="BJ23">
            <v>6.2</v>
          </cell>
          <cell r="BK23">
            <v>8463</v>
          </cell>
          <cell r="BL23">
            <v>2.7</v>
          </cell>
          <cell r="BM23">
            <v>3685.5000000000005</v>
          </cell>
          <cell r="BN23">
            <v>1365</v>
          </cell>
          <cell r="BO23">
            <v>820</v>
          </cell>
          <cell r="BP23">
            <v>545</v>
          </cell>
          <cell r="BQ23">
            <v>0</v>
          </cell>
          <cell r="BR23">
            <v>1365</v>
          </cell>
          <cell r="BS23">
            <v>895</v>
          </cell>
          <cell r="BT23">
            <v>395</v>
          </cell>
          <cell r="BU23">
            <v>75</v>
          </cell>
          <cell r="BV23">
            <v>1360</v>
          </cell>
          <cell r="BW23">
            <v>20</v>
          </cell>
          <cell r="BX23">
            <v>510</v>
          </cell>
          <cell r="BY23">
            <v>670</v>
          </cell>
          <cell r="BZ23">
            <v>70</v>
          </cell>
          <cell r="CA23">
            <v>25</v>
          </cell>
          <cell r="CB23">
            <v>45</v>
          </cell>
          <cell r="CC23">
            <v>20</v>
          </cell>
          <cell r="CD23">
            <v>0</v>
          </cell>
          <cell r="CE23">
            <v>0</v>
          </cell>
          <cell r="CF23">
            <v>1360</v>
          </cell>
          <cell r="CG23">
            <v>305</v>
          </cell>
          <cell r="CH23">
            <v>125</v>
          </cell>
          <cell r="CI23">
            <v>0</v>
          </cell>
          <cell r="CJ23">
            <v>285</v>
          </cell>
          <cell r="CK23">
            <v>5</v>
          </cell>
          <cell r="CL23">
            <v>640</v>
          </cell>
          <cell r="CM23">
            <v>5</v>
          </cell>
          <cell r="CN23">
            <v>0</v>
          </cell>
          <cell r="CO23">
            <v>1360</v>
          </cell>
          <cell r="CP23">
            <v>305</v>
          </cell>
          <cell r="CQ23">
            <v>450</v>
          </cell>
          <cell r="CR23">
            <v>250</v>
          </cell>
          <cell r="CS23">
            <v>320</v>
          </cell>
          <cell r="CT23">
            <v>35</v>
          </cell>
          <cell r="CU23">
            <v>3565</v>
          </cell>
          <cell r="CV23">
            <v>2.6</v>
          </cell>
          <cell r="CW23">
            <v>1360</v>
          </cell>
          <cell r="CX23">
            <v>1025</v>
          </cell>
          <cell r="CY23">
            <v>20</v>
          </cell>
          <cell r="CZ23">
            <v>315</v>
          </cell>
        </row>
        <row r="24">
          <cell r="A24" t="str">
            <v>4620283.02</v>
          </cell>
          <cell r="B24" t="str">
            <v>0283.02</v>
          </cell>
          <cell r="C24" t="str">
            <v>Ahuntsic-Cartierville</v>
          </cell>
          <cell r="D24">
            <v>2365</v>
          </cell>
          <cell r="E24">
            <v>775</v>
          </cell>
          <cell r="F24">
            <v>1195</v>
          </cell>
          <cell r="G24">
            <v>40</v>
          </cell>
          <cell r="H24">
            <v>150</v>
          </cell>
          <cell r="I24">
            <v>205</v>
          </cell>
          <cell r="J24">
            <v>2370</v>
          </cell>
          <cell r="K24">
            <v>2270</v>
          </cell>
          <cell r="L24">
            <v>95</v>
          </cell>
          <cell r="M24">
            <v>765</v>
          </cell>
          <cell r="N24">
            <v>325</v>
          </cell>
          <cell r="O24">
            <v>200</v>
          </cell>
          <cell r="P24">
            <v>170</v>
          </cell>
          <cell r="Q24">
            <v>70</v>
          </cell>
          <cell r="R24">
            <v>760</v>
          </cell>
          <cell r="S24">
            <v>620</v>
          </cell>
          <cell r="T24">
            <v>580</v>
          </cell>
          <cell r="U24">
            <v>215</v>
          </cell>
          <cell r="V24">
            <v>370</v>
          </cell>
          <cell r="W24">
            <v>150</v>
          </cell>
          <cell r="X24">
            <v>160</v>
          </cell>
          <cell r="Y24">
            <v>60</v>
          </cell>
          <cell r="Z24">
            <v>40</v>
          </cell>
          <cell r="AA24">
            <v>20</v>
          </cell>
          <cell r="AB24">
            <v>15</v>
          </cell>
          <cell r="AC24">
            <v>15</v>
          </cell>
          <cell r="AD24">
            <v>0</v>
          </cell>
          <cell r="AE24">
            <v>0</v>
          </cell>
          <cell r="AF24">
            <v>140</v>
          </cell>
          <cell r="AG24">
            <v>105</v>
          </cell>
          <cell r="AH24">
            <v>80</v>
          </cell>
          <cell r="AI24">
            <v>10</v>
          </cell>
          <cell r="AJ24">
            <v>15</v>
          </cell>
          <cell r="AK24">
            <v>35</v>
          </cell>
          <cell r="AL24">
            <v>15</v>
          </cell>
          <cell r="AM24">
            <v>25</v>
          </cell>
          <cell r="AN24">
            <v>0</v>
          </cell>
          <cell r="AO24">
            <v>900</v>
          </cell>
          <cell r="AP24">
            <v>195</v>
          </cell>
          <cell r="AQ24">
            <v>190</v>
          </cell>
          <cell r="AR24">
            <v>65</v>
          </cell>
          <cell r="AS24">
            <v>210</v>
          </cell>
          <cell r="AT24">
            <v>245</v>
          </cell>
          <cell r="AU24">
            <v>1.2</v>
          </cell>
          <cell r="AV24">
            <v>2745</v>
          </cell>
          <cell r="AW24">
            <v>460</v>
          </cell>
          <cell r="AX24">
            <v>65</v>
          </cell>
          <cell r="AY24">
            <v>25</v>
          </cell>
          <cell r="AZ24">
            <v>375</v>
          </cell>
          <cell r="BA24">
            <v>2280</v>
          </cell>
          <cell r="BB24">
            <v>3</v>
          </cell>
          <cell r="BC24">
            <v>605</v>
          </cell>
          <cell r="BD24">
            <v>205</v>
          </cell>
          <cell r="BE24">
            <v>45</v>
          </cell>
          <cell r="BF24">
            <v>0</v>
          </cell>
          <cell r="BG24">
            <v>160</v>
          </cell>
          <cell r="BH24">
            <v>400</v>
          </cell>
          <cell r="BI24">
            <v>1130</v>
          </cell>
          <cell r="BJ24">
            <v>5.7</v>
          </cell>
          <cell r="BK24">
            <v>6441</v>
          </cell>
          <cell r="BL24">
            <v>2.4</v>
          </cell>
          <cell r="BM24">
            <v>2712</v>
          </cell>
          <cell r="BN24">
            <v>1135</v>
          </cell>
          <cell r="BO24">
            <v>560</v>
          </cell>
          <cell r="BP24">
            <v>570</v>
          </cell>
          <cell r="BQ24">
            <v>0</v>
          </cell>
          <cell r="BR24">
            <v>1135</v>
          </cell>
          <cell r="BS24">
            <v>670</v>
          </cell>
          <cell r="BT24">
            <v>375</v>
          </cell>
          <cell r="BU24">
            <v>85</v>
          </cell>
          <cell r="BV24">
            <v>1135</v>
          </cell>
          <cell r="BW24">
            <v>60</v>
          </cell>
          <cell r="BX24">
            <v>345</v>
          </cell>
          <cell r="BY24">
            <v>530</v>
          </cell>
          <cell r="BZ24">
            <v>135</v>
          </cell>
          <cell r="CA24">
            <v>25</v>
          </cell>
          <cell r="CB24">
            <v>10</v>
          </cell>
          <cell r="CC24">
            <v>10</v>
          </cell>
          <cell r="CD24">
            <v>10</v>
          </cell>
          <cell r="CE24">
            <v>0</v>
          </cell>
          <cell r="CF24">
            <v>1135</v>
          </cell>
          <cell r="CG24">
            <v>190</v>
          </cell>
          <cell r="CH24">
            <v>35</v>
          </cell>
          <cell r="CI24">
            <v>0</v>
          </cell>
          <cell r="CJ24">
            <v>195</v>
          </cell>
          <cell r="CK24">
            <v>0</v>
          </cell>
          <cell r="CL24">
            <v>710</v>
          </cell>
          <cell r="CM24">
            <v>0</v>
          </cell>
          <cell r="CN24">
            <v>0</v>
          </cell>
          <cell r="CO24">
            <v>1130</v>
          </cell>
          <cell r="CP24">
            <v>370</v>
          </cell>
          <cell r="CQ24">
            <v>315</v>
          </cell>
          <cell r="CR24">
            <v>180</v>
          </cell>
          <cell r="CS24">
            <v>245</v>
          </cell>
          <cell r="CT24">
            <v>25</v>
          </cell>
          <cell r="CU24">
            <v>2745</v>
          </cell>
          <cell r="CV24">
            <v>2.4</v>
          </cell>
          <cell r="CW24">
            <v>1135</v>
          </cell>
          <cell r="CX24">
            <v>715</v>
          </cell>
          <cell r="CY24">
            <v>25</v>
          </cell>
          <cell r="CZ24">
            <v>395</v>
          </cell>
        </row>
        <row r="25">
          <cell r="A25" t="str">
            <v>4620284.00</v>
          </cell>
          <cell r="B25" t="str">
            <v>0284.00</v>
          </cell>
          <cell r="C25" t="str">
            <v>Ahuntsic-Cartierville</v>
          </cell>
          <cell r="D25">
            <v>2930</v>
          </cell>
          <cell r="E25">
            <v>1010</v>
          </cell>
          <cell r="F25">
            <v>1375</v>
          </cell>
          <cell r="G25">
            <v>60</v>
          </cell>
          <cell r="H25">
            <v>220</v>
          </cell>
          <cell r="I25">
            <v>270</v>
          </cell>
          <cell r="J25">
            <v>2925</v>
          </cell>
          <cell r="K25">
            <v>2710</v>
          </cell>
          <cell r="L25">
            <v>215</v>
          </cell>
          <cell r="M25">
            <v>905</v>
          </cell>
          <cell r="N25">
            <v>435</v>
          </cell>
          <cell r="O25">
            <v>220</v>
          </cell>
          <cell r="P25">
            <v>165</v>
          </cell>
          <cell r="Q25">
            <v>80</v>
          </cell>
          <cell r="R25">
            <v>910</v>
          </cell>
          <cell r="S25">
            <v>790</v>
          </cell>
          <cell r="T25">
            <v>680</v>
          </cell>
          <cell r="U25">
            <v>275</v>
          </cell>
          <cell r="V25">
            <v>405</v>
          </cell>
          <cell r="W25">
            <v>185</v>
          </cell>
          <cell r="X25">
            <v>150</v>
          </cell>
          <cell r="Y25">
            <v>65</v>
          </cell>
          <cell r="Z25">
            <v>105</v>
          </cell>
          <cell r="AA25">
            <v>70</v>
          </cell>
          <cell r="AB25">
            <v>40</v>
          </cell>
          <cell r="AC25">
            <v>15</v>
          </cell>
          <cell r="AD25">
            <v>15</v>
          </cell>
          <cell r="AE25">
            <v>0</v>
          </cell>
          <cell r="AF25">
            <v>115</v>
          </cell>
          <cell r="AG25">
            <v>110</v>
          </cell>
          <cell r="AH25">
            <v>85</v>
          </cell>
          <cell r="AI25">
            <v>15</v>
          </cell>
          <cell r="AJ25">
            <v>0</v>
          </cell>
          <cell r="AK25">
            <v>10</v>
          </cell>
          <cell r="AL25">
            <v>0</v>
          </cell>
          <cell r="AM25">
            <v>10</v>
          </cell>
          <cell r="AN25">
            <v>0</v>
          </cell>
          <cell r="AO25">
            <v>945</v>
          </cell>
          <cell r="AP25">
            <v>185</v>
          </cell>
          <cell r="AQ25">
            <v>285</v>
          </cell>
          <cell r="AR25">
            <v>85</v>
          </cell>
          <cell r="AS25">
            <v>185</v>
          </cell>
          <cell r="AT25">
            <v>200</v>
          </cell>
          <cell r="AU25">
            <v>1</v>
          </cell>
          <cell r="AV25">
            <v>3390</v>
          </cell>
          <cell r="AW25">
            <v>745</v>
          </cell>
          <cell r="AX25">
            <v>65</v>
          </cell>
          <cell r="AY25">
            <v>35</v>
          </cell>
          <cell r="AZ25">
            <v>650</v>
          </cell>
          <cell r="BA25">
            <v>2640</v>
          </cell>
          <cell r="BB25">
            <v>2.9</v>
          </cell>
          <cell r="BC25">
            <v>785</v>
          </cell>
          <cell r="BD25">
            <v>320</v>
          </cell>
          <cell r="BE25">
            <v>45</v>
          </cell>
          <cell r="BF25">
            <v>0</v>
          </cell>
          <cell r="BG25">
            <v>275</v>
          </cell>
          <cell r="BH25">
            <v>470</v>
          </cell>
          <cell r="BI25">
            <v>1575</v>
          </cell>
          <cell r="BJ25">
            <v>5.3</v>
          </cell>
          <cell r="BK25">
            <v>8347.5</v>
          </cell>
          <cell r="BL25">
            <v>2.2000000000000002</v>
          </cell>
          <cell r="BM25">
            <v>3465.0000000000005</v>
          </cell>
          <cell r="BN25">
            <v>1575</v>
          </cell>
          <cell r="BO25">
            <v>750</v>
          </cell>
          <cell r="BP25">
            <v>825</v>
          </cell>
          <cell r="BQ25">
            <v>0</v>
          </cell>
          <cell r="BR25">
            <v>1575</v>
          </cell>
          <cell r="BS25">
            <v>970</v>
          </cell>
          <cell r="BT25">
            <v>465</v>
          </cell>
          <cell r="BU25">
            <v>140</v>
          </cell>
          <cell r="BV25">
            <v>1575</v>
          </cell>
          <cell r="BW25">
            <v>90</v>
          </cell>
          <cell r="BX25">
            <v>505</v>
          </cell>
          <cell r="BY25">
            <v>670</v>
          </cell>
          <cell r="BZ25">
            <v>100</v>
          </cell>
          <cell r="CA25">
            <v>80</v>
          </cell>
          <cell r="CB25">
            <v>90</v>
          </cell>
          <cell r="CC25">
            <v>10</v>
          </cell>
          <cell r="CD25">
            <v>0</v>
          </cell>
          <cell r="CE25">
            <v>30</v>
          </cell>
          <cell r="CF25">
            <v>1575</v>
          </cell>
          <cell r="CG25">
            <v>280</v>
          </cell>
          <cell r="CH25">
            <v>80</v>
          </cell>
          <cell r="CI25">
            <v>0</v>
          </cell>
          <cell r="CJ25">
            <v>40</v>
          </cell>
          <cell r="CK25">
            <v>95</v>
          </cell>
          <cell r="CL25">
            <v>1085</v>
          </cell>
          <cell r="CM25">
            <v>0</v>
          </cell>
          <cell r="CN25">
            <v>0</v>
          </cell>
          <cell r="CO25">
            <v>1575</v>
          </cell>
          <cell r="CP25">
            <v>650</v>
          </cell>
          <cell r="CQ25">
            <v>445</v>
          </cell>
          <cell r="CR25">
            <v>215</v>
          </cell>
          <cell r="CS25">
            <v>240</v>
          </cell>
          <cell r="CT25">
            <v>30</v>
          </cell>
          <cell r="CU25">
            <v>3390</v>
          </cell>
          <cell r="CV25">
            <v>2.1</v>
          </cell>
          <cell r="CW25">
            <v>1575</v>
          </cell>
          <cell r="CX25">
            <v>885</v>
          </cell>
          <cell r="CY25">
            <v>10</v>
          </cell>
          <cell r="CZ25">
            <v>680</v>
          </cell>
        </row>
        <row r="26">
          <cell r="A26" t="str">
            <v>4620285.00</v>
          </cell>
          <cell r="B26" t="str">
            <v>0285.00</v>
          </cell>
          <cell r="C26" t="str">
            <v>Ahuntsic-Cartierville</v>
          </cell>
          <cell r="D26">
            <v>5645</v>
          </cell>
          <cell r="E26">
            <v>2465</v>
          </cell>
          <cell r="F26">
            <v>2190</v>
          </cell>
          <cell r="G26">
            <v>145</v>
          </cell>
          <cell r="H26">
            <v>385</v>
          </cell>
          <cell r="I26">
            <v>460</v>
          </cell>
          <cell r="J26">
            <v>5640</v>
          </cell>
          <cell r="K26">
            <v>5125</v>
          </cell>
          <cell r="L26">
            <v>515</v>
          </cell>
          <cell r="M26">
            <v>1625</v>
          </cell>
          <cell r="N26">
            <v>800</v>
          </cell>
          <cell r="O26">
            <v>360</v>
          </cell>
          <cell r="P26">
            <v>325</v>
          </cell>
          <cell r="Q26">
            <v>140</v>
          </cell>
          <cell r="R26">
            <v>1625</v>
          </cell>
          <cell r="S26">
            <v>1305</v>
          </cell>
          <cell r="T26">
            <v>1045</v>
          </cell>
          <cell r="U26">
            <v>460</v>
          </cell>
          <cell r="V26">
            <v>585</v>
          </cell>
          <cell r="W26">
            <v>190</v>
          </cell>
          <cell r="X26">
            <v>285</v>
          </cell>
          <cell r="Y26">
            <v>110</v>
          </cell>
          <cell r="Z26">
            <v>265</v>
          </cell>
          <cell r="AA26">
            <v>115</v>
          </cell>
          <cell r="AB26">
            <v>145</v>
          </cell>
          <cell r="AC26">
            <v>85</v>
          </cell>
          <cell r="AD26">
            <v>35</v>
          </cell>
          <cell r="AE26">
            <v>25</v>
          </cell>
          <cell r="AF26">
            <v>320</v>
          </cell>
          <cell r="AG26">
            <v>245</v>
          </cell>
          <cell r="AH26">
            <v>165</v>
          </cell>
          <cell r="AI26">
            <v>70</v>
          </cell>
          <cell r="AJ26">
            <v>0</v>
          </cell>
          <cell r="AK26">
            <v>75</v>
          </cell>
          <cell r="AL26">
            <v>60</v>
          </cell>
          <cell r="AM26">
            <v>15</v>
          </cell>
          <cell r="AN26">
            <v>0</v>
          </cell>
          <cell r="AO26">
            <v>1810</v>
          </cell>
          <cell r="AP26">
            <v>470</v>
          </cell>
          <cell r="AQ26">
            <v>615</v>
          </cell>
          <cell r="AR26">
            <v>200</v>
          </cell>
          <cell r="AS26">
            <v>290</v>
          </cell>
          <cell r="AT26">
            <v>235</v>
          </cell>
          <cell r="AU26">
            <v>1.1000000000000001</v>
          </cell>
          <cell r="AV26">
            <v>5710</v>
          </cell>
          <cell r="AW26">
            <v>970</v>
          </cell>
          <cell r="AX26">
            <v>195</v>
          </cell>
          <cell r="AY26">
            <v>105</v>
          </cell>
          <cell r="AZ26">
            <v>670</v>
          </cell>
          <cell r="BA26">
            <v>4745</v>
          </cell>
          <cell r="BB26">
            <v>2.9</v>
          </cell>
          <cell r="BC26">
            <v>865</v>
          </cell>
          <cell r="BD26">
            <v>245</v>
          </cell>
          <cell r="BE26">
            <v>20</v>
          </cell>
          <cell r="BF26">
            <v>0</v>
          </cell>
          <cell r="BG26">
            <v>215</v>
          </cell>
          <cell r="BH26">
            <v>620</v>
          </cell>
          <cell r="BI26">
            <v>2340</v>
          </cell>
          <cell r="BJ26">
            <v>5.2</v>
          </cell>
          <cell r="BK26">
            <v>12168</v>
          </cell>
          <cell r="BL26">
            <v>2.2000000000000002</v>
          </cell>
          <cell r="BM26">
            <v>5148</v>
          </cell>
          <cell r="BN26">
            <v>2340</v>
          </cell>
          <cell r="BO26">
            <v>1050</v>
          </cell>
          <cell r="BP26">
            <v>1290</v>
          </cell>
          <cell r="BQ26">
            <v>0</v>
          </cell>
          <cell r="BR26">
            <v>2340</v>
          </cell>
          <cell r="BS26">
            <v>1390</v>
          </cell>
          <cell r="BT26">
            <v>700</v>
          </cell>
          <cell r="BU26">
            <v>250</v>
          </cell>
          <cell r="BV26">
            <v>2340</v>
          </cell>
          <cell r="BW26">
            <v>245</v>
          </cell>
          <cell r="BX26">
            <v>980</v>
          </cell>
          <cell r="BY26">
            <v>705</v>
          </cell>
          <cell r="BZ26">
            <v>215</v>
          </cell>
          <cell r="CA26">
            <v>105</v>
          </cell>
          <cell r="CB26">
            <v>60</v>
          </cell>
          <cell r="CC26">
            <v>20</v>
          </cell>
          <cell r="CD26">
            <v>0</v>
          </cell>
          <cell r="CE26">
            <v>0</v>
          </cell>
          <cell r="CF26">
            <v>2340</v>
          </cell>
          <cell r="CG26">
            <v>650</v>
          </cell>
          <cell r="CH26">
            <v>180</v>
          </cell>
          <cell r="CI26">
            <v>5</v>
          </cell>
          <cell r="CJ26">
            <v>235</v>
          </cell>
          <cell r="CK26">
            <v>5</v>
          </cell>
          <cell r="CL26">
            <v>1270</v>
          </cell>
          <cell r="CM26">
            <v>5</v>
          </cell>
          <cell r="CN26">
            <v>0</v>
          </cell>
          <cell r="CO26">
            <v>2340</v>
          </cell>
          <cell r="CP26">
            <v>665</v>
          </cell>
          <cell r="CQ26">
            <v>745</v>
          </cell>
          <cell r="CR26">
            <v>405</v>
          </cell>
          <cell r="CS26">
            <v>470</v>
          </cell>
          <cell r="CT26">
            <v>45</v>
          </cell>
          <cell r="CU26">
            <v>5710</v>
          </cell>
          <cell r="CV26">
            <v>2.4</v>
          </cell>
          <cell r="CW26">
            <v>2340</v>
          </cell>
          <cell r="CX26">
            <v>1540</v>
          </cell>
          <cell r="CY26">
            <v>45</v>
          </cell>
          <cell r="CZ26">
            <v>760</v>
          </cell>
        </row>
        <row r="27">
          <cell r="A27" t="str">
            <v>4620286.00</v>
          </cell>
          <cell r="B27" t="str">
            <v>0286.00</v>
          </cell>
          <cell r="C27" t="str">
            <v>Ahuntsic-Cartierville</v>
          </cell>
          <cell r="D27">
            <v>4015</v>
          </cell>
          <cell r="E27">
            <v>1415</v>
          </cell>
          <cell r="F27">
            <v>1965</v>
          </cell>
          <cell r="G27">
            <v>115</v>
          </cell>
          <cell r="H27">
            <v>305</v>
          </cell>
          <cell r="I27">
            <v>215</v>
          </cell>
          <cell r="J27">
            <v>4015</v>
          </cell>
          <cell r="K27">
            <v>3735</v>
          </cell>
          <cell r="L27">
            <v>280</v>
          </cell>
          <cell r="M27">
            <v>1385</v>
          </cell>
          <cell r="N27">
            <v>555</v>
          </cell>
          <cell r="O27">
            <v>345</v>
          </cell>
          <cell r="P27">
            <v>305</v>
          </cell>
          <cell r="Q27">
            <v>175</v>
          </cell>
          <cell r="R27">
            <v>1385</v>
          </cell>
          <cell r="S27">
            <v>1095</v>
          </cell>
          <cell r="T27">
            <v>950</v>
          </cell>
          <cell r="U27">
            <v>340</v>
          </cell>
          <cell r="V27">
            <v>615</v>
          </cell>
          <cell r="W27">
            <v>235</v>
          </cell>
          <cell r="X27">
            <v>215</v>
          </cell>
          <cell r="Y27">
            <v>165</v>
          </cell>
          <cell r="Z27">
            <v>140</v>
          </cell>
          <cell r="AA27">
            <v>50</v>
          </cell>
          <cell r="AB27">
            <v>90</v>
          </cell>
          <cell r="AC27">
            <v>30</v>
          </cell>
          <cell r="AD27">
            <v>55</v>
          </cell>
          <cell r="AE27">
            <v>10</v>
          </cell>
          <cell r="AF27">
            <v>290</v>
          </cell>
          <cell r="AG27">
            <v>250</v>
          </cell>
          <cell r="AH27">
            <v>135</v>
          </cell>
          <cell r="AI27">
            <v>75</v>
          </cell>
          <cell r="AJ27">
            <v>35</v>
          </cell>
          <cell r="AK27">
            <v>40</v>
          </cell>
          <cell r="AL27">
            <v>30</v>
          </cell>
          <cell r="AM27">
            <v>10</v>
          </cell>
          <cell r="AN27">
            <v>0</v>
          </cell>
          <cell r="AO27">
            <v>1870</v>
          </cell>
          <cell r="AP27">
            <v>595</v>
          </cell>
          <cell r="AQ27">
            <v>645</v>
          </cell>
          <cell r="AR27">
            <v>175</v>
          </cell>
          <cell r="AS27">
            <v>220</v>
          </cell>
          <cell r="AT27">
            <v>230</v>
          </cell>
          <cell r="AU27">
            <v>1.3</v>
          </cell>
          <cell r="AV27">
            <v>5260</v>
          </cell>
          <cell r="AW27">
            <v>915</v>
          </cell>
          <cell r="AX27">
            <v>120</v>
          </cell>
          <cell r="AY27">
            <v>245</v>
          </cell>
          <cell r="AZ27">
            <v>545</v>
          </cell>
          <cell r="BA27">
            <v>4345</v>
          </cell>
          <cell r="BB27">
            <v>3.1</v>
          </cell>
          <cell r="BC27">
            <v>670</v>
          </cell>
          <cell r="BD27">
            <v>225</v>
          </cell>
          <cell r="BE27">
            <v>25</v>
          </cell>
          <cell r="BF27">
            <v>30</v>
          </cell>
          <cell r="BG27">
            <v>170</v>
          </cell>
          <cell r="BH27">
            <v>445</v>
          </cell>
          <cell r="BI27">
            <v>2005</v>
          </cell>
          <cell r="BJ27">
            <v>5</v>
          </cell>
          <cell r="BK27">
            <v>10025</v>
          </cell>
          <cell r="BL27">
            <v>2</v>
          </cell>
          <cell r="BM27">
            <v>4010</v>
          </cell>
          <cell r="BN27">
            <v>2000</v>
          </cell>
          <cell r="BO27">
            <v>725</v>
          </cell>
          <cell r="BP27">
            <v>1275</v>
          </cell>
          <cell r="BQ27">
            <v>0</v>
          </cell>
          <cell r="BR27">
            <v>2005</v>
          </cell>
          <cell r="BS27">
            <v>1085</v>
          </cell>
          <cell r="BT27">
            <v>605</v>
          </cell>
          <cell r="BU27">
            <v>310</v>
          </cell>
          <cell r="BV27">
            <v>2005</v>
          </cell>
          <cell r="BW27">
            <v>65</v>
          </cell>
          <cell r="BX27">
            <v>910</v>
          </cell>
          <cell r="BY27">
            <v>655</v>
          </cell>
          <cell r="BZ27">
            <v>260</v>
          </cell>
          <cell r="CA27">
            <v>60</v>
          </cell>
          <cell r="CB27">
            <v>30</v>
          </cell>
          <cell r="CC27">
            <v>10</v>
          </cell>
          <cell r="CD27">
            <v>10</v>
          </cell>
          <cell r="CE27">
            <v>10</v>
          </cell>
          <cell r="CF27">
            <v>2005</v>
          </cell>
          <cell r="CG27">
            <v>400</v>
          </cell>
          <cell r="CH27">
            <v>200</v>
          </cell>
          <cell r="CI27">
            <v>0</v>
          </cell>
          <cell r="CJ27">
            <v>150</v>
          </cell>
          <cell r="CK27">
            <v>540</v>
          </cell>
          <cell r="CL27">
            <v>715</v>
          </cell>
          <cell r="CM27">
            <v>0</v>
          </cell>
          <cell r="CN27">
            <v>0</v>
          </cell>
          <cell r="CO27">
            <v>2000</v>
          </cell>
          <cell r="CP27">
            <v>550</v>
          </cell>
          <cell r="CQ27">
            <v>550</v>
          </cell>
          <cell r="CR27">
            <v>355</v>
          </cell>
          <cell r="CS27">
            <v>470</v>
          </cell>
          <cell r="CT27">
            <v>80</v>
          </cell>
          <cell r="CU27">
            <v>5260</v>
          </cell>
          <cell r="CV27">
            <v>2.6</v>
          </cell>
          <cell r="CW27">
            <v>2005</v>
          </cell>
          <cell r="CX27">
            <v>1305</v>
          </cell>
          <cell r="CY27">
            <v>40</v>
          </cell>
          <cell r="CZ27">
            <v>660</v>
          </cell>
        </row>
        <row r="28">
          <cell r="A28" t="str">
            <v>4620287.01</v>
          </cell>
          <cell r="B28" t="str">
            <v>0287.01</v>
          </cell>
          <cell r="C28" t="str">
            <v>Ahuntsic-Cartierville</v>
          </cell>
          <cell r="D28">
            <v>4935</v>
          </cell>
          <cell r="E28">
            <v>2095</v>
          </cell>
          <cell r="F28">
            <v>1985</v>
          </cell>
          <cell r="G28">
            <v>195</v>
          </cell>
          <cell r="H28">
            <v>490</v>
          </cell>
          <cell r="I28">
            <v>170</v>
          </cell>
          <cell r="J28">
            <v>4935</v>
          </cell>
          <cell r="K28">
            <v>4525</v>
          </cell>
          <cell r="L28">
            <v>405</v>
          </cell>
          <cell r="M28">
            <v>1490</v>
          </cell>
          <cell r="N28">
            <v>670</v>
          </cell>
          <cell r="O28">
            <v>360</v>
          </cell>
          <cell r="P28">
            <v>275</v>
          </cell>
          <cell r="Q28">
            <v>180</v>
          </cell>
          <cell r="R28">
            <v>1490</v>
          </cell>
          <cell r="S28">
            <v>1100</v>
          </cell>
          <cell r="T28">
            <v>890</v>
          </cell>
          <cell r="U28">
            <v>335</v>
          </cell>
          <cell r="V28">
            <v>555</v>
          </cell>
          <cell r="W28">
            <v>220</v>
          </cell>
          <cell r="X28">
            <v>200</v>
          </cell>
          <cell r="Y28">
            <v>135</v>
          </cell>
          <cell r="Z28">
            <v>215</v>
          </cell>
          <cell r="AA28">
            <v>135</v>
          </cell>
          <cell r="AB28">
            <v>80</v>
          </cell>
          <cell r="AC28">
            <v>45</v>
          </cell>
          <cell r="AD28">
            <v>35</v>
          </cell>
          <cell r="AE28">
            <v>0</v>
          </cell>
          <cell r="AF28">
            <v>385</v>
          </cell>
          <cell r="AG28">
            <v>300</v>
          </cell>
          <cell r="AH28">
            <v>165</v>
          </cell>
          <cell r="AI28">
            <v>85</v>
          </cell>
          <cell r="AJ28">
            <v>55</v>
          </cell>
          <cell r="AK28">
            <v>85</v>
          </cell>
          <cell r="AL28">
            <v>40</v>
          </cell>
          <cell r="AM28">
            <v>10</v>
          </cell>
          <cell r="AN28">
            <v>40</v>
          </cell>
          <cell r="AO28">
            <v>1895</v>
          </cell>
          <cell r="AP28">
            <v>640</v>
          </cell>
          <cell r="AQ28">
            <v>620</v>
          </cell>
          <cell r="AR28">
            <v>190</v>
          </cell>
          <cell r="AS28">
            <v>285</v>
          </cell>
          <cell r="AT28">
            <v>150</v>
          </cell>
          <cell r="AU28">
            <v>1.3</v>
          </cell>
          <cell r="AV28">
            <v>6215</v>
          </cell>
          <cell r="AW28">
            <v>1720</v>
          </cell>
          <cell r="AX28">
            <v>225</v>
          </cell>
          <cell r="AY28">
            <v>285</v>
          </cell>
          <cell r="AZ28">
            <v>1215</v>
          </cell>
          <cell r="BA28">
            <v>4490</v>
          </cell>
          <cell r="BB28">
            <v>3</v>
          </cell>
          <cell r="BC28">
            <v>430</v>
          </cell>
          <cell r="BD28">
            <v>255</v>
          </cell>
          <cell r="BE28">
            <v>40</v>
          </cell>
          <cell r="BF28">
            <v>20</v>
          </cell>
          <cell r="BG28">
            <v>195</v>
          </cell>
          <cell r="BH28">
            <v>170</v>
          </cell>
          <cell r="BI28">
            <v>2855</v>
          </cell>
          <cell r="BJ28">
            <v>3.7</v>
          </cell>
          <cell r="BK28">
            <v>10563.5</v>
          </cell>
          <cell r="BL28">
            <v>1.4</v>
          </cell>
          <cell r="BM28">
            <v>3996.9999999999995</v>
          </cell>
          <cell r="BN28">
            <v>2855</v>
          </cell>
          <cell r="BO28">
            <v>395</v>
          </cell>
          <cell r="BP28">
            <v>2465</v>
          </cell>
          <cell r="BQ28">
            <v>0</v>
          </cell>
          <cell r="BR28">
            <v>2860</v>
          </cell>
          <cell r="BS28">
            <v>1625</v>
          </cell>
          <cell r="BT28">
            <v>840</v>
          </cell>
          <cell r="BU28">
            <v>395</v>
          </cell>
          <cell r="BV28">
            <v>2855</v>
          </cell>
          <cell r="BW28">
            <v>345</v>
          </cell>
          <cell r="BX28">
            <v>705</v>
          </cell>
          <cell r="BY28">
            <v>585</v>
          </cell>
          <cell r="BZ28">
            <v>430</v>
          </cell>
          <cell r="CA28">
            <v>190</v>
          </cell>
          <cell r="CB28">
            <v>280</v>
          </cell>
          <cell r="CC28">
            <v>150</v>
          </cell>
          <cell r="CD28">
            <v>85</v>
          </cell>
          <cell r="CE28">
            <v>75</v>
          </cell>
          <cell r="CF28">
            <v>2855</v>
          </cell>
          <cell r="CG28">
            <v>125</v>
          </cell>
          <cell r="CH28">
            <v>5</v>
          </cell>
          <cell r="CI28">
            <v>0</v>
          </cell>
          <cell r="CJ28">
            <v>120</v>
          </cell>
          <cell r="CK28">
            <v>45</v>
          </cell>
          <cell r="CL28">
            <v>2565</v>
          </cell>
          <cell r="CM28">
            <v>5</v>
          </cell>
          <cell r="CN28">
            <v>0</v>
          </cell>
          <cell r="CO28">
            <v>2855</v>
          </cell>
          <cell r="CP28">
            <v>1210</v>
          </cell>
          <cell r="CQ28">
            <v>760</v>
          </cell>
          <cell r="CR28">
            <v>385</v>
          </cell>
          <cell r="CS28">
            <v>425</v>
          </cell>
          <cell r="CT28">
            <v>75</v>
          </cell>
          <cell r="CU28">
            <v>6215</v>
          </cell>
          <cell r="CV28">
            <v>2.2000000000000002</v>
          </cell>
          <cell r="CW28">
            <v>2860</v>
          </cell>
          <cell r="CX28">
            <v>1445</v>
          </cell>
          <cell r="CY28">
            <v>20</v>
          </cell>
          <cell r="CZ28">
            <v>1390</v>
          </cell>
        </row>
        <row r="29">
          <cell r="A29" t="str">
            <v>4620287.02</v>
          </cell>
          <cell r="B29" t="str">
            <v>0287.02</v>
          </cell>
          <cell r="C29" t="str">
            <v>Ahuntsic-Cartierville</v>
          </cell>
          <cell r="D29">
            <v>3665</v>
          </cell>
          <cell r="E29">
            <v>1250</v>
          </cell>
          <cell r="F29">
            <v>1795</v>
          </cell>
          <cell r="G29">
            <v>70</v>
          </cell>
          <cell r="H29">
            <v>275</v>
          </cell>
          <cell r="I29">
            <v>275</v>
          </cell>
          <cell r="J29">
            <v>3660</v>
          </cell>
          <cell r="K29">
            <v>3410</v>
          </cell>
          <cell r="L29">
            <v>255</v>
          </cell>
          <cell r="M29">
            <v>1205</v>
          </cell>
          <cell r="N29">
            <v>530</v>
          </cell>
          <cell r="O29">
            <v>240</v>
          </cell>
          <cell r="P29">
            <v>295</v>
          </cell>
          <cell r="Q29">
            <v>140</v>
          </cell>
          <cell r="R29">
            <v>1200</v>
          </cell>
          <cell r="S29">
            <v>1010</v>
          </cell>
          <cell r="T29">
            <v>880</v>
          </cell>
          <cell r="U29">
            <v>375</v>
          </cell>
          <cell r="V29">
            <v>505</v>
          </cell>
          <cell r="W29">
            <v>130</v>
          </cell>
          <cell r="X29">
            <v>245</v>
          </cell>
          <cell r="Y29">
            <v>125</v>
          </cell>
          <cell r="Z29">
            <v>130</v>
          </cell>
          <cell r="AA29">
            <v>55</v>
          </cell>
          <cell r="AB29">
            <v>80</v>
          </cell>
          <cell r="AC29">
            <v>45</v>
          </cell>
          <cell r="AD29">
            <v>20</v>
          </cell>
          <cell r="AE29">
            <v>10</v>
          </cell>
          <cell r="AF29">
            <v>195</v>
          </cell>
          <cell r="AG29">
            <v>160</v>
          </cell>
          <cell r="AH29">
            <v>75</v>
          </cell>
          <cell r="AI29">
            <v>55</v>
          </cell>
          <cell r="AJ29">
            <v>30</v>
          </cell>
          <cell r="AK29">
            <v>35</v>
          </cell>
          <cell r="AL29">
            <v>25</v>
          </cell>
          <cell r="AM29">
            <v>10</v>
          </cell>
          <cell r="AN29">
            <v>0</v>
          </cell>
          <cell r="AO29">
            <v>1500</v>
          </cell>
          <cell r="AP29">
            <v>260</v>
          </cell>
          <cell r="AQ29">
            <v>460</v>
          </cell>
          <cell r="AR29">
            <v>125</v>
          </cell>
          <cell r="AS29">
            <v>375</v>
          </cell>
          <cell r="AT29">
            <v>285</v>
          </cell>
          <cell r="AU29">
            <v>1.2</v>
          </cell>
          <cell r="AV29">
            <v>4385</v>
          </cell>
          <cell r="AW29">
            <v>670</v>
          </cell>
          <cell r="AX29">
            <v>105</v>
          </cell>
          <cell r="AY29">
            <v>55</v>
          </cell>
          <cell r="AZ29">
            <v>510</v>
          </cell>
          <cell r="BA29">
            <v>3715</v>
          </cell>
          <cell r="BB29">
            <v>3.1</v>
          </cell>
          <cell r="BC29">
            <v>780</v>
          </cell>
          <cell r="BD29">
            <v>275</v>
          </cell>
          <cell r="BE29">
            <v>50</v>
          </cell>
          <cell r="BF29">
            <v>0</v>
          </cell>
          <cell r="BG29">
            <v>225</v>
          </cell>
          <cell r="BH29">
            <v>510</v>
          </cell>
          <cell r="BI29">
            <v>1715</v>
          </cell>
          <cell r="BJ29">
            <v>6.5</v>
          </cell>
          <cell r="BK29">
            <v>11147.5</v>
          </cell>
          <cell r="BL29">
            <v>2.7</v>
          </cell>
          <cell r="BM29">
            <v>4630.5</v>
          </cell>
          <cell r="BN29">
            <v>1715</v>
          </cell>
          <cell r="BO29">
            <v>950</v>
          </cell>
          <cell r="BP29">
            <v>765</v>
          </cell>
          <cell r="BQ29">
            <v>0</v>
          </cell>
          <cell r="BR29">
            <v>1715</v>
          </cell>
          <cell r="BS29">
            <v>1095</v>
          </cell>
          <cell r="BT29">
            <v>510</v>
          </cell>
          <cell r="BU29">
            <v>110</v>
          </cell>
          <cell r="BV29">
            <v>1720</v>
          </cell>
          <cell r="BW29">
            <v>80</v>
          </cell>
          <cell r="BX29">
            <v>375</v>
          </cell>
          <cell r="BY29">
            <v>225</v>
          </cell>
          <cell r="BZ29">
            <v>530</v>
          </cell>
          <cell r="CA29">
            <v>175</v>
          </cell>
          <cell r="CB29">
            <v>35</v>
          </cell>
          <cell r="CC29">
            <v>95</v>
          </cell>
          <cell r="CD29">
            <v>35</v>
          </cell>
          <cell r="CE29">
            <v>160</v>
          </cell>
          <cell r="CF29">
            <v>1720</v>
          </cell>
          <cell r="CG29">
            <v>605</v>
          </cell>
          <cell r="CH29">
            <v>40</v>
          </cell>
          <cell r="CI29">
            <v>15</v>
          </cell>
          <cell r="CJ29">
            <v>50</v>
          </cell>
          <cell r="CK29">
            <v>10</v>
          </cell>
          <cell r="CL29">
            <v>990</v>
          </cell>
          <cell r="CM29">
            <v>5</v>
          </cell>
          <cell r="CN29">
            <v>0</v>
          </cell>
          <cell r="CO29">
            <v>1720</v>
          </cell>
          <cell r="CP29">
            <v>510</v>
          </cell>
          <cell r="CQ29">
            <v>490</v>
          </cell>
          <cell r="CR29">
            <v>255</v>
          </cell>
          <cell r="CS29">
            <v>410</v>
          </cell>
          <cell r="CT29">
            <v>60</v>
          </cell>
          <cell r="CU29">
            <v>4385</v>
          </cell>
          <cell r="CV29">
            <v>2.5</v>
          </cell>
          <cell r="CW29">
            <v>1720</v>
          </cell>
          <cell r="CX29">
            <v>1155</v>
          </cell>
          <cell r="CY29">
            <v>25</v>
          </cell>
          <cell r="CZ29">
            <v>540</v>
          </cell>
        </row>
        <row r="30">
          <cell r="A30" t="str">
            <v>4620288.00</v>
          </cell>
          <cell r="B30" t="str">
            <v>0288.00</v>
          </cell>
          <cell r="C30" t="str">
            <v>Ahuntsic-Cartierville</v>
          </cell>
          <cell r="D30">
            <v>1350</v>
          </cell>
          <cell r="E30">
            <v>435</v>
          </cell>
          <cell r="F30">
            <v>645</v>
          </cell>
          <cell r="G30">
            <v>25</v>
          </cell>
          <cell r="H30">
            <v>75</v>
          </cell>
          <cell r="I30">
            <v>175</v>
          </cell>
          <cell r="J30">
            <v>1355</v>
          </cell>
          <cell r="K30">
            <v>1255</v>
          </cell>
          <cell r="L30">
            <v>100</v>
          </cell>
          <cell r="M30">
            <v>400</v>
          </cell>
          <cell r="N30">
            <v>150</v>
          </cell>
          <cell r="O30">
            <v>115</v>
          </cell>
          <cell r="P30">
            <v>110</v>
          </cell>
          <cell r="Q30">
            <v>25</v>
          </cell>
          <cell r="R30">
            <v>400</v>
          </cell>
          <cell r="S30">
            <v>350</v>
          </cell>
          <cell r="T30">
            <v>320</v>
          </cell>
          <cell r="U30">
            <v>110</v>
          </cell>
          <cell r="V30">
            <v>210</v>
          </cell>
          <cell r="W30">
            <v>75</v>
          </cell>
          <cell r="X30">
            <v>105</v>
          </cell>
          <cell r="Y30">
            <v>25</v>
          </cell>
          <cell r="Z30">
            <v>30</v>
          </cell>
          <cell r="AA30">
            <v>0</v>
          </cell>
          <cell r="AB30">
            <v>25</v>
          </cell>
          <cell r="AC30">
            <v>25</v>
          </cell>
          <cell r="AD30">
            <v>0</v>
          </cell>
          <cell r="AE30">
            <v>0</v>
          </cell>
          <cell r="AF30">
            <v>55</v>
          </cell>
          <cell r="AG30">
            <v>40</v>
          </cell>
          <cell r="AH30">
            <v>30</v>
          </cell>
          <cell r="AI30">
            <v>10</v>
          </cell>
          <cell r="AJ30">
            <v>0</v>
          </cell>
          <cell r="AK30">
            <v>10</v>
          </cell>
          <cell r="AL30">
            <v>10</v>
          </cell>
          <cell r="AM30">
            <v>0</v>
          </cell>
          <cell r="AN30">
            <v>0</v>
          </cell>
          <cell r="AO30">
            <v>485</v>
          </cell>
          <cell r="AP30">
            <v>50</v>
          </cell>
          <cell r="AQ30">
            <v>160</v>
          </cell>
          <cell r="AR30">
            <v>70</v>
          </cell>
          <cell r="AS30">
            <v>140</v>
          </cell>
          <cell r="AT30">
            <v>60</v>
          </cell>
          <cell r="AU30">
            <v>1.2</v>
          </cell>
          <cell r="AV30">
            <v>1555</v>
          </cell>
          <cell r="AW30">
            <v>310</v>
          </cell>
          <cell r="AX30">
            <v>45</v>
          </cell>
          <cell r="AY30">
            <v>35</v>
          </cell>
          <cell r="AZ30">
            <v>230</v>
          </cell>
          <cell r="BA30">
            <v>1240</v>
          </cell>
          <cell r="BB30">
            <v>3.1</v>
          </cell>
          <cell r="BC30">
            <v>430</v>
          </cell>
          <cell r="BD30">
            <v>265</v>
          </cell>
          <cell r="BE30">
            <v>40</v>
          </cell>
          <cell r="BF30">
            <v>10</v>
          </cell>
          <cell r="BG30">
            <v>210</v>
          </cell>
          <cell r="BH30">
            <v>160</v>
          </cell>
          <cell r="BI30">
            <v>640</v>
          </cell>
          <cell r="BJ30">
            <v>6.5</v>
          </cell>
          <cell r="BK30">
            <v>4160</v>
          </cell>
          <cell r="BL30">
            <v>2.5</v>
          </cell>
          <cell r="BM30">
            <v>1600</v>
          </cell>
          <cell r="BN30">
            <v>635</v>
          </cell>
          <cell r="BO30">
            <v>375</v>
          </cell>
          <cell r="BP30">
            <v>265</v>
          </cell>
          <cell r="BQ30">
            <v>0</v>
          </cell>
          <cell r="BR30">
            <v>640</v>
          </cell>
          <cell r="BS30">
            <v>535</v>
          </cell>
          <cell r="BT30">
            <v>75</v>
          </cell>
          <cell r="BU30">
            <v>30</v>
          </cell>
          <cell r="BV30">
            <v>640</v>
          </cell>
          <cell r="BW30">
            <v>15</v>
          </cell>
          <cell r="BX30">
            <v>40</v>
          </cell>
          <cell r="BY30">
            <v>60</v>
          </cell>
          <cell r="BZ30">
            <v>245</v>
          </cell>
          <cell r="CA30">
            <v>105</v>
          </cell>
          <cell r="CB30">
            <v>70</v>
          </cell>
          <cell r="CC30">
            <v>10</v>
          </cell>
          <cell r="CD30">
            <v>35</v>
          </cell>
          <cell r="CE30">
            <v>55</v>
          </cell>
          <cell r="CF30">
            <v>640</v>
          </cell>
          <cell r="CG30">
            <v>380</v>
          </cell>
          <cell r="CH30">
            <v>0</v>
          </cell>
          <cell r="CI30">
            <v>0</v>
          </cell>
          <cell r="CJ30">
            <v>5</v>
          </cell>
          <cell r="CK30">
            <v>250</v>
          </cell>
          <cell r="CL30">
            <v>0</v>
          </cell>
          <cell r="CM30">
            <v>0</v>
          </cell>
          <cell r="CN30">
            <v>0</v>
          </cell>
          <cell r="CO30">
            <v>640</v>
          </cell>
          <cell r="CP30">
            <v>245</v>
          </cell>
          <cell r="CQ30">
            <v>140</v>
          </cell>
          <cell r="CR30">
            <v>75</v>
          </cell>
          <cell r="CS30">
            <v>150</v>
          </cell>
          <cell r="CT30">
            <v>25</v>
          </cell>
          <cell r="CU30">
            <v>1545</v>
          </cell>
          <cell r="CV30">
            <v>2.4</v>
          </cell>
          <cell r="CW30">
            <v>640</v>
          </cell>
          <cell r="CX30">
            <v>390</v>
          </cell>
          <cell r="CY30">
            <v>10</v>
          </cell>
          <cell r="CZ30">
            <v>240</v>
          </cell>
        </row>
        <row r="31">
          <cell r="C31" t="str">
            <v>Ahuntsic-Cartierville</v>
          </cell>
          <cell r="D31">
            <v>107365</v>
          </cell>
          <cell r="E31">
            <v>45615</v>
          </cell>
          <cell r="F31">
            <v>40460</v>
          </cell>
          <cell r="G31">
            <v>2870</v>
          </cell>
          <cell r="H31">
            <v>10465</v>
          </cell>
          <cell r="I31">
            <v>7955</v>
          </cell>
          <cell r="J31">
            <v>107365</v>
          </cell>
          <cell r="K31">
            <v>94755</v>
          </cell>
          <cell r="L31">
            <v>12590</v>
          </cell>
          <cell r="M31">
            <v>32150</v>
          </cell>
          <cell r="N31">
            <v>16165</v>
          </cell>
          <cell r="O31">
            <v>7460</v>
          </cell>
          <cell r="P31">
            <v>5860</v>
          </cell>
          <cell r="Q31">
            <v>2610</v>
          </cell>
          <cell r="R31">
            <v>32150</v>
          </cell>
          <cell r="S31">
            <v>25790</v>
          </cell>
          <cell r="T31">
            <v>19460</v>
          </cell>
          <cell r="U31">
            <v>8375</v>
          </cell>
          <cell r="V31">
            <v>11100</v>
          </cell>
          <cell r="W31">
            <v>4440</v>
          </cell>
          <cell r="X31">
            <v>4500</v>
          </cell>
          <cell r="Y31">
            <v>2110</v>
          </cell>
          <cell r="Z31">
            <v>6320</v>
          </cell>
          <cell r="AA31">
            <v>3665</v>
          </cell>
          <cell r="AB31">
            <v>2625</v>
          </cell>
          <cell r="AC31">
            <v>1325</v>
          </cell>
          <cell r="AD31">
            <v>935</v>
          </cell>
          <cell r="AE31">
            <v>355</v>
          </cell>
          <cell r="AF31">
            <v>6380</v>
          </cell>
          <cell r="AG31">
            <v>5200</v>
          </cell>
          <cell r="AH31">
            <v>3385</v>
          </cell>
          <cell r="AI31">
            <v>1320</v>
          </cell>
          <cell r="AJ31">
            <v>440</v>
          </cell>
          <cell r="AK31">
            <v>1155</v>
          </cell>
          <cell r="AL31">
            <v>735</v>
          </cell>
          <cell r="AM31">
            <v>330</v>
          </cell>
          <cell r="AN31">
            <v>60</v>
          </cell>
          <cell r="AO31">
            <v>34280</v>
          </cell>
          <cell r="AP31">
            <v>8100</v>
          </cell>
          <cell r="AQ31">
            <v>10935</v>
          </cell>
          <cell r="AR31">
            <v>3565</v>
          </cell>
          <cell r="AS31">
            <v>6295</v>
          </cell>
          <cell r="AT31">
            <v>5330</v>
          </cell>
          <cell r="AU31">
            <v>1.0662519440124416</v>
          </cell>
          <cell r="AV31">
            <v>122820</v>
          </cell>
          <cell r="AW31">
            <v>30545</v>
          </cell>
          <cell r="AX31">
            <v>3120</v>
          </cell>
          <cell r="AY31">
            <v>4045</v>
          </cell>
          <cell r="AZ31">
            <v>23365</v>
          </cell>
          <cell r="BA31">
            <v>92235</v>
          </cell>
          <cell r="BB31">
            <v>2.8688958009331258</v>
          </cell>
          <cell r="BC31">
            <v>20590</v>
          </cell>
          <cell r="BD31">
            <v>9155</v>
          </cell>
          <cell r="BE31">
            <v>1020</v>
          </cell>
          <cell r="BF31">
            <v>375</v>
          </cell>
          <cell r="BG31">
            <v>7765</v>
          </cell>
          <cell r="BH31">
            <v>11410</v>
          </cell>
          <cell r="BI31">
            <v>57505</v>
          </cell>
          <cell r="BJ31">
            <v>4.8222937135901223</v>
          </cell>
          <cell r="BK31">
            <v>277306</v>
          </cell>
          <cell r="BL31">
            <v>1.9671506825493434</v>
          </cell>
          <cell r="BM31">
            <v>113121</v>
          </cell>
          <cell r="BN31">
            <v>57505</v>
          </cell>
          <cell r="BO31">
            <v>22235</v>
          </cell>
          <cell r="BP31">
            <v>35280</v>
          </cell>
          <cell r="BQ31">
            <v>0</v>
          </cell>
          <cell r="BR31">
            <v>57525</v>
          </cell>
          <cell r="BS31">
            <v>36595</v>
          </cell>
          <cell r="BT31">
            <v>16165</v>
          </cell>
          <cell r="BU31">
            <v>4740</v>
          </cell>
          <cell r="BV31">
            <v>57510</v>
          </cell>
          <cell r="BW31">
            <v>5245</v>
          </cell>
          <cell r="BX31">
            <v>20205</v>
          </cell>
          <cell r="BY31">
            <v>13135</v>
          </cell>
          <cell r="BZ31">
            <v>6705</v>
          </cell>
          <cell r="CA31">
            <v>5310</v>
          </cell>
          <cell r="CB31">
            <v>3410</v>
          </cell>
          <cell r="CC31">
            <v>1350</v>
          </cell>
          <cell r="CD31">
            <v>730</v>
          </cell>
          <cell r="CE31">
            <v>1340</v>
          </cell>
          <cell r="CF31">
            <v>57520</v>
          </cell>
          <cell r="CG31">
            <v>5110</v>
          </cell>
          <cell r="CH31">
            <v>2165</v>
          </cell>
          <cell r="CI31">
            <v>595</v>
          </cell>
          <cell r="CJ31">
            <v>7760</v>
          </cell>
          <cell r="CK31">
            <v>6310</v>
          </cell>
          <cell r="CL31">
            <v>35325</v>
          </cell>
          <cell r="CM31">
            <v>295</v>
          </cell>
          <cell r="CN31">
            <v>10</v>
          </cell>
          <cell r="CO31">
            <v>57545</v>
          </cell>
          <cell r="CP31">
            <v>23420</v>
          </cell>
          <cell r="CQ31">
            <v>16955</v>
          </cell>
          <cell r="CR31">
            <v>7860</v>
          </cell>
          <cell r="CS31">
            <v>8305</v>
          </cell>
          <cell r="CT31">
            <v>1000</v>
          </cell>
          <cell r="CU31">
            <v>122810</v>
          </cell>
          <cell r="CV31">
            <v>2.134155878008515</v>
          </cell>
          <cell r="CW31">
            <v>57515</v>
          </cell>
          <cell r="CX31">
            <v>31190</v>
          </cell>
          <cell r="CY31">
            <v>480</v>
          </cell>
          <cell r="CZ31">
            <v>25840</v>
          </cell>
        </row>
        <row r="34">
          <cell r="A34" t="str">
            <v>4620590.01</v>
          </cell>
          <cell r="B34" t="str">
            <v>0590.01</v>
          </cell>
          <cell r="C34" t="str">
            <v>Anjou</v>
          </cell>
          <cell r="D34">
            <v>4375</v>
          </cell>
          <cell r="E34">
            <v>2035</v>
          </cell>
          <cell r="F34">
            <v>1455</v>
          </cell>
          <cell r="G34">
            <v>125</v>
          </cell>
          <cell r="H34">
            <v>495</v>
          </cell>
          <cell r="I34">
            <v>270</v>
          </cell>
          <cell r="J34">
            <v>4380</v>
          </cell>
          <cell r="K34">
            <v>3610</v>
          </cell>
          <cell r="L34">
            <v>770</v>
          </cell>
          <cell r="M34">
            <v>1435</v>
          </cell>
          <cell r="N34">
            <v>660</v>
          </cell>
          <cell r="O34">
            <v>400</v>
          </cell>
          <cell r="P34">
            <v>265</v>
          </cell>
          <cell r="Q34">
            <v>110</v>
          </cell>
          <cell r="R34">
            <v>1435</v>
          </cell>
          <cell r="S34">
            <v>1085</v>
          </cell>
          <cell r="T34">
            <v>705</v>
          </cell>
          <cell r="U34">
            <v>265</v>
          </cell>
          <cell r="V34">
            <v>445</v>
          </cell>
          <cell r="W34">
            <v>210</v>
          </cell>
          <cell r="X34">
            <v>160</v>
          </cell>
          <cell r="Y34">
            <v>75</v>
          </cell>
          <cell r="Z34">
            <v>375</v>
          </cell>
          <cell r="AA34">
            <v>155</v>
          </cell>
          <cell r="AB34">
            <v>220</v>
          </cell>
          <cell r="AC34">
            <v>105</v>
          </cell>
          <cell r="AD34">
            <v>90</v>
          </cell>
          <cell r="AE34">
            <v>30</v>
          </cell>
          <cell r="AF34">
            <v>350</v>
          </cell>
          <cell r="AG34">
            <v>310</v>
          </cell>
          <cell r="AH34">
            <v>205</v>
          </cell>
          <cell r="AI34">
            <v>85</v>
          </cell>
          <cell r="AJ34">
            <v>20</v>
          </cell>
          <cell r="AK34">
            <v>40</v>
          </cell>
          <cell r="AL34">
            <v>35</v>
          </cell>
          <cell r="AM34">
            <v>0</v>
          </cell>
          <cell r="AN34">
            <v>0</v>
          </cell>
          <cell r="AO34">
            <v>1650</v>
          </cell>
          <cell r="AP34">
            <v>355</v>
          </cell>
          <cell r="AQ34">
            <v>615</v>
          </cell>
          <cell r="AR34">
            <v>190</v>
          </cell>
          <cell r="AS34">
            <v>330</v>
          </cell>
          <cell r="AT34">
            <v>170</v>
          </cell>
          <cell r="AU34">
            <v>1.1000000000000001</v>
          </cell>
          <cell r="AV34">
            <v>5180</v>
          </cell>
          <cell r="AW34">
            <v>1010</v>
          </cell>
          <cell r="AX34">
            <v>160</v>
          </cell>
          <cell r="AY34">
            <v>135</v>
          </cell>
          <cell r="AZ34">
            <v>710</v>
          </cell>
          <cell r="BA34">
            <v>4170</v>
          </cell>
          <cell r="BB34">
            <v>2.9</v>
          </cell>
          <cell r="BC34">
            <v>545</v>
          </cell>
          <cell r="BD34">
            <v>260</v>
          </cell>
          <cell r="BE34">
            <v>60</v>
          </cell>
          <cell r="BF34">
            <v>20</v>
          </cell>
          <cell r="BG34">
            <v>185</v>
          </cell>
          <cell r="BH34">
            <v>285</v>
          </cell>
          <cell r="BI34">
            <v>2205</v>
          </cell>
          <cell r="BJ34">
            <v>5.0999999999999996</v>
          </cell>
          <cell r="BK34">
            <v>11245.5</v>
          </cell>
          <cell r="BL34">
            <v>2.2999999999999998</v>
          </cell>
          <cell r="BM34">
            <v>5071.5</v>
          </cell>
          <cell r="BN34">
            <v>2210</v>
          </cell>
          <cell r="BO34">
            <v>985</v>
          </cell>
          <cell r="BP34">
            <v>1225</v>
          </cell>
          <cell r="BQ34">
            <v>0</v>
          </cell>
          <cell r="BR34">
            <v>2210</v>
          </cell>
          <cell r="BS34">
            <v>1345</v>
          </cell>
          <cell r="BT34">
            <v>725</v>
          </cell>
          <cell r="BU34">
            <v>135</v>
          </cell>
          <cell r="BV34">
            <v>2210</v>
          </cell>
          <cell r="BW34">
            <v>25</v>
          </cell>
          <cell r="BX34">
            <v>230</v>
          </cell>
          <cell r="BY34">
            <v>720</v>
          </cell>
          <cell r="BZ34">
            <v>370</v>
          </cell>
          <cell r="CA34">
            <v>295</v>
          </cell>
          <cell r="CB34">
            <v>310</v>
          </cell>
          <cell r="CC34">
            <v>160</v>
          </cell>
          <cell r="CD34">
            <v>45</v>
          </cell>
          <cell r="CE34">
            <v>50</v>
          </cell>
          <cell r="CF34">
            <v>2210</v>
          </cell>
          <cell r="CG34">
            <v>180</v>
          </cell>
          <cell r="CH34">
            <v>155</v>
          </cell>
          <cell r="CI34">
            <v>295</v>
          </cell>
          <cell r="CJ34">
            <v>60</v>
          </cell>
          <cell r="CK34">
            <v>75</v>
          </cell>
          <cell r="CL34">
            <v>1440</v>
          </cell>
          <cell r="CM34">
            <v>5</v>
          </cell>
          <cell r="CN34">
            <v>0</v>
          </cell>
          <cell r="CO34">
            <v>2205</v>
          </cell>
          <cell r="CP34">
            <v>710</v>
          </cell>
          <cell r="CQ34">
            <v>660</v>
          </cell>
          <cell r="CR34">
            <v>410</v>
          </cell>
          <cell r="CS34">
            <v>380</v>
          </cell>
          <cell r="CT34">
            <v>50</v>
          </cell>
          <cell r="CU34">
            <v>5180</v>
          </cell>
          <cell r="CV34">
            <v>2.2999999999999998</v>
          </cell>
          <cell r="CW34">
            <v>2210</v>
          </cell>
          <cell r="CX34">
            <v>1425</v>
          </cell>
          <cell r="CY34">
            <v>0</v>
          </cell>
          <cell r="CZ34">
            <v>775</v>
          </cell>
        </row>
        <row r="35">
          <cell r="A35" t="str">
            <v>4620590.02</v>
          </cell>
          <cell r="B35" t="str">
            <v>0590.02</v>
          </cell>
          <cell r="C35" t="str">
            <v>Anjou</v>
          </cell>
          <cell r="D35">
            <v>2445</v>
          </cell>
          <cell r="E35">
            <v>1160</v>
          </cell>
          <cell r="F35">
            <v>745</v>
          </cell>
          <cell r="G35">
            <v>80</v>
          </cell>
          <cell r="H35">
            <v>295</v>
          </cell>
          <cell r="I35">
            <v>160</v>
          </cell>
          <cell r="J35">
            <v>2450</v>
          </cell>
          <cell r="K35">
            <v>2000</v>
          </cell>
          <cell r="L35">
            <v>445</v>
          </cell>
          <cell r="M35">
            <v>860</v>
          </cell>
          <cell r="N35">
            <v>480</v>
          </cell>
          <cell r="O35">
            <v>220</v>
          </cell>
          <cell r="P35">
            <v>120</v>
          </cell>
          <cell r="Q35">
            <v>30</v>
          </cell>
          <cell r="R35">
            <v>855</v>
          </cell>
          <cell r="S35">
            <v>555</v>
          </cell>
          <cell r="T35">
            <v>335</v>
          </cell>
          <cell r="U35">
            <v>160</v>
          </cell>
          <cell r="V35">
            <v>175</v>
          </cell>
          <cell r="W35">
            <v>75</v>
          </cell>
          <cell r="X35">
            <v>80</v>
          </cell>
          <cell r="Y35">
            <v>20</v>
          </cell>
          <cell r="Z35">
            <v>220</v>
          </cell>
          <cell r="AA35">
            <v>130</v>
          </cell>
          <cell r="AB35">
            <v>90</v>
          </cell>
          <cell r="AC35">
            <v>65</v>
          </cell>
          <cell r="AD35">
            <v>15</v>
          </cell>
          <cell r="AE35">
            <v>0</v>
          </cell>
          <cell r="AF35">
            <v>300</v>
          </cell>
          <cell r="AG35">
            <v>245</v>
          </cell>
          <cell r="AH35">
            <v>140</v>
          </cell>
          <cell r="AI35">
            <v>70</v>
          </cell>
          <cell r="AJ35">
            <v>30</v>
          </cell>
          <cell r="AK35">
            <v>55</v>
          </cell>
          <cell r="AL35">
            <v>50</v>
          </cell>
          <cell r="AM35">
            <v>10</v>
          </cell>
          <cell r="AN35">
            <v>0</v>
          </cell>
          <cell r="AO35">
            <v>870</v>
          </cell>
          <cell r="AP35">
            <v>195</v>
          </cell>
          <cell r="AQ35">
            <v>265</v>
          </cell>
          <cell r="AR35">
            <v>95</v>
          </cell>
          <cell r="AS35">
            <v>145</v>
          </cell>
          <cell r="AT35">
            <v>165</v>
          </cell>
          <cell r="AU35">
            <v>1</v>
          </cell>
          <cell r="AV35">
            <v>2935</v>
          </cell>
          <cell r="AW35">
            <v>650</v>
          </cell>
          <cell r="AX35">
            <v>85</v>
          </cell>
          <cell r="AY35">
            <v>100</v>
          </cell>
          <cell r="AZ35">
            <v>465</v>
          </cell>
          <cell r="BA35">
            <v>2285</v>
          </cell>
          <cell r="BB35">
            <v>2.7</v>
          </cell>
          <cell r="BC35">
            <v>400</v>
          </cell>
          <cell r="BD35">
            <v>145</v>
          </cell>
          <cell r="BE35">
            <v>40</v>
          </cell>
          <cell r="BF35">
            <v>0</v>
          </cell>
          <cell r="BG35">
            <v>105</v>
          </cell>
          <cell r="BH35">
            <v>245</v>
          </cell>
          <cell r="BI35">
            <v>1365</v>
          </cell>
          <cell r="BJ35">
            <v>4.7</v>
          </cell>
          <cell r="BK35">
            <v>6415.5</v>
          </cell>
          <cell r="BL35">
            <v>2.2000000000000002</v>
          </cell>
          <cell r="BM35">
            <v>3003.0000000000005</v>
          </cell>
          <cell r="BN35">
            <v>1365</v>
          </cell>
          <cell r="BO35">
            <v>410</v>
          </cell>
          <cell r="BP35">
            <v>955</v>
          </cell>
          <cell r="BQ35">
            <v>0</v>
          </cell>
          <cell r="BR35">
            <v>1365</v>
          </cell>
          <cell r="BS35">
            <v>845</v>
          </cell>
          <cell r="BT35">
            <v>370</v>
          </cell>
          <cell r="BU35">
            <v>145</v>
          </cell>
          <cell r="BV35">
            <v>1365</v>
          </cell>
          <cell r="BW35">
            <v>45</v>
          </cell>
          <cell r="BX35">
            <v>355</v>
          </cell>
          <cell r="BY35">
            <v>615</v>
          </cell>
          <cell r="BZ35">
            <v>215</v>
          </cell>
          <cell r="CA35">
            <v>75</v>
          </cell>
          <cell r="CB35">
            <v>30</v>
          </cell>
          <cell r="CC35">
            <v>0</v>
          </cell>
          <cell r="CD35">
            <v>10</v>
          </cell>
          <cell r="CE35">
            <v>20</v>
          </cell>
          <cell r="CF35">
            <v>1365</v>
          </cell>
          <cell r="CG35">
            <v>130</v>
          </cell>
          <cell r="CH35">
            <v>50</v>
          </cell>
          <cell r="CI35">
            <v>5</v>
          </cell>
          <cell r="CJ35">
            <v>150</v>
          </cell>
          <cell r="CK35">
            <v>0</v>
          </cell>
          <cell r="CL35">
            <v>1025</v>
          </cell>
          <cell r="CM35">
            <v>0</v>
          </cell>
          <cell r="CN35">
            <v>0</v>
          </cell>
          <cell r="CO35">
            <v>1365</v>
          </cell>
          <cell r="CP35">
            <v>470</v>
          </cell>
          <cell r="CQ35">
            <v>500</v>
          </cell>
          <cell r="CR35">
            <v>210</v>
          </cell>
          <cell r="CS35">
            <v>170</v>
          </cell>
          <cell r="CT35">
            <v>20</v>
          </cell>
          <cell r="CU35">
            <v>2935</v>
          </cell>
          <cell r="CV35">
            <v>2.2000000000000002</v>
          </cell>
          <cell r="CW35">
            <v>1365</v>
          </cell>
          <cell r="CX35">
            <v>830</v>
          </cell>
          <cell r="CY35">
            <v>10</v>
          </cell>
          <cell r="CZ35">
            <v>520</v>
          </cell>
        </row>
        <row r="36">
          <cell r="A36" t="str">
            <v>4620591.01</v>
          </cell>
          <cell r="B36" t="str">
            <v>0591.01</v>
          </cell>
          <cell r="C36" t="str">
            <v>Anjou</v>
          </cell>
          <cell r="D36">
            <v>2115</v>
          </cell>
          <cell r="E36">
            <v>860</v>
          </cell>
          <cell r="F36">
            <v>885</v>
          </cell>
          <cell r="G36">
            <v>30</v>
          </cell>
          <cell r="H36">
            <v>205</v>
          </cell>
          <cell r="I36">
            <v>145</v>
          </cell>
          <cell r="J36">
            <v>2115</v>
          </cell>
          <cell r="K36">
            <v>1765</v>
          </cell>
          <cell r="L36">
            <v>350</v>
          </cell>
          <cell r="M36">
            <v>720</v>
          </cell>
          <cell r="N36">
            <v>355</v>
          </cell>
          <cell r="O36">
            <v>165</v>
          </cell>
          <cell r="P36">
            <v>140</v>
          </cell>
          <cell r="Q36">
            <v>55</v>
          </cell>
          <cell r="R36">
            <v>720</v>
          </cell>
          <cell r="S36">
            <v>625</v>
          </cell>
          <cell r="T36">
            <v>455</v>
          </cell>
          <cell r="U36">
            <v>215</v>
          </cell>
          <cell r="V36">
            <v>240</v>
          </cell>
          <cell r="W36">
            <v>75</v>
          </cell>
          <cell r="X36">
            <v>115</v>
          </cell>
          <cell r="Y36">
            <v>45</v>
          </cell>
          <cell r="Z36">
            <v>165</v>
          </cell>
          <cell r="AA36">
            <v>85</v>
          </cell>
          <cell r="AB36">
            <v>85</v>
          </cell>
          <cell r="AC36">
            <v>50</v>
          </cell>
          <cell r="AD36">
            <v>25</v>
          </cell>
          <cell r="AE36">
            <v>0</v>
          </cell>
          <cell r="AF36">
            <v>95</v>
          </cell>
          <cell r="AG36">
            <v>65</v>
          </cell>
          <cell r="AH36">
            <v>40</v>
          </cell>
          <cell r="AI36">
            <v>20</v>
          </cell>
          <cell r="AJ36">
            <v>0</v>
          </cell>
          <cell r="AK36">
            <v>25</v>
          </cell>
          <cell r="AL36">
            <v>15</v>
          </cell>
          <cell r="AM36">
            <v>15</v>
          </cell>
          <cell r="AN36">
            <v>0</v>
          </cell>
          <cell r="AO36">
            <v>730</v>
          </cell>
          <cell r="AP36">
            <v>120</v>
          </cell>
          <cell r="AQ36">
            <v>275</v>
          </cell>
          <cell r="AR36">
            <v>110</v>
          </cell>
          <cell r="AS36">
            <v>140</v>
          </cell>
          <cell r="AT36">
            <v>80</v>
          </cell>
          <cell r="AU36">
            <v>1</v>
          </cell>
          <cell r="AV36">
            <v>2470</v>
          </cell>
          <cell r="AW36">
            <v>400</v>
          </cell>
          <cell r="AX36">
            <v>60</v>
          </cell>
          <cell r="AY36">
            <v>30</v>
          </cell>
          <cell r="AZ36">
            <v>315</v>
          </cell>
          <cell r="BA36">
            <v>2070</v>
          </cell>
          <cell r="BB36">
            <v>2.9</v>
          </cell>
          <cell r="BC36">
            <v>385</v>
          </cell>
          <cell r="BD36">
            <v>110</v>
          </cell>
          <cell r="BE36">
            <v>10</v>
          </cell>
          <cell r="BF36">
            <v>0</v>
          </cell>
          <cell r="BG36">
            <v>100</v>
          </cell>
          <cell r="BH36">
            <v>275</v>
          </cell>
          <cell r="BI36">
            <v>1055</v>
          </cell>
          <cell r="BJ36">
            <v>5.9</v>
          </cell>
          <cell r="BK36">
            <v>6224.5</v>
          </cell>
          <cell r="BL36">
            <v>2.7</v>
          </cell>
          <cell r="BM36">
            <v>2848.5</v>
          </cell>
          <cell r="BN36">
            <v>1055</v>
          </cell>
          <cell r="BO36">
            <v>590</v>
          </cell>
          <cell r="BP36">
            <v>465</v>
          </cell>
          <cell r="BQ36">
            <v>0</v>
          </cell>
          <cell r="BR36">
            <v>1055</v>
          </cell>
          <cell r="BS36">
            <v>710</v>
          </cell>
          <cell r="BT36">
            <v>255</v>
          </cell>
          <cell r="BU36">
            <v>85</v>
          </cell>
          <cell r="BV36">
            <v>1050</v>
          </cell>
          <cell r="BW36">
            <v>30</v>
          </cell>
          <cell r="BX36">
            <v>575</v>
          </cell>
          <cell r="BY36">
            <v>375</v>
          </cell>
          <cell r="BZ36">
            <v>35</v>
          </cell>
          <cell r="CA36">
            <v>0</v>
          </cell>
          <cell r="CB36">
            <v>20</v>
          </cell>
          <cell r="CC36">
            <v>10</v>
          </cell>
          <cell r="CD36">
            <v>0</v>
          </cell>
          <cell r="CE36">
            <v>0</v>
          </cell>
          <cell r="CF36">
            <v>1050</v>
          </cell>
          <cell r="CG36">
            <v>295</v>
          </cell>
          <cell r="CH36">
            <v>5</v>
          </cell>
          <cell r="CI36">
            <v>0</v>
          </cell>
          <cell r="CJ36">
            <v>110</v>
          </cell>
          <cell r="CK36">
            <v>0</v>
          </cell>
          <cell r="CL36">
            <v>645</v>
          </cell>
          <cell r="CM36">
            <v>0</v>
          </cell>
          <cell r="CN36">
            <v>0</v>
          </cell>
          <cell r="CO36">
            <v>1055</v>
          </cell>
          <cell r="CP36">
            <v>310</v>
          </cell>
          <cell r="CQ36">
            <v>360</v>
          </cell>
          <cell r="CR36">
            <v>170</v>
          </cell>
          <cell r="CS36">
            <v>190</v>
          </cell>
          <cell r="CT36">
            <v>20</v>
          </cell>
          <cell r="CU36">
            <v>2470</v>
          </cell>
          <cell r="CV36">
            <v>2.2999999999999998</v>
          </cell>
          <cell r="CW36">
            <v>1050</v>
          </cell>
          <cell r="CX36">
            <v>700</v>
          </cell>
          <cell r="CY36">
            <v>10</v>
          </cell>
          <cell r="CZ36">
            <v>340</v>
          </cell>
        </row>
        <row r="37">
          <cell r="A37" t="str">
            <v>4620591.02</v>
          </cell>
          <cell r="B37" t="str">
            <v>0591.02</v>
          </cell>
          <cell r="C37" t="str">
            <v>Anjou</v>
          </cell>
          <cell r="D37">
            <v>3340</v>
          </cell>
          <cell r="E37">
            <v>1150</v>
          </cell>
          <cell r="F37">
            <v>1525</v>
          </cell>
          <cell r="G37">
            <v>60</v>
          </cell>
          <cell r="H37">
            <v>300</v>
          </cell>
          <cell r="I37">
            <v>305</v>
          </cell>
          <cell r="J37">
            <v>3340</v>
          </cell>
          <cell r="K37">
            <v>2925</v>
          </cell>
          <cell r="L37">
            <v>415</v>
          </cell>
          <cell r="M37">
            <v>1110</v>
          </cell>
          <cell r="N37">
            <v>535</v>
          </cell>
          <cell r="O37">
            <v>260</v>
          </cell>
          <cell r="P37">
            <v>245</v>
          </cell>
          <cell r="Q37">
            <v>65</v>
          </cell>
          <cell r="R37">
            <v>1110</v>
          </cell>
          <cell r="S37">
            <v>945</v>
          </cell>
          <cell r="T37">
            <v>755</v>
          </cell>
          <cell r="U37">
            <v>350</v>
          </cell>
          <cell r="V37">
            <v>400</v>
          </cell>
          <cell r="W37">
            <v>140</v>
          </cell>
          <cell r="X37">
            <v>205</v>
          </cell>
          <cell r="Y37">
            <v>55</v>
          </cell>
          <cell r="Z37">
            <v>195</v>
          </cell>
          <cell r="AA37">
            <v>100</v>
          </cell>
          <cell r="AB37">
            <v>100</v>
          </cell>
          <cell r="AC37">
            <v>50</v>
          </cell>
          <cell r="AD37">
            <v>35</v>
          </cell>
          <cell r="AE37">
            <v>10</v>
          </cell>
          <cell r="AF37">
            <v>160</v>
          </cell>
          <cell r="AG37">
            <v>140</v>
          </cell>
          <cell r="AH37">
            <v>75</v>
          </cell>
          <cell r="AI37">
            <v>65</v>
          </cell>
          <cell r="AJ37">
            <v>0</v>
          </cell>
          <cell r="AK37">
            <v>20</v>
          </cell>
          <cell r="AL37">
            <v>15</v>
          </cell>
          <cell r="AM37">
            <v>0</v>
          </cell>
          <cell r="AN37">
            <v>0</v>
          </cell>
          <cell r="AO37">
            <v>1160</v>
          </cell>
          <cell r="AP37">
            <v>200</v>
          </cell>
          <cell r="AQ37">
            <v>480</v>
          </cell>
          <cell r="AR37">
            <v>135</v>
          </cell>
          <cell r="AS37">
            <v>225</v>
          </cell>
          <cell r="AT37">
            <v>120</v>
          </cell>
          <cell r="AU37">
            <v>1</v>
          </cell>
          <cell r="AV37">
            <v>3890</v>
          </cell>
          <cell r="AW37">
            <v>675</v>
          </cell>
          <cell r="AX37">
            <v>50</v>
          </cell>
          <cell r="AY37">
            <v>125</v>
          </cell>
          <cell r="AZ37">
            <v>500</v>
          </cell>
          <cell r="BA37">
            <v>3220</v>
          </cell>
          <cell r="BB37">
            <v>2.9</v>
          </cell>
          <cell r="BC37">
            <v>670</v>
          </cell>
          <cell r="BD37">
            <v>250</v>
          </cell>
          <cell r="BE37">
            <v>25</v>
          </cell>
          <cell r="BF37">
            <v>15</v>
          </cell>
          <cell r="BG37">
            <v>210</v>
          </cell>
          <cell r="BH37">
            <v>420</v>
          </cell>
          <cell r="BI37">
            <v>1670</v>
          </cell>
          <cell r="BJ37">
            <v>5.6</v>
          </cell>
          <cell r="BK37">
            <v>9352</v>
          </cell>
          <cell r="BL37">
            <v>2.5</v>
          </cell>
          <cell r="BM37">
            <v>4175</v>
          </cell>
          <cell r="BN37">
            <v>1675</v>
          </cell>
          <cell r="BO37">
            <v>815</v>
          </cell>
          <cell r="BP37">
            <v>855</v>
          </cell>
          <cell r="BQ37">
            <v>0</v>
          </cell>
          <cell r="BR37">
            <v>1670</v>
          </cell>
          <cell r="BS37">
            <v>1120</v>
          </cell>
          <cell r="BT37">
            <v>450</v>
          </cell>
          <cell r="BU37">
            <v>100</v>
          </cell>
          <cell r="BV37">
            <v>1675</v>
          </cell>
          <cell r="BW37">
            <v>25</v>
          </cell>
          <cell r="BX37">
            <v>620</v>
          </cell>
          <cell r="BY37">
            <v>690</v>
          </cell>
          <cell r="BZ37">
            <v>235</v>
          </cell>
          <cell r="CA37">
            <v>40</v>
          </cell>
          <cell r="CB37">
            <v>20</v>
          </cell>
          <cell r="CC37">
            <v>0</v>
          </cell>
          <cell r="CD37">
            <v>30</v>
          </cell>
          <cell r="CE37">
            <v>0</v>
          </cell>
          <cell r="CF37">
            <v>1670</v>
          </cell>
          <cell r="CG37">
            <v>495</v>
          </cell>
          <cell r="CH37">
            <v>5</v>
          </cell>
          <cell r="CI37">
            <v>5</v>
          </cell>
          <cell r="CJ37">
            <v>350</v>
          </cell>
          <cell r="CK37">
            <v>0</v>
          </cell>
          <cell r="CL37">
            <v>815</v>
          </cell>
          <cell r="CM37">
            <v>5</v>
          </cell>
          <cell r="CN37">
            <v>0</v>
          </cell>
          <cell r="CO37">
            <v>1670</v>
          </cell>
          <cell r="CP37">
            <v>500</v>
          </cell>
          <cell r="CQ37">
            <v>565</v>
          </cell>
          <cell r="CR37">
            <v>290</v>
          </cell>
          <cell r="CS37">
            <v>290</v>
          </cell>
          <cell r="CT37">
            <v>25</v>
          </cell>
          <cell r="CU37">
            <v>3890</v>
          </cell>
          <cell r="CV37">
            <v>2.2999999999999998</v>
          </cell>
          <cell r="CW37">
            <v>1675</v>
          </cell>
          <cell r="CX37">
            <v>1110</v>
          </cell>
          <cell r="CY37">
            <v>0</v>
          </cell>
          <cell r="CZ37">
            <v>560</v>
          </cell>
        </row>
        <row r="38">
          <cell r="A38" t="str">
            <v>4620592.00</v>
          </cell>
          <cell r="B38" t="str">
            <v>0592.00</v>
          </cell>
          <cell r="C38" t="str">
            <v>Anjou</v>
          </cell>
          <cell r="D38">
            <v>5750</v>
          </cell>
          <cell r="E38">
            <v>2140</v>
          </cell>
          <cell r="F38">
            <v>2315</v>
          </cell>
          <cell r="G38">
            <v>145</v>
          </cell>
          <cell r="H38">
            <v>705</v>
          </cell>
          <cell r="I38">
            <v>445</v>
          </cell>
          <cell r="J38">
            <v>5750</v>
          </cell>
          <cell r="K38">
            <v>4970</v>
          </cell>
          <cell r="L38">
            <v>780</v>
          </cell>
          <cell r="M38">
            <v>1890</v>
          </cell>
          <cell r="N38">
            <v>935</v>
          </cell>
          <cell r="O38">
            <v>420</v>
          </cell>
          <cell r="P38">
            <v>400</v>
          </cell>
          <cell r="Q38">
            <v>125</v>
          </cell>
          <cell r="R38">
            <v>1890</v>
          </cell>
          <cell r="S38">
            <v>1535</v>
          </cell>
          <cell r="T38">
            <v>1140</v>
          </cell>
          <cell r="U38">
            <v>480</v>
          </cell>
          <cell r="V38">
            <v>660</v>
          </cell>
          <cell r="W38">
            <v>235</v>
          </cell>
          <cell r="X38">
            <v>310</v>
          </cell>
          <cell r="Y38">
            <v>115</v>
          </cell>
          <cell r="Z38">
            <v>395</v>
          </cell>
          <cell r="AA38">
            <v>235</v>
          </cell>
          <cell r="AB38">
            <v>160</v>
          </cell>
          <cell r="AC38">
            <v>85</v>
          </cell>
          <cell r="AD38">
            <v>70</v>
          </cell>
          <cell r="AE38">
            <v>10</v>
          </cell>
          <cell r="AF38">
            <v>355</v>
          </cell>
          <cell r="AG38">
            <v>280</v>
          </cell>
          <cell r="AH38">
            <v>180</v>
          </cell>
          <cell r="AI38">
            <v>80</v>
          </cell>
          <cell r="AJ38">
            <v>15</v>
          </cell>
          <cell r="AK38">
            <v>70</v>
          </cell>
          <cell r="AL38">
            <v>40</v>
          </cell>
          <cell r="AM38">
            <v>20</v>
          </cell>
          <cell r="AN38">
            <v>10</v>
          </cell>
          <cell r="AO38">
            <v>1985</v>
          </cell>
          <cell r="AP38">
            <v>450</v>
          </cell>
          <cell r="AQ38">
            <v>680</v>
          </cell>
          <cell r="AR38">
            <v>220</v>
          </cell>
          <cell r="AS38">
            <v>350</v>
          </cell>
          <cell r="AT38">
            <v>285</v>
          </cell>
          <cell r="AU38">
            <v>1.1000000000000001</v>
          </cell>
          <cell r="AV38">
            <v>6890</v>
          </cell>
          <cell r="AW38">
            <v>1475</v>
          </cell>
          <cell r="AX38">
            <v>150</v>
          </cell>
          <cell r="AY38">
            <v>260</v>
          </cell>
          <cell r="AZ38">
            <v>1070</v>
          </cell>
          <cell r="BA38">
            <v>5415</v>
          </cell>
          <cell r="BB38">
            <v>2.9</v>
          </cell>
          <cell r="BC38">
            <v>1250</v>
          </cell>
          <cell r="BD38">
            <v>590</v>
          </cell>
          <cell r="BE38">
            <v>70</v>
          </cell>
          <cell r="BF38">
            <v>50</v>
          </cell>
          <cell r="BG38">
            <v>470</v>
          </cell>
          <cell r="BH38">
            <v>665</v>
          </cell>
          <cell r="BI38">
            <v>3070</v>
          </cell>
          <cell r="BJ38">
            <v>4.9000000000000004</v>
          </cell>
          <cell r="BK38">
            <v>15043.000000000002</v>
          </cell>
          <cell r="BL38">
            <v>2.2000000000000002</v>
          </cell>
          <cell r="BM38">
            <v>6754.0000000000009</v>
          </cell>
          <cell r="BN38">
            <v>3070</v>
          </cell>
          <cell r="BO38">
            <v>1035</v>
          </cell>
          <cell r="BP38">
            <v>2035</v>
          </cell>
          <cell r="BQ38">
            <v>0</v>
          </cell>
          <cell r="BR38">
            <v>3070</v>
          </cell>
          <cell r="BS38">
            <v>1900</v>
          </cell>
          <cell r="BT38">
            <v>980</v>
          </cell>
          <cell r="BU38">
            <v>195</v>
          </cell>
          <cell r="BV38">
            <v>3070</v>
          </cell>
          <cell r="BW38">
            <v>25</v>
          </cell>
          <cell r="BX38">
            <v>370</v>
          </cell>
          <cell r="BY38">
            <v>1695</v>
          </cell>
          <cell r="BZ38">
            <v>775</v>
          </cell>
          <cell r="CA38">
            <v>115</v>
          </cell>
          <cell r="CB38">
            <v>20</v>
          </cell>
          <cell r="CC38">
            <v>40</v>
          </cell>
          <cell r="CD38">
            <v>10</v>
          </cell>
          <cell r="CE38">
            <v>15</v>
          </cell>
          <cell r="CF38">
            <v>3070</v>
          </cell>
          <cell r="CG38">
            <v>210</v>
          </cell>
          <cell r="CH38">
            <v>80</v>
          </cell>
          <cell r="CI38">
            <v>190</v>
          </cell>
          <cell r="CJ38">
            <v>695</v>
          </cell>
          <cell r="CK38">
            <v>205</v>
          </cell>
          <cell r="CL38">
            <v>1700</v>
          </cell>
          <cell r="CM38">
            <v>0</v>
          </cell>
          <cell r="CN38">
            <v>0</v>
          </cell>
          <cell r="CO38">
            <v>3070</v>
          </cell>
          <cell r="CP38">
            <v>1065</v>
          </cell>
          <cell r="CQ38">
            <v>975</v>
          </cell>
          <cell r="CR38">
            <v>480</v>
          </cell>
          <cell r="CS38">
            <v>495</v>
          </cell>
          <cell r="CT38">
            <v>50</v>
          </cell>
          <cell r="CU38">
            <v>6890</v>
          </cell>
          <cell r="CV38">
            <v>2.2000000000000002</v>
          </cell>
          <cell r="CW38">
            <v>3070</v>
          </cell>
          <cell r="CX38">
            <v>1855</v>
          </cell>
          <cell r="CY38">
            <v>20</v>
          </cell>
          <cell r="CZ38">
            <v>1200</v>
          </cell>
        </row>
        <row r="39">
          <cell r="A39" t="str">
            <v>4620593.00</v>
          </cell>
          <cell r="B39" t="str">
            <v>0593.00</v>
          </cell>
          <cell r="C39" t="str">
            <v>Anjou</v>
          </cell>
          <cell r="D39">
            <v>7945</v>
          </cell>
          <cell r="E39">
            <v>2470</v>
          </cell>
          <cell r="F39">
            <v>3355</v>
          </cell>
          <cell r="G39">
            <v>215</v>
          </cell>
          <cell r="H39">
            <v>935</v>
          </cell>
          <cell r="I39">
            <v>965</v>
          </cell>
          <cell r="J39">
            <v>7945</v>
          </cell>
          <cell r="K39">
            <v>6960</v>
          </cell>
          <cell r="L39">
            <v>990</v>
          </cell>
          <cell r="M39">
            <v>2570</v>
          </cell>
          <cell r="N39">
            <v>1805</v>
          </cell>
          <cell r="O39">
            <v>395</v>
          </cell>
          <cell r="P39">
            <v>275</v>
          </cell>
          <cell r="Q39">
            <v>90</v>
          </cell>
          <cell r="R39">
            <v>2570</v>
          </cell>
          <cell r="S39">
            <v>2150</v>
          </cell>
          <cell r="T39">
            <v>1655</v>
          </cell>
          <cell r="U39">
            <v>1125</v>
          </cell>
          <cell r="V39">
            <v>530</v>
          </cell>
          <cell r="W39">
            <v>245</v>
          </cell>
          <cell r="X39">
            <v>205</v>
          </cell>
          <cell r="Y39">
            <v>80</v>
          </cell>
          <cell r="Z39">
            <v>495</v>
          </cell>
          <cell r="AA39">
            <v>360</v>
          </cell>
          <cell r="AB39">
            <v>140</v>
          </cell>
          <cell r="AC39">
            <v>60</v>
          </cell>
          <cell r="AD39">
            <v>70</v>
          </cell>
          <cell r="AE39">
            <v>10</v>
          </cell>
          <cell r="AF39">
            <v>415</v>
          </cell>
          <cell r="AG39">
            <v>365</v>
          </cell>
          <cell r="AH39">
            <v>275</v>
          </cell>
          <cell r="AI39">
            <v>85</v>
          </cell>
          <cell r="AJ39">
            <v>10</v>
          </cell>
          <cell r="AK39">
            <v>50</v>
          </cell>
          <cell r="AL39">
            <v>50</v>
          </cell>
          <cell r="AM39">
            <v>10</v>
          </cell>
          <cell r="AN39">
            <v>0</v>
          </cell>
          <cell r="AO39">
            <v>1655</v>
          </cell>
          <cell r="AP39">
            <v>355</v>
          </cell>
          <cell r="AQ39">
            <v>475</v>
          </cell>
          <cell r="AR39">
            <v>140</v>
          </cell>
          <cell r="AS39">
            <v>305</v>
          </cell>
          <cell r="AT39">
            <v>380</v>
          </cell>
          <cell r="AU39">
            <v>0.6</v>
          </cell>
          <cell r="AV39">
            <v>8775</v>
          </cell>
          <cell r="AW39">
            <v>2400</v>
          </cell>
          <cell r="AX39">
            <v>185</v>
          </cell>
          <cell r="AY39">
            <v>200</v>
          </cell>
          <cell r="AZ39">
            <v>2010</v>
          </cell>
          <cell r="BA39">
            <v>6380</v>
          </cell>
          <cell r="BB39">
            <v>2.5</v>
          </cell>
          <cell r="BC39">
            <v>2850</v>
          </cell>
          <cell r="BD39">
            <v>1005</v>
          </cell>
          <cell r="BE39">
            <v>85</v>
          </cell>
          <cell r="BF39">
            <v>35</v>
          </cell>
          <cell r="BG39">
            <v>885</v>
          </cell>
          <cell r="BH39">
            <v>1840</v>
          </cell>
          <cell r="BI39">
            <v>4700</v>
          </cell>
          <cell r="BJ39">
            <v>4.3</v>
          </cell>
          <cell r="BK39">
            <v>20210</v>
          </cell>
          <cell r="BL39">
            <v>1.9</v>
          </cell>
          <cell r="BM39">
            <v>8930</v>
          </cell>
          <cell r="BN39">
            <v>4700</v>
          </cell>
          <cell r="BO39">
            <v>2275</v>
          </cell>
          <cell r="BP39">
            <v>2430</v>
          </cell>
          <cell r="BQ39">
            <v>0</v>
          </cell>
          <cell r="BR39">
            <v>4700</v>
          </cell>
          <cell r="BS39">
            <v>3845</v>
          </cell>
          <cell r="BT39">
            <v>640</v>
          </cell>
          <cell r="BU39">
            <v>215</v>
          </cell>
          <cell r="BV39">
            <v>4700</v>
          </cell>
          <cell r="BW39">
            <v>10</v>
          </cell>
          <cell r="BX39">
            <v>155</v>
          </cell>
          <cell r="BY39">
            <v>965</v>
          </cell>
          <cell r="BZ39">
            <v>1000</v>
          </cell>
          <cell r="CA39">
            <v>200</v>
          </cell>
          <cell r="CB39">
            <v>400</v>
          </cell>
          <cell r="CC39">
            <v>330</v>
          </cell>
          <cell r="CD39">
            <v>420</v>
          </cell>
          <cell r="CE39">
            <v>1220</v>
          </cell>
          <cell r="CF39">
            <v>4705</v>
          </cell>
          <cell r="CG39">
            <v>5</v>
          </cell>
          <cell r="CH39">
            <v>85</v>
          </cell>
          <cell r="CI39">
            <v>90</v>
          </cell>
          <cell r="CJ39">
            <v>0</v>
          </cell>
          <cell r="CK39">
            <v>2440</v>
          </cell>
          <cell r="CL39">
            <v>2075</v>
          </cell>
          <cell r="CM39">
            <v>0</v>
          </cell>
          <cell r="CN39">
            <v>5</v>
          </cell>
          <cell r="CO39">
            <v>4705</v>
          </cell>
          <cell r="CP39">
            <v>2015</v>
          </cell>
          <cell r="CQ39">
            <v>1860</v>
          </cell>
          <cell r="CR39">
            <v>440</v>
          </cell>
          <cell r="CS39">
            <v>355</v>
          </cell>
          <cell r="CT39">
            <v>35</v>
          </cell>
          <cell r="CU39">
            <v>8775</v>
          </cell>
          <cell r="CV39">
            <v>1.9</v>
          </cell>
          <cell r="CW39">
            <v>4700</v>
          </cell>
          <cell r="CX39">
            <v>2520</v>
          </cell>
          <cell r="CY39">
            <v>25</v>
          </cell>
          <cell r="CZ39">
            <v>2155</v>
          </cell>
        </row>
        <row r="40">
          <cell r="A40" t="str">
            <v>4620594.01</v>
          </cell>
          <cell r="B40" t="str">
            <v>0594.01</v>
          </cell>
          <cell r="C40" t="str">
            <v>Anjou</v>
          </cell>
          <cell r="D40">
            <v>2460</v>
          </cell>
          <cell r="E40">
            <v>985</v>
          </cell>
          <cell r="F40">
            <v>865</v>
          </cell>
          <cell r="G40">
            <v>90</v>
          </cell>
          <cell r="H40">
            <v>365</v>
          </cell>
          <cell r="I40">
            <v>160</v>
          </cell>
          <cell r="J40">
            <v>2460</v>
          </cell>
          <cell r="K40">
            <v>2140</v>
          </cell>
          <cell r="L40">
            <v>325</v>
          </cell>
          <cell r="M40">
            <v>845</v>
          </cell>
          <cell r="N40">
            <v>490</v>
          </cell>
          <cell r="O40">
            <v>185</v>
          </cell>
          <cell r="P40">
            <v>135</v>
          </cell>
          <cell r="Q40">
            <v>30</v>
          </cell>
          <cell r="R40">
            <v>845</v>
          </cell>
          <cell r="S40">
            <v>580</v>
          </cell>
          <cell r="T40">
            <v>415</v>
          </cell>
          <cell r="U40">
            <v>205</v>
          </cell>
          <cell r="V40">
            <v>210</v>
          </cell>
          <cell r="W40">
            <v>85</v>
          </cell>
          <cell r="X40">
            <v>110</v>
          </cell>
          <cell r="Y40">
            <v>20</v>
          </cell>
          <cell r="Z40">
            <v>165</v>
          </cell>
          <cell r="AA40">
            <v>80</v>
          </cell>
          <cell r="AB40">
            <v>80</v>
          </cell>
          <cell r="AC40">
            <v>40</v>
          </cell>
          <cell r="AD40">
            <v>30</v>
          </cell>
          <cell r="AE40">
            <v>15</v>
          </cell>
          <cell r="AF40">
            <v>270</v>
          </cell>
          <cell r="AG40">
            <v>220</v>
          </cell>
          <cell r="AH40">
            <v>165</v>
          </cell>
          <cell r="AI40">
            <v>50</v>
          </cell>
          <cell r="AJ40">
            <v>0</v>
          </cell>
          <cell r="AK40">
            <v>45</v>
          </cell>
          <cell r="AL40">
            <v>40</v>
          </cell>
          <cell r="AM40">
            <v>10</v>
          </cell>
          <cell r="AN40">
            <v>0</v>
          </cell>
          <cell r="AO40">
            <v>840</v>
          </cell>
          <cell r="AP40">
            <v>185</v>
          </cell>
          <cell r="AQ40">
            <v>275</v>
          </cell>
          <cell r="AR40">
            <v>80</v>
          </cell>
          <cell r="AS40">
            <v>160</v>
          </cell>
          <cell r="AT40">
            <v>135</v>
          </cell>
          <cell r="AU40">
            <v>1</v>
          </cell>
          <cell r="AV40">
            <v>2915</v>
          </cell>
          <cell r="AW40">
            <v>650</v>
          </cell>
          <cell r="AX40">
            <v>75</v>
          </cell>
          <cell r="AY40">
            <v>25</v>
          </cell>
          <cell r="AZ40">
            <v>545</v>
          </cell>
          <cell r="BA40">
            <v>2260</v>
          </cell>
          <cell r="BB40">
            <v>2.7</v>
          </cell>
          <cell r="BC40">
            <v>425</v>
          </cell>
          <cell r="BD40">
            <v>215</v>
          </cell>
          <cell r="BE40">
            <v>20</v>
          </cell>
          <cell r="BF40">
            <v>0</v>
          </cell>
          <cell r="BG40">
            <v>195</v>
          </cell>
          <cell r="BH40">
            <v>210</v>
          </cell>
          <cell r="BI40">
            <v>1390</v>
          </cell>
          <cell r="BJ40">
            <v>4.5</v>
          </cell>
          <cell r="BK40">
            <v>6255</v>
          </cell>
          <cell r="BL40">
            <v>2.1</v>
          </cell>
          <cell r="BM40">
            <v>2919</v>
          </cell>
          <cell r="BN40">
            <v>1390</v>
          </cell>
          <cell r="BO40">
            <v>240</v>
          </cell>
          <cell r="BP40">
            <v>1145</v>
          </cell>
          <cell r="BQ40">
            <v>0</v>
          </cell>
          <cell r="BR40">
            <v>1390</v>
          </cell>
          <cell r="BS40">
            <v>955</v>
          </cell>
          <cell r="BT40">
            <v>325</v>
          </cell>
          <cell r="BU40">
            <v>105</v>
          </cell>
          <cell r="BV40">
            <v>1390</v>
          </cell>
          <cell r="BW40">
            <v>30</v>
          </cell>
          <cell r="BX40">
            <v>120</v>
          </cell>
          <cell r="BY40">
            <v>445</v>
          </cell>
          <cell r="BZ40">
            <v>405</v>
          </cell>
          <cell r="CA40">
            <v>115</v>
          </cell>
          <cell r="CB40">
            <v>195</v>
          </cell>
          <cell r="CC40">
            <v>25</v>
          </cell>
          <cell r="CD40">
            <v>20</v>
          </cell>
          <cell r="CE40">
            <v>35</v>
          </cell>
          <cell r="CF40">
            <v>1390</v>
          </cell>
          <cell r="CG40">
            <v>0</v>
          </cell>
          <cell r="CH40">
            <v>35</v>
          </cell>
          <cell r="CI40">
            <v>0</v>
          </cell>
          <cell r="CJ40">
            <v>5</v>
          </cell>
          <cell r="CK40">
            <v>0</v>
          </cell>
          <cell r="CL40">
            <v>1355</v>
          </cell>
          <cell r="CM40">
            <v>0</v>
          </cell>
          <cell r="CN40">
            <v>0</v>
          </cell>
          <cell r="CO40">
            <v>1390</v>
          </cell>
          <cell r="CP40">
            <v>545</v>
          </cell>
          <cell r="CQ40">
            <v>460</v>
          </cell>
          <cell r="CR40">
            <v>190</v>
          </cell>
          <cell r="CS40">
            <v>180</v>
          </cell>
          <cell r="CT40">
            <v>20</v>
          </cell>
          <cell r="CU40">
            <v>2915</v>
          </cell>
          <cell r="CV40">
            <v>2.1</v>
          </cell>
          <cell r="CW40">
            <v>1390</v>
          </cell>
          <cell r="CX40">
            <v>780</v>
          </cell>
          <cell r="CY40">
            <v>30</v>
          </cell>
          <cell r="CZ40">
            <v>575</v>
          </cell>
        </row>
        <row r="41">
          <cell r="A41" t="str">
            <v>4620594.02</v>
          </cell>
          <cell r="B41" t="str">
            <v>0594.02</v>
          </cell>
          <cell r="C41" t="str">
            <v>Anjou</v>
          </cell>
          <cell r="D41">
            <v>6455</v>
          </cell>
          <cell r="E41">
            <v>2230</v>
          </cell>
          <cell r="F41">
            <v>2865</v>
          </cell>
          <cell r="G41">
            <v>145</v>
          </cell>
          <cell r="H41">
            <v>715</v>
          </cell>
          <cell r="I41">
            <v>495</v>
          </cell>
          <cell r="J41">
            <v>6450</v>
          </cell>
          <cell r="K41">
            <v>5590</v>
          </cell>
          <cell r="L41">
            <v>865</v>
          </cell>
          <cell r="M41">
            <v>2155</v>
          </cell>
          <cell r="N41">
            <v>1260</v>
          </cell>
          <cell r="O41">
            <v>420</v>
          </cell>
          <cell r="P41">
            <v>325</v>
          </cell>
          <cell r="Q41">
            <v>145</v>
          </cell>
          <cell r="R41">
            <v>2155</v>
          </cell>
          <cell r="S41">
            <v>1845</v>
          </cell>
          <cell r="T41">
            <v>1410</v>
          </cell>
          <cell r="U41">
            <v>750</v>
          </cell>
          <cell r="V41">
            <v>655</v>
          </cell>
          <cell r="W41">
            <v>270</v>
          </cell>
          <cell r="X41">
            <v>290</v>
          </cell>
          <cell r="Y41">
            <v>100</v>
          </cell>
          <cell r="Z41">
            <v>430</v>
          </cell>
          <cell r="AA41">
            <v>290</v>
          </cell>
          <cell r="AB41">
            <v>140</v>
          </cell>
          <cell r="AC41">
            <v>70</v>
          </cell>
          <cell r="AD41">
            <v>30</v>
          </cell>
          <cell r="AE41">
            <v>40</v>
          </cell>
          <cell r="AF41">
            <v>315</v>
          </cell>
          <cell r="AG41">
            <v>260</v>
          </cell>
          <cell r="AH41">
            <v>175</v>
          </cell>
          <cell r="AI41">
            <v>70</v>
          </cell>
          <cell r="AJ41">
            <v>15</v>
          </cell>
          <cell r="AK41">
            <v>50</v>
          </cell>
          <cell r="AL41">
            <v>40</v>
          </cell>
          <cell r="AM41">
            <v>10</v>
          </cell>
          <cell r="AN41">
            <v>0</v>
          </cell>
          <cell r="AO41">
            <v>1855</v>
          </cell>
          <cell r="AP41">
            <v>395</v>
          </cell>
          <cell r="AQ41">
            <v>590</v>
          </cell>
          <cell r="AR41">
            <v>225</v>
          </cell>
          <cell r="AS41">
            <v>380</v>
          </cell>
          <cell r="AT41">
            <v>260</v>
          </cell>
          <cell r="AU41">
            <v>0.9</v>
          </cell>
          <cell r="AV41">
            <v>7430</v>
          </cell>
          <cell r="AW41">
            <v>1575</v>
          </cell>
          <cell r="AX41">
            <v>125</v>
          </cell>
          <cell r="AY41">
            <v>195</v>
          </cell>
          <cell r="AZ41">
            <v>1255</v>
          </cell>
          <cell r="BA41">
            <v>5855</v>
          </cell>
          <cell r="BB41">
            <v>2.7</v>
          </cell>
          <cell r="BC41">
            <v>1530</v>
          </cell>
          <cell r="BD41">
            <v>610</v>
          </cell>
          <cell r="BE41">
            <v>55</v>
          </cell>
          <cell r="BF41">
            <v>55</v>
          </cell>
          <cell r="BG41">
            <v>495</v>
          </cell>
          <cell r="BH41">
            <v>925</v>
          </cell>
          <cell r="BI41">
            <v>3525</v>
          </cell>
          <cell r="BJ41">
            <v>4.9000000000000004</v>
          </cell>
          <cell r="BK41">
            <v>17272.5</v>
          </cell>
          <cell r="BL41">
            <v>2.2000000000000002</v>
          </cell>
          <cell r="BM41">
            <v>7755.0000000000009</v>
          </cell>
          <cell r="BN41">
            <v>3525</v>
          </cell>
          <cell r="BO41">
            <v>2095</v>
          </cell>
          <cell r="BP41">
            <v>1425</v>
          </cell>
          <cell r="BQ41">
            <v>0</v>
          </cell>
          <cell r="BR41">
            <v>3525</v>
          </cell>
          <cell r="BS41">
            <v>2575</v>
          </cell>
          <cell r="BT41">
            <v>805</v>
          </cell>
          <cell r="BU41">
            <v>140</v>
          </cell>
          <cell r="BV41">
            <v>3530</v>
          </cell>
          <cell r="BW41">
            <v>25</v>
          </cell>
          <cell r="BX41">
            <v>165</v>
          </cell>
          <cell r="BY41">
            <v>630</v>
          </cell>
          <cell r="BZ41">
            <v>785</v>
          </cell>
          <cell r="CA41">
            <v>540</v>
          </cell>
          <cell r="CB41">
            <v>605</v>
          </cell>
          <cell r="CC41">
            <v>250</v>
          </cell>
          <cell r="CD41">
            <v>130</v>
          </cell>
          <cell r="CE41">
            <v>400</v>
          </cell>
          <cell r="CF41">
            <v>3525</v>
          </cell>
          <cell r="CG41">
            <v>170</v>
          </cell>
          <cell r="CH41">
            <v>335</v>
          </cell>
          <cell r="CI41">
            <v>315</v>
          </cell>
          <cell r="CJ41">
            <v>5</v>
          </cell>
          <cell r="CK41">
            <v>625</v>
          </cell>
          <cell r="CL41">
            <v>2080</v>
          </cell>
          <cell r="CM41">
            <v>0</v>
          </cell>
          <cell r="CN41">
            <v>0</v>
          </cell>
          <cell r="CO41">
            <v>3530</v>
          </cell>
          <cell r="CP41">
            <v>1255</v>
          </cell>
          <cell r="CQ41">
            <v>1300</v>
          </cell>
          <cell r="CR41">
            <v>485</v>
          </cell>
          <cell r="CS41">
            <v>460</v>
          </cell>
          <cell r="CT41">
            <v>30</v>
          </cell>
          <cell r="CU41">
            <v>7430</v>
          </cell>
          <cell r="CV41">
            <v>2.1</v>
          </cell>
          <cell r="CW41">
            <v>3525</v>
          </cell>
          <cell r="CX41">
            <v>2145</v>
          </cell>
          <cell r="CY41">
            <v>0</v>
          </cell>
          <cell r="CZ41">
            <v>1375</v>
          </cell>
        </row>
        <row r="42">
          <cell r="C42" t="str">
            <v>Anjou</v>
          </cell>
          <cell r="D42">
            <v>34885</v>
          </cell>
          <cell r="E42">
            <v>13030</v>
          </cell>
          <cell r="F42">
            <v>14010</v>
          </cell>
          <cell r="G42">
            <v>890</v>
          </cell>
          <cell r="H42">
            <v>4015</v>
          </cell>
          <cell r="I42">
            <v>2945</v>
          </cell>
          <cell r="J42">
            <v>34890</v>
          </cell>
          <cell r="K42">
            <v>29960</v>
          </cell>
          <cell r="L42">
            <v>4940</v>
          </cell>
          <cell r="M42">
            <v>11585</v>
          </cell>
          <cell r="N42">
            <v>6520</v>
          </cell>
          <cell r="O42">
            <v>2465</v>
          </cell>
          <cell r="P42">
            <v>1905</v>
          </cell>
          <cell r="Q42">
            <v>650</v>
          </cell>
          <cell r="R42">
            <v>11580</v>
          </cell>
          <cell r="S42">
            <v>9320</v>
          </cell>
          <cell r="T42">
            <v>6870</v>
          </cell>
          <cell r="U42">
            <v>3550</v>
          </cell>
          <cell r="V42">
            <v>3315</v>
          </cell>
          <cell r="W42">
            <v>1335</v>
          </cell>
          <cell r="X42">
            <v>1475</v>
          </cell>
          <cell r="Y42">
            <v>510</v>
          </cell>
          <cell r="Z42">
            <v>2440</v>
          </cell>
          <cell r="AA42">
            <v>1435</v>
          </cell>
          <cell r="AB42">
            <v>1015</v>
          </cell>
          <cell r="AC42">
            <v>525</v>
          </cell>
          <cell r="AD42">
            <v>365</v>
          </cell>
          <cell r="AE42">
            <v>115</v>
          </cell>
          <cell r="AF42">
            <v>2260</v>
          </cell>
          <cell r="AG42">
            <v>1885</v>
          </cell>
          <cell r="AH42">
            <v>1255</v>
          </cell>
          <cell r="AI42">
            <v>525</v>
          </cell>
          <cell r="AJ42">
            <v>90</v>
          </cell>
          <cell r="AK42">
            <v>355</v>
          </cell>
          <cell r="AL42">
            <v>285</v>
          </cell>
          <cell r="AM42">
            <v>75</v>
          </cell>
          <cell r="AN42">
            <v>10</v>
          </cell>
          <cell r="AO42">
            <v>10745</v>
          </cell>
          <cell r="AP42">
            <v>2255</v>
          </cell>
          <cell r="AQ42">
            <v>3655</v>
          </cell>
          <cell r="AR42">
            <v>1195</v>
          </cell>
          <cell r="AS42">
            <v>2035</v>
          </cell>
          <cell r="AT42">
            <v>1595</v>
          </cell>
          <cell r="AU42">
            <v>0.92789291882556135</v>
          </cell>
          <cell r="AV42">
            <v>40485</v>
          </cell>
          <cell r="AW42">
            <v>8835</v>
          </cell>
          <cell r="AX42">
            <v>890</v>
          </cell>
          <cell r="AY42">
            <v>1070</v>
          </cell>
          <cell r="AZ42">
            <v>6870</v>
          </cell>
          <cell r="BA42">
            <v>31655</v>
          </cell>
          <cell r="BB42">
            <v>2.7335924006908461</v>
          </cell>
          <cell r="BC42">
            <v>8055</v>
          </cell>
          <cell r="BD42">
            <v>3185</v>
          </cell>
          <cell r="BE42">
            <v>365</v>
          </cell>
          <cell r="BF42">
            <v>175</v>
          </cell>
          <cell r="BG42">
            <v>2645</v>
          </cell>
          <cell r="BH42">
            <v>4865</v>
          </cell>
          <cell r="BI42">
            <v>18980</v>
          </cell>
          <cell r="BJ42">
            <v>4.8481559536354055</v>
          </cell>
          <cell r="BK42">
            <v>92018</v>
          </cell>
          <cell r="BL42">
            <v>2.1841938883034775</v>
          </cell>
          <cell r="BM42">
            <v>41456</v>
          </cell>
          <cell r="BN42">
            <v>18990</v>
          </cell>
          <cell r="BO42">
            <v>8445</v>
          </cell>
          <cell r="BP42">
            <v>10535</v>
          </cell>
          <cell r="BQ42">
            <v>0</v>
          </cell>
          <cell r="BR42">
            <v>18985</v>
          </cell>
          <cell r="BS42">
            <v>13295</v>
          </cell>
          <cell r="BT42">
            <v>4550</v>
          </cell>
          <cell r="BU42">
            <v>1120</v>
          </cell>
          <cell r="BV42">
            <v>18990</v>
          </cell>
          <cell r="BW42">
            <v>215</v>
          </cell>
          <cell r="BX42">
            <v>2590</v>
          </cell>
          <cell r="BY42">
            <v>6135</v>
          </cell>
          <cell r="BZ42">
            <v>3820</v>
          </cell>
          <cell r="CA42">
            <v>1380</v>
          </cell>
          <cell r="CB42">
            <v>1600</v>
          </cell>
          <cell r="CC42">
            <v>815</v>
          </cell>
          <cell r="CD42">
            <v>665</v>
          </cell>
          <cell r="CE42">
            <v>1740</v>
          </cell>
          <cell r="CF42">
            <v>18985</v>
          </cell>
          <cell r="CG42">
            <v>1485</v>
          </cell>
          <cell r="CH42">
            <v>750</v>
          </cell>
          <cell r="CI42">
            <v>900</v>
          </cell>
          <cell r="CJ42">
            <v>1375</v>
          </cell>
          <cell r="CK42">
            <v>3345</v>
          </cell>
          <cell r="CL42">
            <v>11135</v>
          </cell>
          <cell r="CM42">
            <v>10</v>
          </cell>
          <cell r="CN42">
            <v>5</v>
          </cell>
          <cell r="CO42">
            <v>18990</v>
          </cell>
          <cell r="CP42">
            <v>6870</v>
          </cell>
          <cell r="CQ42">
            <v>6680</v>
          </cell>
          <cell r="CR42">
            <v>2675</v>
          </cell>
          <cell r="CS42">
            <v>2520</v>
          </cell>
          <cell r="CT42">
            <v>250</v>
          </cell>
          <cell r="CU42">
            <v>40485</v>
          </cell>
          <cell r="CV42">
            <v>2.131911532385466</v>
          </cell>
          <cell r="CW42">
            <v>18985</v>
          </cell>
          <cell r="CX42">
            <v>11365</v>
          </cell>
          <cell r="CY42">
            <v>95</v>
          </cell>
          <cell r="CZ42">
            <v>7500</v>
          </cell>
        </row>
        <row r="45">
          <cell r="A45" t="str">
            <v>4620480.00</v>
          </cell>
          <cell r="B45" t="str">
            <v>0480.00</v>
          </cell>
          <cell r="C45" t="str">
            <v>BAIE-D'URFÉ</v>
          </cell>
          <cell r="D45">
            <v>3115</v>
          </cell>
          <cell r="E45">
            <v>770</v>
          </cell>
          <cell r="F45">
            <v>1960</v>
          </cell>
          <cell r="G45">
            <v>35</v>
          </cell>
          <cell r="H45">
            <v>170</v>
          </cell>
          <cell r="I45">
            <v>175</v>
          </cell>
          <cell r="J45">
            <v>3115</v>
          </cell>
          <cell r="K45">
            <v>2920</v>
          </cell>
          <cell r="L45">
            <v>195</v>
          </cell>
          <cell r="M45">
            <v>1175</v>
          </cell>
          <cell r="N45">
            <v>485</v>
          </cell>
          <cell r="O45">
            <v>240</v>
          </cell>
          <cell r="P45">
            <v>295</v>
          </cell>
          <cell r="Q45">
            <v>150</v>
          </cell>
          <cell r="R45">
            <v>1170</v>
          </cell>
          <cell r="S45">
            <v>1070</v>
          </cell>
          <cell r="T45">
            <v>970</v>
          </cell>
          <cell r="U45">
            <v>370</v>
          </cell>
          <cell r="V45">
            <v>600</v>
          </cell>
          <cell r="W45">
            <v>170</v>
          </cell>
          <cell r="X45">
            <v>290</v>
          </cell>
          <cell r="Y45">
            <v>140</v>
          </cell>
          <cell r="Z45">
            <v>100</v>
          </cell>
          <cell r="AA45">
            <v>60</v>
          </cell>
          <cell r="AB45">
            <v>40</v>
          </cell>
          <cell r="AC45">
            <v>25</v>
          </cell>
          <cell r="AD45">
            <v>10</v>
          </cell>
          <cell r="AE45">
            <v>10</v>
          </cell>
          <cell r="AF45">
            <v>105</v>
          </cell>
          <cell r="AG45">
            <v>100</v>
          </cell>
          <cell r="AH45">
            <v>55</v>
          </cell>
          <cell r="AI45">
            <v>45</v>
          </cell>
          <cell r="AJ45">
            <v>0</v>
          </cell>
          <cell r="AK45">
            <v>10</v>
          </cell>
          <cell r="AL45">
            <v>0</v>
          </cell>
          <cell r="AM45">
            <v>10</v>
          </cell>
          <cell r="AN45">
            <v>0</v>
          </cell>
          <cell r="AO45">
            <v>1430</v>
          </cell>
          <cell r="AP45">
            <v>245</v>
          </cell>
          <cell r="AQ45">
            <v>535</v>
          </cell>
          <cell r="AR45">
            <v>175</v>
          </cell>
          <cell r="AS45">
            <v>290</v>
          </cell>
          <cell r="AT45">
            <v>185</v>
          </cell>
          <cell r="AU45">
            <v>1.2</v>
          </cell>
          <cell r="AV45">
            <v>3890</v>
          </cell>
          <cell r="AW45">
            <v>215</v>
          </cell>
          <cell r="AX45">
            <v>10</v>
          </cell>
          <cell r="AY45">
            <v>0</v>
          </cell>
          <cell r="AZ45">
            <v>205</v>
          </cell>
          <cell r="BA45">
            <v>3665</v>
          </cell>
          <cell r="BB45">
            <v>3.1</v>
          </cell>
          <cell r="BC45">
            <v>695</v>
          </cell>
          <cell r="BD45">
            <v>140</v>
          </cell>
          <cell r="BE45">
            <v>0</v>
          </cell>
          <cell r="BF45">
            <v>0</v>
          </cell>
          <cell r="BG45">
            <v>135</v>
          </cell>
          <cell r="BH45">
            <v>550</v>
          </cell>
          <cell r="BI45">
            <v>1375</v>
          </cell>
          <cell r="BJ45">
            <v>8.6999999999999993</v>
          </cell>
          <cell r="BK45">
            <v>11962.499999999998</v>
          </cell>
          <cell r="BL45">
            <v>3.5</v>
          </cell>
          <cell r="BM45">
            <v>4812.5</v>
          </cell>
          <cell r="BN45">
            <v>1375</v>
          </cell>
          <cell r="BO45">
            <v>1265</v>
          </cell>
          <cell r="BP45">
            <v>115</v>
          </cell>
          <cell r="BQ45">
            <v>0</v>
          </cell>
          <cell r="BR45">
            <v>1375</v>
          </cell>
          <cell r="BS45">
            <v>860</v>
          </cell>
          <cell r="BT45">
            <v>410</v>
          </cell>
          <cell r="BU45">
            <v>105</v>
          </cell>
          <cell r="BV45">
            <v>1380</v>
          </cell>
          <cell r="BW45">
            <v>75</v>
          </cell>
          <cell r="BX45">
            <v>675</v>
          </cell>
          <cell r="BY45">
            <v>165</v>
          </cell>
          <cell r="BZ45">
            <v>140</v>
          </cell>
          <cell r="CA45">
            <v>35</v>
          </cell>
          <cell r="CB45">
            <v>140</v>
          </cell>
          <cell r="CC45">
            <v>45</v>
          </cell>
          <cell r="CD45">
            <v>50</v>
          </cell>
          <cell r="CE45">
            <v>60</v>
          </cell>
          <cell r="CF45">
            <v>1375</v>
          </cell>
          <cell r="CG45">
            <v>1245</v>
          </cell>
          <cell r="CH45">
            <v>10</v>
          </cell>
          <cell r="CI45">
            <v>40</v>
          </cell>
          <cell r="CJ45">
            <v>0</v>
          </cell>
          <cell r="CK45">
            <v>0</v>
          </cell>
          <cell r="CL45">
            <v>90</v>
          </cell>
          <cell r="CM45">
            <v>0</v>
          </cell>
          <cell r="CN45">
            <v>0</v>
          </cell>
          <cell r="CO45">
            <v>1380</v>
          </cell>
          <cell r="CP45">
            <v>205</v>
          </cell>
          <cell r="CQ45">
            <v>485</v>
          </cell>
          <cell r="CR45">
            <v>235</v>
          </cell>
          <cell r="CS45">
            <v>415</v>
          </cell>
          <cell r="CT45">
            <v>35</v>
          </cell>
          <cell r="CU45">
            <v>3885</v>
          </cell>
          <cell r="CV45">
            <v>2.8</v>
          </cell>
          <cell r="CW45">
            <v>1375</v>
          </cell>
          <cell r="CX45">
            <v>1170</v>
          </cell>
          <cell r="CY45">
            <v>0</v>
          </cell>
          <cell r="CZ45">
            <v>205</v>
          </cell>
        </row>
        <row r="46">
          <cell r="C46" t="str">
            <v>BAIE-D'URFÉ</v>
          </cell>
          <cell r="D46">
            <v>3115</v>
          </cell>
          <cell r="E46">
            <v>770</v>
          </cell>
          <cell r="F46">
            <v>1960</v>
          </cell>
          <cell r="G46">
            <v>35</v>
          </cell>
          <cell r="H46">
            <v>170</v>
          </cell>
          <cell r="I46">
            <v>175</v>
          </cell>
          <cell r="J46">
            <v>3115</v>
          </cell>
          <cell r="K46">
            <v>2920</v>
          </cell>
          <cell r="L46">
            <v>195</v>
          </cell>
          <cell r="M46">
            <v>1175</v>
          </cell>
          <cell r="N46">
            <v>485</v>
          </cell>
          <cell r="O46">
            <v>240</v>
          </cell>
          <cell r="P46">
            <v>295</v>
          </cell>
          <cell r="Q46">
            <v>150</v>
          </cell>
          <cell r="R46">
            <v>1170</v>
          </cell>
          <cell r="S46">
            <v>1070</v>
          </cell>
          <cell r="T46">
            <v>970</v>
          </cell>
          <cell r="U46">
            <v>370</v>
          </cell>
          <cell r="V46">
            <v>600</v>
          </cell>
          <cell r="W46">
            <v>170</v>
          </cell>
          <cell r="X46">
            <v>290</v>
          </cell>
          <cell r="Y46">
            <v>140</v>
          </cell>
          <cell r="Z46">
            <v>100</v>
          </cell>
          <cell r="AA46">
            <v>60</v>
          </cell>
          <cell r="AB46">
            <v>40</v>
          </cell>
          <cell r="AC46">
            <v>25</v>
          </cell>
          <cell r="AD46">
            <v>10</v>
          </cell>
          <cell r="AE46">
            <v>10</v>
          </cell>
          <cell r="AF46">
            <v>105</v>
          </cell>
          <cell r="AG46">
            <v>100</v>
          </cell>
          <cell r="AH46">
            <v>55</v>
          </cell>
          <cell r="AI46">
            <v>45</v>
          </cell>
          <cell r="AJ46">
            <v>0</v>
          </cell>
          <cell r="AK46">
            <v>10</v>
          </cell>
          <cell r="AL46">
            <v>0</v>
          </cell>
          <cell r="AM46">
            <v>10</v>
          </cell>
          <cell r="AN46">
            <v>0</v>
          </cell>
          <cell r="AO46">
            <v>1430</v>
          </cell>
          <cell r="AP46">
            <v>245</v>
          </cell>
          <cell r="AQ46">
            <v>535</v>
          </cell>
          <cell r="AR46">
            <v>175</v>
          </cell>
          <cell r="AS46">
            <v>290</v>
          </cell>
          <cell r="AT46">
            <v>185</v>
          </cell>
          <cell r="AU46">
            <v>1.2222222222222223</v>
          </cell>
          <cell r="AV46">
            <v>3890</v>
          </cell>
          <cell r="AW46">
            <v>215</v>
          </cell>
          <cell r="AX46">
            <v>10</v>
          </cell>
          <cell r="AY46">
            <v>0</v>
          </cell>
          <cell r="AZ46">
            <v>205</v>
          </cell>
          <cell r="BA46">
            <v>3665</v>
          </cell>
          <cell r="BB46">
            <v>3.1324786324786325</v>
          </cell>
          <cell r="BC46">
            <v>695</v>
          </cell>
          <cell r="BD46">
            <v>140</v>
          </cell>
          <cell r="BE46">
            <v>0</v>
          </cell>
          <cell r="BF46">
            <v>0</v>
          </cell>
          <cell r="BG46">
            <v>135</v>
          </cell>
          <cell r="BH46">
            <v>550</v>
          </cell>
          <cell r="BI46">
            <v>1375</v>
          </cell>
          <cell r="BJ46">
            <v>8.6999999999999993</v>
          </cell>
          <cell r="BK46">
            <v>11962.499999999998</v>
          </cell>
          <cell r="BL46">
            <v>3.5</v>
          </cell>
          <cell r="BM46">
            <v>4812.5</v>
          </cell>
          <cell r="BN46">
            <v>1375</v>
          </cell>
          <cell r="BO46">
            <v>1265</v>
          </cell>
          <cell r="BP46">
            <v>115</v>
          </cell>
          <cell r="BQ46">
            <v>0</v>
          </cell>
          <cell r="BR46">
            <v>1375</v>
          </cell>
          <cell r="BS46">
            <v>860</v>
          </cell>
          <cell r="BT46">
            <v>410</v>
          </cell>
          <cell r="BU46">
            <v>105</v>
          </cell>
          <cell r="BV46">
            <v>1380</v>
          </cell>
          <cell r="BW46">
            <v>75</v>
          </cell>
          <cell r="BX46">
            <v>675</v>
          </cell>
          <cell r="BY46">
            <v>165</v>
          </cell>
          <cell r="BZ46">
            <v>140</v>
          </cell>
          <cell r="CA46">
            <v>35</v>
          </cell>
          <cell r="CB46">
            <v>140</v>
          </cell>
          <cell r="CC46">
            <v>45</v>
          </cell>
          <cell r="CD46">
            <v>50</v>
          </cell>
          <cell r="CE46">
            <v>60</v>
          </cell>
          <cell r="CF46">
            <v>1375</v>
          </cell>
          <cell r="CG46">
            <v>1245</v>
          </cell>
          <cell r="CH46">
            <v>10</v>
          </cell>
          <cell r="CI46">
            <v>40</v>
          </cell>
          <cell r="CJ46">
            <v>0</v>
          </cell>
          <cell r="CK46">
            <v>0</v>
          </cell>
          <cell r="CL46">
            <v>90</v>
          </cell>
          <cell r="CM46">
            <v>0</v>
          </cell>
          <cell r="CN46">
            <v>0</v>
          </cell>
          <cell r="CO46">
            <v>1380</v>
          </cell>
          <cell r="CP46">
            <v>205</v>
          </cell>
          <cell r="CQ46">
            <v>485</v>
          </cell>
          <cell r="CR46">
            <v>235</v>
          </cell>
          <cell r="CS46">
            <v>415</v>
          </cell>
          <cell r="CT46">
            <v>35</v>
          </cell>
          <cell r="CU46">
            <v>3885</v>
          </cell>
          <cell r="CV46">
            <v>2.8152173913043477</v>
          </cell>
          <cell r="CW46">
            <v>1375</v>
          </cell>
          <cell r="CX46">
            <v>1170</v>
          </cell>
          <cell r="CY46">
            <v>0</v>
          </cell>
          <cell r="CZ46">
            <v>205</v>
          </cell>
        </row>
        <row r="49">
          <cell r="A49" t="str">
            <v>4620460.00</v>
          </cell>
          <cell r="B49" t="str">
            <v>0460.00</v>
          </cell>
          <cell r="C49" t="str">
            <v>BEACONSFIELD</v>
          </cell>
          <cell r="D49">
            <v>4240</v>
          </cell>
          <cell r="E49">
            <v>1135</v>
          </cell>
          <cell r="F49">
            <v>2575</v>
          </cell>
          <cell r="G49">
            <v>50</v>
          </cell>
          <cell r="H49">
            <v>280</v>
          </cell>
          <cell r="I49">
            <v>200</v>
          </cell>
          <cell r="J49">
            <v>4245</v>
          </cell>
          <cell r="K49">
            <v>3945</v>
          </cell>
          <cell r="L49">
            <v>295</v>
          </cell>
          <cell r="M49">
            <v>1545</v>
          </cell>
          <cell r="N49">
            <v>640</v>
          </cell>
          <cell r="O49">
            <v>280</v>
          </cell>
          <cell r="P49">
            <v>430</v>
          </cell>
          <cell r="Q49">
            <v>205</v>
          </cell>
          <cell r="R49">
            <v>1550</v>
          </cell>
          <cell r="S49">
            <v>1445</v>
          </cell>
          <cell r="T49">
            <v>1295</v>
          </cell>
          <cell r="U49">
            <v>515</v>
          </cell>
          <cell r="V49">
            <v>780</v>
          </cell>
          <cell r="W49">
            <v>230</v>
          </cell>
          <cell r="X49">
            <v>380</v>
          </cell>
          <cell r="Y49">
            <v>175</v>
          </cell>
          <cell r="Z49">
            <v>150</v>
          </cell>
          <cell r="AA49">
            <v>70</v>
          </cell>
          <cell r="AB49">
            <v>80</v>
          </cell>
          <cell r="AC49">
            <v>20</v>
          </cell>
          <cell r="AD49">
            <v>30</v>
          </cell>
          <cell r="AE49">
            <v>30</v>
          </cell>
          <cell r="AF49">
            <v>105</v>
          </cell>
          <cell r="AG49">
            <v>55</v>
          </cell>
          <cell r="AH49">
            <v>30</v>
          </cell>
          <cell r="AI49">
            <v>10</v>
          </cell>
          <cell r="AJ49">
            <v>15</v>
          </cell>
          <cell r="AK49">
            <v>45</v>
          </cell>
          <cell r="AL49">
            <v>25</v>
          </cell>
          <cell r="AM49">
            <v>20</v>
          </cell>
          <cell r="AN49">
            <v>10</v>
          </cell>
          <cell r="AO49">
            <v>1905</v>
          </cell>
          <cell r="AP49">
            <v>340</v>
          </cell>
          <cell r="AQ49">
            <v>740</v>
          </cell>
          <cell r="AR49">
            <v>270</v>
          </cell>
          <cell r="AS49">
            <v>395</v>
          </cell>
          <cell r="AT49">
            <v>160</v>
          </cell>
          <cell r="AU49">
            <v>1.2</v>
          </cell>
          <cell r="AV49">
            <v>5265</v>
          </cell>
          <cell r="AW49">
            <v>360</v>
          </cell>
          <cell r="AX49">
            <v>70</v>
          </cell>
          <cell r="AY49">
            <v>35</v>
          </cell>
          <cell r="AZ49">
            <v>255</v>
          </cell>
          <cell r="BA49">
            <v>4900</v>
          </cell>
          <cell r="BB49">
            <v>3.2</v>
          </cell>
          <cell r="BC49">
            <v>755</v>
          </cell>
          <cell r="BD49">
            <v>160</v>
          </cell>
          <cell r="BE49">
            <v>15</v>
          </cell>
          <cell r="BF49">
            <v>15</v>
          </cell>
          <cell r="BG49">
            <v>130</v>
          </cell>
          <cell r="BH49">
            <v>600</v>
          </cell>
          <cell r="BI49">
            <v>1820</v>
          </cell>
          <cell r="BJ49">
            <v>8.9</v>
          </cell>
          <cell r="BK49">
            <v>16198</v>
          </cell>
          <cell r="BL49">
            <v>3.7</v>
          </cell>
          <cell r="BM49">
            <v>6734</v>
          </cell>
          <cell r="BN49">
            <v>1820</v>
          </cell>
          <cell r="BO49">
            <v>1775</v>
          </cell>
          <cell r="BP49">
            <v>50</v>
          </cell>
          <cell r="BQ49">
            <v>0</v>
          </cell>
          <cell r="BR49">
            <v>1820</v>
          </cell>
          <cell r="BS49">
            <v>1025</v>
          </cell>
          <cell r="BT49">
            <v>665</v>
          </cell>
          <cell r="BU49">
            <v>130</v>
          </cell>
          <cell r="BV49">
            <v>1820</v>
          </cell>
          <cell r="BW49">
            <v>85</v>
          </cell>
          <cell r="BX49">
            <v>765</v>
          </cell>
          <cell r="BY49">
            <v>595</v>
          </cell>
          <cell r="BZ49">
            <v>290</v>
          </cell>
          <cell r="CA49">
            <v>20</v>
          </cell>
          <cell r="CB49">
            <v>30</v>
          </cell>
          <cell r="CC49">
            <v>0</v>
          </cell>
          <cell r="CD49">
            <v>0</v>
          </cell>
          <cell r="CE49">
            <v>25</v>
          </cell>
          <cell r="CF49">
            <v>1820</v>
          </cell>
          <cell r="CG49">
            <v>1745</v>
          </cell>
          <cell r="CH49">
            <v>20</v>
          </cell>
          <cell r="CI49">
            <v>30</v>
          </cell>
          <cell r="CJ49">
            <v>0</v>
          </cell>
          <cell r="CK49">
            <v>0</v>
          </cell>
          <cell r="CL49">
            <v>20</v>
          </cell>
          <cell r="CM49">
            <v>0</v>
          </cell>
          <cell r="CN49">
            <v>0</v>
          </cell>
          <cell r="CO49">
            <v>1820</v>
          </cell>
          <cell r="CP49">
            <v>250</v>
          </cell>
          <cell r="CQ49">
            <v>625</v>
          </cell>
          <cell r="CR49">
            <v>290</v>
          </cell>
          <cell r="CS49">
            <v>605</v>
          </cell>
          <cell r="CT49">
            <v>50</v>
          </cell>
          <cell r="CU49">
            <v>5260</v>
          </cell>
          <cell r="CV49">
            <v>2.9</v>
          </cell>
          <cell r="CW49">
            <v>1820</v>
          </cell>
          <cell r="CX49">
            <v>1530</v>
          </cell>
          <cell r="CY49">
            <v>10</v>
          </cell>
          <cell r="CZ49">
            <v>280</v>
          </cell>
        </row>
        <row r="50">
          <cell r="A50" t="str">
            <v>4620461.00</v>
          </cell>
          <cell r="B50" t="str">
            <v>0461.00</v>
          </cell>
          <cell r="C50" t="str">
            <v>BEACONSFIELD</v>
          </cell>
          <cell r="D50">
            <v>2315</v>
          </cell>
          <cell r="E50">
            <v>620</v>
          </cell>
          <cell r="F50">
            <v>1395</v>
          </cell>
          <cell r="G50">
            <v>40</v>
          </cell>
          <cell r="H50">
            <v>140</v>
          </cell>
          <cell r="I50">
            <v>125</v>
          </cell>
          <cell r="J50">
            <v>2315</v>
          </cell>
          <cell r="K50">
            <v>2110</v>
          </cell>
          <cell r="L50">
            <v>200</v>
          </cell>
          <cell r="M50">
            <v>840</v>
          </cell>
          <cell r="N50">
            <v>340</v>
          </cell>
          <cell r="O50">
            <v>215</v>
          </cell>
          <cell r="P50">
            <v>210</v>
          </cell>
          <cell r="Q50">
            <v>80</v>
          </cell>
          <cell r="R50">
            <v>845</v>
          </cell>
          <cell r="S50">
            <v>765</v>
          </cell>
          <cell r="T50">
            <v>660</v>
          </cell>
          <cell r="U50">
            <v>255</v>
          </cell>
          <cell r="V50">
            <v>405</v>
          </cell>
          <cell r="W50">
            <v>150</v>
          </cell>
          <cell r="X50">
            <v>175</v>
          </cell>
          <cell r="Y50">
            <v>75</v>
          </cell>
          <cell r="Z50">
            <v>100</v>
          </cell>
          <cell r="AA50">
            <v>45</v>
          </cell>
          <cell r="AB50">
            <v>60</v>
          </cell>
          <cell r="AC50">
            <v>25</v>
          </cell>
          <cell r="AD50">
            <v>30</v>
          </cell>
          <cell r="AE50">
            <v>0</v>
          </cell>
          <cell r="AF50">
            <v>80</v>
          </cell>
          <cell r="AG50">
            <v>60</v>
          </cell>
          <cell r="AH50">
            <v>30</v>
          </cell>
          <cell r="AI50">
            <v>30</v>
          </cell>
          <cell r="AJ50">
            <v>0</v>
          </cell>
          <cell r="AK50">
            <v>15</v>
          </cell>
          <cell r="AL50">
            <v>10</v>
          </cell>
          <cell r="AM50">
            <v>10</v>
          </cell>
          <cell r="AN50">
            <v>0</v>
          </cell>
          <cell r="AO50">
            <v>980</v>
          </cell>
          <cell r="AP50">
            <v>190</v>
          </cell>
          <cell r="AQ50">
            <v>375</v>
          </cell>
          <cell r="AR50">
            <v>105</v>
          </cell>
          <cell r="AS50">
            <v>220</v>
          </cell>
          <cell r="AT50">
            <v>85</v>
          </cell>
          <cell r="AU50">
            <v>1.2</v>
          </cell>
          <cell r="AV50">
            <v>2860</v>
          </cell>
          <cell r="AW50">
            <v>270</v>
          </cell>
          <cell r="AX50">
            <v>60</v>
          </cell>
          <cell r="AY50">
            <v>65</v>
          </cell>
          <cell r="AZ50">
            <v>150</v>
          </cell>
          <cell r="BA50">
            <v>2585</v>
          </cell>
          <cell r="BB50">
            <v>3.1</v>
          </cell>
          <cell r="BC50">
            <v>510</v>
          </cell>
          <cell r="BD50">
            <v>160</v>
          </cell>
          <cell r="BE50">
            <v>60</v>
          </cell>
          <cell r="BF50">
            <v>15</v>
          </cell>
          <cell r="BG50">
            <v>85</v>
          </cell>
          <cell r="BH50">
            <v>350</v>
          </cell>
          <cell r="BI50">
            <v>1015</v>
          </cell>
          <cell r="BJ50">
            <v>8.1999999999999993</v>
          </cell>
          <cell r="BK50">
            <v>8323</v>
          </cell>
          <cell r="BL50">
            <v>3.5</v>
          </cell>
          <cell r="BM50">
            <v>3552.5</v>
          </cell>
          <cell r="BN50">
            <v>1015</v>
          </cell>
          <cell r="BO50">
            <v>975</v>
          </cell>
          <cell r="BP50">
            <v>35</v>
          </cell>
          <cell r="BQ50">
            <v>0</v>
          </cell>
          <cell r="BR50">
            <v>1015</v>
          </cell>
          <cell r="BS50">
            <v>615</v>
          </cell>
          <cell r="BT50">
            <v>315</v>
          </cell>
          <cell r="BU50">
            <v>80</v>
          </cell>
          <cell r="BV50">
            <v>1015</v>
          </cell>
          <cell r="BW50">
            <v>110</v>
          </cell>
          <cell r="BX50">
            <v>620</v>
          </cell>
          <cell r="BY50">
            <v>225</v>
          </cell>
          <cell r="BZ50">
            <v>35</v>
          </cell>
          <cell r="CA50">
            <v>0</v>
          </cell>
          <cell r="CB50">
            <v>15</v>
          </cell>
          <cell r="CC50">
            <v>0</v>
          </cell>
          <cell r="CD50">
            <v>0</v>
          </cell>
          <cell r="CE50">
            <v>10</v>
          </cell>
          <cell r="CF50">
            <v>1015</v>
          </cell>
          <cell r="CG50">
            <v>1010</v>
          </cell>
          <cell r="CH50">
            <v>0</v>
          </cell>
          <cell r="CI50">
            <v>0</v>
          </cell>
          <cell r="CJ50">
            <v>0</v>
          </cell>
          <cell r="CK50">
            <v>0</v>
          </cell>
          <cell r="CL50">
            <v>5</v>
          </cell>
          <cell r="CM50">
            <v>0</v>
          </cell>
          <cell r="CN50">
            <v>0</v>
          </cell>
          <cell r="CO50">
            <v>1015</v>
          </cell>
          <cell r="CP50">
            <v>155</v>
          </cell>
          <cell r="CQ50">
            <v>355</v>
          </cell>
          <cell r="CR50">
            <v>185</v>
          </cell>
          <cell r="CS50">
            <v>295</v>
          </cell>
          <cell r="CT50">
            <v>30</v>
          </cell>
          <cell r="CU50">
            <v>2855</v>
          </cell>
          <cell r="CV50">
            <v>2.8</v>
          </cell>
          <cell r="CW50">
            <v>1015</v>
          </cell>
          <cell r="CX50">
            <v>830</v>
          </cell>
          <cell r="CY50">
            <v>10</v>
          </cell>
          <cell r="CZ50">
            <v>180</v>
          </cell>
        </row>
        <row r="51">
          <cell r="A51" t="str">
            <v>4620462.01</v>
          </cell>
          <cell r="B51" t="str">
            <v>0462.01</v>
          </cell>
          <cell r="C51" t="str">
            <v>BEACONSFIELD</v>
          </cell>
          <cell r="D51">
            <v>4170</v>
          </cell>
          <cell r="E51">
            <v>1215</v>
          </cell>
          <cell r="F51">
            <v>2350</v>
          </cell>
          <cell r="G51">
            <v>80</v>
          </cell>
          <cell r="H51">
            <v>315</v>
          </cell>
          <cell r="I51">
            <v>210</v>
          </cell>
          <cell r="J51">
            <v>4170</v>
          </cell>
          <cell r="K51">
            <v>3860</v>
          </cell>
          <cell r="L51">
            <v>305</v>
          </cell>
          <cell r="M51">
            <v>1500</v>
          </cell>
          <cell r="N51">
            <v>625</v>
          </cell>
          <cell r="O51">
            <v>305</v>
          </cell>
          <cell r="P51">
            <v>420</v>
          </cell>
          <cell r="Q51">
            <v>145</v>
          </cell>
          <cell r="R51">
            <v>1500</v>
          </cell>
          <cell r="S51">
            <v>1315</v>
          </cell>
          <cell r="T51">
            <v>1160</v>
          </cell>
          <cell r="U51">
            <v>475</v>
          </cell>
          <cell r="V51">
            <v>690</v>
          </cell>
          <cell r="W51">
            <v>200</v>
          </cell>
          <cell r="X51">
            <v>370</v>
          </cell>
          <cell r="Y51">
            <v>115</v>
          </cell>
          <cell r="Z51">
            <v>155</v>
          </cell>
          <cell r="AA51">
            <v>65</v>
          </cell>
          <cell r="AB51">
            <v>90</v>
          </cell>
          <cell r="AC51">
            <v>15</v>
          </cell>
          <cell r="AD51">
            <v>45</v>
          </cell>
          <cell r="AE51">
            <v>30</v>
          </cell>
          <cell r="AF51">
            <v>180</v>
          </cell>
          <cell r="AG51">
            <v>115</v>
          </cell>
          <cell r="AH51">
            <v>45</v>
          </cell>
          <cell r="AI51">
            <v>65</v>
          </cell>
          <cell r="AJ51">
            <v>0</v>
          </cell>
          <cell r="AK51">
            <v>65</v>
          </cell>
          <cell r="AL51">
            <v>40</v>
          </cell>
          <cell r="AM51">
            <v>15</v>
          </cell>
          <cell r="AN51">
            <v>10</v>
          </cell>
          <cell r="AO51">
            <v>1785</v>
          </cell>
          <cell r="AP51">
            <v>305</v>
          </cell>
          <cell r="AQ51">
            <v>675</v>
          </cell>
          <cell r="AR51">
            <v>215</v>
          </cell>
          <cell r="AS51">
            <v>430</v>
          </cell>
          <cell r="AT51">
            <v>160</v>
          </cell>
          <cell r="AU51">
            <v>1.2</v>
          </cell>
          <cell r="AV51">
            <v>5095</v>
          </cell>
          <cell r="AW51">
            <v>495</v>
          </cell>
          <cell r="AX51">
            <v>85</v>
          </cell>
          <cell r="AY51">
            <v>55</v>
          </cell>
          <cell r="AZ51">
            <v>355</v>
          </cell>
          <cell r="BA51">
            <v>4600</v>
          </cell>
          <cell r="BB51">
            <v>3.1</v>
          </cell>
          <cell r="BC51">
            <v>760</v>
          </cell>
          <cell r="BD51">
            <v>270</v>
          </cell>
          <cell r="BE51">
            <v>25</v>
          </cell>
          <cell r="BF51">
            <v>40</v>
          </cell>
          <cell r="BG51">
            <v>205</v>
          </cell>
          <cell r="BH51">
            <v>485</v>
          </cell>
          <cell r="BI51">
            <v>1865</v>
          </cell>
          <cell r="BJ51">
            <v>8</v>
          </cell>
          <cell r="BK51">
            <v>14920</v>
          </cell>
          <cell r="BL51">
            <v>3.4</v>
          </cell>
          <cell r="BM51">
            <v>6341</v>
          </cell>
          <cell r="BN51">
            <v>1865</v>
          </cell>
          <cell r="BO51">
            <v>1600</v>
          </cell>
          <cell r="BP51">
            <v>265</v>
          </cell>
          <cell r="BQ51">
            <v>0</v>
          </cell>
          <cell r="BR51">
            <v>1865</v>
          </cell>
          <cell r="BS51">
            <v>1055</v>
          </cell>
          <cell r="BT51">
            <v>675</v>
          </cell>
          <cell r="BU51">
            <v>135</v>
          </cell>
          <cell r="BV51">
            <v>1865</v>
          </cell>
          <cell r="BW51">
            <v>15</v>
          </cell>
          <cell r="BX51">
            <v>545</v>
          </cell>
          <cell r="BY51">
            <v>870</v>
          </cell>
          <cell r="BZ51">
            <v>170</v>
          </cell>
          <cell r="CA51">
            <v>125</v>
          </cell>
          <cell r="CB51">
            <v>90</v>
          </cell>
          <cell r="CC51">
            <v>10</v>
          </cell>
          <cell r="CD51">
            <v>20</v>
          </cell>
          <cell r="CE51">
            <v>15</v>
          </cell>
          <cell r="CF51">
            <v>1865</v>
          </cell>
          <cell r="CG51">
            <v>1380</v>
          </cell>
          <cell r="CH51">
            <v>60</v>
          </cell>
          <cell r="CI51">
            <v>230</v>
          </cell>
          <cell r="CJ51">
            <v>5</v>
          </cell>
          <cell r="CK51">
            <v>0</v>
          </cell>
          <cell r="CL51">
            <v>195</v>
          </cell>
          <cell r="CM51">
            <v>0</v>
          </cell>
          <cell r="CN51">
            <v>0</v>
          </cell>
          <cell r="CO51">
            <v>1870</v>
          </cell>
          <cell r="CP51">
            <v>355</v>
          </cell>
          <cell r="CQ51">
            <v>615</v>
          </cell>
          <cell r="CR51">
            <v>315</v>
          </cell>
          <cell r="CS51">
            <v>545</v>
          </cell>
          <cell r="CT51">
            <v>40</v>
          </cell>
          <cell r="CU51">
            <v>5100</v>
          </cell>
          <cell r="CV51">
            <v>2.7</v>
          </cell>
          <cell r="CW51">
            <v>1865</v>
          </cell>
          <cell r="CX51">
            <v>1455</v>
          </cell>
          <cell r="CY51">
            <v>20</v>
          </cell>
          <cell r="CZ51">
            <v>390</v>
          </cell>
        </row>
        <row r="52">
          <cell r="A52" t="str">
            <v>4620462.02</v>
          </cell>
          <cell r="B52" t="str">
            <v>0462.02</v>
          </cell>
          <cell r="C52" t="str">
            <v>BEACONSFIELD</v>
          </cell>
          <cell r="D52">
            <v>4520</v>
          </cell>
          <cell r="E52">
            <v>1295</v>
          </cell>
          <cell r="F52">
            <v>2755</v>
          </cell>
          <cell r="G52">
            <v>75</v>
          </cell>
          <cell r="H52">
            <v>235</v>
          </cell>
          <cell r="I52">
            <v>155</v>
          </cell>
          <cell r="J52">
            <v>4520</v>
          </cell>
          <cell r="K52">
            <v>4315</v>
          </cell>
          <cell r="L52">
            <v>205</v>
          </cell>
          <cell r="M52">
            <v>1640</v>
          </cell>
          <cell r="N52">
            <v>520</v>
          </cell>
          <cell r="O52">
            <v>320</v>
          </cell>
          <cell r="P52">
            <v>515</v>
          </cell>
          <cell r="Q52">
            <v>280</v>
          </cell>
          <cell r="R52">
            <v>1640</v>
          </cell>
          <cell r="S52">
            <v>1480</v>
          </cell>
          <cell r="T52">
            <v>1375</v>
          </cell>
          <cell r="U52">
            <v>400</v>
          </cell>
          <cell r="V52">
            <v>975</v>
          </cell>
          <cell r="W52">
            <v>235</v>
          </cell>
          <cell r="X52">
            <v>465</v>
          </cell>
          <cell r="Y52">
            <v>270</v>
          </cell>
          <cell r="Z52">
            <v>110</v>
          </cell>
          <cell r="AA52">
            <v>30</v>
          </cell>
          <cell r="AB52">
            <v>80</v>
          </cell>
          <cell r="AC52">
            <v>40</v>
          </cell>
          <cell r="AD52">
            <v>25</v>
          </cell>
          <cell r="AE52">
            <v>10</v>
          </cell>
          <cell r="AF52">
            <v>155</v>
          </cell>
          <cell r="AG52">
            <v>120</v>
          </cell>
          <cell r="AH52">
            <v>70</v>
          </cell>
          <cell r="AI52">
            <v>20</v>
          </cell>
          <cell r="AJ52">
            <v>30</v>
          </cell>
          <cell r="AK52">
            <v>35</v>
          </cell>
          <cell r="AL52">
            <v>20</v>
          </cell>
          <cell r="AM52">
            <v>15</v>
          </cell>
          <cell r="AN52">
            <v>0</v>
          </cell>
          <cell r="AO52">
            <v>2420</v>
          </cell>
          <cell r="AP52">
            <v>410</v>
          </cell>
          <cell r="AQ52">
            <v>925</v>
          </cell>
          <cell r="AR52">
            <v>335</v>
          </cell>
          <cell r="AS52">
            <v>550</v>
          </cell>
          <cell r="AT52">
            <v>205</v>
          </cell>
          <cell r="AU52">
            <v>1.5</v>
          </cell>
          <cell r="AV52">
            <v>5845</v>
          </cell>
          <cell r="AW52">
            <v>300</v>
          </cell>
          <cell r="AX52">
            <v>55</v>
          </cell>
          <cell r="AY52">
            <v>30</v>
          </cell>
          <cell r="AZ52">
            <v>220</v>
          </cell>
          <cell r="BA52">
            <v>5545</v>
          </cell>
          <cell r="BB52">
            <v>3.4</v>
          </cell>
          <cell r="BC52">
            <v>530</v>
          </cell>
          <cell r="BD52">
            <v>155</v>
          </cell>
          <cell r="BE52">
            <v>35</v>
          </cell>
          <cell r="BF52">
            <v>10</v>
          </cell>
          <cell r="BG52">
            <v>110</v>
          </cell>
          <cell r="BH52">
            <v>380</v>
          </cell>
          <cell r="BI52">
            <v>1855</v>
          </cell>
          <cell r="BJ52">
            <v>8.9</v>
          </cell>
          <cell r="BK52">
            <v>16509.5</v>
          </cell>
          <cell r="BL52">
            <v>3.8</v>
          </cell>
          <cell r="BM52">
            <v>7049</v>
          </cell>
          <cell r="BN52">
            <v>1855</v>
          </cell>
          <cell r="BO52">
            <v>1595</v>
          </cell>
          <cell r="BP52">
            <v>260</v>
          </cell>
          <cell r="BQ52">
            <v>0</v>
          </cell>
          <cell r="BR52">
            <v>1855</v>
          </cell>
          <cell r="BS52">
            <v>1125</v>
          </cell>
          <cell r="BT52">
            <v>635</v>
          </cell>
          <cell r="BU52">
            <v>95</v>
          </cell>
          <cell r="BV52">
            <v>1855</v>
          </cell>
          <cell r="BW52">
            <v>10</v>
          </cell>
          <cell r="BX52">
            <v>110</v>
          </cell>
          <cell r="BY52">
            <v>630</v>
          </cell>
          <cell r="BZ52">
            <v>575</v>
          </cell>
          <cell r="CA52">
            <v>175</v>
          </cell>
          <cell r="CB52">
            <v>155</v>
          </cell>
          <cell r="CC52">
            <v>85</v>
          </cell>
          <cell r="CD52">
            <v>65</v>
          </cell>
          <cell r="CE52">
            <v>35</v>
          </cell>
          <cell r="CF52">
            <v>1855</v>
          </cell>
          <cell r="CG52">
            <v>1550</v>
          </cell>
          <cell r="CH52">
            <v>5</v>
          </cell>
          <cell r="CI52">
            <v>200</v>
          </cell>
          <cell r="CJ52">
            <v>0</v>
          </cell>
          <cell r="CK52">
            <v>0</v>
          </cell>
          <cell r="CL52">
            <v>100</v>
          </cell>
          <cell r="CM52">
            <v>0</v>
          </cell>
          <cell r="CN52">
            <v>0</v>
          </cell>
          <cell r="CO52">
            <v>1855</v>
          </cell>
          <cell r="CP52">
            <v>220</v>
          </cell>
          <cell r="CQ52">
            <v>485</v>
          </cell>
          <cell r="CR52">
            <v>325</v>
          </cell>
          <cell r="CS52">
            <v>775</v>
          </cell>
          <cell r="CT52">
            <v>55</v>
          </cell>
          <cell r="CU52">
            <v>5845</v>
          </cell>
          <cell r="CV52">
            <v>3.2</v>
          </cell>
          <cell r="CW52">
            <v>1855</v>
          </cell>
          <cell r="CX52">
            <v>1605</v>
          </cell>
          <cell r="CY52">
            <v>15</v>
          </cell>
          <cell r="CZ52">
            <v>230</v>
          </cell>
        </row>
        <row r="53">
          <cell r="C53" t="str">
            <v>BEACONSFIELD</v>
          </cell>
          <cell r="D53">
            <v>15245</v>
          </cell>
          <cell r="E53">
            <v>4265</v>
          </cell>
          <cell r="F53">
            <v>9075</v>
          </cell>
          <cell r="G53">
            <v>245</v>
          </cell>
          <cell r="H53">
            <v>970</v>
          </cell>
          <cell r="I53">
            <v>690</v>
          </cell>
          <cell r="J53">
            <v>15250</v>
          </cell>
          <cell r="K53">
            <v>14230</v>
          </cell>
          <cell r="L53">
            <v>1005</v>
          </cell>
          <cell r="M53">
            <v>5525</v>
          </cell>
          <cell r="N53">
            <v>2125</v>
          </cell>
          <cell r="O53">
            <v>1120</v>
          </cell>
          <cell r="P53">
            <v>1575</v>
          </cell>
          <cell r="Q53">
            <v>710</v>
          </cell>
          <cell r="R53">
            <v>5535</v>
          </cell>
          <cell r="S53">
            <v>5005</v>
          </cell>
          <cell r="T53">
            <v>4490</v>
          </cell>
          <cell r="U53">
            <v>1645</v>
          </cell>
          <cell r="V53">
            <v>2850</v>
          </cell>
          <cell r="W53">
            <v>815</v>
          </cell>
          <cell r="X53">
            <v>1390</v>
          </cell>
          <cell r="Y53">
            <v>635</v>
          </cell>
          <cell r="Z53">
            <v>515</v>
          </cell>
          <cell r="AA53">
            <v>210</v>
          </cell>
          <cell r="AB53">
            <v>310</v>
          </cell>
          <cell r="AC53">
            <v>100</v>
          </cell>
          <cell r="AD53">
            <v>130</v>
          </cell>
          <cell r="AE53">
            <v>70</v>
          </cell>
          <cell r="AF53">
            <v>520</v>
          </cell>
          <cell r="AG53">
            <v>350</v>
          </cell>
          <cell r="AH53">
            <v>175</v>
          </cell>
          <cell r="AI53">
            <v>125</v>
          </cell>
          <cell r="AJ53">
            <v>45</v>
          </cell>
          <cell r="AK53">
            <v>160</v>
          </cell>
          <cell r="AL53">
            <v>95</v>
          </cell>
          <cell r="AM53">
            <v>60</v>
          </cell>
          <cell r="AN53">
            <v>20</v>
          </cell>
          <cell r="AO53">
            <v>7090</v>
          </cell>
          <cell r="AP53">
            <v>1245</v>
          </cell>
          <cell r="AQ53">
            <v>2715</v>
          </cell>
          <cell r="AR53">
            <v>925</v>
          </cell>
          <cell r="AS53">
            <v>1595</v>
          </cell>
          <cell r="AT53">
            <v>610</v>
          </cell>
          <cell r="AU53">
            <v>1.2809394760614272</v>
          </cell>
          <cell r="AV53">
            <v>19065</v>
          </cell>
          <cell r="AW53">
            <v>1425</v>
          </cell>
          <cell r="AX53">
            <v>270</v>
          </cell>
          <cell r="AY53">
            <v>185</v>
          </cell>
          <cell r="AZ53">
            <v>980</v>
          </cell>
          <cell r="BA53">
            <v>17630</v>
          </cell>
          <cell r="BB53">
            <v>3.1851851851851851</v>
          </cell>
          <cell r="BC53">
            <v>2555</v>
          </cell>
          <cell r="BD53">
            <v>745</v>
          </cell>
          <cell r="BE53">
            <v>135</v>
          </cell>
          <cell r="BF53">
            <v>80</v>
          </cell>
          <cell r="BG53">
            <v>530</v>
          </cell>
          <cell r="BH53">
            <v>1815</v>
          </cell>
          <cell r="BI53">
            <v>6555</v>
          </cell>
          <cell r="BJ53">
            <v>8.5355453852021359</v>
          </cell>
          <cell r="BK53">
            <v>55950.5</v>
          </cell>
          <cell r="BL53">
            <v>3.6119755911517926</v>
          </cell>
          <cell r="BM53">
            <v>23676.5</v>
          </cell>
          <cell r="BN53">
            <v>6555</v>
          </cell>
          <cell r="BO53">
            <v>5945</v>
          </cell>
          <cell r="BP53">
            <v>610</v>
          </cell>
          <cell r="BQ53">
            <v>0</v>
          </cell>
          <cell r="BR53">
            <v>6555</v>
          </cell>
          <cell r="BS53">
            <v>3820</v>
          </cell>
          <cell r="BT53">
            <v>2290</v>
          </cell>
          <cell r="BU53">
            <v>440</v>
          </cell>
          <cell r="BV53">
            <v>6555</v>
          </cell>
          <cell r="BW53">
            <v>220</v>
          </cell>
          <cell r="BX53">
            <v>2040</v>
          </cell>
          <cell r="BY53">
            <v>2320</v>
          </cell>
          <cell r="BZ53">
            <v>1070</v>
          </cell>
          <cell r="CA53">
            <v>320</v>
          </cell>
          <cell r="CB53">
            <v>290</v>
          </cell>
          <cell r="CC53">
            <v>95</v>
          </cell>
          <cell r="CD53">
            <v>85</v>
          </cell>
          <cell r="CE53">
            <v>85</v>
          </cell>
          <cell r="CF53">
            <v>6555</v>
          </cell>
          <cell r="CG53">
            <v>5685</v>
          </cell>
          <cell r="CH53">
            <v>85</v>
          </cell>
          <cell r="CI53">
            <v>460</v>
          </cell>
          <cell r="CJ53">
            <v>5</v>
          </cell>
          <cell r="CK53">
            <v>0</v>
          </cell>
          <cell r="CL53">
            <v>320</v>
          </cell>
          <cell r="CM53">
            <v>0</v>
          </cell>
          <cell r="CN53">
            <v>0</v>
          </cell>
          <cell r="CO53">
            <v>6560</v>
          </cell>
          <cell r="CP53">
            <v>980</v>
          </cell>
          <cell r="CQ53">
            <v>2080</v>
          </cell>
          <cell r="CR53">
            <v>1115</v>
          </cell>
          <cell r="CS53">
            <v>2220</v>
          </cell>
          <cell r="CT53">
            <v>175</v>
          </cell>
          <cell r="CU53">
            <v>19060</v>
          </cell>
          <cell r="CV53">
            <v>2.9054878048780486</v>
          </cell>
          <cell r="CW53">
            <v>6555</v>
          </cell>
          <cell r="CX53">
            <v>5420</v>
          </cell>
          <cell r="CY53">
            <v>55</v>
          </cell>
          <cell r="CZ53">
            <v>1080</v>
          </cell>
        </row>
        <row r="56">
          <cell r="A56" t="str">
            <v>4620094.01</v>
          </cell>
          <cell r="B56" t="str">
            <v>0094.01</v>
          </cell>
          <cell r="C56" t="str">
            <v>Côte-des-Neiges-Notre-Dame-de-Grâce</v>
          </cell>
          <cell r="D56">
            <v>5015</v>
          </cell>
          <cell r="E56">
            <v>2270</v>
          </cell>
          <cell r="F56">
            <v>1735</v>
          </cell>
          <cell r="G56">
            <v>175</v>
          </cell>
          <cell r="H56">
            <v>555</v>
          </cell>
          <cell r="I56">
            <v>285</v>
          </cell>
          <cell r="J56">
            <v>5015</v>
          </cell>
          <cell r="K56">
            <v>4565</v>
          </cell>
          <cell r="L56">
            <v>450</v>
          </cell>
          <cell r="M56">
            <v>1510</v>
          </cell>
          <cell r="N56">
            <v>795</v>
          </cell>
          <cell r="O56">
            <v>390</v>
          </cell>
          <cell r="P56">
            <v>240</v>
          </cell>
          <cell r="Q56">
            <v>85</v>
          </cell>
          <cell r="R56">
            <v>1510</v>
          </cell>
          <cell r="S56">
            <v>1060</v>
          </cell>
          <cell r="T56">
            <v>810</v>
          </cell>
          <cell r="U56">
            <v>320</v>
          </cell>
          <cell r="V56">
            <v>490</v>
          </cell>
          <cell r="W56">
            <v>230</v>
          </cell>
          <cell r="X56">
            <v>205</v>
          </cell>
          <cell r="Y56">
            <v>50</v>
          </cell>
          <cell r="Z56">
            <v>245</v>
          </cell>
          <cell r="AA56">
            <v>165</v>
          </cell>
          <cell r="AB56">
            <v>80</v>
          </cell>
          <cell r="AC56">
            <v>45</v>
          </cell>
          <cell r="AD56">
            <v>15</v>
          </cell>
          <cell r="AE56">
            <v>20</v>
          </cell>
          <cell r="AF56">
            <v>455</v>
          </cell>
          <cell r="AG56">
            <v>370</v>
          </cell>
          <cell r="AH56">
            <v>250</v>
          </cell>
          <cell r="AI56">
            <v>95</v>
          </cell>
          <cell r="AJ56">
            <v>25</v>
          </cell>
          <cell r="AK56">
            <v>80</v>
          </cell>
          <cell r="AL56">
            <v>65</v>
          </cell>
          <cell r="AM56">
            <v>15</v>
          </cell>
          <cell r="AN56">
            <v>0</v>
          </cell>
          <cell r="AO56">
            <v>1615</v>
          </cell>
          <cell r="AP56">
            <v>415</v>
          </cell>
          <cell r="AQ56">
            <v>520</v>
          </cell>
          <cell r="AR56">
            <v>190</v>
          </cell>
          <cell r="AS56">
            <v>265</v>
          </cell>
          <cell r="AT56">
            <v>230</v>
          </cell>
          <cell r="AU56">
            <v>1.1000000000000001</v>
          </cell>
          <cell r="AV56">
            <v>5910</v>
          </cell>
          <cell r="AW56">
            <v>1730</v>
          </cell>
          <cell r="AX56">
            <v>235</v>
          </cell>
          <cell r="AY56">
            <v>345</v>
          </cell>
          <cell r="AZ56">
            <v>1145</v>
          </cell>
          <cell r="BA56">
            <v>4185</v>
          </cell>
          <cell r="BB56">
            <v>2.8</v>
          </cell>
          <cell r="BC56">
            <v>670</v>
          </cell>
          <cell r="BD56">
            <v>275</v>
          </cell>
          <cell r="BE56">
            <v>30</v>
          </cell>
          <cell r="BF56">
            <v>15</v>
          </cell>
          <cell r="BG56">
            <v>230</v>
          </cell>
          <cell r="BH56">
            <v>395</v>
          </cell>
          <cell r="BI56">
            <v>2815</v>
          </cell>
          <cell r="BJ56">
            <v>4.3</v>
          </cell>
          <cell r="BK56">
            <v>12104.5</v>
          </cell>
          <cell r="BL56">
            <v>1.8</v>
          </cell>
          <cell r="BM56">
            <v>5067</v>
          </cell>
          <cell r="BN56">
            <v>2815</v>
          </cell>
          <cell r="BO56">
            <v>500</v>
          </cell>
          <cell r="BP56">
            <v>2315</v>
          </cell>
          <cell r="BQ56">
            <v>0</v>
          </cell>
          <cell r="BR56">
            <v>2815</v>
          </cell>
          <cell r="BS56">
            <v>1580</v>
          </cell>
          <cell r="BT56">
            <v>915</v>
          </cell>
          <cell r="BU56">
            <v>315</v>
          </cell>
          <cell r="BV56">
            <v>2815</v>
          </cell>
          <cell r="BW56">
            <v>695</v>
          </cell>
          <cell r="BX56">
            <v>925</v>
          </cell>
          <cell r="BY56">
            <v>625</v>
          </cell>
          <cell r="BZ56">
            <v>320</v>
          </cell>
          <cell r="CA56">
            <v>95</v>
          </cell>
          <cell r="CB56">
            <v>50</v>
          </cell>
          <cell r="CC56">
            <v>45</v>
          </cell>
          <cell r="CD56">
            <v>40</v>
          </cell>
          <cell r="CE56">
            <v>10</v>
          </cell>
          <cell r="CF56">
            <v>2820</v>
          </cell>
          <cell r="CG56">
            <v>15</v>
          </cell>
          <cell r="CH56">
            <v>10</v>
          </cell>
          <cell r="CI56">
            <v>25</v>
          </cell>
          <cell r="CJ56">
            <v>805</v>
          </cell>
          <cell r="CK56">
            <v>85</v>
          </cell>
          <cell r="CL56">
            <v>1875</v>
          </cell>
          <cell r="CM56">
            <v>5</v>
          </cell>
          <cell r="CN56">
            <v>0</v>
          </cell>
          <cell r="CO56">
            <v>2815</v>
          </cell>
          <cell r="CP56">
            <v>1145</v>
          </cell>
          <cell r="CQ56">
            <v>840</v>
          </cell>
          <cell r="CR56">
            <v>435</v>
          </cell>
          <cell r="CS56">
            <v>355</v>
          </cell>
          <cell r="CT56">
            <v>45</v>
          </cell>
          <cell r="CU56">
            <v>5915</v>
          </cell>
          <cell r="CV56">
            <v>2.1</v>
          </cell>
          <cell r="CW56">
            <v>2815</v>
          </cell>
          <cell r="CX56">
            <v>1415</v>
          </cell>
          <cell r="CY56">
            <v>45</v>
          </cell>
          <cell r="CZ56">
            <v>1350</v>
          </cell>
        </row>
        <row r="57">
          <cell r="A57" t="str">
            <v>4620095.00</v>
          </cell>
          <cell r="B57" t="str">
            <v>0095.00</v>
          </cell>
          <cell r="C57" t="str">
            <v>Côte-des-Neiges-Notre-Dame-de-Grâce</v>
          </cell>
          <cell r="D57">
            <v>1970</v>
          </cell>
          <cell r="E57">
            <v>1270</v>
          </cell>
          <cell r="F57">
            <v>390</v>
          </cell>
          <cell r="G57">
            <v>50</v>
          </cell>
          <cell r="H57">
            <v>155</v>
          </cell>
          <cell r="I57">
            <v>100</v>
          </cell>
          <cell r="J57">
            <v>1970</v>
          </cell>
          <cell r="K57">
            <v>1710</v>
          </cell>
          <cell r="L57">
            <v>260</v>
          </cell>
          <cell r="M57">
            <v>390</v>
          </cell>
          <cell r="N57">
            <v>230</v>
          </cell>
          <cell r="O57">
            <v>85</v>
          </cell>
          <cell r="P57">
            <v>60</v>
          </cell>
          <cell r="Q57">
            <v>20</v>
          </cell>
          <cell r="R57">
            <v>390</v>
          </cell>
          <cell r="S57">
            <v>295</v>
          </cell>
          <cell r="T57">
            <v>155</v>
          </cell>
          <cell r="U57">
            <v>35</v>
          </cell>
          <cell r="V57">
            <v>120</v>
          </cell>
          <cell r="W57">
            <v>45</v>
          </cell>
          <cell r="X57">
            <v>60</v>
          </cell>
          <cell r="Y57">
            <v>15</v>
          </cell>
          <cell r="Z57">
            <v>135</v>
          </cell>
          <cell r="AA57">
            <v>130</v>
          </cell>
          <cell r="AB57">
            <v>10</v>
          </cell>
          <cell r="AC57">
            <v>0</v>
          </cell>
          <cell r="AD57">
            <v>0</v>
          </cell>
          <cell r="AE57">
            <v>0</v>
          </cell>
          <cell r="AF57">
            <v>100</v>
          </cell>
          <cell r="AG57">
            <v>85</v>
          </cell>
          <cell r="AH57">
            <v>45</v>
          </cell>
          <cell r="AI57">
            <v>30</v>
          </cell>
          <cell r="AJ57">
            <v>10</v>
          </cell>
          <cell r="AK57">
            <v>15</v>
          </cell>
          <cell r="AL57">
            <v>15</v>
          </cell>
          <cell r="AM57">
            <v>0</v>
          </cell>
          <cell r="AN57">
            <v>0</v>
          </cell>
          <cell r="AO57">
            <v>365</v>
          </cell>
          <cell r="AP57">
            <v>75</v>
          </cell>
          <cell r="AQ57">
            <v>140</v>
          </cell>
          <cell r="AR57">
            <v>55</v>
          </cell>
          <cell r="AS57">
            <v>50</v>
          </cell>
          <cell r="AT57">
            <v>40</v>
          </cell>
          <cell r="AU57">
            <v>0.9</v>
          </cell>
          <cell r="AV57">
            <v>2035</v>
          </cell>
          <cell r="AW57">
            <v>980</v>
          </cell>
          <cell r="AX57">
            <v>65</v>
          </cell>
          <cell r="AY57">
            <v>350</v>
          </cell>
          <cell r="AZ57">
            <v>565</v>
          </cell>
          <cell r="BA57">
            <v>1050</v>
          </cell>
          <cell r="BB57">
            <v>2.7</v>
          </cell>
          <cell r="BC57">
            <v>115</v>
          </cell>
          <cell r="BD57">
            <v>85</v>
          </cell>
          <cell r="BE57">
            <v>0</v>
          </cell>
          <cell r="BF57">
            <v>0</v>
          </cell>
          <cell r="BG57">
            <v>85</v>
          </cell>
          <cell r="BH57">
            <v>30</v>
          </cell>
          <cell r="BI57">
            <v>1120</v>
          </cell>
          <cell r="BJ57">
            <v>4.4000000000000004</v>
          </cell>
          <cell r="BK57">
            <v>4928</v>
          </cell>
          <cell r="BL57">
            <v>1.7</v>
          </cell>
          <cell r="BM57">
            <v>1904</v>
          </cell>
          <cell r="BN57">
            <v>1120</v>
          </cell>
          <cell r="BO57">
            <v>160</v>
          </cell>
          <cell r="BP57">
            <v>960</v>
          </cell>
          <cell r="BQ57">
            <v>0</v>
          </cell>
          <cell r="BR57">
            <v>1120</v>
          </cell>
          <cell r="BS57">
            <v>480</v>
          </cell>
          <cell r="BT57">
            <v>470</v>
          </cell>
          <cell r="BU57">
            <v>165</v>
          </cell>
          <cell r="BV57">
            <v>1120</v>
          </cell>
          <cell r="BW57">
            <v>620</v>
          </cell>
          <cell r="BX57">
            <v>230</v>
          </cell>
          <cell r="BY57">
            <v>145</v>
          </cell>
          <cell r="BZ57">
            <v>80</v>
          </cell>
          <cell r="CA57">
            <v>10</v>
          </cell>
          <cell r="CB57">
            <v>20</v>
          </cell>
          <cell r="CC57">
            <v>0</v>
          </cell>
          <cell r="CD57">
            <v>0</v>
          </cell>
          <cell r="CE57">
            <v>0</v>
          </cell>
          <cell r="CF57">
            <v>1120</v>
          </cell>
          <cell r="CG57">
            <v>5</v>
          </cell>
          <cell r="CH57">
            <v>35</v>
          </cell>
          <cell r="CI57">
            <v>0</v>
          </cell>
          <cell r="CJ57">
            <v>95</v>
          </cell>
          <cell r="CK57">
            <v>110</v>
          </cell>
          <cell r="CL57">
            <v>880</v>
          </cell>
          <cell r="CM57">
            <v>5</v>
          </cell>
          <cell r="CN57">
            <v>0</v>
          </cell>
          <cell r="CO57">
            <v>1120</v>
          </cell>
          <cell r="CP57">
            <v>555</v>
          </cell>
          <cell r="CQ57">
            <v>345</v>
          </cell>
          <cell r="CR57">
            <v>130</v>
          </cell>
          <cell r="CS57">
            <v>90</v>
          </cell>
          <cell r="CT57">
            <v>5</v>
          </cell>
          <cell r="CU57">
            <v>2030</v>
          </cell>
          <cell r="CV57">
            <v>1.8</v>
          </cell>
          <cell r="CW57">
            <v>1120</v>
          </cell>
          <cell r="CX57">
            <v>365</v>
          </cell>
          <cell r="CY57">
            <v>10</v>
          </cell>
          <cell r="CZ57">
            <v>740</v>
          </cell>
        </row>
        <row r="58">
          <cell r="A58" t="str">
            <v>4620096.00</v>
          </cell>
          <cell r="B58" t="str">
            <v>0096.00</v>
          </cell>
          <cell r="C58" t="str">
            <v>Côte-des-Neiges-Notre-Dame-de-Grâce</v>
          </cell>
          <cell r="D58">
            <v>1835</v>
          </cell>
          <cell r="E58">
            <v>1100</v>
          </cell>
          <cell r="F58">
            <v>440</v>
          </cell>
          <cell r="G58">
            <v>45</v>
          </cell>
          <cell r="H58">
            <v>200</v>
          </cell>
          <cell r="I58">
            <v>55</v>
          </cell>
          <cell r="J58">
            <v>1835</v>
          </cell>
          <cell r="K58">
            <v>1530</v>
          </cell>
          <cell r="L58">
            <v>310</v>
          </cell>
          <cell r="M58">
            <v>545</v>
          </cell>
          <cell r="N58">
            <v>315</v>
          </cell>
          <cell r="O58">
            <v>130</v>
          </cell>
          <cell r="P58">
            <v>70</v>
          </cell>
          <cell r="Q58">
            <v>35</v>
          </cell>
          <cell r="R58">
            <v>550</v>
          </cell>
          <cell r="S58">
            <v>380</v>
          </cell>
          <cell r="T58">
            <v>225</v>
          </cell>
          <cell r="U58">
            <v>100</v>
          </cell>
          <cell r="V58">
            <v>130</v>
          </cell>
          <cell r="W58">
            <v>50</v>
          </cell>
          <cell r="X58">
            <v>55</v>
          </cell>
          <cell r="Y58">
            <v>25</v>
          </cell>
          <cell r="Z58">
            <v>150</v>
          </cell>
          <cell r="AA58">
            <v>110</v>
          </cell>
          <cell r="AB58">
            <v>40</v>
          </cell>
          <cell r="AC58">
            <v>20</v>
          </cell>
          <cell r="AD58">
            <v>15</v>
          </cell>
          <cell r="AE58">
            <v>10</v>
          </cell>
          <cell r="AF58">
            <v>165</v>
          </cell>
          <cell r="AG58">
            <v>125</v>
          </cell>
          <cell r="AH58">
            <v>80</v>
          </cell>
          <cell r="AI58">
            <v>45</v>
          </cell>
          <cell r="AJ58">
            <v>0</v>
          </cell>
          <cell r="AK58">
            <v>40</v>
          </cell>
          <cell r="AL58">
            <v>25</v>
          </cell>
          <cell r="AM58">
            <v>15</v>
          </cell>
          <cell r="AN58">
            <v>0</v>
          </cell>
          <cell r="AO58">
            <v>540</v>
          </cell>
          <cell r="AP58">
            <v>135</v>
          </cell>
          <cell r="AQ58">
            <v>160</v>
          </cell>
          <cell r="AR58">
            <v>35</v>
          </cell>
          <cell r="AS58">
            <v>155</v>
          </cell>
          <cell r="AT58">
            <v>60</v>
          </cell>
          <cell r="AU58">
            <v>1</v>
          </cell>
          <cell r="AV58">
            <v>2110</v>
          </cell>
          <cell r="AW58">
            <v>640</v>
          </cell>
          <cell r="AX58">
            <v>60</v>
          </cell>
          <cell r="AY58">
            <v>190</v>
          </cell>
          <cell r="AZ58">
            <v>395</v>
          </cell>
          <cell r="BA58">
            <v>1465</v>
          </cell>
          <cell r="BB58">
            <v>2.7</v>
          </cell>
          <cell r="BC58">
            <v>160</v>
          </cell>
          <cell r="BD58">
            <v>35</v>
          </cell>
          <cell r="BE58">
            <v>10</v>
          </cell>
          <cell r="BF58">
            <v>0</v>
          </cell>
          <cell r="BG58">
            <v>30</v>
          </cell>
          <cell r="BH58">
            <v>125</v>
          </cell>
          <cell r="BI58">
            <v>1030</v>
          </cell>
          <cell r="BJ58">
            <v>5.3</v>
          </cell>
          <cell r="BK58">
            <v>5459</v>
          </cell>
          <cell r="BL58">
            <v>2.2000000000000002</v>
          </cell>
          <cell r="BM58">
            <v>2266</v>
          </cell>
          <cell r="BN58">
            <v>1035</v>
          </cell>
          <cell r="BO58">
            <v>350</v>
          </cell>
          <cell r="BP58">
            <v>685</v>
          </cell>
          <cell r="BQ58">
            <v>0</v>
          </cell>
          <cell r="BR58">
            <v>1035</v>
          </cell>
          <cell r="BS58">
            <v>400</v>
          </cell>
          <cell r="BT58">
            <v>455</v>
          </cell>
          <cell r="BU58">
            <v>180</v>
          </cell>
          <cell r="BV58">
            <v>1030</v>
          </cell>
          <cell r="BW58">
            <v>715</v>
          </cell>
          <cell r="BX58">
            <v>200</v>
          </cell>
          <cell r="BY58">
            <v>100</v>
          </cell>
          <cell r="BZ58">
            <v>10</v>
          </cell>
          <cell r="CA58">
            <v>0</v>
          </cell>
          <cell r="CB58">
            <v>0</v>
          </cell>
          <cell r="CC58">
            <v>0</v>
          </cell>
          <cell r="CD58">
            <v>0</v>
          </cell>
          <cell r="CE58">
            <v>0</v>
          </cell>
          <cell r="CF58">
            <v>1035</v>
          </cell>
          <cell r="CG58">
            <v>0</v>
          </cell>
          <cell r="CH58">
            <v>5</v>
          </cell>
          <cell r="CI58">
            <v>10</v>
          </cell>
          <cell r="CJ58">
            <v>600</v>
          </cell>
          <cell r="CK58">
            <v>70</v>
          </cell>
          <cell r="CL58">
            <v>345</v>
          </cell>
          <cell r="CM58">
            <v>0</v>
          </cell>
          <cell r="CN58">
            <v>5</v>
          </cell>
          <cell r="CO58">
            <v>1040</v>
          </cell>
          <cell r="CP58">
            <v>400</v>
          </cell>
          <cell r="CQ58">
            <v>355</v>
          </cell>
          <cell r="CR58">
            <v>160</v>
          </cell>
          <cell r="CS58">
            <v>115</v>
          </cell>
          <cell r="CT58">
            <v>10</v>
          </cell>
          <cell r="CU58">
            <v>2120</v>
          </cell>
          <cell r="CV58">
            <v>2</v>
          </cell>
          <cell r="CW58">
            <v>1030</v>
          </cell>
          <cell r="CX58">
            <v>540</v>
          </cell>
          <cell r="CY58">
            <v>0</v>
          </cell>
          <cell r="CZ58">
            <v>485</v>
          </cell>
        </row>
        <row r="59">
          <cell r="A59" t="str">
            <v>4620097.01</v>
          </cell>
          <cell r="B59" t="str">
            <v>0097.01</v>
          </cell>
          <cell r="C59" t="str">
            <v>Côte-des-Neiges-Notre-Dame-de-Grâce</v>
          </cell>
          <cell r="D59">
            <v>5370</v>
          </cell>
          <cell r="E59">
            <v>2515</v>
          </cell>
          <cell r="F59">
            <v>1830</v>
          </cell>
          <cell r="G59">
            <v>190</v>
          </cell>
          <cell r="H59">
            <v>610</v>
          </cell>
          <cell r="I59">
            <v>220</v>
          </cell>
          <cell r="J59">
            <v>5365</v>
          </cell>
          <cell r="K59">
            <v>4835</v>
          </cell>
          <cell r="L59">
            <v>535</v>
          </cell>
          <cell r="M59">
            <v>1530</v>
          </cell>
          <cell r="N59">
            <v>835</v>
          </cell>
          <cell r="O59">
            <v>410</v>
          </cell>
          <cell r="P59">
            <v>220</v>
          </cell>
          <cell r="Q59">
            <v>65</v>
          </cell>
          <cell r="R59">
            <v>1530</v>
          </cell>
          <cell r="S59">
            <v>1125</v>
          </cell>
          <cell r="T59">
            <v>860</v>
          </cell>
          <cell r="U59">
            <v>345</v>
          </cell>
          <cell r="V59">
            <v>515</v>
          </cell>
          <cell r="W59">
            <v>275</v>
          </cell>
          <cell r="X59">
            <v>180</v>
          </cell>
          <cell r="Y59">
            <v>60</v>
          </cell>
          <cell r="Z59">
            <v>270</v>
          </cell>
          <cell r="AA59">
            <v>165</v>
          </cell>
          <cell r="AB59">
            <v>100</v>
          </cell>
          <cell r="AC59">
            <v>70</v>
          </cell>
          <cell r="AD59">
            <v>30</v>
          </cell>
          <cell r="AE59">
            <v>0</v>
          </cell>
          <cell r="AF59">
            <v>400</v>
          </cell>
          <cell r="AG59">
            <v>365</v>
          </cell>
          <cell r="AH59">
            <v>305</v>
          </cell>
          <cell r="AI59">
            <v>45</v>
          </cell>
          <cell r="AJ59">
            <v>15</v>
          </cell>
          <cell r="AK59">
            <v>40</v>
          </cell>
          <cell r="AL59">
            <v>15</v>
          </cell>
          <cell r="AM59">
            <v>25</v>
          </cell>
          <cell r="AN59">
            <v>0</v>
          </cell>
          <cell r="AO59">
            <v>1475</v>
          </cell>
          <cell r="AP59">
            <v>425</v>
          </cell>
          <cell r="AQ59">
            <v>485</v>
          </cell>
          <cell r="AR59">
            <v>160</v>
          </cell>
          <cell r="AS59">
            <v>235</v>
          </cell>
          <cell r="AT59">
            <v>165</v>
          </cell>
          <cell r="AU59">
            <v>1</v>
          </cell>
          <cell r="AV59">
            <v>6255</v>
          </cell>
          <cell r="AW59">
            <v>2115</v>
          </cell>
          <cell r="AX59">
            <v>125</v>
          </cell>
          <cell r="AY59">
            <v>455</v>
          </cell>
          <cell r="AZ59">
            <v>1535</v>
          </cell>
          <cell r="BA59">
            <v>4135</v>
          </cell>
          <cell r="BB59">
            <v>2.7</v>
          </cell>
          <cell r="BC59">
            <v>635</v>
          </cell>
          <cell r="BD59">
            <v>300</v>
          </cell>
          <cell r="BE59">
            <v>15</v>
          </cell>
          <cell r="BF59">
            <v>25</v>
          </cell>
          <cell r="BG59">
            <v>260</v>
          </cell>
          <cell r="BH59">
            <v>330</v>
          </cell>
          <cell r="BI59">
            <v>3285</v>
          </cell>
          <cell r="BJ59">
            <v>3.9</v>
          </cell>
          <cell r="BK59">
            <v>12811.5</v>
          </cell>
          <cell r="BL59">
            <v>1.5</v>
          </cell>
          <cell r="BM59">
            <v>4927.5</v>
          </cell>
          <cell r="BN59">
            <v>3285</v>
          </cell>
          <cell r="BO59">
            <v>510</v>
          </cell>
          <cell r="BP59">
            <v>2775</v>
          </cell>
          <cell r="BQ59">
            <v>0</v>
          </cell>
          <cell r="BR59">
            <v>3285</v>
          </cell>
          <cell r="BS59">
            <v>1810</v>
          </cell>
          <cell r="BT59">
            <v>1050</v>
          </cell>
          <cell r="BU59">
            <v>425</v>
          </cell>
          <cell r="BV59">
            <v>3285</v>
          </cell>
          <cell r="BW59">
            <v>870</v>
          </cell>
          <cell r="BX59">
            <v>780</v>
          </cell>
          <cell r="BY59">
            <v>690</v>
          </cell>
          <cell r="BZ59">
            <v>560</v>
          </cell>
          <cell r="CA59">
            <v>105</v>
          </cell>
          <cell r="CB59">
            <v>70</v>
          </cell>
          <cell r="CC59">
            <v>50</v>
          </cell>
          <cell r="CD59">
            <v>50</v>
          </cell>
          <cell r="CE59">
            <v>110</v>
          </cell>
          <cell r="CF59">
            <v>3285</v>
          </cell>
          <cell r="CG59">
            <v>10</v>
          </cell>
          <cell r="CH59">
            <v>10</v>
          </cell>
          <cell r="CI59">
            <v>75</v>
          </cell>
          <cell r="CJ59">
            <v>685</v>
          </cell>
          <cell r="CK59">
            <v>1285</v>
          </cell>
          <cell r="CL59">
            <v>1220</v>
          </cell>
          <cell r="CM59">
            <v>0</v>
          </cell>
          <cell r="CN59">
            <v>0</v>
          </cell>
          <cell r="CO59">
            <v>3285</v>
          </cell>
          <cell r="CP59">
            <v>1535</v>
          </cell>
          <cell r="CQ59">
            <v>975</v>
          </cell>
          <cell r="CR59">
            <v>460</v>
          </cell>
          <cell r="CS59">
            <v>290</v>
          </cell>
          <cell r="CT59">
            <v>25</v>
          </cell>
          <cell r="CU59">
            <v>6250</v>
          </cell>
          <cell r="CV59">
            <v>1.9</v>
          </cell>
          <cell r="CW59">
            <v>3285</v>
          </cell>
          <cell r="CX59">
            <v>1500</v>
          </cell>
          <cell r="CY59">
            <v>15</v>
          </cell>
          <cell r="CZ59">
            <v>1770</v>
          </cell>
        </row>
        <row r="60">
          <cell r="A60" t="str">
            <v>4620097.02</v>
          </cell>
          <cell r="B60" t="str">
            <v>0097.02</v>
          </cell>
          <cell r="C60" t="str">
            <v>Côte-des-Neiges-Notre-Dame-de-Grâce</v>
          </cell>
          <cell r="D60">
            <v>3215</v>
          </cell>
          <cell r="E60">
            <v>1380</v>
          </cell>
          <cell r="F60">
            <v>1115</v>
          </cell>
          <cell r="G60">
            <v>100</v>
          </cell>
          <cell r="H60">
            <v>345</v>
          </cell>
          <cell r="I60">
            <v>285</v>
          </cell>
          <cell r="J60">
            <v>3220</v>
          </cell>
          <cell r="K60">
            <v>2990</v>
          </cell>
          <cell r="L60">
            <v>225</v>
          </cell>
          <cell r="M60">
            <v>790</v>
          </cell>
          <cell r="N60">
            <v>425</v>
          </cell>
          <cell r="O60">
            <v>205</v>
          </cell>
          <cell r="P60">
            <v>110</v>
          </cell>
          <cell r="Q60">
            <v>45</v>
          </cell>
          <cell r="R60">
            <v>790</v>
          </cell>
          <cell r="S60">
            <v>630</v>
          </cell>
          <cell r="T60">
            <v>520</v>
          </cell>
          <cell r="U60">
            <v>205</v>
          </cell>
          <cell r="V60">
            <v>315</v>
          </cell>
          <cell r="W60">
            <v>170</v>
          </cell>
          <cell r="X60">
            <v>100</v>
          </cell>
          <cell r="Y60">
            <v>45</v>
          </cell>
          <cell r="Z60">
            <v>110</v>
          </cell>
          <cell r="AA60">
            <v>95</v>
          </cell>
          <cell r="AB60">
            <v>15</v>
          </cell>
          <cell r="AC60">
            <v>0</v>
          </cell>
          <cell r="AD60">
            <v>10</v>
          </cell>
          <cell r="AE60">
            <v>0</v>
          </cell>
          <cell r="AF60">
            <v>160</v>
          </cell>
          <cell r="AG60">
            <v>125</v>
          </cell>
          <cell r="AH60">
            <v>100</v>
          </cell>
          <cell r="AI60">
            <v>25</v>
          </cell>
          <cell r="AJ60">
            <v>0</v>
          </cell>
          <cell r="AK60">
            <v>30</v>
          </cell>
          <cell r="AL60">
            <v>25</v>
          </cell>
          <cell r="AM60">
            <v>10</v>
          </cell>
          <cell r="AN60">
            <v>0</v>
          </cell>
          <cell r="AO60">
            <v>730</v>
          </cell>
          <cell r="AP60">
            <v>180</v>
          </cell>
          <cell r="AQ60">
            <v>245</v>
          </cell>
          <cell r="AR60">
            <v>100</v>
          </cell>
          <cell r="AS60">
            <v>105</v>
          </cell>
          <cell r="AT60">
            <v>100</v>
          </cell>
          <cell r="AU60">
            <v>0.9</v>
          </cell>
          <cell r="AV60">
            <v>3410</v>
          </cell>
          <cell r="AW60">
            <v>1250</v>
          </cell>
          <cell r="AX60">
            <v>85</v>
          </cell>
          <cell r="AY60">
            <v>175</v>
          </cell>
          <cell r="AZ60">
            <v>990</v>
          </cell>
          <cell r="BA60">
            <v>2155</v>
          </cell>
          <cell r="BB60">
            <v>2.7</v>
          </cell>
          <cell r="BC60">
            <v>425</v>
          </cell>
          <cell r="BD60">
            <v>265</v>
          </cell>
          <cell r="BE60">
            <v>10</v>
          </cell>
          <cell r="BF60">
            <v>10</v>
          </cell>
          <cell r="BG60">
            <v>245</v>
          </cell>
          <cell r="BH60">
            <v>160</v>
          </cell>
          <cell r="BI60">
            <v>1890</v>
          </cell>
          <cell r="BJ60">
            <v>3.5</v>
          </cell>
          <cell r="BK60">
            <v>6615</v>
          </cell>
          <cell r="BL60">
            <v>1.3</v>
          </cell>
          <cell r="BM60">
            <v>2457</v>
          </cell>
          <cell r="BN60">
            <v>1895</v>
          </cell>
          <cell r="BO60">
            <v>170</v>
          </cell>
          <cell r="BP60">
            <v>1720</v>
          </cell>
          <cell r="BQ60">
            <v>0</v>
          </cell>
          <cell r="BR60">
            <v>1890</v>
          </cell>
          <cell r="BS60">
            <v>1235</v>
          </cell>
          <cell r="BT60">
            <v>455</v>
          </cell>
          <cell r="BU60">
            <v>210</v>
          </cell>
          <cell r="BV60">
            <v>1890</v>
          </cell>
          <cell r="BW60">
            <v>370</v>
          </cell>
          <cell r="BX60">
            <v>220</v>
          </cell>
          <cell r="BY60">
            <v>755</v>
          </cell>
          <cell r="BZ60">
            <v>235</v>
          </cell>
          <cell r="CA60">
            <v>110</v>
          </cell>
          <cell r="CB60">
            <v>105</v>
          </cell>
          <cell r="CC60">
            <v>80</v>
          </cell>
          <cell r="CD60">
            <v>10</v>
          </cell>
          <cell r="CE60">
            <v>10</v>
          </cell>
          <cell r="CF60">
            <v>1895</v>
          </cell>
          <cell r="CG60">
            <v>10</v>
          </cell>
          <cell r="CH60">
            <v>0</v>
          </cell>
          <cell r="CI60">
            <v>0</v>
          </cell>
          <cell r="CJ60">
            <v>395</v>
          </cell>
          <cell r="CK60">
            <v>1020</v>
          </cell>
          <cell r="CL60">
            <v>470</v>
          </cell>
          <cell r="CM60">
            <v>0</v>
          </cell>
          <cell r="CN60">
            <v>0</v>
          </cell>
          <cell r="CO60">
            <v>1890</v>
          </cell>
          <cell r="CP60">
            <v>990</v>
          </cell>
          <cell r="CQ60">
            <v>515</v>
          </cell>
          <cell r="CR60">
            <v>225</v>
          </cell>
          <cell r="CS60">
            <v>155</v>
          </cell>
          <cell r="CT60">
            <v>10</v>
          </cell>
          <cell r="CU60">
            <v>3410</v>
          </cell>
          <cell r="CV60">
            <v>1.8</v>
          </cell>
          <cell r="CW60">
            <v>1890</v>
          </cell>
          <cell r="CX60">
            <v>790</v>
          </cell>
          <cell r="CY60">
            <v>0</v>
          </cell>
          <cell r="CZ60">
            <v>1105</v>
          </cell>
        </row>
        <row r="61">
          <cell r="A61" t="str">
            <v>4620098.00</v>
          </cell>
          <cell r="B61" t="str">
            <v>0098.00</v>
          </cell>
          <cell r="C61" t="str">
            <v>Côte-des-Neiges-Notre-Dame-de-Grâce</v>
          </cell>
          <cell r="D61">
            <v>4545</v>
          </cell>
          <cell r="E61">
            <v>1620</v>
          </cell>
          <cell r="F61">
            <v>2180</v>
          </cell>
          <cell r="G61">
            <v>115</v>
          </cell>
          <cell r="H61">
            <v>370</v>
          </cell>
          <cell r="I61">
            <v>265</v>
          </cell>
          <cell r="J61">
            <v>4545</v>
          </cell>
          <cell r="K61">
            <v>4250</v>
          </cell>
          <cell r="L61">
            <v>290</v>
          </cell>
          <cell r="M61">
            <v>1540</v>
          </cell>
          <cell r="N61">
            <v>645</v>
          </cell>
          <cell r="O61">
            <v>465</v>
          </cell>
          <cell r="P61">
            <v>315</v>
          </cell>
          <cell r="Q61">
            <v>110</v>
          </cell>
          <cell r="R61">
            <v>1540</v>
          </cell>
          <cell r="S61">
            <v>1220</v>
          </cell>
          <cell r="T61">
            <v>1075</v>
          </cell>
          <cell r="U61">
            <v>385</v>
          </cell>
          <cell r="V61">
            <v>690</v>
          </cell>
          <cell r="W61">
            <v>325</v>
          </cell>
          <cell r="X61">
            <v>250</v>
          </cell>
          <cell r="Y61">
            <v>110</v>
          </cell>
          <cell r="Z61">
            <v>145</v>
          </cell>
          <cell r="AA61">
            <v>80</v>
          </cell>
          <cell r="AB61">
            <v>70</v>
          </cell>
          <cell r="AC61">
            <v>45</v>
          </cell>
          <cell r="AD61">
            <v>25</v>
          </cell>
          <cell r="AE61">
            <v>0</v>
          </cell>
          <cell r="AF61">
            <v>320</v>
          </cell>
          <cell r="AG61">
            <v>275</v>
          </cell>
          <cell r="AH61">
            <v>155</v>
          </cell>
          <cell r="AI61">
            <v>80</v>
          </cell>
          <cell r="AJ61">
            <v>40</v>
          </cell>
          <cell r="AK61">
            <v>40</v>
          </cell>
          <cell r="AL61">
            <v>30</v>
          </cell>
          <cell r="AM61">
            <v>0</v>
          </cell>
          <cell r="AN61">
            <v>0</v>
          </cell>
          <cell r="AO61">
            <v>1785</v>
          </cell>
          <cell r="AP61">
            <v>340</v>
          </cell>
          <cell r="AQ61">
            <v>620</v>
          </cell>
          <cell r="AR61">
            <v>240</v>
          </cell>
          <cell r="AS61">
            <v>355</v>
          </cell>
          <cell r="AT61">
            <v>230</v>
          </cell>
          <cell r="AU61">
            <v>1.2</v>
          </cell>
          <cell r="AV61">
            <v>5490</v>
          </cell>
          <cell r="AW61">
            <v>940</v>
          </cell>
          <cell r="AX61">
            <v>140</v>
          </cell>
          <cell r="AY61">
            <v>85</v>
          </cell>
          <cell r="AZ61">
            <v>720</v>
          </cell>
          <cell r="BA61">
            <v>4550</v>
          </cell>
          <cell r="BB61">
            <v>2.9</v>
          </cell>
          <cell r="BC61">
            <v>830</v>
          </cell>
          <cell r="BD61">
            <v>270</v>
          </cell>
          <cell r="BE61">
            <v>40</v>
          </cell>
          <cell r="BF61">
            <v>10</v>
          </cell>
          <cell r="BG61">
            <v>225</v>
          </cell>
          <cell r="BH61">
            <v>560</v>
          </cell>
          <cell r="BI61">
            <v>2305</v>
          </cell>
          <cell r="BJ61">
            <v>5.7</v>
          </cell>
          <cell r="BK61">
            <v>13138.5</v>
          </cell>
          <cell r="BL61">
            <v>2.4</v>
          </cell>
          <cell r="BM61">
            <v>5532</v>
          </cell>
          <cell r="BN61">
            <v>2305</v>
          </cell>
          <cell r="BO61">
            <v>1285</v>
          </cell>
          <cell r="BP61">
            <v>1020</v>
          </cell>
          <cell r="BQ61">
            <v>0</v>
          </cell>
          <cell r="BR61">
            <v>2310</v>
          </cell>
          <cell r="BS61">
            <v>1360</v>
          </cell>
          <cell r="BT61">
            <v>735</v>
          </cell>
          <cell r="BU61">
            <v>215</v>
          </cell>
          <cell r="BV61">
            <v>2305</v>
          </cell>
          <cell r="BW61">
            <v>405</v>
          </cell>
          <cell r="BX61">
            <v>1290</v>
          </cell>
          <cell r="BY61">
            <v>225</v>
          </cell>
          <cell r="BZ61">
            <v>160</v>
          </cell>
          <cell r="CA61">
            <v>45</v>
          </cell>
          <cell r="CB61">
            <v>65</v>
          </cell>
          <cell r="CC61">
            <v>10</v>
          </cell>
          <cell r="CD61">
            <v>0</v>
          </cell>
          <cell r="CE61">
            <v>110</v>
          </cell>
          <cell r="CF61">
            <v>2305</v>
          </cell>
          <cell r="CG61">
            <v>430</v>
          </cell>
          <cell r="CH61">
            <v>465</v>
          </cell>
          <cell r="CI61">
            <v>10</v>
          </cell>
          <cell r="CJ61">
            <v>525</v>
          </cell>
          <cell r="CK61">
            <v>20</v>
          </cell>
          <cell r="CL61">
            <v>845</v>
          </cell>
          <cell r="CM61">
            <v>10</v>
          </cell>
          <cell r="CN61">
            <v>5</v>
          </cell>
          <cell r="CO61">
            <v>2310</v>
          </cell>
          <cell r="CP61">
            <v>715</v>
          </cell>
          <cell r="CQ61">
            <v>685</v>
          </cell>
          <cell r="CR61">
            <v>430</v>
          </cell>
          <cell r="CS61">
            <v>430</v>
          </cell>
          <cell r="CT61">
            <v>45</v>
          </cell>
          <cell r="CU61">
            <v>5490</v>
          </cell>
          <cell r="CV61">
            <v>2.4</v>
          </cell>
          <cell r="CW61">
            <v>2305</v>
          </cell>
          <cell r="CX61">
            <v>1490</v>
          </cell>
          <cell r="CY61">
            <v>25</v>
          </cell>
          <cell r="CZ61">
            <v>790</v>
          </cell>
        </row>
        <row r="62">
          <cell r="A62" t="str">
            <v>4620099.00</v>
          </cell>
          <cell r="B62" t="str">
            <v>0099.00</v>
          </cell>
          <cell r="C62" t="str">
            <v>Côte-des-Neiges-Notre-Dame-de-Grâce</v>
          </cell>
          <cell r="D62">
            <v>3970</v>
          </cell>
          <cell r="E62">
            <v>1550</v>
          </cell>
          <cell r="F62">
            <v>1485</v>
          </cell>
          <cell r="G62">
            <v>95</v>
          </cell>
          <cell r="H62">
            <v>410</v>
          </cell>
          <cell r="I62">
            <v>430</v>
          </cell>
          <cell r="J62">
            <v>3970</v>
          </cell>
          <cell r="K62">
            <v>3565</v>
          </cell>
          <cell r="L62">
            <v>405</v>
          </cell>
          <cell r="M62">
            <v>1175</v>
          </cell>
          <cell r="N62">
            <v>565</v>
          </cell>
          <cell r="O62">
            <v>275</v>
          </cell>
          <cell r="P62">
            <v>235</v>
          </cell>
          <cell r="Q62">
            <v>95</v>
          </cell>
          <cell r="R62">
            <v>1175</v>
          </cell>
          <cell r="S62">
            <v>930</v>
          </cell>
          <cell r="T62">
            <v>725</v>
          </cell>
          <cell r="U62">
            <v>295</v>
          </cell>
          <cell r="V62">
            <v>425</v>
          </cell>
          <cell r="W62">
            <v>160</v>
          </cell>
          <cell r="X62">
            <v>205</v>
          </cell>
          <cell r="Y62">
            <v>65</v>
          </cell>
          <cell r="Z62">
            <v>205</v>
          </cell>
          <cell r="AA62">
            <v>110</v>
          </cell>
          <cell r="AB62">
            <v>90</v>
          </cell>
          <cell r="AC62">
            <v>50</v>
          </cell>
          <cell r="AD62">
            <v>20</v>
          </cell>
          <cell r="AE62">
            <v>20</v>
          </cell>
          <cell r="AF62">
            <v>250</v>
          </cell>
          <cell r="AG62">
            <v>230</v>
          </cell>
          <cell r="AH62">
            <v>140</v>
          </cell>
          <cell r="AI62">
            <v>70</v>
          </cell>
          <cell r="AJ62">
            <v>25</v>
          </cell>
          <cell r="AK62">
            <v>15</v>
          </cell>
          <cell r="AL62">
            <v>15</v>
          </cell>
          <cell r="AM62">
            <v>0</v>
          </cell>
          <cell r="AN62">
            <v>0</v>
          </cell>
          <cell r="AO62">
            <v>1295</v>
          </cell>
          <cell r="AP62">
            <v>310</v>
          </cell>
          <cell r="AQ62">
            <v>475</v>
          </cell>
          <cell r="AR62">
            <v>175</v>
          </cell>
          <cell r="AS62">
            <v>190</v>
          </cell>
          <cell r="AT62">
            <v>155</v>
          </cell>
          <cell r="AU62">
            <v>1.1000000000000001</v>
          </cell>
          <cell r="AV62">
            <v>4715</v>
          </cell>
          <cell r="AW62">
            <v>1310</v>
          </cell>
          <cell r="AX62">
            <v>115</v>
          </cell>
          <cell r="AY62">
            <v>150</v>
          </cell>
          <cell r="AZ62">
            <v>1050</v>
          </cell>
          <cell r="BA62">
            <v>3400</v>
          </cell>
          <cell r="BB62">
            <v>2.9</v>
          </cell>
          <cell r="BC62">
            <v>995</v>
          </cell>
          <cell r="BD62">
            <v>555</v>
          </cell>
          <cell r="BE62">
            <v>40</v>
          </cell>
          <cell r="BF62">
            <v>10</v>
          </cell>
          <cell r="BG62">
            <v>500</v>
          </cell>
          <cell r="BH62">
            <v>440</v>
          </cell>
          <cell r="BI62">
            <v>2325</v>
          </cell>
          <cell r="BJ62">
            <v>5</v>
          </cell>
          <cell r="BK62">
            <v>11625</v>
          </cell>
          <cell r="BL62">
            <v>2.1</v>
          </cell>
          <cell r="BM62">
            <v>4882.5</v>
          </cell>
          <cell r="BN62">
            <v>2320</v>
          </cell>
          <cell r="BO62">
            <v>890</v>
          </cell>
          <cell r="BP62">
            <v>1435</v>
          </cell>
          <cell r="BQ62">
            <v>0</v>
          </cell>
          <cell r="BR62">
            <v>2325</v>
          </cell>
          <cell r="BS62">
            <v>1400</v>
          </cell>
          <cell r="BT62">
            <v>740</v>
          </cell>
          <cell r="BU62">
            <v>185</v>
          </cell>
          <cell r="BV62">
            <v>2325</v>
          </cell>
          <cell r="BW62">
            <v>640</v>
          </cell>
          <cell r="BX62">
            <v>670</v>
          </cell>
          <cell r="BY62">
            <v>225</v>
          </cell>
          <cell r="BZ62">
            <v>80</v>
          </cell>
          <cell r="CA62">
            <v>135</v>
          </cell>
          <cell r="CB62">
            <v>40</v>
          </cell>
          <cell r="CC62">
            <v>90</v>
          </cell>
          <cell r="CD62">
            <v>195</v>
          </cell>
          <cell r="CE62">
            <v>255</v>
          </cell>
          <cell r="CF62">
            <v>2325</v>
          </cell>
          <cell r="CG62">
            <v>245</v>
          </cell>
          <cell r="CH62">
            <v>485</v>
          </cell>
          <cell r="CI62">
            <v>10</v>
          </cell>
          <cell r="CJ62">
            <v>105</v>
          </cell>
          <cell r="CK62">
            <v>605</v>
          </cell>
          <cell r="CL62">
            <v>880</v>
          </cell>
          <cell r="CM62">
            <v>0</v>
          </cell>
          <cell r="CN62">
            <v>0</v>
          </cell>
          <cell r="CO62">
            <v>2325</v>
          </cell>
          <cell r="CP62">
            <v>1050</v>
          </cell>
          <cell r="CQ62">
            <v>625</v>
          </cell>
          <cell r="CR62">
            <v>310</v>
          </cell>
          <cell r="CS62">
            <v>325</v>
          </cell>
          <cell r="CT62">
            <v>15</v>
          </cell>
          <cell r="CU62">
            <v>4715</v>
          </cell>
          <cell r="CV62">
            <v>2</v>
          </cell>
          <cell r="CW62">
            <v>2320</v>
          </cell>
          <cell r="CX62">
            <v>1165</v>
          </cell>
          <cell r="CY62">
            <v>0</v>
          </cell>
          <cell r="CZ62">
            <v>1155</v>
          </cell>
        </row>
        <row r="63">
          <cell r="A63" t="str">
            <v>4620100.00</v>
          </cell>
          <cell r="B63" t="str">
            <v>0100.00</v>
          </cell>
          <cell r="C63" t="str">
            <v>Côte-des-Neiges-Notre-Dame-de-Grâce</v>
          </cell>
          <cell r="D63">
            <v>6310</v>
          </cell>
          <cell r="E63">
            <v>2395</v>
          </cell>
          <cell r="F63">
            <v>2725</v>
          </cell>
          <cell r="G63">
            <v>175</v>
          </cell>
          <cell r="H63">
            <v>620</v>
          </cell>
          <cell r="I63">
            <v>395</v>
          </cell>
          <cell r="J63">
            <v>6310</v>
          </cell>
          <cell r="K63">
            <v>5815</v>
          </cell>
          <cell r="L63">
            <v>490</v>
          </cell>
          <cell r="M63">
            <v>2035</v>
          </cell>
          <cell r="N63">
            <v>900</v>
          </cell>
          <cell r="O63">
            <v>595</v>
          </cell>
          <cell r="P63">
            <v>430</v>
          </cell>
          <cell r="Q63">
            <v>115</v>
          </cell>
          <cell r="R63">
            <v>2035</v>
          </cell>
          <cell r="S63">
            <v>1575</v>
          </cell>
          <cell r="T63">
            <v>1330</v>
          </cell>
          <cell r="U63">
            <v>445</v>
          </cell>
          <cell r="V63">
            <v>885</v>
          </cell>
          <cell r="W63">
            <v>405</v>
          </cell>
          <cell r="X63">
            <v>375</v>
          </cell>
          <cell r="Y63">
            <v>100</v>
          </cell>
          <cell r="Z63">
            <v>250</v>
          </cell>
          <cell r="AA63">
            <v>140</v>
          </cell>
          <cell r="AB63">
            <v>105</v>
          </cell>
          <cell r="AC63">
            <v>70</v>
          </cell>
          <cell r="AD63">
            <v>20</v>
          </cell>
          <cell r="AE63">
            <v>10</v>
          </cell>
          <cell r="AF63">
            <v>460</v>
          </cell>
          <cell r="AG63">
            <v>395</v>
          </cell>
          <cell r="AH63">
            <v>265</v>
          </cell>
          <cell r="AI63">
            <v>110</v>
          </cell>
          <cell r="AJ63">
            <v>25</v>
          </cell>
          <cell r="AK63">
            <v>65</v>
          </cell>
          <cell r="AL63">
            <v>50</v>
          </cell>
          <cell r="AM63">
            <v>10</v>
          </cell>
          <cell r="AN63">
            <v>10</v>
          </cell>
          <cell r="AO63">
            <v>2290</v>
          </cell>
          <cell r="AP63">
            <v>505</v>
          </cell>
          <cell r="AQ63">
            <v>785</v>
          </cell>
          <cell r="AR63">
            <v>215</v>
          </cell>
          <cell r="AS63">
            <v>485</v>
          </cell>
          <cell r="AT63">
            <v>290</v>
          </cell>
          <cell r="AU63">
            <v>1.1000000000000001</v>
          </cell>
          <cell r="AV63">
            <v>7575</v>
          </cell>
          <cell r="AW63">
            <v>1675</v>
          </cell>
          <cell r="AX63">
            <v>230</v>
          </cell>
          <cell r="AY63">
            <v>255</v>
          </cell>
          <cell r="AZ63">
            <v>1190</v>
          </cell>
          <cell r="BA63">
            <v>5900</v>
          </cell>
          <cell r="BB63">
            <v>2.9</v>
          </cell>
          <cell r="BC63">
            <v>1095</v>
          </cell>
          <cell r="BD63">
            <v>560</v>
          </cell>
          <cell r="BE63">
            <v>75</v>
          </cell>
          <cell r="BF63">
            <v>10</v>
          </cell>
          <cell r="BG63">
            <v>480</v>
          </cell>
          <cell r="BH63">
            <v>535</v>
          </cell>
          <cell r="BI63">
            <v>3370</v>
          </cell>
          <cell r="BJ63">
            <v>4.9000000000000004</v>
          </cell>
          <cell r="BK63">
            <v>16513</v>
          </cell>
          <cell r="BL63">
            <v>2.1</v>
          </cell>
          <cell r="BM63">
            <v>7077</v>
          </cell>
          <cell r="BN63">
            <v>3370</v>
          </cell>
          <cell r="BO63">
            <v>1090</v>
          </cell>
          <cell r="BP63">
            <v>2280</v>
          </cell>
          <cell r="BQ63">
            <v>0</v>
          </cell>
          <cell r="BR63">
            <v>3375</v>
          </cell>
          <cell r="BS63">
            <v>1885</v>
          </cell>
          <cell r="BT63">
            <v>1100</v>
          </cell>
          <cell r="BU63">
            <v>390</v>
          </cell>
          <cell r="BV63">
            <v>3375</v>
          </cell>
          <cell r="BW63">
            <v>520</v>
          </cell>
          <cell r="BX63">
            <v>1845</v>
          </cell>
          <cell r="BY63">
            <v>595</v>
          </cell>
          <cell r="BZ63">
            <v>215</v>
          </cell>
          <cell r="CA63">
            <v>90</v>
          </cell>
          <cell r="CB63">
            <v>15</v>
          </cell>
          <cell r="CC63">
            <v>10</v>
          </cell>
          <cell r="CD63">
            <v>15</v>
          </cell>
          <cell r="CE63">
            <v>60</v>
          </cell>
          <cell r="CF63">
            <v>3375</v>
          </cell>
          <cell r="CG63">
            <v>170</v>
          </cell>
          <cell r="CH63">
            <v>345</v>
          </cell>
          <cell r="CI63">
            <v>5</v>
          </cell>
          <cell r="CJ63">
            <v>775</v>
          </cell>
          <cell r="CK63">
            <v>635</v>
          </cell>
          <cell r="CL63">
            <v>1435</v>
          </cell>
          <cell r="CM63">
            <v>5</v>
          </cell>
          <cell r="CN63">
            <v>5</v>
          </cell>
          <cell r="CO63">
            <v>3375</v>
          </cell>
          <cell r="CP63">
            <v>1190</v>
          </cell>
          <cell r="CQ63">
            <v>985</v>
          </cell>
          <cell r="CR63">
            <v>600</v>
          </cell>
          <cell r="CS63">
            <v>555</v>
          </cell>
          <cell r="CT63">
            <v>45</v>
          </cell>
          <cell r="CU63">
            <v>7580</v>
          </cell>
          <cell r="CV63">
            <v>2.2000000000000002</v>
          </cell>
          <cell r="CW63">
            <v>3370</v>
          </cell>
          <cell r="CX63">
            <v>1965</v>
          </cell>
          <cell r="CY63">
            <v>35</v>
          </cell>
          <cell r="CZ63">
            <v>1375</v>
          </cell>
        </row>
        <row r="64">
          <cell r="A64" t="str">
            <v>4620101.01</v>
          </cell>
          <cell r="B64" t="str">
            <v>0101.01</v>
          </cell>
          <cell r="C64" t="str">
            <v>Côte-des-Neiges-Notre-Dame-de-Grâce</v>
          </cell>
          <cell r="D64">
            <v>3540</v>
          </cell>
          <cell r="E64">
            <v>1255</v>
          </cell>
          <cell r="F64">
            <v>1575</v>
          </cell>
          <cell r="G64">
            <v>100</v>
          </cell>
          <cell r="H64">
            <v>330</v>
          </cell>
          <cell r="I64">
            <v>285</v>
          </cell>
          <cell r="J64">
            <v>3545</v>
          </cell>
          <cell r="K64">
            <v>3330</v>
          </cell>
          <cell r="L64">
            <v>215</v>
          </cell>
          <cell r="M64">
            <v>1175</v>
          </cell>
          <cell r="N64">
            <v>570</v>
          </cell>
          <cell r="O64">
            <v>320</v>
          </cell>
          <cell r="P64">
            <v>175</v>
          </cell>
          <cell r="Q64">
            <v>105</v>
          </cell>
          <cell r="R64">
            <v>1175</v>
          </cell>
          <cell r="S64">
            <v>880</v>
          </cell>
          <cell r="T64">
            <v>770</v>
          </cell>
          <cell r="U64">
            <v>330</v>
          </cell>
          <cell r="V64">
            <v>440</v>
          </cell>
          <cell r="W64">
            <v>200</v>
          </cell>
          <cell r="X64">
            <v>155</v>
          </cell>
          <cell r="Y64">
            <v>85</v>
          </cell>
          <cell r="Z64">
            <v>110</v>
          </cell>
          <cell r="AA64">
            <v>50</v>
          </cell>
          <cell r="AB64">
            <v>60</v>
          </cell>
          <cell r="AC64">
            <v>35</v>
          </cell>
          <cell r="AD64">
            <v>10</v>
          </cell>
          <cell r="AE64">
            <v>15</v>
          </cell>
          <cell r="AF64">
            <v>295</v>
          </cell>
          <cell r="AG64">
            <v>295</v>
          </cell>
          <cell r="AH64">
            <v>190</v>
          </cell>
          <cell r="AI64">
            <v>80</v>
          </cell>
          <cell r="AJ64">
            <v>20</v>
          </cell>
          <cell r="AK64">
            <v>0</v>
          </cell>
          <cell r="AL64">
            <v>0</v>
          </cell>
          <cell r="AM64">
            <v>0</v>
          </cell>
          <cell r="AN64">
            <v>0</v>
          </cell>
          <cell r="AO64">
            <v>1300</v>
          </cell>
          <cell r="AP64">
            <v>280</v>
          </cell>
          <cell r="AQ64">
            <v>435</v>
          </cell>
          <cell r="AR64">
            <v>155</v>
          </cell>
          <cell r="AS64">
            <v>245</v>
          </cell>
          <cell r="AT64">
            <v>180</v>
          </cell>
          <cell r="AU64">
            <v>1.1000000000000001</v>
          </cell>
          <cell r="AV64">
            <v>4245</v>
          </cell>
          <cell r="AW64">
            <v>890</v>
          </cell>
          <cell r="AX64">
            <v>190</v>
          </cell>
          <cell r="AY64">
            <v>60</v>
          </cell>
          <cell r="AZ64">
            <v>640</v>
          </cell>
          <cell r="BA64">
            <v>3355</v>
          </cell>
          <cell r="BB64">
            <v>2.9</v>
          </cell>
          <cell r="BC64">
            <v>840</v>
          </cell>
          <cell r="BD64">
            <v>310</v>
          </cell>
          <cell r="BE64">
            <v>30</v>
          </cell>
          <cell r="BF64">
            <v>0</v>
          </cell>
          <cell r="BG64">
            <v>280</v>
          </cell>
          <cell r="BH64">
            <v>530</v>
          </cell>
          <cell r="BI64">
            <v>1860</v>
          </cell>
          <cell r="BJ64">
            <v>4.5</v>
          </cell>
          <cell r="BK64">
            <v>8370</v>
          </cell>
          <cell r="BL64">
            <v>2.1</v>
          </cell>
          <cell r="BM64">
            <v>3906</v>
          </cell>
          <cell r="BN64">
            <v>1855</v>
          </cell>
          <cell r="BO64">
            <v>635</v>
          </cell>
          <cell r="BP64">
            <v>1220</v>
          </cell>
          <cell r="BQ64">
            <v>0</v>
          </cell>
          <cell r="BR64">
            <v>1860</v>
          </cell>
          <cell r="BS64">
            <v>1045</v>
          </cell>
          <cell r="BT64">
            <v>575</v>
          </cell>
          <cell r="BU64">
            <v>235</v>
          </cell>
          <cell r="BV64">
            <v>1860</v>
          </cell>
          <cell r="BW64">
            <v>130</v>
          </cell>
          <cell r="BX64">
            <v>810</v>
          </cell>
          <cell r="BY64">
            <v>380</v>
          </cell>
          <cell r="BZ64">
            <v>210</v>
          </cell>
          <cell r="CA64">
            <v>135</v>
          </cell>
          <cell r="CB64">
            <v>165</v>
          </cell>
          <cell r="CC64">
            <v>10</v>
          </cell>
          <cell r="CD64">
            <v>0</v>
          </cell>
          <cell r="CE64">
            <v>10</v>
          </cell>
          <cell r="CF64">
            <v>1860</v>
          </cell>
          <cell r="CG64">
            <v>45</v>
          </cell>
          <cell r="CH64">
            <v>95</v>
          </cell>
          <cell r="CI64">
            <v>0</v>
          </cell>
          <cell r="CJ64">
            <v>410</v>
          </cell>
          <cell r="CK64">
            <v>680</v>
          </cell>
          <cell r="CL64">
            <v>630</v>
          </cell>
          <cell r="CM64">
            <v>0</v>
          </cell>
          <cell r="CN64">
            <v>0</v>
          </cell>
          <cell r="CO64">
            <v>1860</v>
          </cell>
          <cell r="CP64">
            <v>635</v>
          </cell>
          <cell r="CQ64">
            <v>550</v>
          </cell>
          <cell r="CR64">
            <v>335</v>
          </cell>
          <cell r="CS64">
            <v>295</v>
          </cell>
          <cell r="CT64">
            <v>40</v>
          </cell>
          <cell r="CU64">
            <v>4245</v>
          </cell>
          <cell r="CV64">
            <v>2.2999999999999998</v>
          </cell>
          <cell r="CW64">
            <v>1860</v>
          </cell>
          <cell r="CX64">
            <v>1150</v>
          </cell>
          <cell r="CY64">
            <v>15</v>
          </cell>
          <cell r="CZ64">
            <v>695</v>
          </cell>
        </row>
        <row r="65">
          <cell r="A65" t="str">
            <v>4620101.02</v>
          </cell>
          <cell r="B65" t="str">
            <v>0101.02</v>
          </cell>
          <cell r="C65" t="str">
            <v>Côte-des-Neiges-Notre-Dame-de-Grâce</v>
          </cell>
          <cell r="D65">
            <v>3200</v>
          </cell>
          <cell r="E65">
            <v>1250</v>
          </cell>
          <cell r="F65">
            <v>1335</v>
          </cell>
          <cell r="G65">
            <v>95</v>
          </cell>
          <cell r="H65">
            <v>290</v>
          </cell>
          <cell r="I65">
            <v>230</v>
          </cell>
          <cell r="J65">
            <v>3200</v>
          </cell>
          <cell r="K65">
            <v>3040</v>
          </cell>
          <cell r="L65">
            <v>160</v>
          </cell>
          <cell r="M65">
            <v>1040</v>
          </cell>
          <cell r="N65">
            <v>425</v>
          </cell>
          <cell r="O65">
            <v>335</v>
          </cell>
          <cell r="P65">
            <v>195</v>
          </cell>
          <cell r="Q65">
            <v>85</v>
          </cell>
          <cell r="R65">
            <v>1040</v>
          </cell>
          <cell r="S65">
            <v>725</v>
          </cell>
          <cell r="T65">
            <v>645</v>
          </cell>
          <cell r="U65">
            <v>205</v>
          </cell>
          <cell r="V65">
            <v>440</v>
          </cell>
          <cell r="W65">
            <v>190</v>
          </cell>
          <cell r="X65">
            <v>170</v>
          </cell>
          <cell r="Y65">
            <v>80</v>
          </cell>
          <cell r="Z65">
            <v>75</v>
          </cell>
          <cell r="AA65">
            <v>35</v>
          </cell>
          <cell r="AB65">
            <v>40</v>
          </cell>
          <cell r="AC65">
            <v>35</v>
          </cell>
          <cell r="AD65">
            <v>10</v>
          </cell>
          <cell r="AE65">
            <v>0</v>
          </cell>
          <cell r="AF65">
            <v>320</v>
          </cell>
          <cell r="AG65">
            <v>265</v>
          </cell>
          <cell r="AH65">
            <v>150</v>
          </cell>
          <cell r="AI65">
            <v>85</v>
          </cell>
          <cell r="AJ65">
            <v>25</v>
          </cell>
          <cell r="AK65">
            <v>60</v>
          </cell>
          <cell r="AL65">
            <v>40</v>
          </cell>
          <cell r="AM65">
            <v>20</v>
          </cell>
          <cell r="AN65">
            <v>0</v>
          </cell>
          <cell r="AO65">
            <v>1335</v>
          </cell>
          <cell r="AP65">
            <v>325</v>
          </cell>
          <cell r="AQ65">
            <v>435</v>
          </cell>
          <cell r="AR65">
            <v>155</v>
          </cell>
          <cell r="AS65">
            <v>240</v>
          </cell>
          <cell r="AT65">
            <v>185</v>
          </cell>
          <cell r="AU65">
            <v>1.3</v>
          </cell>
          <cell r="AV65">
            <v>3810</v>
          </cell>
          <cell r="AW65">
            <v>705</v>
          </cell>
          <cell r="AX65">
            <v>115</v>
          </cell>
          <cell r="AY65">
            <v>100</v>
          </cell>
          <cell r="AZ65">
            <v>495</v>
          </cell>
          <cell r="BA65">
            <v>3105</v>
          </cell>
          <cell r="BB65">
            <v>3</v>
          </cell>
          <cell r="BC65">
            <v>410</v>
          </cell>
          <cell r="BD65">
            <v>140</v>
          </cell>
          <cell r="BE65">
            <v>30</v>
          </cell>
          <cell r="BF65">
            <v>0</v>
          </cell>
          <cell r="BG65">
            <v>110</v>
          </cell>
          <cell r="BH65">
            <v>265</v>
          </cell>
          <cell r="BI65">
            <v>1590</v>
          </cell>
          <cell r="BJ65">
            <v>4.5</v>
          </cell>
          <cell r="BK65">
            <v>7155</v>
          </cell>
          <cell r="BL65">
            <v>2</v>
          </cell>
          <cell r="BM65">
            <v>3180</v>
          </cell>
          <cell r="BN65">
            <v>1590</v>
          </cell>
          <cell r="BO65">
            <v>340</v>
          </cell>
          <cell r="BP65">
            <v>1250</v>
          </cell>
          <cell r="BQ65">
            <v>0</v>
          </cell>
          <cell r="BR65">
            <v>1590</v>
          </cell>
          <cell r="BS65">
            <v>865</v>
          </cell>
          <cell r="BT65">
            <v>485</v>
          </cell>
          <cell r="BU65">
            <v>245</v>
          </cell>
          <cell r="BV65">
            <v>1590</v>
          </cell>
          <cell r="BW65">
            <v>120</v>
          </cell>
          <cell r="BX65">
            <v>895</v>
          </cell>
          <cell r="BY65">
            <v>300</v>
          </cell>
          <cell r="BZ65">
            <v>150</v>
          </cell>
          <cell r="CA65">
            <v>50</v>
          </cell>
          <cell r="CB65">
            <v>35</v>
          </cell>
          <cell r="CC65">
            <v>25</v>
          </cell>
          <cell r="CD65">
            <v>0</v>
          </cell>
          <cell r="CE65">
            <v>10</v>
          </cell>
          <cell r="CF65">
            <v>1585</v>
          </cell>
          <cell r="CG65">
            <v>15</v>
          </cell>
          <cell r="CH65">
            <v>85</v>
          </cell>
          <cell r="CI65">
            <v>0</v>
          </cell>
          <cell r="CJ65">
            <v>405</v>
          </cell>
          <cell r="CK65">
            <v>0</v>
          </cell>
          <cell r="CL65">
            <v>1085</v>
          </cell>
          <cell r="CM65">
            <v>5</v>
          </cell>
          <cell r="CN65">
            <v>0</v>
          </cell>
          <cell r="CO65">
            <v>1590</v>
          </cell>
          <cell r="CP65">
            <v>485</v>
          </cell>
          <cell r="CQ65">
            <v>450</v>
          </cell>
          <cell r="CR65">
            <v>340</v>
          </cell>
          <cell r="CS65">
            <v>265</v>
          </cell>
          <cell r="CT65">
            <v>40</v>
          </cell>
          <cell r="CU65">
            <v>3805</v>
          </cell>
          <cell r="CV65">
            <v>2.4</v>
          </cell>
          <cell r="CW65">
            <v>1595</v>
          </cell>
          <cell r="CX65">
            <v>1010</v>
          </cell>
          <cell r="CY65">
            <v>15</v>
          </cell>
          <cell r="CZ65">
            <v>565</v>
          </cell>
        </row>
        <row r="66">
          <cell r="A66" t="str">
            <v>4620102.00</v>
          </cell>
          <cell r="B66" t="str">
            <v>0102.00</v>
          </cell>
          <cell r="C66" t="str">
            <v>Côte-des-Neiges-Notre-Dame-de-Grâce</v>
          </cell>
          <cell r="D66">
            <v>3480</v>
          </cell>
          <cell r="E66">
            <v>1575</v>
          </cell>
          <cell r="F66">
            <v>1200</v>
          </cell>
          <cell r="G66">
            <v>90</v>
          </cell>
          <cell r="H66">
            <v>430</v>
          </cell>
          <cell r="I66">
            <v>185</v>
          </cell>
          <cell r="J66">
            <v>3480</v>
          </cell>
          <cell r="K66">
            <v>2980</v>
          </cell>
          <cell r="L66">
            <v>495</v>
          </cell>
          <cell r="M66">
            <v>1055</v>
          </cell>
          <cell r="N66">
            <v>580</v>
          </cell>
          <cell r="O66">
            <v>225</v>
          </cell>
          <cell r="P66">
            <v>195</v>
          </cell>
          <cell r="Q66">
            <v>60</v>
          </cell>
          <cell r="R66">
            <v>1060</v>
          </cell>
          <cell r="S66">
            <v>840</v>
          </cell>
          <cell r="T66">
            <v>595</v>
          </cell>
          <cell r="U66">
            <v>245</v>
          </cell>
          <cell r="V66">
            <v>350</v>
          </cell>
          <cell r="W66">
            <v>140</v>
          </cell>
          <cell r="X66">
            <v>170</v>
          </cell>
          <cell r="Y66">
            <v>35</v>
          </cell>
          <cell r="Z66">
            <v>245</v>
          </cell>
          <cell r="AA66">
            <v>160</v>
          </cell>
          <cell r="AB66">
            <v>85</v>
          </cell>
          <cell r="AC66">
            <v>50</v>
          </cell>
          <cell r="AD66">
            <v>20</v>
          </cell>
          <cell r="AE66">
            <v>15</v>
          </cell>
          <cell r="AF66">
            <v>220</v>
          </cell>
          <cell r="AG66">
            <v>180</v>
          </cell>
          <cell r="AH66">
            <v>145</v>
          </cell>
          <cell r="AI66">
            <v>20</v>
          </cell>
          <cell r="AJ66">
            <v>10</v>
          </cell>
          <cell r="AK66">
            <v>35</v>
          </cell>
          <cell r="AL66">
            <v>30</v>
          </cell>
          <cell r="AM66">
            <v>10</v>
          </cell>
          <cell r="AN66">
            <v>0</v>
          </cell>
          <cell r="AO66">
            <v>1020</v>
          </cell>
          <cell r="AP66">
            <v>200</v>
          </cell>
          <cell r="AQ66">
            <v>370</v>
          </cell>
          <cell r="AR66">
            <v>125</v>
          </cell>
          <cell r="AS66">
            <v>205</v>
          </cell>
          <cell r="AT66">
            <v>115</v>
          </cell>
          <cell r="AU66">
            <v>1</v>
          </cell>
          <cell r="AV66">
            <v>4035</v>
          </cell>
          <cell r="AW66">
            <v>1115</v>
          </cell>
          <cell r="AX66">
            <v>95</v>
          </cell>
          <cell r="AY66">
            <v>235</v>
          </cell>
          <cell r="AZ66">
            <v>790</v>
          </cell>
          <cell r="BA66">
            <v>2920</v>
          </cell>
          <cell r="BB66">
            <v>2.8</v>
          </cell>
          <cell r="BC66">
            <v>515</v>
          </cell>
          <cell r="BD66">
            <v>240</v>
          </cell>
          <cell r="BE66">
            <v>20</v>
          </cell>
          <cell r="BF66">
            <v>15</v>
          </cell>
          <cell r="BG66">
            <v>210</v>
          </cell>
          <cell r="BH66">
            <v>275</v>
          </cell>
          <cell r="BI66">
            <v>1960</v>
          </cell>
          <cell r="BJ66">
            <v>5.4</v>
          </cell>
          <cell r="BK66">
            <v>10584</v>
          </cell>
          <cell r="BL66">
            <v>2.1</v>
          </cell>
          <cell r="BM66">
            <v>4116</v>
          </cell>
          <cell r="BN66">
            <v>1960</v>
          </cell>
          <cell r="BO66">
            <v>815</v>
          </cell>
          <cell r="BP66">
            <v>1145</v>
          </cell>
          <cell r="BQ66">
            <v>0</v>
          </cell>
          <cell r="BR66">
            <v>1960</v>
          </cell>
          <cell r="BS66">
            <v>860</v>
          </cell>
          <cell r="BT66">
            <v>820</v>
          </cell>
          <cell r="BU66">
            <v>285</v>
          </cell>
          <cell r="BV66">
            <v>1960</v>
          </cell>
          <cell r="BW66">
            <v>775</v>
          </cell>
          <cell r="BX66">
            <v>760</v>
          </cell>
          <cell r="BY66">
            <v>190</v>
          </cell>
          <cell r="BZ66">
            <v>150</v>
          </cell>
          <cell r="CA66">
            <v>35</v>
          </cell>
          <cell r="CB66">
            <v>25</v>
          </cell>
          <cell r="CC66">
            <v>10</v>
          </cell>
          <cell r="CD66">
            <v>15</v>
          </cell>
          <cell r="CE66">
            <v>10</v>
          </cell>
          <cell r="CF66">
            <v>1960</v>
          </cell>
          <cell r="CG66">
            <v>150</v>
          </cell>
          <cell r="CH66">
            <v>185</v>
          </cell>
          <cell r="CI66">
            <v>10</v>
          </cell>
          <cell r="CJ66">
            <v>685</v>
          </cell>
          <cell r="CK66">
            <v>190</v>
          </cell>
          <cell r="CL66">
            <v>730</v>
          </cell>
          <cell r="CM66">
            <v>5</v>
          </cell>
          <cell r="CN66">
            <v>0</v>
          </cell>
          <cell r="CO66">
            <v>1960</v>
          </cell>
          <cell r="CP66">
            <v>790</v>
          </cell>
          <cell r="CQ66">
            <v>630</v>
          </cell>
          <cell r="CR66">
            <v>270</v>
          </cell>
          <cell r="CS66">
            <v>265</v>
          </cell>
          <cell r="CT66">
            <v>10</v>
          </cell>
          <cell r="CU66">
            <v>4040</v>
          </cell>
          <cell r="CV66">
            <v>2.1</v>
          </cell>
          <cell r="CW66">
            <v>1960</v>
          </cell>
          <cell r="CX66">
            <v>1040</v>
          </cell>
          <cell r="CY66">
            <v>10</v>
          </cell>
          <cell r="CZ66">
            <v>910</v>
          </cell>
        </row>
        <row r="67">
          <cell r="A67" t="str">
            <v>4620103.00</v>
          </cell>
          <cell r="B67" t="str">
            <v>0103.00</v>
          </cell>
          <cell r="C67" t="str">
            <v>Côte-des-Neiges-Notre-Dame-de-Grâce</v>
          </cell>
          <cell r="D67">
            <v>2010</v>
          </cell>
          <cell r="E67">
            <v>910</v>
          </cell>
          <cell r="F67">
            <v>780</v>
          </cell>
          <cell r="G67">
            <v>35</v>
          </cell>
          <cell r="H67">
            <v>210</v>
          </cell>
          <cell r="I67">
            <v>75</v>
          </cell>
          <cell r="J67">
            <v>2010</v>
          </cell>
          <cell r="K67">
            <v>1700</v>
          </cell>
          <cell r="L67">
            <v>310</v>
          </cell>
          <cell r="M67">
            <v>625</v>
          </cell>
          <cell r="N67">
            <v>285</v>
          </cell>
          <cell r="O67">
            <v>145</v>
          </cell>
          <cell r="P67">
            <v>150</v>
          </cell>
          <cell r="Q67">
            <v>40</v>
          </cell>
          <cell r="R67">
            <v>630</v>
          </cell>
          <cell r="S67">
            <v>530</v>
          </cell>
          <cell r="T67">
            <v>380</v>
          </cell>
          <cell r="U67">
            <v>140</v>
          </cell>
          <cell r="V67">
            <v>235</v>
          </cell>
          <cell r="W67">
            <v>85</v>
          </cell>
          <cell r="X67">
            <v>130</v>
          </cell>
          <cell r="Y67">
            <v>25</v>
          </cell>
          <cell r="Z67">
            <v>150</v>
          </cell>
          <cell r="AA67">
            <v>85</v>
          </cell>
          <cell r="AB67">
            <v>65</v>
          </cell>
          <cell r="AC67">
            <v>25</v>
          </cell>
          <cell r="AD67">
            <v>20</v>
          </cell>
          <cell r="AE67">
            <v>20</v>
          </cell>
          <cell r="AF67">
            <v>90</v>
          </cell>
          <cell r="AG67">
            <v>65</v>
          </cell>
          <cell r="AH67">
            <v>30</v>
          </cell>
          <cell r="AI67">
            <v>35</v>
          </cell>
          <cell r="AJ67">
            <v>0</v>
          </cell>
          <cell r="AK67">
            <v>30</v>
          </cell>
          <cell r="AL67">
            <v>25</v>
          </cell>
          <cell r="AM67">
            <v>10</v>
          </cell>
          <cell r="AN67">
            <v>0</v>
          </cell>
          <cell r="AO67">
            <v>675</v>
          </cell>
          <cell r="AP67">
            <v>135</v>
          </cell>
          <cell r="AQ67">
            <v>275</v>
          </cell>
          <cell r="AR67">
            <v>70</v>
          </cell>
          <cell r="AS67">
            <v>150</v>
          </cell>
          <cell r="AT67">
            <v>40</v>
          </cell>
          <cell r="AU67">
            <v>1.1000000000000001</v>
          </cell>
          <cell r="AV67">
            <v>2405</v>
          </cell>
          <cell r="AW67">
            <v>570</v>
          </cell>
          <cell r="AX67">
            <v>100</v>
          </cell>
          <cell r="AY67">
            <v>95</v>
          </cell>
          <cell r="AZ67">
            <v>375</v>
          </cell>
          <cell r="BA67">
            <v>1835</v>
          </cell>
          <cell r="BB67">
            <v>2.9</v>
          </cell>
          <cell r="BC67">
            <v>200</v>
          </cell>
          <cell r="BD67">
            <v>75</v>
          </cell>
          <cell r="BE67">
            <v>10</v>
          </cell>
          <cell r="BF67">
            <v>25</v>
          </cell>
          <cell r="BG67">
            <v>45</v>
          </cell>
          <cell r="BH67">
            <v>125</v>
          </cell>
          <cell r="BI67">
            <v>1070</v>
          </cell>
          <cell r="BJ67">
            <v>6.1</v>
          </cell>
          <cell r="BK67">
            <v>6527</v>
          </cell>
          <cell r="BL67">
            <v>2.5</v>
          </cell>
          <cell r="BM67">
            <v>2675</v>
          </cell>
          <cell r="BN67">
            <v>1070</v>
          </cell>
          <cell r="BO67">
            <v>600</v>
          </cell>
          <cell r="BP67">
            <v>470</v>
          </cell>
          <cell r="BQ67">
            <v>0</v>
          </cell>
          <cell r="BR67">
            <v>1070</v>
          </cell>
          <cell r="BS67">
            <v>455</v>
          </cell>
          <cell r="BT67">
            <v>435</v>
          </cell>
          <cell r="BU67">
            <v>175</v>
          </cell>
          <cell r="BV67">
            <v>1070</v>
          </cell>
          <cell r="BW67">
            <v>765</v>
          </cell>
          <cell r="BX67">
            <v>155</v>
          </cell>
          <cell r="BY67">
            <v>80</v>
          </cell>
          <cell r="BZ67">
            <v>30</v>
          </cell>
          <cell r="CA67">
            <v>0</v>
          </cell>
          <cell r="CB67">
            <v>0</v>
          </cell>
          <cell r="CC67">
            <v>0</v>
          </cell>
          <cell r="CD67">
            <v>40</v>
          </cell>
          <cell r="CE67">
            <v>0</v>
          </cell>
          <cell r="CF67">
            <v>1070</v>
          </cell>
          <cell r="CG67">
            <v>50</v>
          </cell>
          <cell r="CH67">
            <v>365</v>
          </cell>
          <cell r="CI67">
            <v>125</v>
          </cell>
          <cell r="CJ67">
            <v>5</v>
          </cell>
          <cell r="CK67">
            <v>0</v>
          </cell>
          <cell r="CL67">
            <v>520</v>
          </cell>
          <cell r="CM67">
            <v>0</v>
          </cell>
          <cell r="CN67">
            <v>0</v>
          </cell>
          <cell r="CO67">
            <v>1070</v>
          </cell>
          <cell r="CP67">
            <v>380</v>
          </cell>
          <cell r="CQ67">
            <v>325</v>
          </cell>
          <cell r="CR67">
            <v>150</v>
          </cell>
          <cell r="CS67">
            <v>210</v>
          </cell>
          <cell r="CT67">
            <v>10</v>
          </cell>
          <cell r="CU67">
            <v>2405</v>
          </cell>
          <cell r="CV67">
            <v>2.2000000000000002</v>
          </cell>
          <cell r="CW67">
            <v>1070</v>
          </cell>
          <cell r="CX67">
            <v>610</v>
          </cell>
          <cell r="CY67">
            <v>0</v>
          </cell>
          <cell r="CZ67">
            <v>450</v>
          </cell>
        </row>
        <row r="68">
          <cell r="A68" t="str">
            <v>4620104.00</v>
          </cell>
          <cell r="B68" t="str">
            <v>0104.00</v>
          </cell>
          <cell r="C68" t="str">
            <v>Côte-des-Neiges-Notre-Dame-de-Grâce</v>
          </cell>
          <cell r="D68">
            <v>2240</v>
          </cell>
          <cell r="E68">
            <v>945</v>
          </cell>
          <cell r="F68">
            <v>940</v>
          </cell>
          <cell r="G68">
            <v>55</v>
          </cell>
          <cell r="H68">
            <v>205</v>
          </cell>
          <cell r="I68">
            <v>105</v>
          </cell>
          <cell r="J68">
            <v>2240</v>
          </cell>
          <cell r="K68">
            <v>1900</v>
          </cell>
          <cell r="L68">
            <v>340</v>
          </cell>
          <cell r="M68">
            <v>725</v>
          </cell>
          <cell r="N68">
            <v>270</v>
          </cell>
          <cell r="O68">
            <v>170</v>
          </cell>
          <cell r="P68">
            <v>240</v>
          </cell>
          <cell r="Q68">
            <v>45</v>
          </cell>
          <cell r="R68">
            <v>730</v>
          </cell>
          <cell r="S68">
            <v>635</v>
          </cell>
          <cell r="T68">
            <v>470</v>
          </cell>
          <cell r="U68">
            <v>170</v>
          </cell>
          <cell r="V68">
            <v>300</v>
          </cell>
          <cell r="W68">
            <v>80</v>
          </cell>
          <cell r="X68">
            <v>185</v>
          </cell>
          <cell r="Y68">
            <v>40</v>
          </cell>
          <cell r="Z68">
            <v>165</v>
          </cell>
          <cell r="AA68">
            <v>65</v>
          </cell>
          <cell r="AB68">
            <v>100</v>
          </cell>
          <cell r="AC68">
            <v>40</v>
          </cell>
          <cell r="AD68">
            <v>50</v>
          </cell>
          <cell r="AE68">
            <v>10</v>
          </cell>
          <cell r="AF68">
            <v>90</v>
          </cell>
          <cell r="AG68">
            <v>65</v>
          </cell>
          <cell r="AH68">
            <v>25</v>
          </cell>
          <cell r="AI68">
            <v>35</v>
          </cell>
          <cell r="AJ68">
            <v>0</v>
          </cell>
          <cell r="AK68">
            <v>25</v>
          </cell>
          <cell r="AL68">
            <v>0</v>
          </cell>
          <cell r="AM68">
            <v>15</v>
          </cell>
          <cell r="AN68">
            <v>0</v>
          </cell>
          <cell r="AO68">
            <v>885</v>
          </cell>
          <cell r="AP68">
            <v>180</v>
          </cell>
          <cell r="AQ68">
            <v>300</v>
          </cell>
          <cell r="AR68">
            <v>130</v>
          </cell>
          <cell r="AS68">
            <v>205</v>
          </cell>
          <cell r="AT68">
            <v>70</v>
          </cell>
          <cell r="AU68">
            <v>1.2</v>
          </cell>
          <cell r="AV68">
            <v>2705</v>
          </cell>
          <cell r="AW68">
            <v>460</v>
          </cell>
          <cell r="AX68">
            <v>40</v>
          </cell>
          <cell r="AY68">
            <v>115</v>
          </cell>
          <cell r="AZ68">
            <v>305</v>
          </cell>
          <cell r="BA68">
            <v>2245</v>
          </cell>
          <cell r="BB68">
            <v>3.1</v>
          </cell>
          <cell r="BC68">
            <v>360</v>
          </cell>
          <cell r="BD68">
            <v>185</v>
          </cell>
          <cell r="BE68">
            <v>25</v>
          </cell>
          <cell r="BF68">
            <v>10</v>
          </cell>
          <cell r="BG68">
            <v>150</v>
          </cell>
          <cell r="BH68">
            <v>175</v>
          </cell>
          <cell r="BI68">
            <v>1095</v>
          </cell>
          <cell r="BJ68">
            <v>6.9</v>
          </cell>
          <cell r="BK68">
            <v>7555.5</v>
          </cell>
          <cell r="BL68">
            <v>2.8</v>
          </cell>
          <cell r="BM68">
            <v>3066</v>
          </cell>
          <cell r="BN68">
            <v>1095</v>
          </cell>
          <cell r="BO68">
            <v>735</v>
          </cell>
          <cell r="BP68">
            <v>360</v>
          </cell>
          <cell r="BQ68">
            <v>0</v>
          </cell>
          <cell r="BR68">
            <v>1090</v>
          </cell>
          <cell r="BS68">
            <v>490</v>
          </cell>
          <cell r="BT68">
            <v>490</v>
          </cell>
          <cell r="BU68">
            <v>115</v>
          </cell>
          <cell r="BV68">
            <v>1090</v>
          </cell>
          <cell r="BW68">
            <v>865</v>
          </cell>
          <cell r="BX68">
            <v>105</v>
          </cell>
          <cell r="BY68">
            <v>30</v>
          </cell>
          <cell r="BZ68">
            <v>25</v>
          </cell>
          <cell r="CA68">
            <v>45</v>
          </cell>
          <cell r="CB68">
            <v>20</v>
          </cell>
          <cell r="CC68">
            <v>0</v>
          </cell>
          <cell r="CD68">
            <v>0</v>
          </cell>
          <cell r="CE68">
            <v>0</v>
          </cell>
          <cell r="CF68">
            <v>1090</v>
          </cell>
          <cell r="CG68">
            <v>90</v>
          </cell>
          <cell r="CH68">
            <v>415</v>
          </cell>
          <cell r="CI68">
            <v>115</v>
          </cell>
          <cell r="CJ68">
            <v>170</v>
          </cell>
          <cell r="CK68">
            <v>100</v>
          </cell>
          <cell r="CL68">
            <v>200</v>
          </cell>
          <cell r="CM68">
            <v>5</v>
          </cell>
          <cell r="CN68">
            <v>0</v>
          </cell>
          <cell r="CO68">
            <v>1095</v>
          </cell>
          <cell r="CP68">
            <v>310</v>
          </cell>
          <cell r="CQ68">
            <v>320</v>
          </cell>
          <cell r="CR68">
            <v>195</v>
          </cell>
          <cell r="CS68">
            <v>265</v>
          </cell>
          <cell r="CT68">
            <v>10</v>
          </cell>
          <cell r="CU68">
            <v>2700</v>
          </cell>
          <cell r="CV68">
            <v>2.5</v>
          </cell>
          <cell r="CW68">
            <v>1090</v>
          </cell>
          <cell r="CX68">
            <v>725</v>
          </cell>
          <cell r="CY68">
            <v>0</v>
          </cell>
          <cell r="CZ68">
            <v>365</v>
          </cell>
        </row>
        <row r="69">
          <cell r="A69" t="str">
            <v>4620105.00</v>
          </cell>
          <cell r="B69" t="str">
            <v>0105.00</v>
          </cell>
          <cell r="C69" t="str">
            <v>Côte-des-Neiges-Notre-Dame-de-Grâce</v>
          </cell>
          <cell r="D69">
            <v>2805</v>
          </cell>
          <cell r="E69">
            <v>1300</v>
          </cell>
          <cell r="F69">
            <v>990</v>
          </cell>
          <cell r="G69">
            <v>75</v>
          </cell>
          <cell r="H69">
            <v>315</v>
          </cell>
          <cell r="I69">
            <v>120</v>
          </cell>
          <cell r="J69">
            <v>2800</v>
          </cell>
          <cell r="K69">
            <v>2350</v>
          </cell>
          <cell r="L69">
            <v>455</v>
          </cell>
          <cell r="M69">
            <v>915</v>
          </cell>
          <cell r="N69">
            <v>505</v>
          </cell>
          <cell r="O69">
            <v>245</v>
          </cell>
          <cell r="P69">
            <v>115</v>
          </cell>
          <cell r="Q69">
            <v>50</v>
          </cell>
          <cell r="R69">
            <v>915</v>
          </cell>
          <cell r="S69">
            <v>710</v>
          </cell>
          <cell r="T69">
            <v>485</v>
          </cell>
          <cell r="U69">
            <v>200</v>
          </cell>
          <cell r="V69">
            <v>280</v>
          </cell>
          <cell r="W69">
            <v>140</v>
          </cell>
          <cell r="X69">
            <v>95</v>
          </cell>
          <cell r="Y69">
            <v>45</v>
          </cell>
          <cell r="Z69">
            <v>225</v>
          </cell>
          <cell r="AA69">
            <v>170</v>
          </cell>
          <cell r="AB69">
            <v>55</v>
          </cell>
          <cell r="AC69">
            <v>45</v>
          </cell>
          <cell r="AD69">
            <v>0</v>
          </cell>
          <cell r="AE69">
            <v>0</v>
          </cell>
          <cell r="AF69">
            <v>205</v>
          </cell>
          <cell r="AG69">
            <v>160</v>
          </cell>
          <cell r="AH69">
            <v>100</v>
          </cell>
          <cell r="AI69">
            <v>45</v>
          </cell>
          <cell r="AJ69">
            <v>15</v>
          </cell>
          <cell r="AK69">
            <v>45</v>
          </cell>
          <cell r="AL69">
            <v>35</v>
          </cell>
          <cell r="AM69">
            <v>10</v>
          </cell>
          <cell r="AN69">
            <v>10</v>
          </cell>
          <cell r="AO69">
            <v>835</v>
          </cell>
          <cell r="AP69">
            <v>220</v>
          </cell>
          <cell r="AQ69">
            <v>235</v>
          </cell>
          <cell r="AR69">
            <v>105</v>
          </cell>
          <cell r="AS69">
            <v>180</v>
          </cell>
          <cell r="AT69">
            <v>100</v>
          </cell>
          <cell r="AU69">
            <v>0.9</v>
          </cell>
          <cell r="AV69">
            <v>3250</v>
          </cell>
          <cell r="AW69">
            <v>795</v>
          </cell>
          <cell r="AX69">
            <v>40</v>
          </cell>
          <cell r="AY69">
            <v>180</v>
          </cell>
          <cell r="AZ69">
            <v>575</v>
          </cell>
          <cell r="BA69">
            <v>2460</v>
          </cell>
          <cell r="BB69">
            <v>2.7</v>
          </cell>
          <cell r="BC69">
            <v>395</v>
          </cell>
          <cell r="BD69">
            <v>170</v>
          </cell>
          <cell r="BE69">
            <v>30</v>
          </cell>
          <cell r="BF69">
            <v>0</v>
          </cell>
          <cell r="BG69">
            <v>140</v>
          </cell>
          <cell r="BH69">
            <v>225</v>
          </cell>
          <cell r="BI69">
            <v>1555</v>
          </cell>
          <cell r="BJ69">
            <v>5.7</v>
          </cell>
          <cell r="BK69">
            <v>8863.5</v>
          </cell>
          <cell r="BL69">
            <v>2.2999999999999998</v>
          </cell>
          <cell r="BM69">
            <v>3576.4999999999995</v>
          </cell>
          <cell r="BN69">
            <v>1555</v>
          </cell>
          <cell r="BO69">
            <v>675</v>
          </cell>
          <cell r="BP69">
            <v>880</v>
          </cell>
          <cell r="BQ69">
            <v>0</v>
          </cell>
          <cell r="BR69">
            <v>1560</v>
          </cell>
          <cell r="BS69">
            <v>790</v>
          </cell>
          <cell r="BT69">
            <v>555</v>
          </cell>
          <cell r="BU69">
            <v>205</v>
          </cell>
          <cell r="BV69">
            <v>1555</v>
          </cell>
          <cell r="BW69">
            <v>1100</v>
          </cell>
          <cell r="BX69">
            <v>290</v>
          </cell>
          <cell r="BY69">
            <v>80</v>
          </cell>
          <cell r="BZ69">
            <v>10</v>
          </cell>
          <cell r="CA69">
            <v>15</v>
          </cell>
          <cell r="CB69">
            <v>10</v>
          </cell>
          <cell r="CC69">
            <v>10</v>
          </cell>
          <cell r="CD69">
            <v>35</v>
          </cell>
          <cell r="CE69">
            <v>10</v>
          </cell>
          <cell r="CF69">
            <v>1555</v>
          </cell>
          <cell r="CG69">
            <v>10</v>
          </cell>
          <cell r="CH69">
            <v>5</v>
          </cell>
          <cell r="CI69">
            <v>5</v>
          </cell>
          <cell r="CJ69">
            <v>940</v>
          </cell>
          <cell r="CK69">
            <v>105</v>
          </cell>
          <cell r="CL69">
            <v>485</v>
          </cell>
          <cell r="CM69">
            <v>0</v>
          </cell>
          <cell r="CN69">
            <v>5</v>
          </cell>
          <cell r="CO69">
            <v>1555</v>
          </cell>
          <cell r="CP69">
            <v>575</v>
          </cell>
          <cell r="CQ69">
            <v>520</v>
          </cell>
          <cell r="CR69">
            <v>265</v>
          </cell>
          <cell r="CS69">
            <v>185</v>
          </cell>
          <cell r="CT69">
            <v>10</v>
          </cell>
          <cell r="CU69">
            <v>3250</v>
          </cell>
          <cell r="CV69">
            <v>2.1</v>
          </cell>
          <cell r="CW69">
            <v>1555</v>
          </cell>
          <cell r="CX69">
            <v>910</v>
          </cell>
          <cell r="CY69">
            <v>10</v>
          </cell>
          <cell r="CZ69">
            <v>645</v>
          </cell>
        </row>
        <row r="70">
          <cell r="A70" t="str">
            <v>4620106.00</v>
          </cell>
          <cell r="B70" t="str">
            <v>0106.00</v>
          </cell>
          <cell r="C70" t="str">
            <v>Côte-des-Neiges-Notre-Dame-de-Grâce</v>
          </cell>
          <cell r="D70">
            <v>1700</v>
          </cell>
          <cell r="E70">
            <v>845</v>
          </cell>
          <cell r="F70">
            <v>540</v>
          </cell>
          <cell r="G70">
            <v>40</v>
          </cell>
          <cell r="H70">
            <v>195</v>
          </cell>
          <cell r="I70">
            <v>70</v>
          </cell>
          <cell r="J70">
            <v>1695</v>
          </cell>
          <cell r="K70">
            <v>1430</v>
          </cell>
          <cell r="L70">
            <v>265</v>
          </cell>
          <cell r="M70">
            <v>525</v>
          </cell>
          <cell r="N70">
            <v>315</v>
          </cell>
          <cell r="O70">
            <v>110</v>
          </cell>
          <cell r="P70">
            <v>85</v>
          </cell>
          <cell r="Q70">
            <v>0</v>
          </cell>
          <cell r="R70">
            <v>525</v>
          </cell>
          <cell r="S70">
            <v>415</v>
          </cell>
          <cell r="T70">
            <v>270</v>
          </cell>
          <cell r="U70">
            <v>125</v>
          </cell>
          <cell r="V70">
            <v>140</v>
          </cell>
          <cell r="W70">
            <v>80</v>
          </cell>
          <cell r="X70">
            <v>50</v>
          </cell>
          <cell r="Y70">
            <v>10</v>
          </cell>
          <cell r="Z70">
            <v>145</v>
          </cell>
          <cell r="AA70">
            <v>110</v>
          </cell>
          <cell r="AB70">
            <v>30</v>
          </cell>
          <cell r="AC70">
            <v>10</v>
          </cell>
          <cell r="AD70">
            <v>20</v>
          </cell>
          <cell r="AE70">
            <v>0</v>
          </cell>
          <cell r="AF70">
            <v>110</v>
          </cell>
          <cell r="AG70">
            <v>90</v>
          </cell>
          <cell r="AH70">
            <v>60</v>
          </cell>
          <cell r="AI70">
            <v>15</v>
          </cell>
          <cell r="AJ70">
            <v>15</v>
          </cell>
          <cell r="AK70">
            <v>25</v>
          </cell>
          <cell r="AL70">
            <v>20</v>
          </cell>
          <cell r="AM70">
            <v>0</v>
          </cell>
          <cell r="AN70">
            <v>0</v>
          </cell>
          <cell r="AO70">
            <v>420</v>
          </cell>
          <cell r="AP70">
            <v>95</v>
          </cell>
          <cell r="AQ70">
            <v>110</v>
          </cell>
          <cell r="AR70">
            <v>35</v>
          </cell>
          <cell r="AS70">
            <v>100</v>
          </cell>
          <cell r="AT70">
            <v>75</v>
          </cell>
          <cell r="AU70">
            <v>0.8</v>
          </cell>
          <cell r="AV70">
            <v>1850</v>
          </cell>
          <cell r="AW70">
            <v>490</v>
          </cell>
          <cell r="AX70">
            <v>65</v>
          </cell>
          <cell r="AY70">
            <v>95</v>
          </cell>
          <cell r="AZ70">
            <v>325</v>
          </cell>
          <cell r="BA70">
            <v>1365</v>
          </cell>
          <cell r="BB70">
            <v>2.6</v>
          </cell>
          <cell r="BC70">
            <v>245</v>
          </cell>
          <cell r="BD70">
            <v>100</v>
          </cell>
          <cell r="BE70">
            <v>30</v>
          </cell>
          <cell r="BF70">
            <v>0</v>
          </cell>
          <cell r="BG70">
            <v>70</v>
          </cell>
          <cell r="BH70">
            <v>150</v>
          </cell>
          <cell r="BI70">
            <v>895</v>
          </cell>
          <cell r="BJ70">
            <v>5.0999999999999996</v>
          </cell>
          <cell r="BK70">
            <v>4564.5</v>
          </cell>
          <cell r="BL70">
            <v>1.9</v>
          </cell>
          <cell r="BM70">
            <v>1700.5</v>
          </cell>
          <cell r="BN70">
            <v>895</v>
          </cell>
          <cell r="BO70">
            <v>330</v>
          </cell>
          <cell r="BP70">
            <v>565</v>
          </cell>
          <cell r="BQ70">
            <v>0</v>
          </cell>
          <cell r="BR70">
            <v>895</v>
          </cell>
          <cell r="BS70">
            <v>495</v>
          </cell>
          <cell r="BT70">
            <v>345</v>
          </cell>
          <cell r="BU70">
            <v>55</v>
          </cell>
          <cell r="BV70">
            <v>895</v>
          </cell>
          <cell r="BW70">
            <v>520</v>
          </cell>
          <cell r="BX70">
            <v>80</v>
          </cell>
          <cell r="BY70">
            <v>115</v>
          </cell>
          <cell r="BZ70">
            <v>60</v>
          </cell>
          <cell r="CA70">
            <v>70</v>
          </cell>
          <cell r="CB70">
            <v>40</v>
          </cell>
          <cell r="CC70">
            <v>0</v>
          </cell>
          <cell r="CD70">
            <v>0</v>
          </cell>
          <cell r="CE70">
            <v>0</v>
          </cell>
          <cell r="CF70">
            <v>890</v>
          </cell>
          <cell r="CG70">
            <v>15</v>
          </cell>
          <cell r="CH70">
            <v>30</v>
          </cell>
          <cell r="CI70">
            <v>5</v>
          </cell>
          <cell r="CJ70">
            <v>330</v>
          </cell>
          <cell r="CK70">
            <v>295</v>
          </cell>
          <cell r="CL70">
            <v>210</v>
          </cell>
          <cell r="CM70">
            <v>0</v>
          </cell>
          <cell r="CN70">
            <v>0</v>
          </cell>
          <cell r="CO70">
            <v>895</v>
          </cell>
          <cell r="CP70">
            <v>345</v>
          </cell>
          <cell r="CQ70">
            <v>290</v>
          </cell>
          <cell r="CR70">
            <v>150</v>
          </cell>
          <cell r="CS70">
            <v>105</v>
          </cell>
          <cell r="CT70">
            <v>5</v>
          </cell>
          <cell r="CU70">
            <v>1850</v>
          </cell>
          <cell r="CV70">
            <v>2.1</v>
          </cell>
          <cell r="CW70">
            <v>895</v>
          </cell>
          <cell r="CX70">
            <v>510</v>
          </cell>
          <cell r="CY70">
            <v>10</v>
          </cell>
          <cell r="CZ70">
            <v>380</v>
          </cell>
        </row>
        <row r="71">
          <cell r="A71" t="str">
            <v>4620107.00</v>
          </cell>
          <cell r="B71" t="str">
            <v>0107.00</v>
          </cell>
          <cell r="C71" t="str">
            <v>Côte-des-Neiges-Notre-Dame-de-Grâce</v>
          </cell>
          <cell r="D71">
            <v>1210</v>
          </cell>
          <cell r="E71">
            <v>690</v>
          </cell>
          <cell r="F71">
            <v>300</v>
          </cell>
          <cell r="G71">
            <v>45</v>
          </cell>
          <cell r="H71">
            <v>135</v>
          </cell>
          <cell r="I71">
            <v>45</v>
          </cell>
          <cell r="J71">
            <v>1215</v>
          </cell>
          <cell r="K71">
            <v>1070</v>
          </cell>
          <cell r="L71">
            <v>145</v>
          </cell>
          <cell r="M71">
            <v>295</v>
          </cell>
          <cell r="N71">
            <v>185</v>
          </cell>
          <cell r="O71">
            <v>65</v>
          </cell>
          <cell r="P71">
            <v>30</v>
          </cell>
          <cell r="Q71">
            <v>10</v>
          </cell>
          <cell r="R71">
            <v>295</v>
          </cell>
          <cell r="S71">
            <v>185</v>
          </cell>
          <cell r="T71">
            <v>130</v>
          </cell>
          <cell r="U71">
            <v>55</v>
          </cell>
          <cell r="V71">
            <v>75</v>
          </cell>
          <cell r="W71">
            <v>40</v>
          </cell>
          <cell r="X71">
            <v>25</v>
          </cell>
          <cell r="Y71">
            <v>10</v>
          </cell>
          <cell r="Z71">
            <v>55</v>
          </cell>
          <cell r="AA71">
            <v>40</v>
          </cell>
          <cell r="AB71">
            <v>15</v>
          </cell>
          <cell r="AC71">
            <v>0</v>
          </cell>
          <cell r="AD71">
            <v>0</v>
          </cell>
          <cell r="AE71">
            <v>10</v>
          </cell>
          <cell r="AF71">
            <v>110</v>
          </cell>
          <cell r="AG71">
            <v>90</v>
          </cell>
          <cell r="AH71">
            <v>80</v>
          </cell>
          <cell r="AI71">
            <v>15</v>
          </cell>
          <cell r="AJ71">
            <v>0</v>
          </cell>
          <cell r="AK71">
            <v>15</v>
          </cell>
          <cell r="AL71">
            <v>15</v>
          </cell>
          <cell r="AM71">
            <v>0</v>
          </cell>
          <cell r="AN71">
            <v>0</v>
          </cell>
          <cell r="AO71">
            <v>265</v>
          </cell>
          <cell r="AP71">
            <v>95</v>
          </cell>
          <cell r="AQ71">
            <v>85</v>
          </cell>
          <cell r="AR71">
            <v>50</v>
          </cell>
          <cell r="AS71">
            <v>15</v>
          </cell>
          <cell r="AT71">
            <v>25</v>
          </cell>
          <cell r="AU71">
            <v>0.9</v>
          </cell>
          <cell r="AV71">
            <v>1335</v>
          </cell>
          <cell r="AW71">
            <v>590</v>
          </cell>
          <cell r="AX71">
            <v>60</v>
          </cell>
          <cell r="AY71">
            <v>145</v>
          </cell>
          <cell r="AZ71">
            <v>385</v>
          </cell>
          <cell r="BA71">
            <v>740</v>
          </cell>
          <cell r="BB71">
            <v>2.5</v>
          </cell>
          <cell r="BC71">
            <v>100</v>
          </cell>
          <cell r="BD71">
            <v>85</v>
          </cell>
          <cell r="BE71">
            <v>20</v>
          </cell>
          <cell r="BF71">
            <v>10</v>
          </cell>
          <cell r="BG71">
            <v>65</v>
          </cell>
          <cell r="BH71">
            <v>15</v>
          </cell>
          <cell r="BI71">
            <v>740</v>
          </cell>
          <cell r="BJ71">
            <v>4.3</v>
          </cell>
          <cell r="BK71">
            <v>3182</v>
          </cell>
          <cell r="BL71">
            <v>1.6</v>
          </cell>
          <cell r="BM71">
            <v>1184</v>
          </cell>
          <cell r="BN71">
            <v>740</v>
          </cell>
          <cell r="BO71">
            <v>190</v>
          </cell>
          <cell r="BP71">
            <v>555</v>
          </cell>
          <cell r="BQ71">
            <v>0</v>
          </cell>
          <cell r="BR71">
            <v>740</v>
          </cell>
          <cell r="BS71">
            <v>325</v>
          </cell>
          <cell r="BT71">
            <v>315</v>
          </cell>
          <cell r="BU71">
            <v>110</v>
          </cell>
          <cell r="BV71">
            <v>740</v>
          </cell>
          <cell r="BW71">
            <v>285</v>
          </cell>
          <cell r="BX71">
            <v>145</v>
          </cell>
          <cell r="BY71">
            <v>130</v>
          </cell>
          <cell r="BZ71">
            <v>95</v>
          </cell>
          <cell r="CA71">
            <v>25</v>
          </cell>
          <cell r="CB71">
            <v>20</v>
          </cell>
          <cell r="CC71">
            <v>25</v>
          </cell>
          <cell r="CD71">
            <v>10</v>
          </cell>
          <cell r="CE71">
            <v>10</v>
          </cell>
          <cell r="CF71">
            <v>740</v>
          </cell>
          <cell r="CG71">
            <v>5</v>
          </cell>
          <cell r="CH71">
            <v>5</v>
          </cell>
          <cell r="CI71">
            <v>10</v>
          </cell>
          <cell r="CJ71">
            <v>20</v>
          </cell>
          <cell r="CK71">
            <v>235</v>
          </cell>
          <cell r="CL71">
            <v>455</v>
          </cell>
          <cell r="CM71">
            <v>5</v>
          </cell>
          <cell r="CN71">
            <v>0</v>
          </cell>
          <cell r="CO71">
            <v>740</v>
          </cell>
          <cell r="CP71">
            <v>380</v>
          </cell>
          <cell r="CQ71">
            <v>225</v>
          </cell>
          <cell r="CR71">
            <v>80</v>
          </cell>
          <cell r="CS71">
            <v>60</v>
          </cell>
          <cell r="CT71">
            <v>5</v>
          </cell>
          <cell r="CU71">
            <v>1335</v>
          </cell>
          <cell r="CV71">
            <v>1.8</v>
          </cell>
          <cell r="CW71">
            <v>740</v>
          </cell>
          <cell r="CX71">
            <v>270</v>
          </cell>
          <cell r="CY71">
            <v>10</v>
          </cell>
          <cell r="CZ71">
            <v>455</v>
          </cell>
        </row>
        <row r="72">
          <cell r="A72" t="str">
            <v>4620108.00</v>
          </cell>
          <cell r="B72" t="str">
            <v>0108.00</v>
          </cell>
          <cell r="C72" t="str">
            <v>Côte-des-Neiges-Notre-Dame-de-Grâce</v>
          </cell>
          <cell r="D72">
            <v>3365</v>
          </cell>
          <cell r="E72">
            <v>1505</v>
          </cell>
          <cell r="F72">
            <v>1330</v>
          </cell>
          <cell r="G72">
            <v>65</v>
          </cell>
          <cell r="H72">
            <v>265</v>
          </cell>
          <cell r="I72">
            <v>200</v>
          </cell>
          <cell r="J72">
            <v>3365</v>
          </cell>
          <cell r="K72">
            <v>3055</v>
          </cell>
          <cell r="L72">
            <v>305</v>
          </cell>
          <cell r="M72">
            <v>975</v>
          </cell>
          <cell r="N72">
            <v>500</v>
          </cell>
          <cell r="O72">
            <v>165</v>
          </cell>
          <cell r="P72">
            <v>235</v>
          </cell>
          <cell r="Q72">
            <v>65</v>
          </cell>
          <cell r="R72">
            <v>975</v>
          </cell>
          <cell r="S72">
            <v>810</v>
          </cell>
          <cell r="T72">
            <v>645</v>
          </cell>
          <cell r="U72">
            <v>295</v>
          </cell>
          <cell r="V72">
            <v>350</v>
          </cell>
          <cell r="W72">
            <v>90</v>
          </cell>
          <cell r="X72">
            <v>200</v>
          </cell>
          <cell r="Y72">
            <v>55</v>
          </cell>
          <cell r="Z72">
            <v>165</v>
          </cell>
          <cell r="AA72">
            <v>115</v>
          </cell>
          <cell r="AB72">
            <v>50</v>
          </cell>
          <cell r="AC72">
            <v>25</v>
          </cell>
          <cell r="AD72">
            <v>20</v>
          </cell>
          <cell r="AE72">
            <v>0</v>
          </cell>
          <cell r="AF72">
            <v>160</v>
          </cell>
          <cell r="AG72">
            <v>140</v>
          </cell>
          <cell r="AH72">
            <v>85</v>
          </cell>
          <cell r="AI72">
            <v>45</v>
          </cell>
          <cell r="AJ72">
            <v>10</v>
          </cell>
          <cell r="AK72">
            <v>20</v>
          </cell>
          <cell r="AL72">
            <v>0</v>
          </cell>
          <cell r="AM72">
            <v>10</v>
          </cell>
          <cell r="AN72">
            <v>10</v>
          </cell>
          <cell r="AO72">
            <v>1025</v>
          </cell>
          <cell r="AP72">
            <v>170</v>
          </cell>
          <cell r="AQ72">
            <v>455</v>
          </cell>
          <cell r="AR72">
            <v>155</v>
          </cell>
          <cell r="AS72">
            <v>165</v>
          </cell>
          <cell r="AT72">
            <v>80</v>
          </cell>
          <cell r="AU72">
            <v>1.1000000000000001</v>
          </cell>
          <cell r="AV72">
            <v>3645</v>
          </cell>
          <cell r="AW72">
            <v>840</v>
          </cell>
          <cell r="AX72">
            <v>50</v>
          </cell>
          <cell r="AY72">
            <v>285</v>
          </cell>
          <cell r="AZ72">
            <v>500</v>
          </cell>
          <cell r="BA72">
            <v>2805</v>
          </cell>
          <cell r="BB72">
            <v>2.9</v>
          </cell>
          <cell r="BC72">
            <v>495</v>
          </cell>
          <cell r="BD72">
            <v>180</v>
          </cell>
          <cell r="BE72">
            <v>10</v>
          </cell>
          <cell r="BF72">
            <v>35</v>
          </cell>
          <cell r="BG72">
            <v>135</v>
          </cell>
          <cell r="BH72">
            <v>320</v>
          </cell>
          <cell r="BI72">
            <v>1560</v>
          </cell>
          <cell r="BJ72">
            <v>6.3</v>
          </cell>
          <cell r="BK72">
            <v>9828</v>
          </cell>
          <cell r="BL72">
            <v>2.6</v>
          </cell>
          <cell r="BM72">
            <v>4056</v>
          </cell>
          <cell r="BN72">
            <v>1560</v>
          </cell>
          <cell r="BO72">
            <v>760</v>
          </cell>
          <cell r="BP72">
            <v>800</v>
          </cell>
          <cell r="BQ72">
            <v>0</v>
          </cell>
          <cell r="BR72">
            <v>1560</v>
          </cell>
          <cell r="BS72">
            <v>785</v>
          </cell>
          <cell r="BT72">
            <v>600</v>
          </cell>
          <cell r="BU72">
            <v>170</v>
          </cell>
          <cell r="BV72">
            <v>1560</v>
          </cell>
          <cell r="BW72">
            <v>1035</v>
          </cell>
          <cell r="BX72">
            <v>195</v>
          </cell>
          <cell r="BY72">
            <v>180</v>
          </cell>
          <cell r="BZ72">
            <v>75</v>
          </cell>
          <cell r="CA72">
            <v>20</v>
          </cell>
          <cell r="CB72">
            <v>10</v>
          </cell>
          <cell r="CC72">
            <v>0</v>
          </cell>
          <cell r="CD72">
            <v>0</v>
          </cell>
          <cell r="CE72">
            <v>40</v>
          </cell>
          <cell r="CF72">
            <v>1555</v>
          </cell>
          <cell r="CG72">
            <v>45</v>
          </cell>
          <cell r="CH72">
            <v>430</v>
          </cell>
          <cell r="CI72">
            <v>135</v>
          </cell>
          <cell r="CJ72">
            <v>130</v>
          </cell>
          <cell r="CK72">
            <v>215</v>
          </cell>
          <cell r="CL72">
            <v>600</v>
          </cell>
          <cell r="CM72">
            <v>0</v>
          </cell>
          <cell r="CN72">
            <v>0</v>
          </cell>
          <cell r="CO72">
            <v>1560</v>
          </cell>
          <cell r="CP72">
            <v>505</v>
          </cell>
          <cell r="CQ72">
            <v>500</v>
          </cell>
          <cell r="CR72">
            <v>205</v>
          </cell>
          <cell r="CS72">
            <v>320</v>
          </cell>
          <cell r="CT72">
            <v>25</v>
          </cell>
          <cell r="CU72">
            <v>3645</v>
          </cell>
          <cell r="CV72">
            <v>2.2999999999999998</v>
          </cell>
          <cell r="CW72">
            <v>1560</v>
          </cell>
          <cell r="CX72">
            <v>905</v>
          </cell>
          <cell r="CY72">
            <v>30</v>
          </cell>
          <cell r="CZ72">
            <v>620</v>
          </cell>
        </row>
        <row r="73">
          <cell r="A73" t="str">
            <v>4620109.00</v>
          </cell>
          <cell r="B73" t="str">
            <v>0109.00</v>
          </cell>
          <cell r="C73" t="str">
            <v>Côte-des-Neiges-Notre-Dame-de-Grâce</v>
          </cell>
          <cell r="D73">
            <v>1785</v>
          </cell>
          <cell r="E73">
            <v>870</v>
          </cell>
          <cell r="F73">
            <v>605</v>
          </cell>
          <cell r="G73">
            <v>45</v>
          </cell>
          <cell r="H73">
            <v>170</v>
          </cell>
          <cell r="I73">
            <v>90</v>
          </cell>
          <cell r="J73">
            <v>1780</v>
          </cell>
          <cell r="K73">
            <v>1595</v>
          </cell>
          <cell r="L73">
            <v>185</v>
          </cell>
          <cell r="M73">
            <v>465</v>
          </cell>
          <cell r="N73">
            <v>255</v>
          </cell>
          <cell r="O73">
            <v>100</v>
          </cell>
          <cell r="P73">
            <v>80</v>
          </cell>
          <cell r="Q73">
            <v>25</v>
          </cell>
          <cell r="R73">
            <v>465</v>
          </cell>
          <cell r="S73">
            <v>375</v>
          </cell>
          <cell r="T73">
            <v>295</v>
          </cell>
          <cell r="U73">
            <v>130</v>
          </cell>
          <cell r="V73">
            <v>165</v>
          </cell>
          <cell r="W73">
            <v>70</v>
          </cell>
          <cell r="X73">
            <v>70</v>
          </cell>
          <cell r="Y73">
            <v>25</v>
          </cell>
          <cell r="Z73">
            <v>85</v>
          </cell>
          <cell r="AA73">
            <v>70</v>
          </cell>
          <cell r="AB73">
            <v>15</v>
          </cell>
          <cell r="AC73">
            <v>10</v>
          </cell>
          <cell r="AD73">
            <v>10</v>
          </cell>
          <cell r="AE73">
            <v>0</v>
          </cell>
          <cell r="AF73">
            <v>90</v>
          </cell>
          <cell r="AG73">
            <v>85</v>
          </cell>
          <cell r="AH73">
            <v>50</v>
          </cell>
          <cell r="AI73">
            <v>25</v>
          </cell>
          <cell r="AJ73">
            <v>0</v>
          </cell>
          <cell r="AK73">
            <v>0</v>
          </cell>
          <cell r="AL73">
            <v>10</v>
          </cell>
          <cell r="AM73">
            <v>0</v>
          </cell>
          <cell r="AN73">
            <v>0</v>
          </cell>
          <cell r="AO73">
            <v>435</v>
          </cell>
          <cell r="AP73">
            <v>95</v>
          </cell>
          <cell r="AQ73">
            <v>130</v>
          </cell>
          <cell r="AR73">
            <v>70</v>
          </cell>
          <cell r="AS73">
            <v>90</v>
          </cell>
          <cell r="AT73">
            <v>50</v>
          </cell>
          <cell r="AU73">
            <v>0.9</v>
          </cell>
          <cell r="AV73">
            <v>2020</v>
          </cell>
          <cell r="AW73">
            <v>735</v>
          </cell>
          <cell r="AX73">
            <v>80</v>
          </cell>
          <cell r="AY73">
            <v>220</v>
          </cell>
          <cell r="AZ73">
            <v>430</v>
          </cell>
          <cell r="BA73">
            <v>1285</v>
          </cell>
          <cell r="BB73">
            <v>2.8</v>
          </cell>
          <cell r="BC73">
            <v>225</v>
          </cell>
          <cell r="BD73">
            <v>145</v>
          </cell>
          <cell r="BE73">
            <v>25</v>
          </cell>
          <cell r="BF73">
            <v>0</v>
          </cell>
          <cell r="BG73">
            <v>120</v>
          </cell>
          <cell r="BH73">
            <v>80</v>
          </cell>
          <cell r="BI73">
            <v>1005</v>
          </cell>
          <cell r="BJ73">
            <v>4.7</v>
          </cell>
          <cell r="BK73">
            <v>4723.5</v>
          </cell>
          <cell r="BL73">
            <v>1.8</v>
          </cell>
          <cell r="BM73">
            <v>1809</v>
          </cell>
          <cell r="BN73">
            <v>1005</v>
          </cell>
          <cell r="BO73">
            <v>235</v>
          </cell>
          <cell r="BP73">
            <v>775</v>
          </cell>
          <cell r="BQ73">
            <v>0</v>
          </cell>
          <cell r="BR73">
            <v>1005</v>
          </cell>
          <cell r="BS73">
            <v>515</v>
          </cell>
          <cell r="BT73">
            <v>380</v>
          </cell>
          <cell r="BU73">
            <v>105</v>
          </cell>
          <cell r="BV73">
            <v>1005</v>
          </cell>
          <cell r="BW73">
            <v>405</v>
          </cell>
          <cell r="BX73">
            <v>410</v>
          </cell>
          <cell r="BY73">
            <v>100</v>
          </cell>
          <cell r="BZ73">
            <v>60</v>
          </cell>
          <cell r="CA73">
            <v>20</v>
          </cell>
          <cell r="CB73">
            <v>10</v>
          </cell>
          <cell r="CC73">
            <v>0</v>
          </cell>
          <cell r="CD73">
            <v>0</v>
          </cell>
          <cell r="CE73">
            <v>0</v>
          </cell>
          <cell r="CF73">
            <v>1010</v>
          </cell>
          <cell r="CG73">
            <v>40</v>
          </cell>
          <cell r="CH73">
            <v>10</v>
          </cell>
          <cell r="CI73">
            <v>60</v>
          </cell>
          <cell r="CJ73">
            <v>235</v>
          </cell>
          <cell r="CK73">
            <v>205</v>
          </cell>
          <cell r="CL73">
            <v>465</v>
          </cell>
          <cell r="CM73">
            <v>0</v>
          </cell>
          <cell r="CN73">
            <v>0</v>
          </cell>
          <cell r="CO73">
            <v>1010</v>
          </cell>
          <cell r="CP73">
            <v>430</v>
          </cell>
          <cell r="CQ73">
            <v>315</v>
          </cell>
          <cell r="CR73">
            <v>145</v>
          </cell>
          <cell r="CS73">
            <v>115</v>
          </cell>
          <cell r="CT73">
            <v>10</v>
          </cell>
          <cell r="CU73">
            <v>2020</v>
          </cell>
          <cell r="CV73">
            <v>2</v>
          </cell>
          <cell r="CW73">
            <v>1005</v>
          </cell>
          <cell r="CX73">
            <v>430</v>
          </cell>
          <cell r="CY73">
            <v>15</v>
          </cell>
          <cell r="CZ73">
            <v>555</v>
          </cell>
        </row>
        <row r="74">
          <cell r="A74" t="str">
            <v>4620110.00</v>
          </cell>
          <cell r="B74" t="str">
            <v>0110.00</v>
          </cell>
          <cell r="C74" t="str">
            <v>Côte-des-Neiges-Notre-Dame-de-Grâce</v>
          </cell>
          <cell r="D74">
            <v>3255</v>
          </cell>
          <cell r="E74">
            <v>1570</v>
          </cell>
          <cell r="F74">
            <v>1090</v>
          </cell>
          <cell r="G74">
            <v>120</v>
          </cell>
          <cell r="H74">
            <v>355</v>
          </cell>
          <cell r="I74">
            <v>115</v>
          </cell>
          <cell r="J74">
            <v>3260</v>
          </cell>
          <cell r="K74">
            <v>2905</v>
          </cell>
          <cell r="L74">
            <v>350</v>
          </cell>
          <cell r="M74">
            <v>910</v>
          </cell>
          <cell r="N74">
            <v>455</v>
          </cell>
          <cell r="O74">
            <v>270</v>
          </cell>
          <cell r="P74">
            <v>130</v>
          </cell>
          <cell r="Q74">
            <v>50</v>
          </cell>
          <cell r="R74">
            <v>910</v>
          </cell>
          <cell r="S74">
            <v>700</v>
          </cell>
          <cell r="T74">
            <v>525</v>
          </cell>
          <cell r="U74">
            <v>195</v>
          </cell>
          <cell r="V74">
            <v>335</v>
          </cell>
          <cell r="W74">
            <v>175</v>
          </cell>
          <cell r="X74">
            <v>115</v>
          </cell>
          <cell r="Y74">
            <v>40</v>
          </cell>
          <cell r="Z74">
            <v>175</v>
          </cell>
          <cell r="AA74">
            <v>120</v>
          </cell>
          <cell r="AB74">
            <v>50</v>
          </cell>
          <cell r="AC74">
            <v>40</v>
          </cell>
          <cell r="AD74">
            <v>10</v>
          </cell>
          <cell r="AE74">
            <v>0</v>
          </cell>
          <cell r="AF74">
            <v>210</v>
          </cell>
          <cell r="AG74">
            <v>190</v>
          </cell>
          <cell r="AH74">
            <v>120</v>
          </cell>
          <cell r="AI74">
            <v>55</v>
          </cell>
          <cell r="AJ74">
            <v>10</v>
          </cell>
          <cell r="AK74">
            <v>20</v>
          </cell>
          <cell r="AL74">
            <v>15</v>
          </cell>
          <cell r="AM74">
            <v>0</v>
          </cell>
          <cell r="AN74">
            <v>0</v>
          </cell>
          <cell r="AO74">
            <v>925</v>
          </cell>
          <cell r="AP74">
            <v>225</v>
          </cell>
          <cell r="AQ74">
            <v>385</v>
          </cell>
          <cell r="AR74">
            <v>65</v>
          </cell>
          <cell r="AS74">
            <v>195</v>
          </cell>
          <cell r="AT74">
            <v>55</v>
          </cell>
          <cell r="AU74">
            <v>1</v>
          </cell>
          <cell r="AV74">
            <v>3860</v>
          </cell>
          <cell r="AW74">
            <v>1320</v>
          </cell>
          <cell r="AX74">
            <v>255</v>
          </cell>
          <cell r="AY74">
            <v>195</v>
          </cell>
          <cell r="AZ74">
            <v>870</v>
          </cell>
          <cell r="BA74">
            <v>2535</v>
          </cell>
          <cell r="BB74">
            <v>2.8</v>
          </cell>
          <cell r="BC74">
            <v>345</v>
          </cell>
          <cell r="BD74">
            <v>200</v>
          </cell>
          <cell r="BE74">
            <v>10</v>
          </cell>
          <cell r="BF74">
            <v>0</v>
          </cell>
          <cell r="BG74">
            <v>190</v>
          </cell>
          <cell r="BH74">
            <v>145</v>
          </cell>
          <cell r="BI74">
            <v>1955</v>
          </cell>
          <cell r="BJ74">
            <v>4.0999999999999996</v>
          </cell>
          <cell r="BK74">
            <v>8015.4999999999991</v>
          </cell>
          <cell r="BL74">
            <v>1.6</v>
          </cell>
          <cell r="BM74">
            <v>3128</v>
          </cell>
          <cell r="BN74">
            <v>1955</v>
          </cell>
          <cell r="BO74">
            <v>205</v>
          </cell>
          <cell r="BP74">
            <v>1745</v>
          </cell>
          <cell r="BQ74">
            <v>0</v>
          </cell>
          <cell r="BR74">
            <v>1955</v>
          </cell>
          <cell r="BS74">
            <v>875</v>
          </cell>
          <cell r="BT74">
            <v>745</v>
          </cell>
          <cell r="BU74">
            <v>335</v>
          </cell>
          <cell r="BV74">
            <v>1955</v>
          </cell>
          <cell r="BW74">
            <v>660</v>
          </cell>
          <cell r="BX74">
            <v>745</v>
          </cell>
          <cell r="BY74">
            <v>280</v>
          </cell>
          <cell r="BZ74">
            <v>155</v>
          </cell>
          <cell r="CA74">
            <v>80</v>
          </cell>
          <cell r="CB74">
            <v>15</v>
          </cell>
          <cell r="CC74">
            <v>10</v>
          </cell>
          <cell r="CD74">
            <v>0</v>
          </cell>
          <cell r="CE74">
            <v>0</v>
          </cell>
          <cell r="CF74">
            <v>1955</v>
          </cell>
          <cell r="CG74">
            <v>0</v>
          </cell>
          <cell r="CH74">
            <v>0</v>
          </cell>
          <cell r="CI74">
            <v>0</v>
          </cell>
          <cell r="CJ74">
            <v>125</v>
          </cell>
          <cell r="CK74">
            <v>615</v>
          </cell>
          <cell r="CL74">
            <v>1210</v>
          </cell>
          <cell r="CM74">
            <v>0</v>
          </cell>
          <cell r="CN74">
            <v>0</v>
          </cell>
          <cell r="CO74">
            <v>1955</v>
          </cell>
          <cell r="CP74">
            <v>870</v>
          </cell>
          <cell r="CQ74">
            <v>575</v>
          </cell>
          <cell r="CR74">
            <v>295</v>
          </cell>
          <cell r="CS74">
            <v>195</v>
          </cell>
          <cell r="CT74">
            <v>20</v>
          </cell>
          <cell r="CU74">
            <v>3860</v>
          </cell>
          <cell r="CV74">
            <v>2</v>
          </cell>
          <cell r="CW74">
            <v>1955</v>
          </cell>
          <cell r="CX74">
            <v>890</v>
          </cell>
          <cell r="CY74">
            <v>10</v>
          </cell>
          <cell r="CZ74">
            <v>1055</v>
          </cell>
        </row>
        <row r="75">
          <cell r="A75" t="str">
            <v>4620111.00</v>
          </cell>
          <cell r="B75" t="str">
            <v>0111.00</v>
          </cell>
          <cell r="C75" t="str">
            <v>Côte-des-Neiges-Notre-Dame-de-Grâce</v>
          </cell>
          <cell r="D75">
            <v>5515</v>
          </cell>
          <cell r="E75">
            <v>2140</v>
          </cell>
          <cell r="F75">
            <v>2315</v>
          </cell>
          <cell r="G75">
            <v>165</v>
          </cell>
          <cell r="H75">
            <v>500</v>
          </cell>
          <cell r="I75">
            <v>395</v>
          </cell>
          <cell r="J75">
            <v>5520</v>
          </cell>
          <cell r="K75">
            <v>5120</v>
          </cell>
          <cell r="L75">
            <v>395</v>
          </cell>
          <cell r="M75">
            <v>1690</v>
          </cell>
          <cell r="N75">
            <v>780</v>
          </cell>
          <cell r="O75">
            <v>415</v>
          </cell>
          <cell r="P75">
            <v>350</v>
          </cell>
          <cell r="Q75">
            <v>145</v>
          </cell>
          <cell r="R75">
            <v>1685</v>
          </cell>
          <cell r="S75">
            <v>1330</v>
          </cell>
          <cell r="T75">
            <v>1120</v>
          </cell>
          <cell r="U75">
            <v>390</v>
          </cell>
          <cell r="V75">
            <v>730</v>
          </cell>
          <cell r="W75">
            <v>285</v>
          </cell>
          <cell r="X75">
            <v>310</v>
          </cell>
          <cell r="Y75">
            <v>135</v>
          </cell>
          <cell r="Z75">
            <v>205</v>
          </cell>
          <cell r="AA75">
            <v>140</v>
          </cell>
          <cell r="AB75">
            <v>60</v>
          </cell>
          <cell r="AC75">
            <v>45</v>
          </cell>
          <cell r="AD75">
            <v>20</v>
          </cell>
          <cell r="AE75">
            <v>0</v>
          </cell>
          <cell r="AF75">
            <v>355</v>
          </cell>
          <cell r="AG75">
            <v>295</v>
          </cell>
          <cell r="AH75">
            <v>185</v>
          </cell>
          <cell r="AI75">
            <v>85</v>
          </cell>
          <cell r="AJ75">
            <v>25</v>
          </cell>
          <cell r="AK75">
            <v>60</v>
          </cell>
          <cell r="AL75">
            <v>60</v>
          </cell>
          <cell r="AM75">
            <v>0</v>
          </cell>
          <cell r="AN75">
            <v>0</v>
          </cell>
          <cell r="AO75">
            <v>1955</v>
          </cell>
          <cell r="AP75">
            <v>465</v>
          </cell>
          <cell r="AQ75">
            <v>590</v>
          </cell>
          <cell r="AR75">
            <v>195</v>
          </cell>
          <cell r="AS75">
            <v>375</v>
          </cell>
          <cell r="AT75">
            <v>335</v>
          </cell>
          <cell r="AU75">
            <v>1.2</v>
          </cell>
          <cell r="AV75">
            <v>6460</v>
          </cell>
          <cell r="AW75">
            <v>1485</v>
          </cell>
          <cell r="AX75">
            <v>180</v>
          </cell>
          <cell r="AY75">
            <v>260</v>
          </cell>
          <cell r="AZ75">
            <v>1050</v>
          </cell>
          <cell r="BA75">
            <v>4975</v>
          </cell>
          <cell r="BB75">
            <v>2.9</v>
          </cell>
          <cell r="BC75">
            <v>1005</v>
          </cell>
          <cell r="BD75">
            <v>490</v>
          </cell>
          <cell r="BE75">
            <v>70</v>
          </cell>
          <cell r="BF75">
            <v>35</v>
          </cell>
          <cell r="BG75">
            <v>380</v>
          </cell>
          <cell r="BH75">
            <v>515</v>
          </cell>
          <cell r="BI75">
            <v>2815</v>
          </cell>
          <cell r="BJ75">
            <v>4.9000000000000004</v>
          </cell>
          <cell r="BK75">
            <v>13793.500000000002</v>
          </cell>
          <cell r="BL75">
            <v>2.1</v>
          </cell>
          <cell r="BM75">
            <v>5911.5</v>
          </cell>
          <cell r="BN75">
            <v>2815</v>
          </cell>
          <cell r="BO75">
            <v>1215</v>
          </cell>
          <cell r="BP75">
            <v>1600</v>
          </cell>
          <cell r="BQ75">
            <v>0</v>
          </cell>
          <cell r="BR75">
            <v>2815</v>
          </cell>
          <cell r="BS75">
            <v>1460</v>
          </cell>
          <cell r="BT75">
            <v>1065</v>
          </cell>
          <cell r="BU75">
            <v>295</v>
          </cell>
          <cell r="BV75">
            <v>2815</v>
          </cell>
          <cell r="BW75">
            <v>750</v>
          </cell>
          <cell r="BX75">
            <v>1045</v>
          </cell>
          <cell r="BY75">
            <v>515</v>
          </cell>
          <cell r="BZ75">
            <v>160</v>
          </cell>
          <cell r="CA75">
            <v>135</v>
          </cell>
          <cell r="CB75">
            <v>105</v>
          </cell>
          <cell r="CC75">
            <v>70</v>
          </cell>
          <cell r="CD75">
            <v>25</v>
          </cell>
          <cell r="CE75">
            <v>0</v>
          </cell>
          <cell r="CF75">
            <v>2815</v>
          </cell>
          <cell r="CG75">
            <v>75</v>
          </cell>
          <cell r="CH75">
            <v>55</v>
          </cell>
          <cell r="CI75">
            <v>0</v>
          </cell>
          <cell r="CJ75">
            <v>1380</v>
          </cell>
          <cell r="CK75">
            <v>565</v>
          </cell>
          <cell r="CL75">
            <v>715</v>
          </cell>
          <cell r="CM75">
            <v>20</v>
          </cell>
          <cell r="CN75">
            <v>0</v>
          </cell>
          <cell r="CO75">
            <v>2815</v>
          </cell>
          <cell r="CP75">
            <v>1050</v>
          </cell>
          <cell r="CQ75">
            <v>770</v>
          </cell>
          <cell r="CR75">
            <v>460</v>
          </cell>
          <cell r="CS75">
            <v>450</v>
          </cell>
          <cell r="CT75">
            <v>85</v>
          </cell>
          <cell r="CU75">
            <v>6460</v>
          </cell>
          <cell r="CV75">
            <v>2.2999999999999998</v>
          </cell>
          <cell r="CW75">
            <v>2815</v>
          </cell>
          <cell r="CX75">
            <v>1585</v>
          </cell>
          <cell r="CY75">
            <v>50</v>
          </cell>
          <cell r="CZ75">
            <v>1180</v>
          </cell>
        </row>
        <row r="76">
          <cell r="A76" t="str">
            <v>4620112.01</v>
          </cell>
          <cell r="B76" t="str">
            <v>0112.01</v>
          </cell>
          <cell r="C76" t="str">
            <v>Côte-des-Neiges-Notre-Dame-de-Grâce</v>
          </cell>
          <cell r="D76">
            <v>3810</v>
          </cell>
          <cell r="E76">
            <v>1365</v>
          </cell>
          <cell r="F76">
            <v>1915</v>
          </cell>
          <cell r="G76">
            <v>105</v>
          </cell>
          <cell r="H76">
            <v>215</v>
          </cell>
          <cell r="I76">
            <v>205</v>
          </cell>
          <cell r="J76">
            <v>3810</v>
          </cell>
          <cell r="K76">
            <v>3685</v>
          </cell>
          <cell r="L76">
            <v>125</v>
          </cell>
          <cell r="M76">
            <v>1270</v>
          </cell>
          <cell r="N76">
            <v>445</v>
          </cell>
          <cell r="O76">
            <v>305</v>
          </cell>
          <cell r="P76">
            <v>305</v>
          </cell>
          <cell r="Q76">
            <v>215</v>
          </cell>
          <cell r="R76">
            <v>1270</v>
          </cell>
          <cell r="S76">
            <v>955</v>
          </cell>
          <cell r="T76">
            <v>895</v>
          </cell>
          <cell r="U76">
            <v>240</v>
          </cell>
          <cell r="V76">
            <v>655</v>
          </cell>
          <cell r="W76">
            <v>205</v>
          </cell>
          <cell r="X76">
            <v>250</v>
          </cell>
          <cell r="Y76">
            <v>195</v>
          </cell>
          <cell r="Z76">
            <v>65</v>
          </cell>
          <cell r="AA76">
            <v>35</v>
          </cell>
          <cell r="AB76">
            <v>25</v>
          </cell>
          <cell r="AC76">
            <v>0</v>
          </cell>
          <cell r="AD76">
            <v>15</v>
          </cell>
          <cell r="AE76">
            <v>0</v>
          </cell>
          <cell r="AF76">
            <v>310</v>
          </cell>
          <cell r="AG76">
            <v>270</v>
          </cell>
          <cell r="AH76">
            <v>140</v>
          </cell>
          <cell r="AI76">
            <v>80</v>
          </cell>
          <cell r="AJ76">
            <v>50</v>
          </cell>
          <cell r="AK76">
            <v>40</v>
          </cell>
          <cell r="AL76">
            <v>20</v>
          </cell>
          <cell r="AM76">
            <v>15</v>
          </cell>
          <cell r="AN76">
            <v>0</v>
          </cell>
          <cell r="AO76">
            <v>2165</v>
          </cell>
          <cell r="AP76">
            <v>565</v>
          </cell>
          <cell r="AQ76">
            <v>835</v>
          </cell>
          <cell r="AR76">
            <v>230</v>
          </cell>
          <cell r="AS76">
            <v>345</v>
          </cell>
          <cell r="AT76">
            <v>190</v>
          </cell>
          <cell r="AU76">
            <v>1.7</v>
          </cell>
          <cell r="AV76">
            <v>5175</v>
          </cell>
          <cell r="AW76">
            <v>780</v>
          </cell>
          <cell r="AX76">
            <v>175</v>
          </cell>
          <cell r="AY76">
            <v>170</v>
          </cell>
          <cell r="AZ76">
            <v>430</v>
          </cell>
          <cell r="BA76">
            <v>4395</v>
          </cell>
          <cell r="BB76">
            <v>3.5</v>
          </cell>
          <cell r="BC76">
            <v>530</v>
          </cell>
          <cell r="BD76">
            <v>175</v>
          </cell>
          <cell r="BE76">
            <v>45</v>
          </cell>
          <cell r="BF76">
            <v>0</v>
          </cell>
          <cell r="BG76">
            <v>130</v>
          </cell>
          <cell r="BH76">
            <v>350</v>
          </cell>
          <cell r="BI76">
            <v>1695</v>
          </cell>
          <cell r="BJ76">
            <v>4.5</v>
          </cell>
          <cell r="BK76">
            <v>7627.5</v>
          </cell>
          <cell r="BL76">
            <v>2</v>
          </cell>
          <cell r="BM76">
            <v>3390</v>
          </cell>
          <cell r="BN76">
            <v>1690</v>
          </cell>
          <cell r="BO76">
            <v>480</v>
          </cell>
          <cell r="BP76">
            <v>1210</v>
          </cell>
          <cell r="BQ76">
            <v>0</v>
          </cell>
          <cell r="BR76">
            <v>1690</v>
          </cell>
          <cell r="BS76">
            <v>870</v>
          </cell>
          <cell r="BT76">
            <v>565</v>
          </cell>
          <cell r="BU76">
            <v>260</v>
          </cell>
          <cell r="BV76">
            <v>1690</v>
          </cell>
          <cell r="BW76">
            <v>175</v>
          </cell>
          <cell r="BX76">
            <v>1005</v>
          </cell>
          <cell r="BY76">
            <v>220</v>
          </cell>
          <cell r="BZ76">
            <v>130</v>
          </cell>
          <cell r="CA76">
            <v>45</v>
          </cell>
          <cell r="CB76">
            <v>60</v>
          </cell>
          <cell r="CC76">
            <v>20</v>
          </cell>
          <cell r="CD76">
            <v>20</v>
          </cell>
          <cell r="CE76">
            <v>10</v>
          </cell>
          <cell r="CF76">
            <v>1695</v>
          </cell>
          <cell r="CG76">
            <v>0</v>
          </cell>
          <cell r="CH76">
            <v>25</v>
          </cell>
          <cell r="CI76">
            <v>5</v>
          </cell>
          <cell r="CJ76">
            <v>15</v>
          </cell>
          <cell r="CK76">
            <v>75</v>
          </cell>
          <cell r="CL76">
            <v>1570</v>
          </cell>
          <cell r="CM76">
            <v>0</v>
          </cell>
          <cell r="CN76">
            <v>0</v>
          </cell>
          <cell r="CO76">
            <v>1690</v>
          </cell>
          <cell r="CP76">
            <v>435</v>
          </cell>
          <cell r="CQ76">
            <v>375</v>
          </cell>
          <cell r="CR76">
            <v>295</v>
          </cell>
          <cell r="CS76">
            <v>420</v>
          </cell>
          <cell r="CT76">
            <v>170</v>
          </cell>
          <cell r="CU76">
            <v>5175</v>
          </cell>
          <cell r="CV76">
            <v>3.1</v>
          </cell>
          <cell r="CW76">
            <v>1690</v>
          </cell>
          <cell r="CX76">
            <v>1100</v>
          </cell>
          <cell r="CY76">
            <v>85</v>
          </cell>
          <cell r="CZ76">
            <v>505</v>
          </cell>
        </row>
        <row r="77">
          <cell r="A77" t="str">
            <v>4620112.02</v>
          </cell>
          <cell r="B77" t="str">
            <v>0112.02</v>
          </cell>
          <cell r="C77" t="str">
            <v>Côte-des-Neiges-Notre-Dame-de-Grâce</v>
          </cell>
          <cell r="D77">
            <v>3585</v>
          </cell>
          <cell r="E77">
            <v>1240</v>
          </cell>
          <cell r="F77">
            <v>1450</v>
          </cell>
          <cell r="G77">
            <v>135</v>
          </cell>
          <cell r="H77">
            <v>375</v>
          </cell>
          <cell r="I77">
            <v>385</v>
          </cell>
          <cell r="J77">
            <v>3590</v>
          </cell>
          <cell r="K77">
            <v>3435</v>
          </cell>
          <cell r="L77">
            <v>150</v>
          </cell>
          <cell r="M77">
            <v>1030</v>
          </cell>
          <cell r="N77">
            <v>465</v>
          </cell>
          <cell r="O77">
            <v>285</v>
          </cell>
          <cell r="P77">
            <v>195</v>
          </cell>
          <cell r="Q77">
            <v>85</v>
          </cell>
          <cell r="R77">
            <v>1035</v>
          </cell>
          <cell r="S77">
            <v>750</v>
          </cell>
          <cell r="T77">
            <v>675</v>
          </cell>
          <cell r="U77">
            <v>235</v>
          </cell>
          <cell r="V77">
            <v>440</v>
          </cell>
          <cell r="W77">
            <v>190</v>
          </cell>
          <cell r="X77">
            <v>175</v>
          </cell>
          <cell r="Y77">
            <v>80</v>
          </cell>
          <cell r="Z77">
            <v>75</v>
          </cell>
          <cell r="AA77">
            <v>60</v>
          </cell>
          <cell r="AB77">
            <v>15</v>
          </cell>
          <cell r="AC77">
            <v>0</v>
          </cell>
          <cell r="AD77">
            <v>10</v>
          </cell>
          <cell r="AE77">
            <v>10</v>
          </cell>
          <cell r="AF77">
            <v>280</v>
          </cell>
          <cell r="AG77">
            <v>250</v>
          </cell>
          <cell r="AH77">
            <v>145</v>
          </cell>
          <cell r="AI77">
            <v>90</v>
          </cell>
          <cell r="AJ77">
            <v>15</v>
          </cell>
          <cell r="AK77">
            <v>30</v>
          </cell>
          <cell r="AL77">
            <v>25</v>
          </cell>
          <cell r="AM77">
            <v>0</v>
          </cell>
          <cell r="AN77">
            <v>0</v>
          </cell>
          <cell r="AO77">
            <v>1285</v>
          </cell>
          <cell r="AP77">
            <v>395</v>
          </cell>
          <cell r="AQ77">
            <v>405</v>
          </cell>
          <cell r="AR77">
            <v>130</v>
          </cell>
          <cell r="AS77">
            <v>230</v>
          </cell>
          <cell r="AT77">
            <v>125</v>
          </cell>
          <cell r="AU77">
            <v>1.2</v>
          </cell>
          <cell r="AV77">
            <v>4370</v>
          </cell>
          <cell r="AW77">
            <v>1295</v>
          </cell>
          <cell r="AX77">
            <v>225</v>
          </cell>
          <cell r="AY77">
            <v>185</v>
          </cell>
          <cell r="AZ77">
            <v>885</v>
          </cell>
          <cell r="BA77">
            <v>3070</v>
          </cell>
          <cell r="BB77">
            <v>3</v>
          </cell>
          <cell r="BC77">
            <v>905</v>
          </cell>
          <cell r="BD77">
            <v>595</v>
          </cell>
          <cell r="BE77">
            <v>25</v>
          </cell>
          <cell r="BF77">
            <v>15</v>
          </cell>
          <cell r="BG77">
            <v>560</v>
          </cell>
          <cell r="BH77">
            <v>310</v>
          </cell>
          <cell r="BI77">
            <v>2010</v>
          </cell>
          <cell r="BJ77">
            <v>3.6</v>
          </cell>
          <cell r="BK77">
            <v>7236</v>
          </cell>
          <cell r="BL77">
            <v>1.4</v>
          </cell>
          <cell r="BM77">
            <v>2814</v>
          </cell>
          <cell r="BN77">
            <v>2010</v>
          </cell>
          <cell r="BO77">
            <v>190</v>
          </cell>
          <cell r="BP77">
            <v>1820</v>
          </cell>
          <cell r="BQ77">
            <v>0</v>
          </cell>
          <cell r="BR77">
            <v>2010</v>
          </cell>
          <cell r="BS77">
            <v>1155</v>
          </cell>
          <cell r="BT77">
            <v>610</v>
          </cell>
          <cell r="BU77">
            <v>245</v>
          </cell>
          <cell r="BV77">
            <v>2010</v>
          </cell>
          <cell r="BW77">
            <v>230</v>
          </cell>
          <cell r="BX77">
            <v>905</v>
          </cell>
          <cell r="BY77">
            <v>335</v>
          </cell>
          <cell r="BZ77">
            <v>205</v>
          </cell>
          <cell r="CA77">
            <v>200</v>
          </cell>
          <cell r="CB77">
            <v>70</v>
          </cell>
          <cell r="CC77">
            <v>30</v>
          </cell>
          <cell r="CD77">
            <v>25</v>
          </cell>
          <cell r="CE77">
            <v>0</v>
          </cell>
          <cell r="CF77">
            <v>2010</v>
          </cell>
          <cell r="CG77">
            <v>5</v>
          </cell>
          <cell r="CH77">
            <v>5</v>
          </cell>
          <cell r="CI77">
            <v>5</v>
          </cell>
          <cell r="CJ77">
            <v>5</v>
          </cell>
          <cell r="CK77">
            <v>880</v>
          </cell>
          <cell r="CL77">
            <v>1115</v>
          </cell>
          <cell r="CM77">
            <v>0</v>
          </cell>
          <cell r="CN77">
            <v>0</v>
          </cell>
          <cell r="CO77">
            <v>2010</v>
          </cell>
          <cell r="CP77">
            <v>890</v>
          </cell>
          <cell r="CQ77">
            <v>480</v>
          </cell>
          <cell r="CR77">
            <v>300</v>
          </cell>
          <cell r="CS77">
            <v>290</v>
          </cell>
          <cell r="CT77">
            <v>55</v>
          </cell>
          <cell r="CU77">
            <v>4365</v>
          </cell>
          <cell r="CV77">
            <v>2.2000000000000002</v>
          </cell>
          <cell r="CW77">
            <v>2010</v>
          </cell>
          <cell r="CX77">
            <v>1005</v>
          </cell>
          <cell r="CY77">
            <v>15</v>
          </cell>
          <cell r="CZ77">
            <v>990</v>
          </cell>
        </row>
        <row r="78">
          <cell r="A78" t="str">
            <v>4620113.00</v>
          </cell>
          <cell r="B78" t="str">
            <v>0113.00</v>
          </cell>
          <cell r="C78" t="str">
            <v>Côte-des-Neiges-Notre-Dame-de-Grâce</v>
          </cell>
          <cell r="D78">
            <v>4285</v>
          </cell>
          <cell r="E78">
            <v>1865</v>
          </cell>
          <cell r="F78">
            <v>1700</v>
          </cell>
          <cell r="G78">
            <v>130</v>
          </cell>
          <cell r="H78">
            <v>380</v>
          </cell>
          <cell r="I78">
            <v>210</v>
          </cell>
          <cell r="J78">
            <v>4285</v>
          </cell>
          <cell r="K78">
            <v>3930</v>
          </cell>
          <cell r="L78">
            <v>350</v>
          </cell>
          <cell r="M78">
            <v>1290</v>
          </cell>
          <cell r="N78">
            <v>550</v>
          </cell>
          <cell r="O78">
            <v>350</v>
          </cell>
          <cell r="P78">
            <v>295</v>
          </cell>
          <cell r="Q78">
            <v>90</v>
          </cell>
          <cell r="R78">
            <v>1290</v>
          </cell>
          <cell r="S78">
            <v>980</v>
          </cell>
          <cell r="T78">
            <v>805</v>
          </cell>
          <cell r="U78">
            <v>230</v>
          </cell>
          <cell r="V78">
            <v>575</v>
          </cell>
          <cell r="W78">
            <v>235</v>
          </cell>
          <cell r="X78">
            <v>270</v>
          </cell>
          <cell r="Y78">
            <v>70</v>
          </cell>
          <cell r="Z78">
            <v>175</v>
          </cell>
          <cell r="AA78">
            <v>145</v>
          </cell>
          <cell r="AB78">
            <v>25</v>
          </cell>
          <cell r="AC78">
            <v>20</v>
          </cell>
          <cell r="AD78">
            <v>10</v>
          </cell>
          <cell r="AE78">
            <v>0</v>
          </cell>
          <cell r="AF78">
            <v>310</v>
          </cell>
          <cell r="AG78">
            <v>260</v>
          </cell>
          <cell r="AH78">
            <v>155</v>
          </cell>
          <cell r="AI78">
            <v>75</v>
          </cell>
          <cell r="AJ78">
            <v>30</v>
          </cell>
          <cell r="AK78">
            <v>45</v>
          </cell>
          <cell r="AL78">
            <v>15</v>
          </cell>
          <cell r="AM78">
            <v>25</v>
          </cell>
          <cell r="AN78">
            <v>10</v>
          </cell>
          <cell r="AO78">
            <v>1555</v>
          </cell>
          <cell r="AP78">
            <v>390</v>
          </cell>
          <cell r="AQ78">
            <v>435</v>
          </cell>
          <cell r="AR78">
            <v>180</v>
          </cell>
          <cell r="AS78">
            <v>370</v>
          </cell>
          <cell r="AT78">
            <v>175</v>
          </cell>
          <cell r="AU78">
            <v>1.2</v>
          </cell>
          <cell r="AV78">
            <v>5085</v>
          </cell>
          <cell r="AW78">
            <v>1260</v>
          </cell>
          <cell r="AX78">
            <v>260</v>
          </cell>
          <cell r="AY78">
            <v>320</v>
          </cell>
          <cell r="AZ78">
            <v>670</v>
          </cell>
          <cell r="BA78">
            <v>3825</v>
          </cell>
          <cell r="BB78">
            <v>3</v>
          </cell>
          <cell r="BC78">
            <v>485</v>
          </cell>
          <cell r="BD78">
            <v>240</v>
          </cell>
          <cell r="BE78">
            <v>55</v>
          </cell>
          <cell r="BF78">
            <v>10</v>
          </cell>
          <cell r="BG78">
            <v>175</v>
          </cell>
          <cell r="BH78">
            <v>245</v>
          </cell>
          <cell r="BI78">
            <v>2130</v>
          </cell>
          <cell r="BJ78">
            <v>4.7</v>
          </cell>
          <cell r="BK78">
            <v>10011</v>
          </cell>
          <cell r="BL78">
            <v>1.9</v>
          </cell>
          <cell r="BM78">
            <v>4047</v>
          </cell>
          <cell r="BN78">
            <v>2125</v>
          </cell>
          <cell r="BO78">
            <v>495</v>
          </cell>
          <cell r="BP78">
            <v>1630</v>
          </cell>
          <cell r="BQ78">
            <v>0</v>
          </cell>
          <cell r="BR78">
            <v>2125</v>
          </cell>
          <cell r="BS78">
            <v>1120</v>
          </cell>
          <cell r="BT78">
            <v>675</v>
          </cell>
          <cell r="BU78">
            <v>335</v>
          </cell>
          <cell r="BV78">
            <v>2125</v>
          </cell>
          <cell r="BW78">
            <v>625</v>
          </cell>
          <cell r="BX78">
            <v>880</v>
          </cell>
          <cell r="BY78">
            <v>250</v>
          </cell>
          <cell r="BZ78">
            <v>205</v>
          </cell>
          <cell r="CA78">
            <v>100</v>
          </cell>
          <cell r="CB78">
            <v>55</v>
          </cell>
          <cell r="CC78">
            <v>0</v>
          </cell>
          <cell r="CD78">
            <v>0</v>
          </cell>
          <cell r="CE78">
            <v>0</v>
          </cell>
          <cell r="CF78">
            <v>2135</v>
          </cell>
          <cell r="CG78">
            <v>10</v>
          </cell>
          <cell r="CH78">
            <v>10</v>
          </cell>
          <cell r="CI78">
            <v>0</v>
          </cell>
          <cell r="CJ78">
            <v>605</v>
          </cell>
          <cell r="CK78">
            <v>5</v>
          </cell>
          <cell r="CL78">
            <v>1510</v>
          </cell>
          <cell r="CM78">
            <v>0</v>
          </cell>
          <cell r="CN78">
            <v>0</v>
          </cell>
          <cell r="CO78">
            <v>2135</v>
          </cell>
          <cell r="CP78">
            <v>680</v>
          </cell>
          <cell r="CQ78">
            <v>635</v>
          </cell>
          <cell r="CR78">
            <v>375</v>
          </cell>
          <cell r="CS78">
            <v>400</v>
          </cell>
          <cell r="CT78">
            <v>45</v>
          </cell>
          <cell r="CU78">
            <v>5090</v>
          </cell>
          <cell r="CV78">
            <v>2.4</v>
          </cell>
          <cell r="CW78">
            <v>2125</v>
          </cell>
          <cell r="CX78">
            <v>1225</v>
          </cell>
          <cell r="CY78">
            <v>25</v>
          </cell>
          <cell r="CZ78">
            <v>875</v>
          </cell>
        </row>
        <row r="79">
          <cell r="A79" t="str">
            <v>4620114.00</v>
          </cell>
          <cell r="B79" t="str">
            <v>0114.00</v>
          </cell>
          <cell r="C79" t="str">
            <v>Côte-des-Neiges-Notre-Dame-de-Grâce</v>
          </cell>
          <cell r="D79">
            <v>1735</v>
          </cell>
          <cell r="E79">
            <v>675</v>
          </cell>
          <cell r="F79">
            <v>775</v>
          </cell>
          <cell r="G79">
            <v>35</v>
          </cell>
          <cell r="H79">
            <v>160</v>
          </cell>
          <cell r="I79">
            <v>90</v>
          </cell>
          <cell r="J79">
            <v>1735</v>
          </cell>
          <cell r="K79">
            <v>1600</v>
          </cell>
          <cell r="L79">
            <v>135</v>
          </cell>
          <cell r="M79">
            <v>500</v>
          </cell>
          <cell r="N79">
            <v>205</v>
          </cell>
          <cell r="O79">
            <v>110</v>
          </cell>
          <cell r="P79">
            <v>100</v>
          </cell>
          <cell r="Q79">
            <v>70</v>
          </cell>
          <cell r="R79">
            <v>500</v>
          </cell>
          <cell r="S79">
            <v>440</v>
          </cell>
          <cell r="T79">
            <v>365</v>
          </cell>
          <cell r="U79">
            <v>125</v>
          </cell>
          <cell r="V79">
            <v>245</v>
          </cell>
          <cell r="W79">
            <v>90</v>
          </cell>
          <cell r="X79">
            <v>90</v>
          </cell>
          <cell r="Y79">
            <v>65</v>
          </cell>
          <cell r="Z79">
            <v>70</v>
          </cell>
          <cell r="AA79">
            <v>45</v>
          </cell>
          <cell r="AB79">
            <v>25</v>
          </cell>
          <cell r="AC79">
            <v>10</v>
          </cell>
          <cell r="AD79">
            <v>10</v>
          </cell>
          <cell r="AE79">
            <v>10</v>
          </cell>
          <cell r="AF79">
            <v>60</v>
          </cell>
          <cell r="AG79">
            <v>50</v>
          </cell>
          <cell r="AH79">
            <v>35</v>
          </cell>
          <cell r="AI79">
            <v>10</v>
          </cell>
          <cell r="AJ79">
            <v>10</v>
          </cell>
          <cell r="AK79">
            <v>0</v>
          </cell>
          <cell r="AL79">
            <v>0</v>
          </cell>
          <cell r="AM79">
            <v>10</v>
          </cell>
          <cell r="AN79">
            <v>0</v>
          </cell>
          <cell r="AO79">
            <v>600</v>
          </cell>
          <cell r="AP79">
            <v>95</v>
          </cell>
          <cell r="AQ79">
            <v>205</v>
          </cell>
          <cell r="AR79">
            <v>75</v>
          </cell>
          <cell r="AS79">
            <v>155</v>
          </cell>
          <cell r="AT79">
            <v>70</v>
          </cell>
          <cell r="AU79">
            <v>1.2</v>
          </cell>
          <cell r="AV79">
            <v>2040</v>
          </cell>
          <cell r="AW79">
            <v>505</v>
          </cell>
          <cell r="AX79">
            <v>105</v>
          </cell>
          <cell r="AY79">
            <v>95</v>
          </cell>
          <cell r="AZ79">
            <v>305</v>
          </cell>
          <cell r="BA79">
            <v>1535</v>
          </cell>
          <cell r="BB79">
            <v>3.1</v>
          </cell>
          <cell r="BC79">
            <v>250</v>
          </cell>
          <cell r="BD79">
            <v>115</v>
          </cell>
          <cell r="BE79">
            <v>20</v>
          </cell>
          <cell r="BF79">
            <v>0</v>
          </cell>
          <cell r="BG79">
            <v>100</v>
          </cell>
          <cell r="BH79">
            <v>135</v>
          </cell>
          <cell r="BI79">
            <v>880</v>
          </cell>
          <cell r="BJ79">
            <v>5.5</v>
          </cell>
          <cell r="BK79">
            <v>4840</v>
          </cell>
          <cell r="BL79">
            <v>2.2000000000000002</v>
          </cell>
          <cell r="BM79">
            <v>1936.0000000000002</v>
          </cell>
          <cell r="BN79">
            <v>880</v>
          </cell>
          <cell r="BO79">
            <v>305</v>
          </cell>
          <cell r="BP79">
            <v>575</v>
          </cell>
          <cell r="BQ79">
            <v>0</v>
          </cell>
          <cell r="BR79">
            <v>880</v>
          </cell>
          <cell r="BS79">
            <v>530</v>
          </cell>
          <cell r="BT79">
            <v>230</v>
          </cell>
          <cell r="BU79">
            <v>120</v>
          </cell>
          <cell r="BV79">
            <v>880</v>
          </cell>
          <cell r="BW79">
            <v>400</v>
          </cell>
          <cell r="BX79">
            <v>255</v>
          </cell>
          <cell r="BY79">
            <v>115</v>
          </cell>
          <cell r="BZ79">
            <v>80</v>
          </cell>
          <cell r="CA79">
            <v>15</v>
          </cell>
          <cell r="CB79">
            <v>10</v>
          </cell>
          <cell r="CC79">
            <v>0</v>
          </cell>
          <cell r="CD79">
            <v>10</v>
          </cell>
          <cell r="CE79">
            <v>0</v>
          </cell>
          <cell r="CF79">
            <v>880</v>
          </cell>
          <cell r="CG79">
            <v>140</v>
          </cell>
          <cell r="CH79">
            <v>120</v>
          </cell>
          <cell r="CI79">
            <v>35</v>
          </cell>
          <cell r="CJ79">
            <v>35</v>
          </cell>
          <cell r="CK79">
            <v>185</v>
          </cell>
          <cell r="CL79">
            <v>365</v>
          </cell>
          <cell r="CM79">
            <v>0</v>
          </cell>
          <cell r="CN79">
            <v>0</v>
          </cell>
          <cell r="CO79">
            <v>880</v>
          </cell>
          <cell r="CP79">
            <v>285</v>
          </cell>
          <cell r="CQ79">
            <v>265</v>
          </cell>
          <cell r="CR79">
            <v>160</v>
          </cell>
          <cell r="CS79">
            <v>160</v>
          </cell>
          <cell r="CT79">
            <v>15</v>
          </cell>
          <cell r="CU79">
            <v>2040</v>
          </cell>
          <cell r="CV79">
            <v>2.2999999999999998</v>
          </cell>
          <cell r="CW79">
            <v>880</v>
          </cell>
          <cell r="CX79">
            <v>500</v>
          </cell>
          <cell r="CY79">
            <v>0</v>
          </cell>
          <cell r="CZ79">
            <v>380</v>
          </cell>
        </row>
        <row r="80">
          <cell r="A80" t="str">
            <v>4620115.01</v>
          </cell>
          <cell r="B80" t="str">
            <v>0115.01</v>
          </cell>
          <cell r="C80" t="str">
            <v>Côte-des-Neiges-Notre-Dame-de-Grâce</v>
          </cell>
          <cell r="D80">
            <v>1670</v>
          </cell>
          <cell r="E80">
            <v>630</v>
          </cell>
          <cell r="F80">
            <v>805</v>
          </cell>
          <cell r="G80">
            <v>35</v>
          </cell>
          <cell r="H80">
            <v>130</v>
          </cell>
          <cell r="I80">
            <v>70</v>
          </cell>
          <cell r="J80">
            <v>1670</v>
          </cell>
          <cell r="K80">
            <v>1540</v>
          </cell>
          <cell r="L80">
            <v>130</v>
          </cell>
          <cell r="M80">
            <v>530</v>
          </cell>
          <cell r="N80">
            <v>230</v>
          </cell>
          <cell r="O80">
            <v>145</v>
          </cell>
          <cell r="P80">
            <v>135</v>
          </cell>
          <cell r="Q80">
            <v>25</v>
          </cell>
          <cell r="R80">
            <v>535</v>
          </cell>
          <cell r="S80">
            <v>450</v>
          </cell>
          <cell r="T80">
            <v>385</v>
          </cell>
          <cell r="U80">
            <v>135</v>
          </cell>
          <cell r="V80">
            <v>250</v>
          </cell>
          <cell r="W80">
            <v>100</v>
          </cell>
          <cell r="X80">
            <v>125</v>
          </cell>
          <cell r="Y80">
            <v>25</v>
          </cell>
          <cell r="Z80">
            <v>65</v>
          </cell>
          <cell r="AA80">
            <v>30</v>
          </cell>
          <cell r="AB80">
            <v>35</v>
          </cell>
          <cell r="AC80">
            <v>25</v>
          </cell>
          <cell r="AD80">
            <v>0</v>
          </cell>
          <cell r="AE80">
            <v>0</v>
          </cell>
          <cell r="AF80">
            <v>85</v>
          </cell>
          <cell r="AG80">
            <v>75</v>
          </cell>
          <cell r="AH80">
            <v>60</v>
          </cell>
          <cell r="AI80">
            <v>15</v>
          </cell>
          <cell r="AJ80">
            <v>0</v>
          </cell>
          <cell r="AK80">
            <v>0</v>
          </cell>
          <cell r="AL80">
            <v>10</v>
          </cell>
          <cell r="AM80">
            <v>0</v>
          </cell>
          <cell r="AN80">
            <v>0</v>
          </cell>
          <cell r="AO80">
            <v>580</v>
          </cell>
          <cell r="AP80">
            <v>150</v>
          </cell>
          <cell r="AQ80">
            <v>195</v>
          </cell>
          <cell r="AR80">
            <v>80</v>
          </cell>
          <cell r="AS80">
            <v>95</v>
          </cell>
          <cell r="AT80">
            <v>65</v>
          </cell>
          <cell r="AU80">
            <v>1.1000000000000001</v>
          </cell>
          <cell r="AV80">
            <v>2005</v>
          </cell>
          <cell r="AW80">
            <v>440</v>
          </cell>
          <cell r="AX80">
            <v>25</v>
          </cell>
          <cell r="AY80">
            <v>175</v>
          </cell>
          <cell r="AZ80">
            <v>240</v>
          </cell>
          <cell r="BA80">
            <v>1560</v>
          </cell>
          <cell r="BB80">
            <v>2.9</v>
          </cell>
          <cell r="BC80">
            <v>285</v>
          </cell>
          <cell r="BD80">
            <v>105</v>
          </cell>
          <cell r="BE80">
            <v>10</v>
          </cell>
          <cell r="BF80">
            <v>15</v>
          </cell>
          <cell r="BG80">
            <v>85</v>
          </cell>
          <cell r="BH80">
            <v>175</v>
          </cell>
          <cell r="BI80">
            <v>840</v>
          </cell>
          <cell r="BJ80">
            <v>5.9</v>
          </cell>
          <cell r="BK80">
            <v>4956</v>
          </cell>
          <cell r="BL80">
            <v>2.2999999999999998</v>
          </cell>
          <cell r="BM80">
            <v>1931.9999999999998</v>
          </cell>
          <cell r="BN80">
            <v>840</v>
          </cell>
          <cell r="BO80">
            <v>370</v>
          </cell>
          <cell r="BP80">
            <v>475</v>
          </cell>
          <cell r="BQ80">
            <v>0</v>
          </cell>
          <cell r="BR80">
            <v>840</v>
          </cell>
          <cell r="BS80">
            <v>310</v>
          </cell>
          <cell r="BT80">
            <v>350</v>
          </cell>
          <cell r="BU80">
            <v>180</v>
          </cell>
          <cell r="BV80">
            <v>845</v>
          </cell>
          <cell r="BW80">
            <v>410</v>
          </cell>
          <cell r="BX80">
            <v>215</v>
          </cell>
          <cell r="BY80">
            <v>145</v>
          </cell>
          <cell r="BZ80">
            <v>40</v>
          </cell>
          <cell r="CA80">
            <v>20</v>
          </cell>
          <cell r="CB80">
            <v>10</v>
          </cell>
          <cell r="CC80">
            <v>10</v>
          </cell>
          <cell r="CD80">
            <v>0</v>
          </cell>
          <cell r="CE80">
            <v>0</v>
          </cell>
          <cell r="CF80">
            <v>840</v>
          </cell>
          <cell r="CG80">
            <v>55</v>
          </cell>
          <cell r="CH80">
            <v>115</v>
          </cell>
          <cell r="CI80">
            <v>5</v>
          </cell>
          <cell r="CJ80">
            <v>320</v>
          </cell>
          <cell r="CK80">
            <v>0</v>
          </cell>
          <cell r="CL80">
            <v>350</v>
          </cell>
          <cell r="CM80">
            <v>0</v>
          </cell>
          <cell r="CN80">
            <v>0</v>
          </cell>
          <cell r="CO80">
            <v>845</v>
          </cell>
          <cell r="CP80">
            <v>260</v>
          </cell>
          <cell r="CQ80">
            <v>260</v>
          </cell>
          <cell r="CR80">
            <v>145</v>
          </cell>
          <cell r="CS80">
            <v>165</v>
          </cell>
          <cell r="CT80">
            <v>15</v>
          </cell>
          <cell r="CU80">
            <v>2000</v>
          </cell>
          <cell r="CV80">
            <v>2.4</v>
          </cell>
          <cell r="CW80">
            <v>845</v>
          </cell>
          <cell r="CX80">
            <v>530</v>
          </cell>
          <cell r="CY80">
            <v>0</v>
          </cell>
          <cell r="CZ80">
            <v>310</v>
          </cell>
        </row>
        <row r="81">
          <cell r="A81" t="str">
            <v>4620115.02</v>
          </cell>
          <cell r="B81" t="str">
            <v>0115.02</v>
          </cell>
          <cell r="C81" t="str">
            <v>Côte-des-Neiges-Notre-Dame-de-Grâce</v>
          </cell>
          <cell r="D81">
            <v>5460</v>
          </cell>
          <cell r="E81">
            <v>2795</v>
          </cell>
          <cell r="F81">
            <v>1620</v>
          </cell>
          <cell r="G81">
            <v>145</v>
          </cell>
          <cell r="H81">
            <v>550</v>
          </cell>
          <cell r="I81">
            <v>350</v>
          </cell>
          <cell r="J81">
            <v>5460</v>
          </cell>
          <cell r="K81">
            <v>5020</v>
          </cell>
          <cell r="L81">
            <v>440</v>
          </cell>
          <cell r="M81">
            <v>1215</v>
          </cell>
          <cell r="N81">
            <v>725</v>
          </cell>
          <cell r="O81">
            <v>300</v>
          </cell>
          <cell r="P81">
            <v>140</v>
          </cell>
          <cell r="Q81">
            <v>50</v>
          </cell>
          <cell r="R81">
            <v>1220</v>
          </cell>
          <cell r="S81">
            <v>1005</v>
          </cell>
          <cell r="T81">
            <v>790</v>
          </cell>
          <cell r="U81">
            <v>390</v>
          </cell>
          <cell r="V81">
            <v>395</v>
          </cell>
          <cell r="W81">
            <v>225</v>
          </cell>
          <cell r="X81">
            <v>125</v>
          </cell>
          <cell r="Y81">
            <v>50</v>
          </cell>
          <cell r="Z81">
            <v>215</v>
          </cell>
          <cell r="AA81">
            <v>170</v>
          </cell>
          <cell r="AB81">
            <v>45</v>
          </cell>
          <cell r="AC81">
            <v>40</v>
          </cell>
          <cell r="AD81">
            <v>10</v>
          </cell>
          <cell r="AE81">
            <v>0</v>
          </cell>
          <cell r="AF81">
            <v>215</v>
          </cell>
          <cell r="AG81">
            <v>175</v>
          </cell>
          <cell r="AH81">
            <v>135</v>
          </cell>
          <cell r="AI81">
            <v>30</v>
          </cell>
          <cell r="AJ81">
            <v>15</v>
          </cell>
          <cell r="AK81">
            <v>35</v>
          </cell>
          <cell r="AL81">
            <v>30</v>
          </cell>
          <cell r="AM81">
            <v>10</v>
          </cell>
          <cell r="AN81">
            <v>0</v>
          </cell>
          <cell r="AO81">
            <v>960</v>
          </cell>
          <cell r="AP81">
            <v>220</v>
          </cell>
          <cell r="AQ81">
            <v>210</v>
          </cell>
          <cell r="AR81">
            <v>100</v>
          </cell>
          <cell r="AS81">
            <v>250</v>
          </cell>
          <cell r="AT81">
            <v>180</v>
          </cell>
          <cell r="AU81">
            <v>0.8</v>
          </cell>
          <cell r="AV81">
            <v>5805</v>
          </cell>
          <cell r="AW81">
            <v>2620</v>
          </cell>
          <cell r="AX81">
            <v>295</v>
          </cell>
          <cell r="AY81">
            <v>350</v>
          </cell>
          <cell r="AZ81">
            <v>1975</v>
          </cell>
          <cell r="BA81">
            <v>3180</v>
          </cell>
          <cell r="BB81">
            <v>2.6</v>
          </cell>
          <cell r="BC81">
            <v>1135</v>
          </cell>
          <cell r="BD81">
            <v>775</v>
          </cell>
          <cell r="BE81">
            <v>60</v>
          </cell>
          <cell r="BF81">
            <v>0</v>
          </cell>
          <cell r="BG81">
            <v>715</v>
          </cell>
          <cell r="BH81">
            <v>360</v>
          </cell>
          <cell r="BI81">
            <v>3475</v>
          </cell>
          <cell r="BJ81">
            <v>3.6</v>
          </cell>
          <cell r="BK81">
            <v>12510</v>
          </cell>
          <cell r="BL81">
            <v>1.4</v>
          </cell>
          <cell r="BM81">
            <v>4865</v>
          </cell>
          <cell r="BN81">
            <v>3480</v>
          </cell>
          <cell r="BO81">
            <v>160</v>
          </cell>
          <cell r="BP81">
            <v>3320</v>
          </cell>
          <cell r="BQ81">
            <v>0</v>
          </cell>
          <cell r="BR81">
            <v>3480</v>
          </cell>
          <cell r="BS81">
            <v>1960</v>
          </cell>
          <cell r="BT81">
            <v>1075</v>
          </cell>
          <cell r="BU81">
            <v>445</v>
          </cell>
          <cell r="BV81">
            <v>3480</v>
          </cell>
          <cell r="BW81">
            <v>500</v>
          </cell>
          <cell r="BX81">
            <v>1040</v>
          </cell>
          <cell r="BY81">
            <v>1410</v>
          </cell>
          <cell r="BZ81">
            <v>380</v>
          </cell>
          <cell r="CA81">
            <v>95</v>
          </cell>
          <cell r="CB81">
            <v>25</v>
          </cell>
          <cell r="CC81">
            <v>0</v>
          </cell>
          <cell r="CD81">
            <v>0</v>
          </cell>
          <cell r="CE81">
            <v>20</v>
          </cell>
          <cell r="CF81">
            <v>3480</v>
          </cell>
          <cell r="CG81">
            <v>0</v>
          </cell>
          <cell r="CH81">
            <v>0</v>
          </cell>
          <cell r="CI81">
            <v>0</v>
          </cell>
          <cell r="CJ81">
            <v>20</v>
          </cell>
          <cell r="CK81">
            <v>2730</v>
          </cell>
          <cell r="CL81">
            <v>720</v>
          </cell>
          <cell r="CM81">
            <v>0</v>
          </cell>
          <cell r="CN81">
            <v>0</v>
          </cell>
          <cell r="CO81">
            <v>3480</v>
          </cell>
          <cell r="CP81">
            <v>1975</v>
          </cell>
          <cell r="CQ81">
            <v>970</v>
          </cell>
          <cell r="CR81">
            <v>315</v>
          </cell>
          <cell r="CS81">
            <v>195</v>
          </cell>
          <cell r="CT81">
            <v>20</v>
          </cell>
          <cell r="CU81">
            <v>5805</v>
          </cell>
          <cell r="CV81">
            <v>1.7</v>
          </cell>
          <cell r="CW81">
            <v>3475</v>
          </cell>
          <cell r="CX81">
            <v>1190</v>
          </cell>
          <cell r="CY81">
            <v>15</v>
          </cell>
          <cell r="CZ81">
            <v>2275</v>
          </cell>
        </row>
        <row r="82">
          <cell r="A82" t="str">
            <v>4620116.00</v>
          </cell>
          <cell r="B82" t="str">
            <v>0116.00</v>
          </cell>
          <cell r="C82" t="str">
            <v>Côte-des-Neiges-Notre-Dame-de-Grâce</v>
          </cell>
          <cell r="D82">
            <v>6100</v>
          </cell>
          <cell r="E82">
            <v>2740</v>
          </cell>
          <cell r="F82">
            <v>2235</v>
          </cell>
          <cell r="G82">
            <v>170</v>
          </cell>
          <cell r="H82">
            <v>495</v>
          </cell>
          <cell r="I82">
            <v>455</v>
          </cell>
          <cell r="J82">
            <v>6100</v>
          </cell>
          <cell r="K82">
            <v>5590</v>
          </cell>
          <cell r="L82">
            <v>510</v>
          </cell>
          <cell r="M82">
            <v>1575</v>
          </cell>
          <cell r="N82">
            <v>735</v>
          </cell>
          <cell r="O82">
            <v>405</v>
          </cell>
          <cell r="P82">
            <v>305</v>
          </cell>
          <cell r="Q82">
            <v>125</v>
          </cell>
          <cell r="R82">
            <v>1575</v>
          </cell>
          <cell r="S82">
            <v>1270</v>
          </cell>
          <cell r="T82">
            <v>1020</v>
          </cell>
          <cell r="U82">
            <v>335</v>
          </cell>
          <cell r="V82">
            <v>685</v>
          </cell>
          <cell r="W82">
            <v>300</v>
          </cell>
          <cell r="X82">
            <v>280</v>
          </cell>
          <cell r="Y82">
            <v>105</v>
          </cell>
          <cell r="Z82">
            <v>255</v>
          </cell>
          <cell r="AA82">
            <v>200</v>
          </cell>
          <cell r="AB82">
            <v>55</v>
          </cell>
          <cell r="AC82">
            <v>30</v>
          </cell>
          <cell r="AD82">
            <v>15</v>
          </cell>
          <cell r="AE82">
            <v>10</v>
          </cell>
          <cell r="AF82">
            <v>305</v>
          </cell>
          <cell r="AG82">
            <v>275</v>
          </cell>
          <cell r="AH82">
            <v>190</v>
          </cell>
          <cell r="AI82">
            <v>70</v>
          </cell>
          <cell r="AJ82">
            <v>15</v>
          </cell>
          <cell r="AK82">
            <v>25</v>
          </cell>
          <cell r="AL82">
            <v>15</v>
          </cell>
          <cell r="AM82">
            <v>0</v>
          </cell>
          <cell r="AN82">
            <v>0</v>
          </cell>
          <cell r="AO82">
            <v>1725</v>
          </cell>
          <cell r="AP82">
            <v>505</v>
          </cell>
          <cell r="AQ82">
            <v>595</v>
          </cell>
          <cell r="AR82">
            <v>135</v>
          </cell>
          <cell r="AS82">
            <v>325</v>
          </cell>
          <cell r="AT82">
            <v>175</v>
          </cell>
          <cell r="AU82">
            <v>1.1000000000000001</v>
          </cell>
          <cell r="AV82">
            <v>6645</v>
          </cell>
          <cell r="AW82">
            <v>2070</v>
          </cell>
          <cell r="AX82">
            <v>240</v>
          </cell>
          <cell r="AY82">
            <v>665</v>
          </cell>
          <cell r="AZ82">
            <v>1165</v>
          </cell>
          <cell r="BA82">
            <v>4575</v>
          </cell>
          <cell r="BB82">
            <v>2.9</v>
          </cell>
          <cell r="BC82">
            <v>665</v>
          </cell>
          <cell r="BD82">
            <v>305</v>
          </cell>
          <cell r="BE82">
            <v>35</v>
          </cell>
          <cell r="BF82">
            <v>10</v>
          </cell>
          <cell r="BG82">
            <v>255</v>
          </cell>
          <cell r="BH82">
            <v>365</v>
          </cell>
          <cell r="BI82">
            <v>3045</v>
          </cell>
          <cell r="BJ82">
            <v>4</v>
          </cell>
          <cell r="BK82">
            <v>12180</v>
          </cell>
          <cell r="BL82">
            <v>1.6</v>
          </cell>
          <cell r="BM82">
            <v>4872</v>
          </cell>
          <cell r="BN82">
            <v>3045</v>
          </cell>
          <cell r="BO82">
            <v>395</v>
          </cell>
          <cell r="BP82">
            <v>2650</v>
          </cell>
          <cell r="BQ82">
            <v>0</v>
          </cell>
          <cell r="BR82">
            <v>3045</v>
          </cell>
          <cell r="BS82">
            <v>1595</v>
          </cell>
          <cell r="BT82">
            <v>1000</v>
          </cell>
          <cell r="BU82">
            <v>450</v>
          </cell>
          <cell r="BV82">
            <v>3045</v>
          </cell>
          <cell r="BW82">
            <v>485</v>
          </cell>
          <cell r="BX82">
            <v>1330</v>
          </cell>
          <cell r="BY82">
            <v>510</v>
          </cell>
          <cell r="BZ82">
            <v>345</v>
          </cell>
          <cell r="CA82">
            <v>130</v>
          </cell>
          <cell r="CB82">
            <v>100</v>
          </cell>
          <cell r="CC82">
            <v>90</v>
          </cell>
          <cell r="CD82">
            <v>25</v>
          </cell>
          <cell r="CE82">
            <v>25</v>
          </cell>
          <cell r="CF82">
            <v>3045</v>
          </cell>
          <cell r="CG82">
            <v>40</v>
          </cell>
          <cell r="CH82">
            <v>35</v>
          </cell>
          <cell r="CI82">
            <v>35</v>
          </cell>
          <cell r="CJ82">
            <v>440</v>
          </cell>
          <cell r="CK82">
            <v>180</v>
          </cell>
          <cell r="CL82">
            <v>2315</v>
          </cell>
          <cell r="CM82">
            <v>0</v>
          </cell>
          <cell r="CN82">
            <v>0</v>
          </cell>
          <cell r="CO82">
            <v>3045</v>
          </cell>
          <cell r="CP82">
            <v>1165</v>
          </cell>
          <cell r="CQ82">
            <v>915</v>
          </cell>
          <cell r="CR82">
            <v>465</v>
          </cell>
          <cell r="CS82">
            <v>435</v>
          </cell>
          <cell r="CT82">
            <v>60</v>
          </cell>
          <cell r="CU82">
            <v>6645</v>
          </cell>
          <cell r="CV82">
            <v>2.2000000000000002</v>
          </cell>
          <cell r="CW82">
            <v>3045</v>
          </cell>
          <cell r="CX82">
            <v>1550</v>
          </cell>
          <cell r="CY82">
            <v>15</v>
          </cell>
          <cell r="CZ82">
            <v>1485</v>
          </cell>
        </row>
        <row r="83">
          <cell r="A83" t="str">
            <v>4620117.00</v>
          </cell>
          <cell r="B83" t="str">
            <v>0117.00</v>
          </cell>
          <cell r="C83" t="str">
            <v>Côte-des-Neiges-Notre-Dame-de-Grâce</v>
          </cell>
          <cell r="D83">
            <v>3615</v>
          </cell>
          <cell r="E83">
            <v>1215</v>
          </cell>
          <cell r="F83">
            <v>1745</v>
          </cell>
          <cell r="G83">
            <v>130</v>
          </cell>
          <cell r="H83">
            <v>195</v>
          </cell>
          <cell r="I83">
            <v>335</v>
          </cell>
          <cell r="J83">
            <v>3620</v>
          </cell>
          <cell r="K83">
            <v>3465</v>
          </cell>
          <cell r="L83">
            <v>150</v>
          </cell>
          <cell r="M83">
            <v>1115</v>
          </cell>
          <cell r="N83">
            <v>475</v>
          </cell>
          <cell r="O83">
            <v>305</v>
          </cell>
          <cell r="P83">
            <v>200</v>
          </cell>
          <cell r="Q83">
            <v>130</v>
          </cell>
          <cell r="R83">
            <v>1110</v>
          </cell>
          <cell r="S83">
            <v>830</v>
          </cell>
          <cell r="T83">
            <v>750</v>
          </cell>
          <cell r="U83">
            <v>215</v>
          </cell>
          <cell r="V83">
            <v>535</v>
          </cell>
          <cell r="W83">
            <v>225</v>
          </cell>
          <cell r="X83">
            <v>180</v>
          </cell>
          <cell r="Y83">
            <v>130</v>
          </cell>
          <cell r="Z83">
            <v>75</v>
          </cell>
          <cell r="AA83">
            <v>70</v>
          </cell>
          <cell r="AB83">
            <v>10</v>
          </cell>
          <cell r="AC83">
            <v>0</v>
          </cell>
          <cell r="AD83">
            <v>0</v>
          </cell>
          <cell r="AE83">
            <v>0</v>
          </cell>
          <cell r="AF83">
            <v>280</v>
          </cell>
          <cell r="AG83">
            <v>200</v>
          </cell>
          <cell r="AH83">
            <v>135</v>
          </cell>
          <cell r="AI83">
            <v>55</v>
          </cell>
          <cell r="AJ83">
            <v>15</v>
          </cell>
          <cell r="AK83">
            <v>80</v>
          </cell>
          <cell r="AL83">
            <v>55</v>
          </cell>
          <cell r="AM83">
            <v>10</v>
          </cell>
          <cell r="AN83">
            <v>10</v>
          </cell>
          <cell r="AO83">
            <v>1410</v>
          </cell>
          <cell r="AP83">
            <v>370</v>
          </cell>
          <cell r="AQ83">
            <v>520</v>
          </cell>
          <cell r="AR83">
            <v>110</v>
          </cell>
          <cell r="AS83">
            <v>240</v>
          </cell>
          <cell r="AT83">
            <v>170</v>
          </cell>
          <cell r="AU83">
            <v>1.3</v>
          </cell>
          <cell r="AV83">
            <v>4145</v>
          </cell>
          <cell r="AW83">
            <v>790</v>
          </cell>
          <cell r="AX83">
            <v>165</v>
          </cell>
          <cell r="AY83">
            <v>260</v>
          </cell>
          <cell r="AZ83">
            <v>365</v>
          </cell>
          <cell r="BA83">
            <v>3355</v>
          </cell>
          <cell r="BB83">
            <v>3</v>
          </cell>
          <cell r="BC83">
            <v>310</v>
          </cell>
          <cell r="BD83">
            <v>140</v>
          </cell>
          <cell r="BE83">
            <v>15</v>
          </cell>
          <cell r="BF83">
            <v>10</v>
          </cell>
          <cell r="BG83">
            <v>120</v>
          </cell>
          <cell r="BH83">
            <v>165</v>
          </cell>
          <cell r="BI83">
            <v>1520</v>
          </cell>
          <cell r="BJ83">
            <v>4</v>
          </cell>
          <cell r="BK83">
            <v>6080</v>
          </cell>
          <cell r="BL83">
            <v>1.7</v>
          </cell>
          <cell r="BM83">
            <v>2584</v>
          </cell>
          <cell r="BN83">
            <v>1520</v>
          </cell>
          <cell r="BO83">
            <v>230</v>
          </cell>
          <cell r="BP83">
            <v>1295</v>
          </cell>
          <cell r="BQ83">
            <v>0</v>
          </cell>
          <cell r="BR83">
            <v>1520</v>
          </cell>
          <cell r="BS83">
            <v>880</v>
          </cell>
          <cell r="BT83">
            <v>425</v>
          </cell>
          <cell r="BU83">
            <v>215</v>
          </cell>
          <cell r="BV83">
            <v>1520</v>
          </cell>
          <cell r="BW83">
            <v>205</v>
          </cell>
          <cell r="BX83">
            <v>680</v>
          </cell>
          <cell r="BY83">
            <v>245</v>
          </cell>
          <cell r="BZ83">
            <v>150</v>
          </cell>
          <cell r="CA83">
            <v>135</v>
          </cell>
          <cell r="CB83">
            <v>30</v>
          </cell>
          <cell r="CC83">
            <v>25</v>
          </cell>
          <cell r="CD83">
            <v>40</v>
          </cell>
          <cell r="CE83">
            <v>0</v>
          </cell>
          <cell r="CF83">
            <v>1525</v>
          </cell>
          <cell r="CG83">
            <v>0</v>
          </cell>
          <cell r="CH83">
            <v>0</v>
          </cell>
          <cell r="CI83">
            <v>0</v>
          </cell>
          <cell r="CJ83">
            <v>30</v>
          </cell>
          <cell r="CK83">
            <v>270</v>
          </cell>
          <cell r="CL83">
            <v>1220</v>
          </cell>
          <cell r="CM83">
            <v>0</v>
          </cell>
          <cell r="CN83">
            <v>0</v>
          </cell>
          <cell r="CO83">
            <v>1520</v>
          </cell>
          <cell r="CP83">
            <v>370</v>
          </cell>
          <cell r="CQ83">
            <v>395</v>
          </cell>
          <cell r="CR83">
            <v>310</v>
          </cell>
          <cell r="CS83">
            <v>380</v>
          </cell>
          <cell r="CT83">
            <v>60</v>
          </cell>
          <cell r="CU83">
            <v>4145</v>
          </cell>
          <cell r="CV83">
            <v>2.7</v>
          </cell>
          <cell r="CW83">
            <v>1520</v>
          </cell>
          <cell r="CX83">
            <v>990</v>
          </cell>
          <cell r="CY83">
            <v>55</v>
          </cell>
          <cell r="CZ83">
            <v>475</v>
          </cell>
        </row>
        <row r="84">
          <cell r="A84" t="str">
            <v>4620118.00</v>
          </cell>
          <cell r="B84" t="str">
            <v>0118.00</v>
          </cell>
          <cell r="C84" t="str">
            <v>Côte-des-Neiges-Notre-Dame-de-Grâce</v>
          </cell>
          <cell r="D84">
            <v>3530</v>
          </cell>
          <cell r="E84">
            <v>1435</v>
          </cell>
          <cell r="F84">
            <v>1640</v>
          </cell>
          <cell r="G84">
            <v>100</v>
          </cell>
          <cell r="H84">
            <v>185</v>
          </cell>
          <cell r="I84">
            <v>175</v>
          </cell>
          <cell r="J84">
            <v>3530</v>
          </cell>
          <cell r="K84">
            <v>3360</v>
          </cell>
          <cell r="L84">
            <v>175</v>
          </cell>
          <cell r="M84">
            <v>1125</v>
          </cell>
          <cell r="N84">
            <v>470</v>
          </cell>
          <cell r="O84">
            <v>255</v>
          </cell>
          <cell r="P84">
            <v>225</v>
          </cell>
          <cell r="Q84">
            <v>175</v>
          </cell>
          <cell r="R84">
            <v>1125</v>
          </cell>
          <cell r="S84">
            <v>825</v>
          </cell>
          <cell r="T84">
            <v>750</v>
          </cell>
          <cell r="U84">
            <v>205</v>
          </cell>
          <cell r="V84">
            <v>545</v>
          </cell>
          <cell r="W84">
            <v>190</v>
          </cell>
          <cell r="X84">
            <v>195</v>
          </cell>
          <cell r="Y84">
            <v>165</v>
          </cell>
          <cell r="Z84">
            <v>75</v>
          </cell>
          <cell r="AA84">
            <v>50</v>
          </cell>
          <cell r="AB84">
            <v>25</v>
          </cell>
          <cell r="AC84">
            <v>20</v>
          </cell>
          <cell r="AD84">
            <v>0</v>
          </cell>
          <cell r="AE84">
            <v>0</v>
          </cell>
          <cell r="AF84">
            <v>295</v>
          </cell>
          <cell r="AG84">
            <v>255</v>
          </cell>
          <cell r="AH84">
            <v>195</v>
          </cell>
          <cell r="AI84">
            <v>30</v>
          </cell>
          <cell r="AJ84">
            <v>25</v>
          </cell>
          <cell r="AK84">
            <v>40</v>
          </cell>
          <cell r="AL84">
            <v>25</v>
          </cell>
          <cell r="AM84">
            <v>15</v>
          </cell>
          <cell r="AN84">
            <v>10</v>
          </cell>
          <cell r="AO84">
            <v>1590</v>
          </cell>
          <cell r="AP84">
            <v>390</v>
          </cell>
          <cell r="AQ84">
            <v>500</v>
          </cell>
          <cell r="AR84">
            <v>200</v>
          </cell>
          <cell r="AS84">
            <v>270</v>
          </cell>
          <cell r="AT84">
            <v>230</v>
          </cell>
          <cell r="AU84">
            <v>1.4</v>
          </cell>
          <cell r="AV84">
            <v>4395</v>
          </cell>
          <cell r="AW84">
            <v>850</v>
          </cell>
          <cell r="AX84">
            <v>195</v>
          </cell>
          <cell r="AY84">
            <v>300</v>
          </cell>
          <cell r="AZ84">
            <v>360</v>
          </cell>
          <cell r="BA84">
            <v>3545</v>
          </cell>
          <cell r="BB84">
            <v>3.1</v>
          </cell>
          <cell r="BC84">
            <v>420</v>
          </cell>
          <cell r="BD84">
            <v>145</v>
          </cell>
          <cell r="BE84">
            <v>50</v>
          </cell>
          <cell r="BF84">
            <v>10</v>
          </cell>
          <cell r="BG84">
            <v>85</v>
          </cell>
          <cell r="BH84">
            <v>270</v>
          </cell>
          <cell r="BI84">
            <v>1565</v>
          </cell>
          <cell r="BJ84">
            <v>4.5999999999999996</v>
          </cell>
          <cell r="BK84">
            <v>7198.9999999999991</v>
          </cell>
          <cell r="BL84">
            <v>2.1</v>
          </cell>
          <cell r="BM84">
            <v>3286.5</v>
          </cell>
          <cell r="BN84">
            <v>1565</v>
          </cell>
          <cell r="BO84">
            <v>385</v>
          </cell>
          <cell r="BP84">
            <v>1180</v>
          </cell>
          <cell r="BQ84">
            <v>0</v>
          </cell>
          <cell r="BR84">
            <v>1565</v>
          </cell>
          <cell r="BS84">
            <v>790</v>
          </cell>
          <cell r="BT84">
            <v>525</v>
          </cell>
          <cell r="BU84">
            <v>250</v>
          </cell>
          <cell r="BV84">
            <v>1565</v>
          </cell>
          <cell r="BW84">
            <v>270</v>
          </cell>
          <cell r="BX84">
            <v>790</v>
          </cell>
          <cell r="BY84">
            <v>240</v>
          </cell>
          <cell r="BZ84">
            <v>65</v>
          </cell>
          <cell r="CA84">
            <v>45</v>
          </cell>
          <cell r="CB84">
            <v>35</v>
          </cell>
          <cell r="CC84">
            <v>75</v>
          </cell>
          <cell r="CD84">
            <v>35</v>
          </cell>
          <cell r="CE84">
            <v>10</v>
          </cell>
          <cell r="CF84">
            <v>1565</v>
          </cell>
          <cell r="CG84">
            <v>5</v>
          </cell>
          <cell r="CH84">
            <v>20</v>
          </cell>
          <cell r="CI84">
            <v>0</v>
          </cell>
          <cell r="CJ84">
            <v>50</v>
          </cell>
          <cell r="CK84">
            <v>0</v>
          </cell>
          <cell r="CL84">
            <v>1480</v>
          </cell>
          <cell r="CM84">
            <v>0</v>
          </cell>
          <cell r="CN84">
            <v>5</v>
          </cell>
          <cell r="CO84">
            <v>1565</v>
          </cell>
          <cell r="CP84">
            <v>370</v>
          </cell>
          <cell r="CQ84">
            <v>455</v>
          </cell>
          <cell r="CR84">
            <v>260</v>
          </cell>
          <cell r="CS84">
            <v>385</v>
          </cell>
          <cell r="CT84">
            <v>100</v>
          </cell>
          <cell r="CU84">
            <v>4390</v>
          </cell>
          <cell r="CV84">
            <v>2.8</v>
          </cell>
          <cell r="CW84">
            <v>1565</v>
          </cell>
          <cell r="CX84">
            <v>1020</v>
          </cell>
          <cell r="CY84">
            <v>50</v>
          </cell>
          <cell r="CZ84">
            <v>495</v>
          </cell>
        </row>
        <row r="85">
          <cell r="A85" t="str">
            <v>4620119.00</v>
          </cell>
          <cell r="B85" t="str">
            <v>0119.00</v>
          </cell>
          <cell r="C85" t="str">
            <v>Côte-des-Neiges-Notre-Dame-de-Grâce</v>
          </cell>
          <cell r="D85">
            <v>5185</v>
          </cell>
          <cell r="E85">
            <v>1970</v>
          </cell>
          <cell r="F85">
            <v>2490</v>
          </cell>
          <cell r="G85">
            <v>165</v>
          </cell>
          <cell r="H85">
            <v>355</v>
          </cell>
          <cell r="I85">
            <v>205</v>
          </cell>
          <cell r="J85">
            <v>5185</v>
          </cell>
          <cell r="K85">
            <v>4945</v>
          </cell>
          <cell r="L85">
            <v>235</v>
          </cell>
          <cell r="M85">
            <v>1685</v>
          </cell>
          <cell r="N85">
            <v>630</v>
          </cell>
          <cell r="O85">
            <v>475</v>
          </cell>
          <cell r="P85">
            <v>375</v>
          </cell>
          <cell r="Q85">
            <v>205</v>
          </cell>
          <cell r="R85">
            <v>1680</v>
          </cell>
          <cell r="S85">
            <v>1265</v>
          </cell>
          <cell r="T85">
            <v>1140</v>
          </cell>
          <cell r="U85">
            <v>305</v>
          </cell>
          <cell r="V85">
            <v>830</v>
          </cell>
          <cell r="W85">
            <v>325</v>
          </cell>
          <cell r="X85">
            <v>325</v>
          </cell>
          <cell r="Y85">
            <v>180</v>
          </cell>
          <cell r="Z85">
            <v>120</v>
          </cell>
          <cell r="AA85">
            <v>60</v>
          </cell>
          <cell r="AB85">
            <v>65</v>
          </cell>
          <cell r="AC85">
            <v>25</v>
          </cell>
          <cell r="AD85">
            <v>15</v>
          </cell>
          <cell r="AE85">
            <v>15</v>
          </cell>
          <cell r="AF85">
            <v>420</v>
          </cell>
          <cell r="AG85">
            <v>350</v>
          </cell>
          <cell r="AH85">
            <v>220</v>
          </cell>
          <cell r="AI85">
            <v>95</v>
          </cell>
          <cell r="AJ85">
            <v>35</v>
          </cell>
          <cell r="AK85">
            <v>70</v>
          </cell>
          <cell r="AL85">
            <v>40</v>
          </cell>
          <cell r="AM85">
            <v>25</v>
          </cell>
          <cell r="AN85">
            <v>0</v>
          </cell>
          <cell r="AO85">
            <v>2385</v>
          </cell>
          <cell r="AP85">
            <v>640</v>
          </cell>
          <cell r="AQ85">
            <v>835</v>
          </cell>
          <cell r="AR85">
            <v>165</v>
          </cell>
          <cell r="AS85">
            <v>485</v>
          </cell>
          <cell r="AT85">
            <v>270</v>
          </cell>
          <cell r="AU85">
            <v>1.4</v>
          </cell>
          <cell r="AV85">
            <v>6625</v>
          </cell>
          <cell r="AW85">
            <v>1295</v>
          </cell>
          <cell r="AX85">
            <v>280</v>
          </cell>
          <cell r="AY85">
            <v>315</v>
          </cell>
          <cell r="AZ85">
            <v>700</v>
          </cell>
          <cell r="BA85">
            <v>5330</v>
          </cell>
          <cell r="BB85">
            <v>3.2</v>
          </cell>
          <cell r="BC85">
            <v>515</v>
          </cell>
          <cell r="BD85">
            <v>220</v>
          </cell>
          <cell r="BE85">
            <v>25</v>
          </cell>
          <cell r="BF85">
            <v>15</v>
          </cell>
          <cell r="BG85">
            <v>180</v>
          </cell>
          <cell r="BH85">
            <v>290</v>
          </cell>
          <cell r="BI85">
            <v>2470</v>
          </cell>
          <cell r="BJ85">
            <v>3.8</v>
          </cell>
          <cell r="BK85">
            <v>9386</v>
          </cell>
          <cell r="BL85">
            <v>1.6</v>
          </cell>
          <cell r="BM85">
            <v>3952</v>
          </cell>
          <cell r="BN85">
            <v>2470</v>
          </cell>
          <cell r="BO85">
            <v>360</v>
          </cell>
          <cell r="BP85">
            <v>2110</v>
          </cell>
          <cell r="BQ85">
            <v>0</v>
          </cell>
          <cell r="BR85">
            <v>2470</v>
          </cell>
          <cell r="BS85">
            <v>1190</v>
          </cell>
          <cell r="BT85">
            <v>755</v>
          </cell>
          <cell r="BU85">
            <v>525</v>
          </cell>
          <cell r="BV85">
            <v>2470</v>
          </cell>
          <cell r="BW85">
            <v>255</v>
          </cell>
          <cell r="BX85">
            <v>1265</v>
          </cell>
          <cell r="BY85">
            <v>525</v>
          </cell>
          <cell r="BZ85">
            <v>195</v>
          </cell>
          <cell r="CA85">
            <v>80</v>
          </cell>
          <cell r="CB85">
            <v>55</v>
          </cell>
          <cell r="CC85">
            <v>40</v>
          </cell>
          <cell r="CD85">
            <v>15</v>
          </cell>
          <cell r="CE85">
            <v>30</v>
          </cell>
          <cell r="CF85">
            <v>2470</v>
          </cell>
          <cell r="CG85">
            <v>0</v>
          </cell>
          <cell r="CH85">
            <v>5</v>
          </cell>
          <cell r="CI85">
            <v>0</v>
          </cell>
          <cell r="CJ85">
            <v>35</v>
          </cell>
          <cell r="CK85">
            <v>140</v>
          </cell>
          <cell r="CL85">
            <v>2285</v>
          </cell>
          <cell r="CM85">
            <v>0</v>
          </cell>
          <cell r="CN85">
            <v>0</v>
          </cell>
          <cell r="CO85">
            <v>2470</v>
          </cell>
          <cell r="CP85">
            <v>705</v>
          </cell>
          <cell r="CQ85">
            <v>600</v>
          </cell>
          <cell r="CR85">
            <v>460</v>
          </cell>
          <cell r="CS85">
            <v>590</v>
          </cell>
          <cell r="CT85">
            <v>115</v>
          </cell>
          <cell r="CU85">
            <v>6625</v>
          </cell>
          <cell r="CV85">
            <v>2.7</v>
          </cell>
          <cell r="CW85">
            <v>2470</v>
          </cell>
          <cell r="CX85">
            <v>1495</v>
          </cell>
          <cell r="CY85">
            <v>90</v>
          </cell>
          <cell r="CZ85">
            <v>880</v>
          </cell>
        </row>
        <row r="86">
          <cell r="A86" t="str">
            <v>4620120.00</v>
          </cell>
          <cell r="B86" t="str">
            <v>0120.00</v>
          </cell>
          <cell r="C86" t="str">
            <v>Côte-des-Neiges-Notre-Dame-de-Grâce</v>
          </cell>
          <cell r="D86">
            <v>3185</v>
          </cell>
          <cell r="E86">
            <v>950</v>
          </cell>
          <cell r="F86">
            <v>1690</v>
          </cell>
          <cell r="G86">
            <v>100</v>
          </cell>
          <cell r="H86">
            <v>235</v>
          </cell>
          <cell r="I86">
            <v>210</v>
          </cell>
          <cell r="J86">
            <v>3185</v>
          </cell>
          <cell r="K86">
            <v>3025</v>
          </cell>
          <cell r="L86">
            <v>165</v>
          </cell>
          <cell r="M86">
            <v>1045</v>
          </cell>
          <cell r="N86">
            <v>480</v>
          </cell>
          <cell r="O86">
            <v>225</v>
          </cell>
          <cell r="P86">
            <v>220</v>
          </cell>
          <cell r="Q86">
            <v>125</v>
          </cell>
          <cell r="R86">
            <v>1045</v>
          </cell>
          <cell r="S86">
            <v>885</v>
          </cell>
          <cell r="T86">
            <v>795</v>
          </cell>
          <cell r="U86">
            <v>315</v>
          </cell>
          <cell r="V86">
            <v>480</v>
          </cell>
          <cell r="W86">
            <v>170</v>
          </cell>
          <cell r="X86">
            <v>195</v>
          </cell>
          <cell r="Y86">
            <v>110</v>
          </cell>
          <cell r="Z86">
            <v>80</v>
          </cell>
          <cell r="AA86">
            <v>70</v>
          </cell>
          <cell r="AB86">
            <v>15</v>
          </cell>
          <cell r="AC86">
            <v>0</v>
          </cell>
          <cell r="AD86">
            <v>0</v>
          </cell>
          <cell r="AE86">
            <v>10</v>
          </cell>
          <cell r="AF86">
            <v>165</v>
          </cell>
          <cell r="AG86">
            <v>165</v>
          </cell>
          <cell r="AH86">
            <v>90</v>
          </cell>
          <cell r="AI86">
            <v>50</v>
          </cell>
          <cell r="AJ86">
            <v>25</v>
          </cell>
          <cell r="AK86">
            <v>0</v>
          </cell>
          <cell r="AL86">
            <v>0</v>
          </cell>
          <cell r="AM86">
            <v>0</v>
          </cell>
          <cell r="AN86">
            <v>0</v>
          </cell>
          <cell r="AO86">
            <v>1205</v>
          </cell>
          <cell r="AP86">
            <v>375</v>
          </cell>
          <cell r="AQ86">
            <v>380</v>
          </cell>
          <cell r="AR86">
            <v>115</v>
          </cell>
          <cell r="AS86">
            <v>235</v>
          </cell>
          <cell r="AT86">
            <v>95</v>
          </cell>
          <cell r="AU86">
            <v>1.2</v>
          </cell>
          <cell r="AV86">
            <v>3910</v>
          </cell>
          <cell r="AW86">
            <v>780</v>
          </cell>
          <cell r="AX86">
            <v>85</v>
          </cell>
          <cell r="AY86">
            <v>105</v>
          </cell>
          <cell r="AZ86">
            <v>585</v>
          </cell>
          <cell r="BA86">
            <v>3135</v>
          </cell>
          <cell r="BB86">
            <v>3</v>
          </cell>
          <cell r="BC86">
            <v>610</v>
          </cell>
          <cell r="BD86">
            <v>200</v>
          </cell>
          <cell r="BE86">
            <v>10</v>
          </cell>
          <cell r="BF86">
            <v>0</v>
          </cell>
          <cell r="BG86">
            <v>185</v>
          </cell>
          <cell r="BH86">
            <v>405</v>
          </cell>
          <cell r="BI86">
            <v>1645</v>
          </cell>
          <cell r="BJ86">
            <v>4.5</v>
          </cell>
          <cell r="BK86">
            <v>7402.5</v>
          </cell>
          <cell r="BL86">
            <v>1.8</v>
          </cell>
          <cell r="BM86">
            <v>2961</v>
          </cell>
          <cell r="BN86">
            <v>1645</v>
          </cell>
          <cell r="BO86">
            <v>665</v>
          </cell>
          <cell r="BP86">
            <v>980</v>
          </cell>
          <cell r="BQ86">
            <v>0</v>
          </cell>
          <cell r="BR86">
            <v>1645</v>
          </cell>
          <cell r="BS86">
            <v>870</v>
          </cell>
          <cell r="BT86">
            <v>515</v>
          </cell>
          <cell r="BU86">
            <v>260</v>
          </cell>
          <cell r="BV86">
            <v>1645</v>
          </cell>
          <cell r="BW86">
            <v>150</v>
          </cell>
          <cell r="BX86">
            <v>545</v>
          </cell>
          <cell r="BY86">
            <v>380</v>
          </cell>
          <cell r="BZ86">
            <v>120</v>
          </cell>
          <cell r="CA86">
            <v>240</v>
          </cell>
          <cell r="CB86">
            <v>65</v>
          </cell>
          <cell r="CC86">
            <v>25</v>
          </cell>
          <cell r="CD86">
            <v>40</v>
          </cell>
          <cell r="CE86">
            <v>75</v>
          </cell>
          <cell r="CF86">
            <v>1645</v>
          </cell>
          <cell r="CG86">
            <v>140</v>
          </cell>
          <cell r="CH86">
            <v>155</v>
          </cell>
          <cell r="CI86">
            <v>80</v>
          </cell>
          <cell r="CJ86">
            <v>30</v>
          </cell>
          <cell r="CK86">
            <v>285</v>
          </cell>
          <cell r="CL86">
            <v>950</v>
          </cell>
          <cell r="CM86">
            <v>0</v>
          </cell>
          <cell r="CN86">
            <v>0</v>
          </cell>
          <cell r="CO86">
            <v>1645</v>
          </cell>
          <cell r="CP86">
            <v>580</v>
          </cell>
          <cell r="CQ86">
            <v>470</v>
          </cell>
          <cell r="CR86">
            <v>230</v>
          </cell>
          <cell r="CS86">
            <v>320</v>
          </cell>
          <cell r="CT86">
            <v>45</v>
          </cell>
          <cell r="CU86">
            <v>3915</v>
          </cell>
          <cell r="CV86">
            <v>2.4</v>
          </cell>
          <cell r="CW86">
            <v>1645</v>
          </cell>
          <cell r="CX86">
            <v>955</v>
          </cell>
          <cell r="CY86">
            <v>45</v>
          </cell>
          <cell r="CZ86">
            <v>645</v>
          </cell>
        </row>
        <row r="87">
          <cell r="A87" t="str">
            <v>4620121.00</v>
          </cell>
          <cell r="B87" t="str">
            <v>0121.00</v>
          </cell>
          <cell r="C87" t="str">
            <v>Côte-des-Neiges-Notre-Dame-de-Grâce</v>
          </cell>
          <cell r="D87">
            <v>1440</v>
          </cell>
          <cell r="E87">
            <v>460</v>
          </cell>
          <cell r="F87">
            <v>740</v>
          </cell>
          <cell r="G87">
            <v>25</v>
          </cell>
          <cell r="H87">
            <v>110</v>
          </cell>
          <cell r="I87">
            <v>95</v>
          </cell>
          <cell r="J87">
            <v>1440</v>
          </cell>
          <cell r="K87">
            <v>1330</v>
          </cell>
          <cell r="L87">
            <v>110</v>
          </cell>
          <cell r="M87">
            <v>480</v>
          </cell>
          <cell r="N87">
            <v>195</v>
          </cell>
          <cell r="O87">
            <v>130</v>
          </cell>
          <cell r="P87">
            <v>115</v>
          </cell>
          <cell r="Q87">
            <v>45</v>
          </cell>
          <cell r="R87">
            <v>480</v>
          </cell>
          <cell r="S87">
            <v>390</v>
          </cell>
          <cell r="T87">
            <v>330</v>
          </cell>
          <cell r="U87">
            <v>110</v>
          </cell>
          <cell r="V87">
            <v>220</v>
          </cell>
          <cell r="W87">
            <v>85</v>
          </cell>
          <cell r="X87">
            <v>100</v>
          </cell>
          <cell r="Y87">
            <v>35</v>
          </cell>
          <cell r="Z87">
            <v>55</v>
          </cell>
          <cell r="AA87">
            <v>30</v>
          </cell>
          <cell r="AB87">
            <v>25</v>
          </cell>
          <cell r="AC87">
            <v>10</v>
          </cell>
          <cell r="AD87">
            <v>10</v>
          </cell>
          <cell r="AE87">
            <v>0</v>
          </cell>
          <cell r="AF87">
            <v>90</v>
          </cell>
          <cell r="AG87">
            <v>60</v>
          </cell>
          <cell r="AH87">
            <v>45</v>
          </cell>
          <cell r="AI87">
            <v>10</v>
          </cell>
          <cell r="AJ87">
            <v>10</v>
          </cell>
          <cell r="AK87">
            <v>30</v>
          </cell>
          <cell r="AL87">
            <v>0</v>
          </cell>
          <cell r="AM87">
            <v>25</v>
          </cell>
          <cell r="AN87">
            <v>0</v>
          </cell>
          <cell r="AO87">
            <v>595</v>
          </cell>
          <cell r="AP87">
            <v>90</v>
          </cell>
          <cell r="AQ87">
            <v>260</v>
          </cell>
          <cell r="AR87">
            <v>45</v>
          </cell>
          <cell r="AS87">
            <v>110</v>
          </cell>
          <cell r="AT87">
            <v>95</v>
          </cell>
          <cell r="AU87">
            <v>1.2</v>
          </cell>
          <cell r="AV87">
            <v>1750</v>
          </cell>
          <cell r="AW87">
            <v>285</v>
          </cell>
          <cell r="AX87">
            <v>35</v>
          </cell>
          <cell r="AY87">
            <v>80</v>
          </cell>
          <cell r="AZ87">
            <v>170</v>
          </cell>
          <cell r="BA87">
            <v>1465</v>
          </cell>
          <cell r="BB87">
            <v>3.1</v>
          </cell>
          <cell r="BC87">
            <v>315</v>
          </cell>
          <cell r="BD87">
            <v>95</v>
          </cell>
          <cell r="BE87">
            <v>35</v>
          </cell>
          <cell r="BF87">
            <v>15</v>
          </cell>
          <cell r="BG87">
            <v>50</v>
          </cell>
          <cell r="BH87">
            <v>220</v>
          </cell>
          <cell r="BI87">
            <v>690</v>
          </cell>
          <cell r="BJ87">
            <v>6</v>
          </cell>
          <cell r="BK87">
            <v>4140</v>
          </cell>
          <cell r="BL87">
            <v>2.5</v>
          </cell>
          <cell r="BM87">
            <v>1725</v>
          </cell>
          <cell r="BN87">
            <v>690</v>
          </cell>
          <cell r="BO87">
            <v>395</v>
          </cell>
          <cell r="BP87">
            <v>295</v>
          </cell>
          <cell r="BQ87">
            <v>0</v>
          </cell>
          <cell r="BR87">
            <v>690</v>
          </cell>
          <cell r="BS87">
            <v>470</v>
          </cell>
          <cell r="BT87">
            <v>190</v>
          </cell>
          <cell r="BU87">
            <v>35</v>
          </cell>
          <cell r="BV87">
            <v>695</v>
          </cell>
          <cell r="BW87">
            <v>80</v>
          </cell>
          <cell r="BX87">
            <v>280</v>
          </cell>
          <cell r="BY87">
            <v>170</v>
          </cell>
          <cell r="BZ87">
            <v>35</v>
          </cell>
          <cell r="CA87">
            <v>0</v>
          </cell>
          <cell r="CB87">
            <v>20</v>
          </cell>
          <cell r="CC87">
            <v>0</v>
          </cell>
          <cell r="CD87">
            <v>95</v>
          </cell>
          <cell r="CE87">
            <v>0</v>
          </cell>
          <cell r="CF87">
            <v>690</v>
          </cell>
          <cell r="CG87">
            <v>115</v>
          </cell>
          <cell r="CH87">
            <v>175</v>
          </cell>
          <cell r="CI87">
            <v>65</v>
          </cell>
          <cell r="CJ87">
            <v>45</v>
          </cell>
          <cell r="CK87">
            <v>180</v>
          </cell>
          <cell r="CL87">
            <v>110</v>
          </cell>
          <cell r="CM87">
            <v>0</v>
          </cell>
          <cell r="CN87">
            <v>0</v>
          </cell>
          <cell r="CO87">
            <v>690</v>
          </cell>
          <cell r="CP87">
            <v>190</v>
          </cell>
          <cell r="CQ87">
            <v>200</v>
          </cell>
          <cell r="CR87">
            <v>120</v>
          </cell>
          <cell r="CS87">
            <v>165</v>
          </cell>
          <cell r="CT87">
            <v>10</v>
          </cell>
          <cell r="CU87">
            <v>1750</v>
          </cell>
          <cell r="CV87">
            <v>2.5</v>
          </cell>
          <cell r="CW87">
            <v>690</v>
          </cell>
          <cell r="CX87">
            <v>485</v>
          </cell>
          <cell r="CY87">
            <v>0</v>
          </cell>
          <cell r="CZ87">
            <v>210</v>
          </cell>
        </row>
        <row r="88">
          <cell r="A88" t="str">
            <v>4620122.00</v>
          </cell>
          <cell r="B88" t="str">
            <v>0122.00</v>
          </cell>
          <cell r="C88" t="str">
            <v>Côte-des-Neiges-Notre-Dame-de-Grâce</v>
          </cell>
          <cell r="D88">
            <v>5775</v>
          </cell>
          <cell r="E88">
            <v>2390</v>
          </cell>
          <cell r="F88">
            <v>2420</v>
          </cell>
          <cell r="G88">
            <v>200</v>
          </cell>
          <cell r="H88">
            <v>475</v>
          </cell>
          <cell r="I88">
            <v>290</v>
          </cell>
          <cell r="J88">
            <v>5780</v>
          </cell>
          <cell r="K88">
            <v>5490</v>
          </cell>
          <cell r="L88">
            <v>290</v>
          </cell>
          <cell r="M88">
            <v>1625</v>
          </cell>
          <cell r="N88">
            <v>660</v>
          </cell>
          <cell r="O88">
            <v>480</v>
          </cell>
          <cell r="P88">
            <v>290</v>
          </cell>
          <cell r="Q88">
            <v>190</v>
          </cell>
          <cell r="R88">
            <v>1625</v>
          </cell>
          <cell r="S88">
            <v>1260</v>
          </cell>
          <cell r="T88">
            <v>1110</v>
          </cell>
          <cell r="U88">
            <v>335</v>
          </cell>
          <cell r="V88">
            <v>770</v>
          </cell>
          <cell r="W88">
            <v>335</v>
          </cell>
          <cell r="X88">
            <v>260</v>
          </cell>
          <cell r="Y88">
            <v>175</v>
          </cell>
          <cell r="Z88">
            <v>150</v>
          </cell>
          <cell r="AA88">
            <v>85</v>
          </cell>
          <cell r="AB88">
            <v>65</v>
          </cell>
          <cell r="AC88">
            <v>40</v>
          </cell>
          <cell r="AD88">
            <v>20</v>
          </cell>
          <cell r="AE88">
            <v>0</v>
          </cell>
          <cell r="AF88">
            <v>365</v>
          </cell>
          <cell r="AG88">
            <v>335</v>
          </cell>
          <cell r="AH88">
            <v>220</v>
          </cell>
          <cell r="AI88">
            <v>90</v>
          </cell>
          <cell r="AJ88">
            <v>25</v>
          </cell>
          <cell r="AK88">
            <v>30</v>
          </cell>
          <cell r="AL88">
            <v>20</v>
          </cell>
          <cell r="AM88">
            <v>15</v>
          </cell>
          <cell r="AN88">
            <v>0</v>
          </cell>
          <cell r="AO88">
            <v>2110</v>
          </cell>
          <cell r="AP88">
            <v>640</v>
          </cell>
          <cell r="AQ88">
            <v>715</v>
          </cell>
          <cell r="AR88">
            <v>225</v>
          </cell>
          <cell r="AS88">
            <v>305</v>
          </cell>
          <cell r="AT88">
            <v>215</v>
          </cell>
          <cell r="AU88">
            <v>1.3</v>
          </cell>
          <cell r="AV88">
            <v>7060</v>
          </cell>
          <cell r="AW88">
            <v>2070</v>
          </cell>
          <cell r="AX88">
            <v>375</v>
          </cell>
          <cell r="AY88">
            <v>365</v>
          </cell>
          <cell r="AZ88">
            <v>1330</v>
          </cell>
          <cell r="BA88">
            <v>4990</v>
          </cell>
          <cell r="BB88">
            <v>3.1</v>
          </cell>
          <cell r="BC88">
            <v>575</v>
          </cell>
          <cell r="BD88">
            <v>330</v>
          </cell>
          <cell r="BE88">
            <v>85</v>
          </cell>
          <cell r="BF88">
            <v>10</v>
          </cell>
          <cell r="BG88">
            <v>235</v>
          </cell>
          <cell r="BH88">
            <v>245</v>
          </cell>
          <cell r="BI88">
            <v>3150</v>
          </cell>
          <cell r="BJ88">
            <v>3.3</v>
          </cell>
          <cell r="BK88">
            <v>10395</v>
          </cell>
          <cell r="BL88">
            <v>1.3</v>
          </cell>
          <cell r="BM88">
            <v>4095</v>
          </cell>
          <cell r="BN88">
            <v>3145</v>
          </cell>
          <cell r="BO88">
            <v>110</v>
          </cell>
          <cell r="BP88">
            <v>3035</v>
          </cell>
          <cell r="BQ88">
            <v>0</v>
          </cell>
          <cell r="BR88">
            <v>3150</v>
          </cell>
          <cell r="BS88">
            <v>1635</v>
          </cell>
          <cell r="BT88">
            <v>1085</v>
          </cell>
          <cell r="BU88">
            <v>430</v>
          </cell>
          <cell r="BV88">
            <v>3150</v>
          </cell>
          <cell r="BW88">
            <v>540</v>
          </cell>
          <cell r="BX88">
            <v>1340</v>
          </cell>
          <cell r="BY88">
            <v>585</v>
          </cell>
          <cell r="BZ88">
            <v>195</v>
          </cell>
          <cell r="CA88">
            <v>270</v>
          </cell>
          <cell r="CB88">
            <v>140</v>
          </cell>
          <cell r="CC88">
            <v>35</v>
          </cell>
          <cell r="CD88">
            <v>20</v>
          </cell>
          <cell r="CE88">
            <v>15</v>
          </cell>
          <cell r="CF88">
            <v>3145</v>
          </cell>
          <cell r="CG88">
            <v>0</v>
          </cell>
          <cell r="CH88">
            <v>0</v>
          </cell>
          <cell r="CI88">
            <v>0</v>
          </cell>
          <cell r="CJ88">
            <v>40</v>
          </cell>
          <cell r="CK88">
            <v>0</v>
          </cell>
          <cell r="CL88">
            <v>3080</v>
          </cell>
          <cell r="CM88">
            <v>20</v>
          </cell>
          <cell r="CN88">
            <v>0</v>
          </cell>
          <cell r="CO88">
            <v>3145</v>
          </cell>
          <cell r="CP88">
            <v>1305</v>
          </cell>
          <cell r="CQ88">
            <v>715</v>
          </cell>
          <cell r="CR88">
            <v>545</v>
          </cell>
          <cell r="CS88">
            <v>505</v>
          </cell>
          <cell r="CT88">
            <v>80</v>
          </cell>
          <cell r="CU88">
            <v>7065</v>
          </cell>
          <cell r="CV88">
            <v>2.2000000000000002</v>
          </cell>
          <cell r="CW88">
            <v>3150</v>
          </cell>
          <cell r="CX88">
            <v>1535</v>
          </cell>
          <cell r="CY88">
            <v>40</v>
          </cell>
          <cell r="CZ88">
            <v>1570</v>
          </cell>
        </row>
        <row r="89">
          <cell r="A89" t="str">
            <v>4620123.00</v>
          </cell>
          <cell r="B89" t="str">
            <v>0123.00</v>
          </cell>
          <cell r="C89" t="str">
            <v>Côte-des-Neiges-Notre-Dame-de-Grâce</v>
          </cell>
          <cell r="D89">
            <v>5595</v>
          </cell>
          <cell r="E89">
            <v>3030</v>
          </cell>
          <cell r="F89">
            <v>1820</v>
          </cell>
          <cell r="G89">
            <v>130</v>
          </cell>
          <cell r="H89">
            <v>435</v>
          </cell>
          <cell r="I89">
            <v>180</v>
          </cell>
          <cell r="J89">
            <v>5595</v>
          </cell>
          <cell r="K89">
            <v>5020</v>
          </cell>
          <cell r="L89">
            <v>580</v>
          </cell>
          <cell r="M89">
            <v>1425</v>
          </cell>
          <cell r="N89">
            <v>715</v>
          </cell>
          <cell r="O89">
            <v>360</v>
          </cell>
          <cell r="P89">
            <v>235</v>
          </cell>
          <cell r="Q89">
            <v>115</v>
          </cell>
          <cell r="R89">
            <v>1425</v>
          </cell>
          <cell r="S89">
            <v>1165</v>
          </cell>
          <cell r="T89">
            <v>875</v>
          </cell>
          <cell r="U89">
            <v>265</v>
          </cell>
          <cell r="V89">
            <v>610</v>
          </cell>
          <cell r="W89">
            <v>305</v>
          </cell>
          <cell r="X89">
            <v>185</v>
          </cell>
          <cell r="Y89">
            <v>115</v>
          </cell>
          <cell r="Z89">
            <v>290</v>
          </cell>
          <cell r="AA89">
            <v>270</v>
          </cell>
          <cell r="AB89">
            <v>20</v>
          </cell>
          <cell r="AC89">
            <v>20</v>
          </cell>
          <cell r="AD89">
            <v>10</v>
          </cell>
          <cell r="AE89">
            <v>0</v>
          </cell>
          <cell r="AF89">
            <v>255</v>
          </cell>
          <cell r="AG89">
            <v>235</v>
          </cell>
          <cell r="AH89">
            <v>170</v>
          </cell>
          <cell r="AI89">
            <v>35</v>
          </cell>
          <cell r="AJ89">
            <v>30</v>
          </cell>
          <cell r="AK89">
            <v>20</v>
          </cell>
          <cell r="AL89">
            <v>10</v>
          </cell>
          <cell r="AM89">
            <v>0</v>
          </cell>
          <cell r="AN89">
            <v>10</v>
          </cell>
          <cell r="AO89">
            <v>1450</v>
          </cell>
          <cell r="AP89">
            <v>450</v>
          </cell>
          <cell r="AQ89">
            <v>490</v>
          </cell>
          <cell r="AR89">
            <v>130</v>
          </cell>
          <cell r="AS89">
            <v>240</v>
          </cell>
          <cell r="AT89">
            <v>135</v>
          </cell>
          <cell r="AU89">
            <v>1</v>
          </cell>
          <cell r="AV89">
            <v>6345</v>
          </cell>
          <cell r="AW89">
            <v>2305</v>
          </cell>
          <cell r="AX89">
            <v>315</v>
          </cell>
          <cell r="AY89">
            <v>595</v>
          </cell>
          <cell r="AZ89">
            <v>1390</v>
          </cell>
          <cell r="BA89">
            <v>4040</v>
          </cell>
          <cell r="BB89">
            <v>2.8</v>
          </cell>
          <cell r="BC89">
            <v>520</v>
          </cell>
          <cell r="BD89">
            <v>315</v>
          </cell>
          <cell r="BE89">
            <v>45</v>
          </cell>
          <cell r="BF89">
            <v>15</v>
          </cell>
          <cell r="BG89">
            <v>260</v>
          </cell>
          <cell r="BH89">
            <v>200</v>
          </cell>
          <cell r="BI89">
            <v>3180</v>
          </cell>
          <cell r="BJ89">
            <v>3.7</v>
          </cell>
          <cell r="BK89">
            <v>11766</v>
          </cell>
          <cell r="BL89">
            <v>1.5</v>
          </cell>
          <cell r="BM89">
            <v>4770</v>
          </cell>
          <cell r="BN89">
            <v>3180</v>
          </cell>
          <cell r="BO89">
            <v>235</v>
          </cell>
          <cell r="BP89">
            <v>2945</v>
          </cell>
          <cell r="BQ89">
            <v>0</v>
          </cell>
          <cell r="BR89">
            <v>3180</v>
          </cell>
          <cell r="BS89">
            <v>1760</v>
          </cell>
          <cell r="BT89">
            <v>1055</v>
          </cell>
          <cell r="BU89">
            <v>365</v>
          </cell>
          <cell r="BV89">
            <v>3185</v>
          </cell>
          <cell r="BW89">
            <v>390</v>
          </cell>
          <cell r="BX89">
            <v>1345</v>
          </cell>
          <cell r="BY89">
            <v>790</v>
          </cell>
          <cell r="BZ89">
            <v>385</v>
          </cell>
          <cell r="CA89">
            <v>155</v>
          </cell>
          <cell r="CB89">
            <v>50</v>
          </cell>
          <cell r="CC89">
            <v>30</v>
          </cell>
          <cell r="CD89">
            <v>10</v>
          </cell>
          <cell r="CE89">
            <v>35</v>
          </cell>
          <cell r="CF89">
            <v>3180</v>
          </cell>
          <cell r="CG89">
            <v>0</v>
          </cell>
          <cell r="CH89">
            <v>0</v>
          </cell>
          <cell r="CI89">
            <v>0</v>
          </cell>
          <cell r="CJ89">
            <v>35</v>
          </cell>
          <cell r="CK89">
            <v>735</v>
          </cell>
          <cell r="CL89">
            <v>2400</v>
          </cell>
          <cell r="CM89">
            <v>10</v>
          </cell>
          <cell r="CN89">
            <v>0</v>
          </cell>
          <cell r="CO89">
            <v>3180</v>
          </cell>
          <cell r="CP89">
            <v>1395</v>
          </cell>
          <cell r="CQ89">
            <v>975</v>
          </cell>
          <cell r="CR89">
            <v>440</v>
          </cell>
          <cell r="CS89">
            <v>330</v>
          </cell>
          <cell r="CT89">
            <v>40</v>
          </cell>
          <cell r="CU89">
            <v>6345</v>
          </cell>
          <cell r="CV89">
            <v>2</v>
          </cell>
          <cell r="CW89">
            <v>3180</v>
          </cell>
          <cell r="CX89">
            <v>1395</v>
          </cell>
          <cell r="CY89">
            <v>15</v>
          </cell>
          <cell r="CZ89">
            <v>1770</v>
          </cell>
        </row>
        <row r="90">
          <cell r="A90" t="str">
            <v>4620124.00</v>
          </cell>
          <cell r="B90" t="str">
            <v>0124.00</v>
          </cell>
          <cell r="C90" t="str">
            <v>Côte-des-Neiges-Notre-Dame-de-Grâce</v>
          </cell>
          <cell r="D90">
            <v>4775</v>
          </cell>
          <cell r="E90">
            <v>2235</v>
          </cell>
          <cell r="F90">
            <v>1865</v>
          </cell>
          <cell r="G90">
            <v>160</v>
          </cell>
          <cell r="H90">
            <v>360</v>
          </cell>
          <cell r="I90">
            <v>155</v>
          </cell>
          <cell r="J90">
            <v>4775</v>
          </cell>
          <cell r="K90">
            <v>4325</v>
          </cell>
          <cell r="L90">
            <v>450</v>
          </cell>
          <cell r="M90">
            <v>1420</v>
          </cell>
          <cell r="N90">
            <v>645</v>
          </cell>
          <cell r="O90">
            <v>375</v>
          </cell>
          <cell r="P90">
            <v>250</v>
          </cell>
          <cell r="Q90">
            <v>145</v>
          </cell>
          <cell r="R90">
            <v>1420</v>
          </cell>
          <cell r="S90">
            <v>1120</v>
          </cell>
          <cell r="T90">
            <v>905</v>
          </cell>
          <cell r="U90">
            <v>305</v>
          </cell>
          <cell r="V90">
            <v>595</v>
          </cell>
          <cell r="W90">
            <v>250</v>
          </cell>
          <cell r="X90">
            <v>195</v>
          </cell>
          <cell r="Y90">
            <v>145</v>
          </cell>
          <cell r="Z90">
            <v>225</v>
          </cell>
          <cell r="AA90">
            <v>185</v>
          </cell>
          <cell r="AB90">
            <v>35</v>
          </cell>
          <cell r="AC90">
            <v>20</v>
          </cell>
          <cell r="AD90">
            <v>15</v>
          </cell>
          <cell r="AE90">
            <v>0</v>
          </cell>
          <cell r="AF90">
            <v>295</v>
          </cell>
          <cell r="AG90">
            <v>260</v>
          </cell>
          <cell r="AH90">
            <v>125</v>
          </cell>
          <cell r="AI90">
            <v>95</v>
          </cell>
          <cell r="AJ90">
            <v>35</v>
          </cell>
          <cell r="AK90">
            <v>40</v>
          </cell>
          <cell r="AL90">
            <v>30</v>
          </cell>
          <cell r="AM90">
            <v>0</v>
          </cell>
          <cell r="AN90">
            <v>10</v>
          </cell>
          <cell r="AO90">
            <v>1705</v>
          </cell>
          <cell r="AP90">
            <v>450</v>
          </cell>
          <cell r="AQ90">
            <v>645</v>
          </cell>
          <cell r="AR90">
            <v>160</v>
          </cell>
          <cell r="AS90">
            <v>285</v>
          </cell>
          <cell r="AT90">
            <v>175</v>
          </cell>
          <cell r="AU90">
            <v>1.2</v>
          </cell>
          <cell r="AV90">
            <v>5840</v>
          </cell>
          <cell r="AW90">
            <v>1590</v>
          </cell>
          <cell r="AX90">
            <v>215</v>
          </cell>
          <cell r="AY90">
            <v>405</v>
          </cell>
          <cell r="AZ90">
            <v>965</v>
          </cell>
          <cell r="BA90">
            <v>4250</v>
          </cell>
          <cell r="BB90">
            <v>3</v>
          </cell>
          <cell r="BC90">
            <v>480</v>
          </cell>
          <cell r="BD90">
            <v>225</v>
          </cell>
          <cell r="BE90">
            <v>20</v>
          </cell>
          <cell r="BF90">
            <v>10</v>
          </cell>
          <cell r="BG90">
            <v>200</v>
          </cell>
          <cell r="BH90">
            <v>250</v>
          </cell>
          <cell r="BI90">
            <v>2620</v>
          </cell>
          <cell r="BJ90">
            <v>3.8</v>
          </cell>
          <cell r="BK90">
            <v>9956</v>
          </cell>
          <cell r="BL90">
            <v>1.6</v>
          </cell>
          <cell r="BM90">
            <v>4192</v>
          </cell>
          <cell r="BN90">
            <v>2615</v>
          </cell>
          <cell r="BO90">
            <v>230</v>
          </cell>
          <cell r="BP90">
            <v>2385</v>
          </cell>
          <cell r="BQ90">
            <v>0</v>
          </cell>
          <cell r="BR90">
            <v>2620</v>
          </cell>
          <cell r="BS90">
            <v>1385</v>
          </cell>
          <cell r="BT90">
            <v>860</v>
          </cell>
          <cell r="BU90">
            <v>365</v>
          </cell>
          <cell r="BV90">
            <v>2620</v>
          </cell>
          <cell r="BW90">
            <v>360</v>
          </cell>
          <cell r="BX90">
            <v>1185</v>
          </cell>
          <cell r="BY90">
            <v>660</v>
          </cell>
          <cell r="BZ90">
            <v>200</v>
          </cell>
          <cell r="CA90">
            <v>130</v>
          </cell>
          <cell r="CB90">
            <v>45</v>
          </cell>
          <cell r="CC90">
            <v>15</v>
          </cell>
          <cell r="CD90">
            <v>25</v>
          </cell>
          <cell r="CE90">
            <v>10</v>
          </cell>
          <cell r="CF90">
            <v>2615</v>
          </cell>
          <cell r="CG90">
            <v>5</v>
          </cell>
          <cell r="CH90">
            <v>5</v>
          </cell>
          <cell r="CI90">
            <v>0</v>
          </cell>
          <cell r="CJ90">
            <v>45</v>
          </cell>
          <cell r="CK90">
            <v>485</v>
          </cell>
          <cell r="CL90">
            <v>2070</v>
          </cell>
          <cell r="CM90">
            <v>5</v>
          </cell>
          <cell r="CN90">
            <v>0</v>
          </cell>
          <cell r="CO90">
            <v>2620</v>
          </cell>
          <cell r="CP90">
            <v>970</v>
          </cell>
          <cell r="CQ90">
            <v>790</v>
          </cell>
          <cell r="CR90">
            <v>420</v>
          </cell>
          <cell r="CS90">
            <v>385</v>
          </cell>
          <cell r="CT90">
            <v>60</v>
          </cell>
          <cell r="CU90">
            <v>5840</v>
          </cell>
          <cell r="CV90">
            <v>2.2000000000000002</v>
          </cell>
          <cell r="CW90">
            <v>2620</v>
          </cell>
          <cell r="CX90">
            <v>1390</v>
          </cell>
          <cell r="CY90">
            <v>15</v>
          </cell>
          <cell r="CZ90">
            <v>1215</v>
          </cell>
        </row>
        <row r="91">
          <cell r="A91" t="str">
            <v>4620125.00</v>
          </cell>
          <cell r="B91" t="str">
            <v>0125.00</v>
          </cell>
          <cell r="C91" t="str">
            <v>Côte-des-Neiges-Notre-Dame-de-Grâce</v>
          </cell>
          <cell r="D91">
            <v>5140</v>
          </cell>
          <cell r="E91">
            <v>1600</v>
          </cell>
          <cell r="F91">
            <v>2515</v>
          </cell>
          <cell r="G91">
            <v>95</v>
          </cell>
          <cell r="H91">
            <v>400</v>
          </cell>
          <cell r="I91">
            <v>530</v>
          </cell>
          <cell r="J91">
            <v>5140</v>
          </cell>
          <cell r="K91">
            <v>4825</v>
          </cell>
          <cell r="L91">
            <v>315</v>
          </cell>
          <cell r="M91">
            <v>1610</v>
          </cell>
          <cell r="N91">
            <v>875</v>
          </cell>
          <cell r="O91">
            <v>315</v>
          </cell>
          <cell r="P91">
            <v>160</v>
          </cell>
          <cell r="Q91">
            <v>260</v>
          </cell>
          <cell r="R91">
            <v>1610</v>
          </cell>
          <cell r="S91">
            <v>1385</v>
          </cell>
          <cell r="T91">
            <v>1230</v>
          </cell>
          <cell r="U91">
            <v>570</v>
          </cell>
          <cell r="V91">
            <v>660</v>
          </cell>
          <cell r="W91">
            <v>275</v>
          </cell>
          <cell r="X91">
            <v>125</v>
          </cell>
          <cell r="Y91">
            <v>260</v>
          </cell>
          <cell r="Z91">
            <v>160</v>
          </cell>
          <cell r="AA91">
            <v>105</v>
          </cell>
          <cell r="AB91">
            <v>50</v>
          </cell>
          <cell r="AC91">
            <v>20</v>
          </cell>
          <cell r="AD91">
            <v>30</v>
          </cell>
          <cell r="AE91">
            <v>0</v>
          </cell>
          <cell r="AF91">
            <v>225</v>
          </cell>
          <cell r="AG91">
            <v>175</v>
          </cell>
          <cell r="AH91">
            <v>160</v>
          </cell>
          <cell r="AI91">
            <v>15</v>
          </cell>
          <cell r="AJ91">
            <v>0</v>
          </cell>
          <cell r="AK91">
            <v>50</v>
          </cell>
          <cell r="AL91">
            <v>35</v>
          </cell>
          <cell r="AM91">
            <v>0</v>
          </cell>
          <cell r="AN91">
            <v>10</v>
          </cell>
          <cell r="AO91">
            <v>2015</v>
          </cell>
          <cell r="AP91">
            <v>425</v>
          </cell>
          <cell r="AQ91">
            <v>790</v>
          </cell>
          <cell r="AR91">
            <v>255</v>
          </cell>
          <cell r="AS91">
            <v>360</v>
          </cell>
          <cell r="AT91">
            <v>185</v>
          </cell>
          <cell r="AU91">
            <v>1.2</v>
          </cell>
          <cell r="AV91">
            <v>6330</v>
          </cell>
          <cell r="AW91">
            <v>1320</v>
          </cell>
          <cell r="AX91">
            <v>175</v>
          </cell>
          <cell r="AY91">
            <v>180</v>
          </cell>
          <cell r="AZ91">
            <v>965</v>
          </cell>
          <cell r="BA91">
            <v>5015</v>
          </cell>
          <cell r="BB91">
            <v>3.1</v>
          </cell>
          <cell r="BC91">
            <v>1520</v>
          </cell>
          <cell r="BD91">
            <v>575</v>
          </cell>
          <cell r="BE91">
            <v>40</v>
          </cell>
          <cell r="BF91">
            <v>15</v>
          </cell>
          <cell r="BG91">
            <v>520</v>
          </cell>
          <cell r="BH91">
            <v>950</v>
          </cell>
          <cell r="BI91">
            <v>2690</v>
          </cell>
          <cell r="BJ91">
            <v>4.9000000000000004</v>
          </cell>
          <cell r="BK91">
            <v>13181.000000000002</v>
          </cell>
          <cell r="BL91">
            <v>2.1</v>
          </cell>
          <cell r="BM91">
            <v>5649</v>
          </cell>
          <cell r="BN91">
            <v>2690</v>
          </cell>
          <cell r="BO91">
            <v>1110</v>
          </cell>
          <cell r="BP91">
            <v>1575</v>
          </cell>
          <cell r="BQ91">
            <v>0</v>
          </cell>
          <cell r="BR91">
            <v>2690</v>
          </cell>
          <cell r="BS91">
            <v>1730</v>
          </cell>
          <cell r="BT91">
            <v>770</v>
          </cell>
          <cell r="BU91">
            <v>190</v>
          </cell>
          <cell r="BV91">
            <v>2685</v>
          </cell>
          <cell r="BW91">
            <v>310</v>
          </cell>
          <cell r="BX91">
            <v>885</v>
          </cell>
          <cell r="BY91">
            <v>430</v>
          </cell>
          <cell r="BZ91">
            <v>275</v>
          </cell>
          <cell r="CA91">
            <v>375</v>
          </cell>
          <cell r="CB91">
            <v>340</v>
          </cell>
          <cell r="CC91">
            <v>50</v>
          </cell>
          <cell r="CD91">
            <v>15</v>
          </cell>
          <cell r="CE91">
            <v>0</v>
          </cell>
          <cell r="CF91">
            <v>2690</v>
          </cell>
          <cell r="CG91">
            <v>35</v>
          </cell>
          <cell r="CH91">
            <v>20</v>
          </cell>
          <cell r="CI91">
            <v>5</v>
          </cell>
          <cell r="CJ91">
            <v>70</v>
          </cell>
          <cell r="CK91">
            <v>1560</v>
          </cell>
          <cell r="CL91">
            <v>990</v>
          </cell>
          <cell r="CM91">
            <v>10</v>
          </cell>
          <cell r="CN91">
            <v>0</v>
          </cell>
          <cell r="CO91">
            <v>2690</v>
          </cell>
          <cell r="CP91">
            <v>965</v>
          </cell>
          <cell r="CQ91">
            <v>930</v>
          </cell>
          <cell r="CR91">
            <v>340</v>
          </cell>
          <cell r="CS91">
            <v>310</v>
          </cell>
          <cell r="CT91">
            <v>150</v>
          </cell>
          <cell r="CU91">
            <v>6335</v>
          </cell>
          <cell r="CV91">
            <v>2.4</v>
          </cell>
          <cell r="CW91">
            <v>2685</v>
          </cell>
          <cell r="CX91">
            <v>1575</v>
          </cell>
          <cell r="CY91">
            <v>20</v>
          </cell>
          <cell r="CZ91">
            <v>1095</v>
          </cell>
        </row>
        <row r="92">
          <cell r="A92" t="str">
            <v>4620126.00</v>
          </cell>
          <cell r="B92" t="str">
            <v>0126.00</v>
          </cell>
          <cell r="C92" t="str">
            <v>Côte-des-Neiges-Notre-Dame-de-Grâce</v>
          </cell>
          <cell r="D92">
            <v>1835</v>
          </cell>
          <cell r="E92">
            <v>1215</v>
          </cell>
          <cell r="F92">
            <v>435</v>
          </cell>
          <cell r="G92">
            <v>35</v>
          </cell>
          <cell r="H92">
            <v>120</v>
          </cell>
          <cell r="I92">
            <v>40</v>
          </cell>
          <cell r="J92">
            <v>1835</v>
          </cell>
          <cell r="K92">
            <v>1605</v>
          </cell>
          <cell r="L92">
            <v>235</v>
          </cell>
          <cell r="M92">
            <v>400</v>
          </cell>
          <cell r="N92">
            <v>270</v>
          </cell>
          <cell r="O92">
            <v>25</v>
          </cell>
          <cell r="P92">
            <v>75</v>
          </cell>
          <cell r="Q92">
            <v>25</v>
          </cell>
          <cell r="R92">
            <v>400</v>
          </cell>
          <cell r="S92">
            <v>310</v>
          </cell>
          <cell r="T92">
            <v>185</v>
          </cell>
          <cell r="U92">
            <v>120</v>
          </cell>
          <cell r="V92">
            <v>65</v>
          </cell>
          <cell r="W92">
            <v>0</v>
          </cell>
          <cell r="X92">
            <v>50</v>
          </cell>
          <cell r="Y92">
            <v>15</v>
          </cell>
          <cell r="Z92">
            <v>125</v>
          </cell>
          <cell r="AA92">
            <v>100</v>
          </cell>
          <cell r="AB92">
            <v>30</v>
          </cell>
          <cell r="AC92">
            <v>0</v>
          </cell>
          <cell r="AD92">
            <v>15</v>
          </cell>
          <cell r="AE92">
            <v>10</v>
          </cell>
          <cell r="AF92">
            <v>85</v>
          </cell>
          <cell r="AG92">
            <v>50</v>
          </cell>
          <cell r="AH92">
            <v>40</v>
          </cell>
          <cell r="AI92">
            <v>0</v>
          </cell>
          <cell r="AJ92">
            <v>10</v>
          </cell>
          <cell r="AK92">
            <v>40</v>
          </cell>
          <cell r="AL92">
            <v>10</v>
          </cell>
          <cell r="AM92">
            <v>25</v>
          </cell>
          <cell r="AN92">
            <v>0</v>
          </cell>
          <cell r="AO92">
            <v>355</v>
          </cell>
          <cell r="AP92">
            <v>70</v>
          </cell>
          <cell r="AQ92">
            <v>130</v>
          </cell>
          <cell r="AR92">
            <v>35</v>
          </cell>
          <cell r="AS92">
            <v>95</v>
          </cell>
          <cell r="AT92">
            <v>15</v>
          </cell>
          <cell r="AU92">
            <v>0.9</v>
          </cell>
          <cell r="AV92">
            <v>1840</v>
          </cell>
          <cell r="AW92">
            <v>775</v>
          </cell>
          <cell r="AX92">
            <v>110</v>
          </cell>
          <cell r="AY92">
            <v>345</v>
          </cell>
          <cell r="AZ92">
            <v>325</v>
          </cell>
          <cell r="BA92">
            <v>1060</v>
          </cell>
          <cell r="BB92">
            <v>2.6</v>
          </cell>
          <cell r="BC92">
            <v>120</v>
          </cell>
          <cell r="BD92">
            <v>55</v>
          </cell>
          <cell r="BE92">
            <v>0</v>
          </cell>
          <cell r="BF92">
            <v>10</v>
          </cell>
          <cell r="BG92">
            <v>40</v>
          </cell>
          <cell r="BH92">
            <v>70</v>
          </cell>
          <cell r="BI92">
            <v>885</v>
          </cell>
          <cell r="BJ92">
            <v>5</v>
          </cell>
          <cell r="BK92">
            <v>4425</v>
          </cell>
          <cell r="BL92">
            <v>2.1</v>
          </cell>
          <cell r="BM92">
            <v>1858.5</v>
          </cell>
          <cell r="BN92">
            <v>885</v>
          </cell>
          <cell r="BO92">
            <v>290</v>
          </cell>
          <cell r="BP92">
            <v>595</v>
          </cell>
          <cell r="BQ92">
            <v>0</v>
          </cell>
          <cell r="BR92">
            <v>885</v>
          </cell>
          <cell r="BS92">
            <v>370</v>
          </cell>
          <cell r="BT92">
            <v>405</v>
          </cell>
          <cell r="BU92">
            <v>115</v>
          </cell>
          <cell r="BV92">
            <v>885</v>
          </cell>
          <cell r="BW92">
            <v>530</v>
          </cell>
          <cell r="BX92">
            <v>190</v>
          </cell>
          <cell r="BY92">
            <v>85</v>
          </cell>
          <cell r="BZ92">
            <v>40</v>
          </cell>
          <cell r="CA92">
            <v>15</v>
          </cell>
          <cell r="CB92">
            <v>10</v>
          </cell>
          <cell r="CC92">
            <v>10</v>
          </cell>
          <cell r="CD92">
            <v>0</v>
          </cell>
          <cell r="CE92">
            <v>15</v>
          </cell>
          <cell r="CF92">
            <v>885</v>
          </cell>
          <cell r="CG92">
            <v>10</v>
          </cell>
          <cell r="CH92">
            <v>10</v>
          </cell>
          <cell r="CI92">
            <v>0</v>
          </cell>
          <cell r="CJ92">
            <v>85</v>
          </cell>
          <cell r="CK92">
            <v>175</v>
          </cell>
          <cell r="CL92">
            <v>600</v>
          </cell>
          <cell r="CM92">
            <v>5</v>
          </cell>
          <cell r="CN92">
            <v>0</v>
          </cell>
          <cell r="CO92">
            <v>885</v>
          </cell>
          <cell r="CP92">
            <v>340</v>
          </cell>
          <cell r="CQ92">
            <v>285</v>
          </cell>
          <cell r="CR92">
            <v>150</v>
          </cell>
          <cell r="CS92">
            <v>105</v>
          </cell>
          <cell r="CT92">
            <v>10</v>
          </cell>
          <cell r="CU92">
            <v>1840</v>
          </cell>
          <cell r="CV92">
            <v>2.1</v>
          </cell>
          <cell r="CW92">
            <v>885</v>
          </cell>
          <cell r="CX92">
            <v>395</v>
          </cell>
          <cell r="CY92">
            <v>0</v>
          </cell>
          <cell r="CZ92">
            <v>490</v>
          </cell>
        </row>
        <row r="93">
          <cell r="A93" t="str">
            <v>4620127.01</v>
          </cell>
          <cell r="B93" t="str">
            <v>0127.01</v>
          </cell>
          <cell r="C93" t="str">
            <v>Côte-des-Neiges-Notre-Dame-de-Grâce</v>
          </cell>
          <cell r="D93">
            <v>5185</v>
          </cell>
          <cell r="E93">
            <v>3180</v>
          </cell>
          <cell r="F93">
            <v>1215</v>
          </cell>
          <cell r="G93">
            <v>125</v>
          </cell>
          <cell r="H93">
            <v>435</v>
          </cell>
          <cell r="I93">
            <v>230</v>
          </cell>
          <cell r="J93">
            <v>5185</v>
          </cell>
          <cell r="K93">
            <v>4535</v>
          </cell>
          <cell r="L93">
            <v>655</v>
          </cell>
          <cell r="M93">
            <v>1105</v>
          </cell>
          <cell r="N93">
            <v>750</v>
          </cell>
          <cell r="O93">
            <v>220</v>
          </cell>
          <cell r="P93">
            <v>100</v>
          </cell>
          <cell r="Q93">
            <v>30</v>
          </cell>
          <cell r="R93">
            <v>1105</v>
          </cell>
          <cell r="S93">
            <v>920</v>
          </cell>
          <cell r="T93">
            <v>595</v>
          </cell>
          <cell r="U93">
            <v>350</v>
          </cell>
          <cell r="V93">
            <v>240</v>
          </cell>
          <cell r="W93">
            <v>135</v>
          </cell>
          <cell r="X93">
            <v>80</v>
          </cell>
          <cell r="Y93">
            <v>25</v>
          </cell>
          <cell r="Z93">
            <v>325</v>
          </cell>
          <cell r="AA93">
            <v>265</v>
          </cell>
          <cell r="AB93">
            <v>60</v>
          </cell>
          <cell r="AC93">
            <v>35</v>
          </cell>
          <cell r="AD93">
            <v>20</v>
          </cell>
          <cell r="AE93">
            <v>10</v>
          </cell>
          <cell r="AF93">
            <v>185</v>
          </cell>
          <cell r="AG93">
            <v>150</v>
          </cell>
          <cell r="AH93">
            <v>105</v>
          </cell>
          <cell r="AI93">
            <v>40</v>
          </cell>
          <cell r="AJ93">
            <v>0</v>
          </cell>
          <cell r="AK93">
            <v>35</v>
          </cell>
          <cell r="AL93">
            <v>25</v>
          </cell>
          <cell r="AM93">
            <v>10</v>
          </cell>
          <cell r="AN93">
            <v>0</v>
          </cell>
          <cell r="AO93">
            <v>715</v>
          </cell>
          <cell r="AP93">
            <v>190</v>
          </cell>
          <cell r="AQ93">
            <v>190</v>
          </cell>
          <cell r="AR93">
            <v>100</v>
          </cell>
          <cell r="AS93">
            <v>135</v>
          </cell>
          <cell r="AT93">
            <v>100</v>
          </cell>
          <cell r="AU93">
            <v>0.6</v>
          </cell>
          <cell r="AV93">
            <v>5495</v>
          </cell>
          <cell r="AW93">
            <v>2755</v>
          </cell>
          <cell r="AX93">
            <v>235</v>
          </cell>
          <cell r="AY93">
            <v>720</v>
          </cell>
          <cell r="AZ93">
            <v>1795</v>
          </cell>
          <cell r="BA93">
            <v>2740</v>
          </cell>
          <cell r="BB93">
            <v>2.5</v>
          </cell>
          <cell r="BC93">
            <v>805</v>
          </cell>
          <cell r="BD93">
            <v>555</v>
          </cell>
          <cell r="BE93">
            <v>15</v>
          </cell>
          <cell r="BF93">
            <v>40</v>
          </cell>
          <cell r="BG93">
            <v>505</v>
          </cell>
          <cell r="BH93">
            <v>250</v>
          </cell>
          <cell r="BI93">
            <v>3300</v>
          </cell>
          <cell r="BJ93">
            <v>3.8</v>
          </cell>
          <cell r="BK93">
            <v>12540</v>
          </cell>
          <cell r="BL93">
            <v>1.4</v>
          </cell>
          <cell r="BM93">
            <v>4620</v>
          </cell>
          <cell r="BN93">
            <v>3295</v>
          </cell>
          <cell r="BO93">
            <v>365</v>
          </cell>
          <cell r="BP93">
            <v>2935</v>
          </cell>
          <cell r="BQ93">
            <v>0</v>
          </cell>
          <cell r="BR93">
            <v>3300</v>
          </cell>
          <cell r="BS93">
            <v>2055</v>
          </cell>
          <cell r="BT93">
            <v>925</v>
          </cell>
          <cell r="BU93">
            <v>320</v>
          </cell>
          <cell r="BV93">
            <v>3300</v>
          </cell>
          <cell r="BW93">
            <v>690</v>
          </cell>
          <cell r="BX93">
            <v>915</v>
          </cell>
          <cell r="BY93">
            <v>880</v>
          </cell>
          <cell r="BZ93">
            <v>540</v>
          </cell>
          <cell r="CA93">
            <v>65</v>
          </cell>
          <cell r="CB93">
            <v>45</v>
          </cell>
          <cell r="CC93">
            <v>45</v>
          </cell>
          <cell r="CD93">
            <v>75</v>
          </cell>
          <cell r="CE93">
            <v>35</v>
          </cell>
          <cell r="CF93">
            <v>3300</v>
          </cell>
          <cell r="CG93">
            <v>25</v>
          </cell>
          <cell r="CH93">
            <v>20</v>
          </cell>
          <cell r="CI93">
            <v>5</v>
          </cell>
          <cell r="CJ93">
            <v>95</v>
          </cell>
          <cell r="CK93">
            <v>935</v>
          </cell>
          <cell r="CL93">
            <v>2215</v>
          </cell>
          <cell r="CM93">
            <v>0</v>
          </cell>
          <cell r="CN93">
            <v>0</v>
          </cell>
          <cell r="CO93">
            <v>3295</v>
          </cell>
          <cell r="CP93">
            <v>1800</v>
          </cell>
          <cell r="CQ93">
            <v>1020</v>
          </cell>
          <cell r="CR93">
            <v>325</v>
          </cell>
          <cell r="CS93">
            <v>145</v>
          </cell>
          <cell r="CT93">
            <v>10</v>
          </cell>
          <cell r="CU93">
            <v>5495</v>
          </cell>
          <cell r="CV93">
            <v>1.7</v>
          </cell>
          <cell r="CW93">
            <v>3300</v>
          </cell>
          <cell r="CX93">
            <v>1085</v>
          </cell>
          <cell r="CY93">
            <v>0</v>
          </cell>
          <cell r="CZ93">
            <v>2200</v>
          </cell>
        </row>
        <row r="94">
          <cell r="C94" t="str">
            <v>Côte-des-Neiges-Notre-Dame-de-Grâce</v>
          </cell>
          <cell r="D94">
            <v>138240</v>
          </cell>
          <cell r="E94">
            <v>59945</v>
          </cell>
          <cell r="F94">
            <v>53975</v>
          </cell>
          <cell r="G94">
            <v>3895</v>
          </cell>
          <cell r="H94">
            <v>12275</v>
          </cell>
          <cell r="I94">
            <v>8160</v>
          </cell>
          <cell r="J94">
            <v>138260</v>
          </cell>
          <cell r="K94">
            <v>126460</v>
          </cell>
          <cell r="L94">
            <v>11785</v>
          </cell>
          <cell r="M94">
            <v>40355</v>
          </cell>
          <cell r="N94">
            <v>19355</v>
          </cell>
          <cell r="O94">
            <v>10185</v>
          </cell>
          <cell r="P94">
            <v>7380</v>
          </cell>
          <cell r="Q94">
            <v>3355</v>
          </cell>
          <cell r="R94">
            <v>40375</v>
          </cell>
          <cell r="S94">
            <v>31555</v>
          </cell>
          <cell r="T94">
            <v>25630</v>
          </cell>
          <cell r="U94">
            <v>9395</v>
          </cell>
          <cell r="V94">
            <v>16205</v>
          </cell>
          <cell r="W94">
            <v>6875</v>
          </cell>
          <cell r="X94">
            <v>6310</v>
          </cell>
          <cell r="Y94">
            <v>3000</v>
          </cell>
          <cell r="Z94">
            <v>5910</v>
          </cell>
          <cell r="AA94">
            <v>4130</v>
          </cell>
          <cell r="AB94">
            <v>1760</v>
          </cell>
          <cell r="AC94">
            <v>975</v>
          </cell>
          <cell r="AD94">
            <v>530</v>
          </cell>
          <cell r="AE94">
            <v>205</v>
          </cell>
          <cell r="AF94">
            <v>8790</v>
          </cell>
          <cell r="AG94">
            <v>7480</v>
          </cell>
          <cell r="AH94">
            <v>4925</v>
          </cell>
          <cell r="AI94">
            <v>1925</v>
          </cell>
          <cell r="AJ94">
            <v>615</v>
          </cell>
          <cell r="AK94">
            <v>1270</v>
          </cell>
          <cell r="AL94">
            <v>855</v>
          </cell>
          <cell r="AM94">
            <v>335</v>
          </cell>
          <cell r="AN94">
            <v>90</v>
          </cell>
          <cell r="AO94">
            <v>45575</v>
          </cell>
          <cell r="AP94">
            <v>11280</v>
          </cell>
          <cell r="AQ94">
            <v>15570</v>
          </cell>
          <cell r="AR94">
            <v>4950</v>
          </cell>
          <cell r="AS94">
            <v>8535</v>
          </cell>
          <cell r="AT94">
            <v>5245</v>
          </cell>
          <cell r="AU94">
            <v>1.1287925696594427</v>
          </cell>
          <cell r="AV94">
            <v>161980</v>
          </cell>
          <cell r="AW94">
            <v>44420</v>
          </cell>
          <cell r="AX94">
            <v>5835</v>
          </cell>
          <cell r="AY94">
            <v>9620</v>
          </cell>
          <cell r="AZ94">
            <v>28950</v>
          </cell>
          <cell r="BA94">
            <v>117530</v>
          </cell>
          <cell r="BB94">
            <v>2.9109597523219812</v>
          </cell>
          <cell r="BC94">
            <v>20505</v>
          </cell>
          <cell r="BD94">
            <v>9830</v>
          </cell>
          <cell r="BE94">
            <v>1120</v>
          </cell>
          <cell r="BF94">
            <v>410</v>
          </cell>
          <cell r="BG94">
            <v>8350</v>
          </cell>
          <cell r="BH94">
            <v>10650</v>
          </cell>
          <cell r="BI94">
            <v>74030</v>
          </cell>
          <cell r="BJ94">
            <v>4.4872011346751313</v>
          </cell>
          <cell r="BK94">
            <v>332187.5</v>
          </cell>
          <cell r="BL94">
            <v>1.8366945832770498</v>
          </cell>
          <cell r="BM94">
            <v>135970.5</v>
          </cell>
          <cell r="BN94">
            <v>74010</v>
          </cell>
          <cell r="BO94">
            <v>18460</v>
          </cell>
          <cell r="BP94">
            <v>55565</v>
          </cell>
          <cell r="BQ94">
            <v>0</v>
          </cell>
          <cell r="BR94">
            <v>74040</v>
          </cell>
          <cell r="BS94">
            <v>39785</v>
          </cell>
          <cell r="BT94">
            <v>24745</v>
          </cell>
          <cell r="BU94">
            <v>9520</v>
          </cell>
          <cell r="BV94">
            <v>74035</v>
          </cell>
          <cell r="BW94">
            <v>18850</v>
          </cell>
          <cell r="BX94">
            <v>26845</v>
          </cell>
          <cell r="BY94">
            <v>13715</v>
          </cell>
          <cell r="BZ94">
            <v>6425</v>
          </cell>
          <cell r="CA94">
            <v>3335</v>
          </cell>
          <cell r="CB94">
            <v>1985</v>
          </cell>
          <cell r="CC94">
            <v>945</v>
          </cell>
          <cell r="CD94">
            <v>885</v>
          </cell>
          <cell r="CE94">
            <v>925</v>
          </cell>
          <cell r="CF94">
            <v>74040</v>
          </cell>
          <cell r="CG94">
            <v>2010</v>
          </cell>
          <cell r="CH94">
            <v>3755</v>
          </cell>
          <cell r="CI94">
            <v>840</v>
          </cell>
          <cell r="CJ94">
            <v>10820</v>
          </cell>
          <cell r="CK94">
            <v>15855</v>
          </cell>
          <cell r="CL94">
            <v>40600</v>
          </cell>
          <cell r="CM94">
            <v>115</v>
          </cell>
          <cell r="CN94">
            <v>25</v>
          </cell>
          <cell r="CO94">
            <v>74055</v>
          </cell>
          <cell r="CP94">
            <v>29015</v>
          </cell>
          <cell r="CQ94">
            <v>21530</v>
          </cell>
          <cell r="CR94">
            <v>11295</v>
          </cell>
          <cell r="CS94">
            <v>10730</v>
          </cell>
          <cell r="CT94">
            <v>1530</v>
          </cell>
          <cell r="CU94">
            <v>161990</v>
          </cell>
          <cell r="CV94">
            <v>2.1874282627776651</v>
          </cell>
          <cell r="CW94">
            <v>74015</v>
          </cell>
          <cell r="CX94">
            <v>38685</v>
          </cell>
          <cell r="CY94">
            <v>790</v>
          </cell>
          <cell r="CZ94">
            <v>34510</v>
          </cell>
        </row>
        <row r="97">
          <cell r="A97" t="str">
            <v>4620380.00</v>
          </cell>
          <cell r="B97" t="str">
            <v>0380.00</v>
          </cell>
          <cell r="C97" t="str">
            <v>CÔTE-SAINT-LUC</v>
          </cell>
          <cell r="D97">
            <v>3365</v>
          </cell>
          <cell r="E97">
            <v>915</v>
          </cell>
          <cell r="F97">
            <v>1705</v>
          </cell>
          <cell r="G97">
            <v>65</v>
          </cell>
          <cell r="H97">
            <v>265</v>
          </cell>
          <cell r="I97">
            <v>410</v>
          </cell>
          <cell r="J97">
            <v>3360</v>
          </cell>
          <cell r="K97">
            <v>3275</v>
          </cell>
          <cell r="L97">
            <v>85</v>
          </cell>
          <cell r="M97">
            <v>1055</v>
          </cell>
          <cell r="N97">
            <v>485</v>
          </cell>
          <cell r="O97">
            <v>255</v>
          </cell>
          <cell r="P97">
            <v>230</v>
          </cell>
          <cell r="Q97">
            <v>85</v>
          </cell>
          <cell r="R97">
            <v>1055</v>
          </cell>
          <cell r="S97">
            <v>880</v>
          </cell>
          <cell r="T97">
            <v>850</v>
          </cell>
          <cell r="U97">
            <v>365</v>
          </cell>
          <cell r="V97">
            <v>480</v>
          </cell>
          <cell r="W97">
            <v>180</v>
          </cell>
          <cell r="X97">
            <v>215</v>
          </cell>
          <cell r="Y97">
            <v>85</v>
          </cell>
          <cell r="Z97">
            <v>35</v>
          </cell>
          <cell r="AA97">
            <v>10</v>
          </cell>
          <cell r="AB97">
            <v>25</v>
          </cell>
          <cell r="AC97">
            <v>25</v>
          </cell>
          <cell r="AD97">
            <v>0</v>
          </cell>
          <cell r="AE97">
            <v>0</v>
          </cell>
          <cell r="AF97">
            <v>175</v>
          </cell>
          <cell r="AG97">
            <v>145</v>
          </cell>
          <cell r="AH97">
            <v>90</v>
          </cell>
          <cell r="AI97">
            <v>35</v>
          </cell>
          <cell r="AJ97">
            <v>15</v>
          </cell>
          <cell r="AK97">
            <v>30</v>
          </cell>
          <cell r="AL97">
            <v>15</v>
          </cell>
          <cell r="AM97">
            <v>10</v>
          </cell>
          <cell r="AN97">
            <v>0</v>
          </cell>
          <cell r="AO97">
            <v>1195</v>
          </cell>
          <cell r="AP97">
            <v>160</v>
          </cell>
          <cell r="AQ97">
            <v>460</v>
          </cell>
          <cell r="AR97">
            <v>155</v>
          </cell>
          <cell r="AS97">
            <v>260</v>
          </cell>
          <cell r="AT97">
            <v>160</v>
          </cell>
          <cell r="AU97">
            <v>1.1000000000000001</v>
          </cell>
          <cell r="AV97">
            <v>3990</v>
          </cell>
          <cell r="AW97">
            <v>860</v>
          </cell>
          <cell r="AX97">
            <v>90</v>
          </cell>
          <cell r="AY97">
            <v>25</v>
          </cell>
          <cell r="AZ97">
            <v>740</v>
          </cell>
          <cell r="BA97">
            <v>3130</v>
          </cell>
          <cell r="BB97">
            <v>3</v>
          </cell>
          <cell r="BC97">
            <v>1075</v>
          </cell>
          <cell r="BD97">
            <v>575</v>
          </cell>
          <cell r="BE97">
            <v>50</v>
          </cell>
          <cell r="BF97">
            <v>0</v>
          </cell>
          <cell r="BG97">
            <v>520</v>
          </cell>
          <cell r="BH97">
            <v>495</v>
          </cell>
          <cell r="BI97">
            <v>1795</v>
          </cell>
          <cell r="BJ97">
            <v>5.5</v>
          </cell>
          <cell r="BK97">
            <v>9872.5</v>
          </cell>
          <cell r="BL97">
            <v>2.2000000000000002</v>
          </cell>
          <cell r="BM97">
            <v>3949.0000000000005</v>
          </cell>
          <cell r="BN97">
            <v>1795</v>
          </cell>
          <cell r="BO97">
            <v>765</v>
          </cell>
          <cell r="BP97">
            <v>1030</v>
          </cell>
          <cell r="BQ97">
            <v>0</v>
          </cell>
          <cell r="BR97">
            <v>1795</v>
          </cell>
          <cell r="BS97">
            <v>1100</v>
          </cell>
          <cell r="BT97">
            <v>525</v>
          </cell>
          <cell r="BU97">
            <v>170</v>
          </cell>
          <cell r="BV97">
            <v>1795</v>
          </cell>
          <cell r="BW97">
            <v>110</v>
          </cell>
          <cell r="BX97">
            <v>870</v>
          </cell>
          <cell r="BY97">
            <v>390</v>
          </cell>
          <cell r="BZ97">
            <v>290</v>
          </cell>
          <cell r="CA97">
            <v>100</v>
          </cell>
          <cell r="CB97">
            <v>25</v>
          </cell>
          <cell r="CC97">
            <v>0</v>
          </cell>
          <cell r="CD97">
            <v>0</v>
          </cell>
          <cell r="CE97">
            <v>0</v>
          </cell>
          <cell r="CF97">
            <v>1795</v>
          </cell>
          <cell r="CG97">
            <v>500</v>
          </cell>
          <cell r="CH97">
            <v>210</v>
          </cell>
          <cell r="CI97">
            <v>0</v>
          </cell>
          <cell r="CJ97">
            <v>65</v>
          </cell>
          <cell r="CK97">
            <v>820</v>
          </cell>
          <cell r="CL97">
            <v>200</v>
          </cell>
          <cell r="CM97">
            <v>0</v>
          </cell>
          <cell r="CN97">
            <v>0</v>
          </cell>
          <cell r="CO97">
            <v>1795</v>
          </cell>
          <cell r="CP97">
            <v>740</v>
          </cell>
          <cell r="CQ97">
            <v>465</v>
          </cell>
          <cell r="CR97">
            <v>240</v>
          </cell>
          <cell r="CS97">
            <v>310</v>
          </cell>
          <cell r="CT97">
            <v>40</v>
          </cell>
          <cell r="CU97">
            <v>3990</v>
          </cell>
          <cell r="CV97">
            <v>2.2000000000000002</v>
          </cell>
          <cell r="CW97">
            <v>1795</v>
          </cell>
          <cell r="CX97">
            <v>1030</v>
          </cell>
          <cell r="CY97">
            <v>15</v>
          </cell>
          <cell r="CZ97">
            <v>755</v>
          </cell>
        </row>
        <row r="98">
          <cell r="A98" t="str">
            <v>4620381.00</v>
          </cell>
          <cell r="B98" t="str">
            <v>0381.00</v>
          </cell>
          <cell r="C98" t="str">
            <v>CÔTE-SAINT-LUC</v>
          </cell>
          <cell r="D98">
            <v>4960</v>
          </cell>
          <cell r="E98">
            <v>1345</v>
          </cell>
          <cell r="F98">
            <v>2345</v>
          </cell>
          <cell r="G98">
            <v>110</v>
          </cell>
          <cell r="H98">
            <v>450</v>
          </cell>
          <cell r="I98">
            <v>710</v>
          </cell>
          <cell r="J98">
            <v>4965</v>
          </cell>
          <cell r="K98">
            <v>4780</v>
          </cell>
          <cell r="L98">
            <v>185</v>
          </cell>
          <cell r="M98">
            <v>1550</v>
          </cell>
          <cell r="N98">
            <v>705</v>
          </cell>
          <cell r="O98">
            <v>435</v>
          </cell>
          <cell r="P98">
            <v>295</v>
          </cell>
          <cell r="Q98">
            <v>115</v>
          </cell>
          <cell r="R98">
            <v>1550</v>
          </cell>
          <cell r="S98">
            <v>1225</v>
          </cell>
          <cell r="T98">
            <v>1130</v>
          </cell>
          <cell r="U98">
            <v>435</v>
          </cell>
          <cell r="V98">
            <v>695</v>
          </cell>
          <cell r="W98">
            <v>310</v>
          </cell>
          <cell r="X98">
            <v>285</v>
          </cell>
          <cell r="Y98">
            <v>100</v>
          </cell>
          <cell r="Z98">
            <v>95</v>
          </cell>
          <cell r="AA98">
            <v>35</v>
          </cell>
          <cell r="AB98">
            <v>60</v>
          </cell>
          <cell r="AC98">
            <v>40</v>
          </cell>
          <cell r="AD98">
            <v>0</v>
          </cell>
          <cell r="AE98">
            <v>15</v>
          </cell>
          <cell r="AF98">
            <v>325</v>
          </cell>
          <cell r="AG98">
            <v>255</v>
          </cell>
          <cell r="AH98">
            <v>165</v>
          </cell>
          <cell r="AI98">
            <v>75</v>
          </cell>
          <cell r="AJ98">
            <v>10</v>
          </cell>
          <cell r="AK98">
            <v>70</v>
          </cell>
          <cell r="AL98">
            <v>65</v>
          </cell>
          <cell r="AM98">
            <v>0</v>
          </cell>
          <cell r="AN98">
            <v>0</v>
          </cell>
          <cell r="AO98">
            <v>1725</v>
          </cell>
          <cell r="AP98">
            <v>380</v>
          </cell>
          <cell r="AQ98">
            <v>610</v>
          </cell>
          <cell r="AR98">
            <v>235</v>
          </cell>
          <cell r="AS98">
            <v>290</v>
          </cell>
          <cell r="AT98">
            <v>210</v>
          </cell>
          <cell r="AU98">
            <v>1.1000000000000001</v>
          </cell>
          <cell r="AV98">
            <v>5660</v>
          </cell>
          <cell r="AW98">
            <v>1155</v>
          </cell>
          <cell r="AX98">
            <v>125</v>
          </cell>
          <cell r="AY98">
            <v>85</v>
          </cell>
          <cell r="AZ98">
            <v>945</v>
          </cell>
          <cell r="BA98">
            <v>4500</v>
          </cell>
          <cell r="BB98">
            <v>2.9</v>
          </cell>
          <cell r="BC98">
            <v>1125</v>
          </cell>
          <cell r="BD98">
            <v>580</v>
          </cell>
          <cell r="BE98">
            <v>60</v>
          </cell>
          <cell r="BF98">
            <v>0</v>
          </cell>
          <cell r="BG98">
            <v>515</v>
          </cell>
          <cell r="BH98">
            <v>545</v>
          </cell>
          <cell r="BI98">
            <v>2550</v>
          </cell>
          <cell r="BJ98">
            <v>4.3</v>
          </cell>
          <cell r="BK98">
            <v>10965</v>
          </cell>
          <cell r="BL98">
            <v>1.9</v>
          </cell>
          <cell r="BM98">
            <v>4845</v>
          </cell>
          <cell r="BN98">
            <v>2550</v>
          </cell>
          <cell r="BO98">
            <v>580</v>
          </cell>
          <cell r="BP98">
            <v>1970</v>
          </cell>
          <cell r="BQ98">
            <v>0</v>
          </cell>
          <cell r="BR98">
            <v>2550</v>
          </cell>
          <cell r="BS98">
            <v>1410</v>
          </cell>
          <cell r="BT98">
            <v>800</v>
          </cell>
          <cell r="BU98">
            <v>340</v>
          </cell>
          <cell r="BV98">
            <v>2550</v>
          </cell>
          <cell r="BW98">
            <v>95</v>
          </cell>
          <cell r="BX98">
            <v>780</v>
          </cell>
          <cell r="BY98">
            <v>735</v>
          </cell>
          <cell r="BZ98">
            <v>485</v>
          </cell>
          <cell r="CA98">
            <v>230</v>
          </cell>
          <cell r="CB98">
            <v>135</v>
          </cell>
          <cell r="CC98">
            <v>40</v>
          </cell>
          <cell r="CD98">
            <v>10</v>
          </cell>
          <cell r="CE98">
            <v>35</v>
          </cell>
          <cell r="CF98">
            <v>2550</v>
          </cell>
          <cell r="CG98">
            <v>80</v>
          </cell>
          <cell r="CH98">
            <v>190</v>
          </cell>
          <cell r="CI98">
            <v>60</v>
          </cell>
          <cell r="CJ98">
            <v>185</v>
          </cell>
          <cell r="CK98">
            <v>1725</v>
          </cell>
          <cell r="CL98">
            <v>310</v>
          </cell>
          <cell r="CM98">
            <v>0</v>
          </cell>
          <cell r="CN98">
            <v>0</v>
          </cell>
          <cell r="CO98">
            <v>2550</v>
          </cell>
          <cell r="CP98">
            <v>950</v>
          </cell>
          <cell r="CQ98">
            <v>715</v>
          </cell>
          <cell r="CR98">
            <v>455</v>
          </cell>
          <cell r="CS98">
            <v>390</v>
          </cell>
          <cell r="CT98">
            <v>40</v>
          </cell>
          <cell r="CU98">
            <v>5655</v>
          </cell>
          <cell r="CV98">
            <v>2.2000000000000002</v>
          </cell>
          <cell r="CW98">
            <v>2550</v>
          </cell>
          <cell r="CX98">
            <v>1520</v>
          </cell>
          <cell r="CY98">
            <v>15</v>
          </cell>
          <cell r="CZ98">
            <v>1015</v>
          </cell>
        </row>
        <row r="99">
          <cell r="A99" t="str">
            <v>4620382.01</v>
          </cell>
          <cell r="B99" t="str">
            <v>0382.01</v>
          </cell>
          <cell r="C99" t="str">
            <v>CÔTE-SAINT-LUC</v>
          </cell>
          <cell r="D99">
            <v>3180</v>
          </cell>
          <cell r="E99">
            <v>660</v>
          </cell>
          <cell r="F99">
            <v>1740</v>
          </cell>
          <cell r="G99">
            <v>40</v>
          </cell>
          <cell r="H99">
            <v>170</v>
          </cell>
          <cell r="I99">
            <v>570</v>
          </cell>
          <cell r="J99">
            <v>3180</v>
          </cell>
          <cell r="K99">
            <v>3100</v>
          </cell>
          <cell r="L99">
            <v>80</v>
          </cell>
          <cell r="M99">
            <v>940</v>
          </cell>
          <cell r="N99">
            <v>515</v>
          </cell>
          <cell r="O99">
            <v>135</v>
          </cell>
          <cell r="P99">
            <v>165</v>
          </cell>
          <cell r="Q99">
            <v>125</v>
          </cell>
          <cell r="R99">
            <v>945</v>
          </cell>
          <cell r="S99">
            <v>870</v>
          </cell>
          <cell r="T99">
            <v>835</v>
          </cell>
          <cell r="U99">
            <v>445</v>
          </cell>
          <cell r="V99">
            <v>385</v>
          </cell>
          <cell r="W99">
            <v>105</v>
          </cell>
          <cell r="X99">
            <v>160</v>
          </cell>
          <cell r="Y99">
            <v>120</v>
          </cell>
          <cell r="Z99">
            <v>40</v>
          </cell>
          <cell r="AA99">
            <v>30</v>
          </cell>
          <cell r="AB99">
            <v>0</v>
          </cell>
          <cell r="AC99">
            <v>10</v>
          </cell>
          <cell r="AD99">
            <v>0</v>
          </cell>
          <cell r="AE99">
            <v>0</v>
          </cell>
          <cell r="AF99">
            <v>70</v>
          </cell>
          <cell r="AG99">
            <v>55</v>
          </cell>
          <cell r="AH99">
            <v>35</v>
          </cell>
          <cell r="AI99">
            <v>0</v>
          </cell>
          <cell r="AJ99">
            <v>15</v>
          </cell>
          <cell r="AK99">
            <v>20</v>
          </cell>
          <cell r="AL99">
            <v>0</v>
          </cell>
          <cell r="AM99">
            <v>15</v>
          </cell>
          <cell r="AN99">
            <v>0</v>
          </cell>
          <cell r="AO99">
            <v>940</v>
          </cell>
          <cell r="AP99">
            <v>175</v>
          </cell>
          <cell r="AQ99">
            <v>340</v>
          </cell>
          <cell r="AR99">
            <v>75</v>
          </cell>
          <cell r="AS99">
            <v>240</v>
          </cell>
          <cell r="AT99">
            <v>100</v>
          </cell>
          <cell r="AU99">
            <v>1</v>
          </cell>
          <cell r="AV99">
            <v>3565</v>
          </cell>
          <cell r="AW99">
            <v>810</v>
          </cell>
          <cell r="AX99">
            <v>50</v>
          </cell>
          <cell r="AY99">
            <v>85</v>
          </cell>
          <cell r="AZ99">
            <v>675</v>
          </cell>
          <cell r="BA99">
            <v>2755</v>
          </cell>
          <cell r="BB99">
            <v>2.9</v>
          </cell>
          <cell r="BC99">
            <v>1275</v>
          </cell>
          <cell r="BD99">
            <v>595</v>
          </cell>
          <cell r="BE99">
            <v>30</v>
          </cell>
          <cell r="BF99">
            <v>30</v>
          </cell>
          <cell r="BG99">
            <v>530</v>
          </cell>
          <cell r="BH99">
            <v>680</v>
          </cell>
          <cell r="BI99">
            <v>1645</v>
          </cell>
          <cell r="BJ99">
            <v>5.6</v>
          </cell>
          <cell r="BK99">
            <v>9212</v>
          </cell>
          <cell r="BL99">
            <v>2.5</v>
          </cell>
          <cell r="BM99">
            <v>4112.5</v>
          </cell>
          <cell r="BN99">
            <v>1645</v>
          </cell>
          <cell r="BO99">
            <v>1020</v>
          </cell>
          <cell r="BP99">
            <v>620</v>
          </cell>
          <cell r="BQ99">
            <v>0</v>
          </cell>
          <cell r="BR99">
            <v>1645</v>
          </cell>
          <cell r="BS99">
            <v>1230</v>
          </cell>
          <cell r="BT99">
            <v>345</v>
          </cell>
          <cell r="BU99">
            <v>65</v>
          </cell>
          <cell r="BV99">
            <v>1645</v>
          </cell>
          <cell r="BW99">
            <v>10</v>
          </cell>
          <cell r="BX99">
            <v>160</v>
          </cell>
          <cell r="BY99">
            <v>540</v>
          </cell>
          <cell r="BZ99">
            <v>540</v>
          </cell>
          <cell r="CA99">
            <v>250</v>
          </cell>
          <cell r="CB99">
            <v>10</v>
          </cell>
          <cell r="CC99">
            <v>20</v>
          </cell>
          <cell r="CD99">
            <v>20</v>
          </cell>
          <cell r="CE99">
            <v>85</v>
          </cell>
          <cell r="CF99">
            <v>1645</v>
          </cell>
          <cell r="CG99">
            <v>360</v>
          </cell>
          <cell r="CH99">
            <v>100</v>
          </cell>
          <cell r="CI99">
            <v>0</v>
          </cell>
          <cell r="CJ99">
            <v>85</v>
          </cell>
          <cell r="CK99">
            <v>1010</v>
          </cell>
          <cell r="CL99">
            <v>90</v>
          </cell>
          <cell r="CM99">
            <v>0</v>
          </cell>
          <cell r="CN99">
            <v>5</v>
          </cell>
          <cell r="CO99">
            <v>1645</v>
          </cell>
          <cell r="CP99">
            <v>675</v>
          </cell>
          <cell r="CQ99">
            <v>535</v>
          </cell>
          <cell r="CR99">
            <v>150</v>
          </cell>
          <cell r="CS99">
            <v>230</v>
          </cell>
          <cell r="CT99">
            <v>55</v>
          </cell>
          <cell r="CU99">
            <v>3570</v>
          </cell>
          <cell r="CV99">
            <v>2.2000000000000002</v>
          </cell>
          <cell r="CW99">
            <v>1645</v>
          </cell>
          <cell r="CX99">
            <v>925</v>
          </cell>
          <cell r="CY99">
            <v>10</v>
          </cell>
          <cell r="CZ99">
            <v>710</v>
          </cell>
        </row>
        <row r="100">
          <cell r="A100" t="str">
            <v>4620382.02</v>
          </cell>
          <cell r="B100" t="str">
            <v>0382.02</v>
          </cell>
          <cell r="C100" t="str">
            <v>CÔTE-SAINT-LUC</v>
          </cell>
          <cell r="D100">
            <v>3615</v>
          </cell>
          <cell r="E100">
            <v>1045</v>
          </cell>
          <cell r="F100">
            <v>2125</v>
          </cell>
          <cell r="G100">
            <v>50</v>
          </cell>
          <cell r="H100">
            <v>160</v>
          </cell>
          <cell r="I100">
            <v>230</v>
          </cell>
          <cell r="J100">
            <v>3615</v>
          </cell>
          <cell r="K100">
            <v>3550</v>
          </cell>
          <cell r="L100">
            <v>65</v>
          </cell>
          <cell r="M100">
            <v>1220</v>
          </cell>
          <cell r="N100">
            <v>440</v>
          </cell>
          <cell r="O100">
            <v>265</v>
          </cell>
          <cell r="P100">
            <v>300</v>
          </cell>
          <cell r="Q100">
            <v>210</v>
          </cell>
          <cell r="R100">
            <v>1220</v>
          </cell>
          <cell r="S100">
            <v>1090</v>
          </cell>
          <cell r="T100">
            <v>1055</v>
          </cell>
          <cell r="U100">
            <v>370</v>
          </cell>
          <cell r="V100">
            <v>685</v>
          </cell>
          <cell r="W100">
            <v>205</v>
          </cell>
          <cell r="X100">
            <v>275</v>
          </cell>
          <cell r="Y100">
            <v>205</v>
          </cell>
          <cell r="Z100">
            <v>35</v>
          </cell>
          <cell r="AA100">
            <v>20</v>
          </cell>
          <cell r="AB100">
            <v>10</v>
          </cell>
          <cell r="AC100">
            <v>10</v>
          </cell>
          <cell r="AD100">
            <v>10</v>
          </cell>
          <cell r="AE100">
            <v>0</v>
          </cell>
          <cell r="AF100">
            <v>130</v>
          </cell>
          <cell r="AG100">
            <v>120</v>
          </cell>
          <cell r="AH100">
            <v>40</v>
          </cell>
          <cell r="AI100">
            <v>55</v>
          </cell>
          <cell r="AJ100">
            <v>20</v>
          </cell>
          <cell r="AK100">
            <v>10</v>
          </cell>
          <cell r="AL100">
            <v>10</v>
          </cell>
          <cell r="AM100">
            <v>0</v>
          </cell>
          <cell r="AN100">
            <v>0</v>
          </cell>
          <cell r="AO100">
            <v>1740</v>
          </cell>
          <cell r="AP100">
            <v>325</v>
          </cell>
          <cell r="AQ100">
            <v>555</v>
          </cell>
          <cell r="AR100">
            <v>255</v>
          </cell>
          <cell r="AS100">
            <v>375</v>
          </cell>
          <cell r="AT100">
            <v>230</v>
          </cell>
          <cell r="AU100">
            <v>1.4</v>
          </cell>
          <cell r="AV100">
            <v>4485</v>
          </cell>
          <cell r="AW100">
            <v>430</v>
          </cell>
          <cell r="AX100">
            <v>90</v>
          </cell>
          <cell r="AY100">
            <v>35</v>
          </cell>
          <cell r="AZ100">
            <v>310</v>
          </cell>
          <cell r="BA100">
            <v>4050</v>
          </cell>
          <cell r="BB100">
            <v>3.3</v>
          </cell>
          <cell r="BC100">
            <v>715</v>
          </cell>
          <cell r="BD100">
            <v>210</v>
          </cell>
          <cell r="BE100">
            <v>40</v>
          </cell>
          <cell r="BF100">
            <v>0</v>
          </cell>
          <cell r="BG100">
            <v>165</v>
          </cell>
          <cell r="BH100">
            <v>505</v>
          </cell>
          <cell r="BI100">
            <v>1545</v>
          </cell>
          <cell r="BJ100">
            <v>6.9</v>
          </cell>
          <cell r="BK100">
            <v>10660.5</v>
          </cell>
          <cell r="BL100">
            <v>3</v>
          </cell>
          <cell r="BM100">
            <v>4635</v>
          </cell>
          <cell r="BN100">
            <v>1550</v>
          </cell>
          <cell r="BO100">
            <v>1155</v>
          </cell>
          <cell r="BP100">
            <v>395</v>
          </cell>
          <cell r="BQ100">
            <v>0</v>
          </cell>
          <cell r="BR100">
            <v>1545</v>
          </cell>
          <cell r="BS100">
            <v>815</v>
          </cell>
          <cell r="BT100">
            <v>580</v>
          </cell>
          <cell r="BU100">
            <v>155</v>
          </cell>
          <cell r="BV100">
            <v>1550</v>
          </cell>
          <cell r="BW100">
            <v>115</v>
          </cell>
          <cell r="BX100">
            <v>770</v>
          </cell>
          <cell r="BY100">
            <v>575</v>
          </cell>
          <cell r="BZ100">
            <v>35</v>
          </cell>
          <cell r="CA100">
            <v>10</v>
          </cell>
          <cell r="CB100">
            <v>10</v>
          </cell>
          <cell r="CC100">
            <v>15</v>
          </cell>
          <cell r="CD100">
            <v>10</v>
          </cell>
          <cell r="CE100">
            <v>10</v>
          </cell>
          <cell r="CF100">
            <v>1550</v>
          </cell>
          <cell r="CG100">
            <v>560</v>
          </cell>
          <cell r="CH100">
            <v>530</v>
          </cell>
          <cell r="CI100">
            <v>0</v>
          </cell>
          <cell r="CJ100">
            <v>145</v>
          </cell>
          <cell r="CK100">
            <v>0</v>
          </cell>
          <cell r="CL100">
            <v>310</v>
          </cell>
          <cell r="CM100">
            <v>0</v>
          </cell>
          <cell r="CN100">
            <v>0</v>
          </cell>
          <cell r="CO100">
            <v>1545</v>
          </cell>
          <cell r="CP100">
            <v>310</v>
          </cell>
          <cell r="CQ100">
            <v>445</v>
          </cell>
          <cell r="CR100">
            <v>250</v>
          </cell>
          <cell r="CS100">
            <v>460</v>
          </cell>
          <cell r="CT100">
            <v>85</v>
          </cell>
          <cell r="CU100">
            <v>4480</v>
          </cell>
          <cell r="CV100">
            <v>2.9</v>
          </cell>
          <cell r="CW100">
            <v>1550</v>
          </cell>
          <cell r="CX100">
            <v>1180</v>
          </cell>
          <cell r="CY100">
            <v>20</v>
          </cell>
          <cell r="CZ100">
            <v>345</v>
          </cell>
        </row>
        <row r="101">
          <cell r="A101" t="str">
            <v>4620383.01</v>
          </cell>
          <cell r="B101" t="str">
            <v>0383.01</v>
          </cell>
          <cell r="C101" t="str">
            <v>CÔTE-SAINT-LUC</v>
          </cell>
          <cell r="D101">
            <v>2860</v>
          </cell>
          <cell r="E101">
            <v>750</v>
          </cell>
          <cell r="F101">
            <v>1425</v>
          </cell>
          <cell r="G101">
            <v>40</v>
          </cell>
          <cell r="H101">
            <v>185</v>
          </cell>
          <cell r="I101">
            <v>465</v>
          </cell>
          <cell r="J101">
            <v>2860</v>
          </cell>
          <cell r="K101">
            <v>2820</v>
          </cell>
          <cell r="L101">
            <v>40</v>
          </cell>
          <cell r="M101">
            <v>765</v>
          </cell>
          <cell r="N101">
            <v>335</v>
          </cell>
          <cell r="O101">
            <v>125</v>
          </cell>
          <cell r="P101">
            <v>195</v>
          </cell>
          <cell r="Q101">
            <v>110</v>
          </cell>
          <cell r="R101">
            <v>765</v>
          </cell>
          <cell r="S101">
            <v>665</v>
          </cell>
          <cell r="T101">
            <v>655</v>
          </cell>
          <cell r="U101">
            <v>255</v>
          </cell>
          <cell r="V101">
            <v>395</v>
          </cell>
          <cell r="W101">
            <v>105</v>
          </cell>
          <cell r="X101">
            <v>185</v>
          </cell>
          <cell r="Y101">
            <v>105</v>
          </cell>
          <cell r="Z101">
            <v>10</v>
          </cell>
          <cell r="AA101">
            <v>10</v>
          </cell>
          <cell r="AB101">
            <v>10</v>
          </cell>
          <cell r="AC101">
            <v>0</v>
          </cell>
          <cell r="AD101">
            <v>0</v>
          </cell>
          <cell r="AE101">
            <v>0</v>
          </cell>
          <cell r="AF101">
            <v>105</v>
          </cell>
          <cell r="AG101">
            <v>85</v>
          </cell>
          <cell r="AH101">
            <v>60</v>
          </cell>
          <cell r="AI101">
            <v>20</v>
          </cell>
          <cell r="AJ101">
            <v>10</v>
          </cell>
          <cell r="AK101">
            <v>20</v>
          </cell>
          <cell r="AL101">
            <v>15</v>
          </cell>
          <cell r="AM101">
            <v>0</v>
          </cell>
          <cell r="AN101">
            <v>0</v>
          </cell>
          <cell r="AO101">
            <v>1000</v>
          </cell>
          <cell r="AP101">
            <v>195</v>
          </cell>
          <cell r="AQ101">
            <v>315</v>
          </cell>
          <cell r="AR101">
            <v>105</v>
          </cell>
          <cell r="AS101">
            <v>220</v>
          </cell>
          <cell r="AT101">
            <v>165</v>
          </cell>
          <cell r="AU101">
            <v>1.3</v>
          </cell>
          <cell r="AV101">
            <v>2815</v>
          </cell>
          <cell r="AW101">
            <v>385</v>
          </cell>
          <cell r="AX101">
            <v>45</v>
          </cell>
          <cell r="AY101">
            <v>55</v>
          </cell>
          <cell r="AZ101">
            <v>285</v>
          </cell>
          <cell r="BA101">
            <v>2435</v>
          </cell>
          <cell r="BB101">
            <v>3.2</v>
          </cell>
          <cell r="BC101">
            <v>605</v>
          </cell>
          <cell r="BD101">
            <v>190</v>
          </cell>
          <cell r="BE101">
            <v>15</v>
          </cell>
          <cell r="BF101">
            <v>25</v>
          </cell>
          <cell r="BG101">
            <v>145</v>
          </cell>
          <cell r="BH101">
            <v>415</v>
          </cell>
          <cell r="BI101">
            <v>1065</v>
          </cell>
          <cell r="BJ101">
            <v>6.4</v>
          </cell>
          <cell r="BK101">
            <v>6816</v>
          </cell>
          <cell r="BL101">
            <v>2.9</v>
          </cell>
          <cell r="BM101">
            <v>3088.5</v>
          </cell>
          <cell r="BN101">
            <v>1065</v>
          </cell>
          <cell r="BO101">
            <v>695</v>
          </cell>
          <cell r="BP101">
            <v>375</v>
          </cell>
          <cell r="BQ101">
            <v>0</v>
          </cell>
          <cell r="BR101">
            <v>1065</v>
          </cell>
          <cell r="BS101">
            <v>595</v>
          </cell>
          <cell r="BT101">
            <v>375</v>
          </cell>
          <cell r="BU101">
            <v>95</v>
          </cell>
          <cell r="BV101">
            <v>1065</v>
          </cell>
          <cell r="BW101">
            <v>10</v>
          </cell>
          <cell r="BX101">
            <v>520</v>
          </cell>
          <cell r="BY101">
            <v>325</v>
          </cell>
          <cell r="BZ101">
            <v>160</v>
          </cell>
          <cell r="CA101">
            <v>40</v>
          </cell>
          <cell r="CB101">
            <v>0</v>
          </cell>
          <cell r="CC101">
            <v>0</v>
          </cell>
          <cell r="CD101">
            <v>0</v>
          </cell>
          <cell r="CE101">
            <v>0</v>
          </cell>
          <cell r="CF101">
            <v>1065</v>
          </cell>
          <cell r="CG101">
            <v>235</v>
          </cell>
          <cell r="CH101">
            <v>325</v>
          </cell>
          <cell r="CI101">
            <v>0</v>
          </cell>
          <cell r="CJ101">
            <v>220</v>
          </cell>
          <cell r="CK101">
            <v>130</v>
          </cell>
          <cell r="CL101">
            <v>150</v>
          </cell>
          <cell r="CM101">
            <v>0</v>
          </cell>
          <cell r="CN101">
            <v>5</v>
          </cell>
          <cell r="CO101">
            <v>1070</v>
          </cell>
          <cell r="CP101">
            <v>285</v>
          </cell>
          <cell r="CQ101">
            <v>320</v>
          </cell>
          <cell r="CR101">
            <v>145</v>
          </cell>
          <cell r="CS101">
            <v>265</v>
          </cell>
          <cell r="CT101">
            <v>50</v>
          </cell>
          <cell r="CU101">
            <v>2820</v>
          </cell>
          <cell r="CV101">
            <v>2.6</v>
          </cell>
          <cell r="CW101">
            <v>1065</v>
          </cell>
          <cell r="CX101">
            <v>745</v>
          </cell>
          <cell r="CY101">
            <v>10</v>
          </cell>
          <cell r="CZ101">
            <v>310</v>
          </cell>
        </row>
        <row r="102">
          <cell r="A102" t="str">
            <v>4620383.02</v>
          </cell>
          <cell r="B102" t="str">
            <v>0383.02</v>
          </cell>
          <cell r="C102" t="str">
            <v>CÔTE-SAINT-LUC</v>
          </cell>
          <cell r="D102">
            <v>6580</v>
          </cell>
          <cell r="E102">
            <v>1270</v>
          </cell>
          <cell r="F102">
            <v>3655</v>
          </cell>
          <cell r="G102">
            <v>115</v>
          </cell>
          <cell r="H102">
            <v>510</v>
          </cell>
          <cell r="I102">
            <v>1025</v>
          </cell>
          <cell r="J102">
            <v>6575</v>
          </cell>
          <cell r="K102">
            <v>6375</v>
          </cell>
          <cell r="L102">
            <v>205</v>
          </cell>
          <cell r="M102">
            <v>2140</v>
          </cell>
          <cell r="N102">
            <v>1340</v>
          </cell>
          <cell r="O102">
            <v>355</v>
          </cell>
          <cell r="P102">
            <v>280</v>
          </cell>
          <cell r="Q102">
            <v>160</v>
          </cell>
          <cell r="R102">
            <v>2140</v>
          </cell>
          <cell r="S102">
            <v>1890</v>
          </cell>
          <cell r="T102">
            <v>1790</v>
          </cell>
          <cell r="U102">
            <v>1090</v>
          </cell>
          <cell r="V102">
            <v>700</v>
          </cell>
          <cell r="W102">
            <v>275</v>
          </cell>
          <cell r="X102">
            <v>260</v>
          </cell>
          <cell r="Y102">
            <v>160</v>
          </cell>
          <cell r="Z102">
            <v>100</v>
          </cell>
          <cell r="AA102">
            <v>70</v>
          </cell>
          <cell r="AB102">
            <v>30</v>
          </cell>
          <cell r="AC102">
            <v>15</v>
          </cell>
          <cell r="AD102">
            <v>15</v>
          </cell>
          <cell r="AE102">
            <v>0</v>
          </cell>
          <cell r="AF102">
            <v>250</v>
          </cell>
          <cell r="AG102">
            <v>200</v>
          </cell>
          <cell r="AH102">
            <v>135</v>
          </cell>
          <cell r="AI102">
            <v>60</v>
          </cell>
          <cell r="AJ102">
            <v>0</v>
          </cell>
          <cell r="AK102">
            <v>45</v>
          </cell>
          <cell r="AL102">
            <v>40</v>
          </cell>
          <cell r="AM102">
            <v>10</v>
          </cell>
          <cell r="AN102">
            <v>0</v>
          </cell>
          <cell r="AO102">
            <v>1720</v>
          </cell>
          <cell r="AP102">
            <v>360</v>
          </cell>
          <cell r="AQ102">
            <v>470</v>
          </cell>
          <cell r="AR102">
            <v>170</v>
          </cell>
          <cell r="AS102">
            <v>395</v>
          </cell>
          <cell r="AT102">
            <v>325</v>
          </cell>
          <cell r="AU102">
            <v>0.8</v>
          </cell>
          <cell r="AV102">
            <v>7270</v>
          </cell>
          <cell r="AW102">
            <v>1515</v>
          </cell>
          <cell r="AX102">
            <v>65</v>
          </cell>
          <cell r="AY102">
            <v>80</v>
          </cell>
          <cell r="AZ102">
            <v>1365</v>
          </cell>
          <cell r="BA102">
            <v>5755</v>
          </cell>
          <cell r="BB102">
            <v>2.7</v>
          </cell>
          <cell r="BC102">
            <v>2755</v>
          </cell>
          <cell r="BD102">
            <v>950</v>
          </cell>
          <cell r="BE102">
            <v>30</v>
          </cell>
          <cell r="BF102">
            <v>15</v>
          </cell>
          <cell r="BG102">
            <v>905</v>
          </cell>
          <cell r="BH102">
            <v>1805</v>
          </cell>
          <cell r="BI102">
            <v>3555</v>
          </cell>
          <cell r="BJ102">
            <v>5</v>
          </cell>
          <cell r="BK102">
            <v>17775</v>
          </cell>
          <cell r="BL102">
            <v>2.1</v>
          </cell>
          <cell r="BM102">
            <v>7465.5</v>
          </cell>
          <cell r="BN102">
            <v>3555</v>
          </cell>
          <cell r="BO102">
            <v>2015</v>
          </cell>
          <cell r="BP102">
            <v>1540</v>
          </cell>
          <cell r="BQ102">
            <v>0</v>
          </cell>
          <cell r="BR102">
            <v>3555</v>
          </cell>
          <cell r="BS102">
            <v>2865</v>
          </cell>
          <cell r="BT102">
            <v>525</v>
          </cell>
          <cell r="BU102">
            <v>170</v>
          </cell>
          <cell r="BV102">
            <v>3555</v>
          </cell>
          <cell r="BW102">
            <v>35</v>
          </cell>
          <cell r="BX102">
            <v>135</v>
          </cell>
          <cell r="BY102">
            <v>475</v>
          </cell>
          <cell r="BZ102">
            <v>935</v>
          </cell>
          <cell r="CA102">
            <v>675</v>
          </cell>
          <cell r="CB102">
            <v>700</v>
          </cell>
          <cell r="CC102">
            <v>100</v>
          </cell>
          <cell r="CD102">
            <v>140</v>
          </cell>
          <cell r="CE102">
            <v>350</v>
          </cell>
          <cell r="CF102">
            <v>3555</v>
          </cell>
          <cell r="CG102">
            <v>170</v>
          </cell>
          <cell r="CH102">
            <v>65</v>
          </cell>
          <cell r="CI102">
            <v>520</v>
          </cell>
          <cell r="CJ102">
            <v>10</v>
          </cell>
          <cell r="CK102">
            <v>2525</v>
          </cell>
          <cell r="CL102">
            <v>265</v>
          </cell>
          <cell r="CM102">
            <v>0</v>
          </cell>
          <cell r="CN102">
            <v>0</v>
          </cell>
          <cell r="CO102">
            <v>3555</v>
          </cell>
          <cell r="CP102">
            <v>1370</v>
          </cell>
          <cell r="CQ102">
            <v>1370</v>
          </cell>
          <cell r="CR102">
            <v>365</v>
          </cell>
          <cell r="CS102">
            <v>405</v>
          </cell>
          <cell r="CT102">
            <v>50</v>
          </cell>
          <cell r="CU102">
            <v>7270</v>
          </cell>
          <cell r="CV102">
            <v>2</v>
          </cell>
          <cell r="CW102">
            <v>3555</v>
          </cell>
          <cell r="CX102">
            <v>2140</v>
          </cell>
          <cell r="CY102">
            <v>0</v>
          </cell>
          <cell r="CZ102">
            <v>1415</v>
          </cell>
        </row>
        <row r="103">
          <cell r="A103" t="str">
            <v>4620385.00</v>
          </cell>
          <cell r="B103" t="str">
            <v>0385.00</v>
          </cell>
          <cell r="C103" t="str">
            <v>CÔTE-SAINT-LUC</v>
          </cell>
          <cell r="D103">
            <v>1380</v>
          </cell>
          <cell r="E103">
            <v>405</v>
          </cell>
          <cell r="F103">
            <v>510</v>
          </cell>
          <cell r="G103">
            <v>45</v>
          </cell>
          <cell r="H103">
            <v>155</v>
          </cell>
          <cell r="I103">
            <v>270</v>
          </cell>
          <cell r="J103">
            <v>1380</v>
          </cell>
          <cell r="K103">
            <v>1305</v>
          </cell>
          <cell r="L103">
            <v>70</v>
          </cell>
          <cell r="M103">
            <v>345</v>
          </cell>
          <cell r="N103">
            <v>285</v>
          </cell>
          <cell r="O103">
            <v>40</v>
          </cell>
          <cell r="P103">
            <v>25</v>
          </cell>
          <cell r="Q103">
            <v>0</v>
          </cell>
          <cell r="R103">
            <v>345</v>
          </cell>
          <cell r="S103">
            <v>285</v>
          </cell>
          <cell r="T103">
            <v>260</v>
          </cell>
          <cell r="U103">
            <v>225</v>
          </cell>
          <cell r="V103">
            <v>35</v>
          </cell>
          <cell r="W103">
            <v>10</v>
          </cell>
          <cell r="X103">
            <v>25</v>
          </cell>
          <cell r="Y103">
            <v>0</v>
          </cell>
          <cell r="Z103">
            <v>25</v>
          </cell>
          <cell r="AA103">
            <v>25</v>
          </cell>
          <cell r="AB103">
            <v>0</v>
          </cell>
          <cell r="AC103">
            <v>0</v>
          </cell>
          <cell r="AD103">
            <v>0</v>
          </cell>
          <cell r="AE103">
            <v>0</v>
          </cell>
          <cell r="AF103">
            <v>60</v>
          </cell>
          <cell r="AG103">
            <v>60</v>
          </cell>
          <cell r="AH103">
            <v>30</v>
          </cell>
          <cell r="AI103">
            <v>30</v>
          </cell>
          <cell r="AJ103">
            <v>0</v>
          </cell>
          <cell r="AK103">
            <v>0</v>
          </cell>
          <cell r="AL103">
            <v>0</v>
          </cell>
          <cell r="AM103">
            <v>0</v>
          </cell>
          <cell r="AN103">
            <v>0</v>
          </cell>
          <cell r="AO103">
            <v>145</v>
          </cell>
          <cell r="AP103">
            <v>20</v>
          </cell>
          <cell r="AQ103">
            <v>20</v>
          </cell>
          <cell r="AR103">
            <v>30</v>
          </cell>
          <cell r="AS103">
            <v>35</v>
          </cell>
          <cell r="AT103">
            <v>40</v>
          </cell>
          <cell r="AU103">
            <v>0.4</v>
          </cell>
          <cell r="AV103">
            <v>1455</v>
          </cell>
          <cell r="AW103">
            <v>680</v>
          </cell>
          <cell r="AX103">
            <v>65</v>
          </cell>
          <cell r="AY103">
            <v>50</v>
          </cell>
          <cell r="AZ103">
            <v>560</v>
          </cell>
          <cell r="BA103">
            <v>780</v>
          </cell>
          <cell r="BB103">
            <v>2.2000000000000002</v>
          </cell>
          <cell r="BC103">
            <v>665</v>
          </cell>
          <cell r="BD103">
            <v>330</v>
          </cell>
          <cell r="BE103">
            <v>30</v>
          </cell>
          <cell r="BF103">
            <v>10</v>
          </cell>
          <cell r="BG103">
            <v>295</v>
          </cell>
          <cell r="BH103">
            <v>335</v>
          </cell>
          <cell r="BI103">
            <v>950</v>
          </cell>
          <cell r="BJ103">
            <v>4</v>
          </cell>
          <cell r="BK103">
            <v>3800</v>
          </cell>
          <cell r="BL103">
            <v>1.4</v>
          </cell>
          <cell r="BM103">
            <v>1330</v>
          </cell>
          <cell r="BN103">
            <v>950</v>
          </cell>
          <cell r="BO103">
            <v>65</v>
          </cell>
          <cell r="BP103">
            <v>885</v>
          </cell>
          <cell r="BQ103">
            <v>0</v>
          </cell>
          <cell r="BR103">
            <v>950</v>
          </cell>
          <cell r="BS103">
            <v>690</v>
          </cell>
          <cell r="BT103">
            <v>200</v>
          </cell>
          <cell r="BU103">
            <v>60</v>
          </cell>
          <cell r="BV103">
            <v>950</v>
          </cell>
          <cell r="BW103">
            <v>155</v>
          </cell>
          <cell r="BX103">
            <v>215</v>
          </cell>
          <cell r="BY103">
            <v>300</v>
          </cell>
          <cell r="BZ103">
            <v>210</v>
          </cell>
          <cell r="CA103">
            <v>65</v>
          </cell>
          <cell r="CB103">
            <v>0</v>
          </cell>
          <cell r="CC103">
            <v>0</v>
          </cell>
          <cell r="CD103">
            <v>0</v>
          </cell>
          <cell r="CE103">
            <v>10</v>
          </cell>
          <cell r="CF103">
            <v>955</v>
          </cell>
          <cell r="CG103">
            <v>0</v>
          </cell>
          <cell r="CH103">
            <v>0</v>
          </cell>
          <cell r="CI103">
            <v>0</v>
          </cell>
          <cell r="CJ103">
            <v>0</v>
          </cell>
          <cell r="CK103">
            <v>845</v>
          </cell>
          <cell r="CL103">
            <v>105</v>
          </cell>
          <cell r="CM103">
            <v>0</v>
          </cell>
          <cell r="CN103">
            <v>0</v>
          </cell>
          <cell r="CO103">
            <v>950</v>
          </cell>
          <cell r="CP103">
            <v>570</v>
          </cell>
          <cell r="CQ103">
            <v>290</v>
          </cell>
          <cell r="CR103">
            <v>65</v>
          </cell>
          <cell r="CS103">
            <v>30</v>
          </cell>
          <cell r="CT103">
            <v>0</v>
          </cell>
          <cell r="CU103">
            <v>1460</v>
          </cell>
          <cell r="CV103">
            <v>1.5</v>
          </cell>
          <cell r="CW103">
            <v>950</v>
          </cell>
          <cell r="CX103">
            <v>345</v>
          </cell>
          <cell r="CY103">
            <v>0</v>
          </cell>
          <cell r="CZ103">
            <v>605</v>
          </cell>
        </row>
        <row r="104">
          <cell r="C104" t="str">
            <v>CÔTE-SAINT-LUC</v>
          </cell>
          <cell r="D104">
            <v>25940</v>
          </cell>
          <cell r="E104">
            <v>6390</v>
          </cell>
          <cell r="F104">
            <v>13505</v>
          </cell>
          <cell r="G104">
            <v>465</v>
          </cell>
          <cell r="H104">
            <v>1895</v>
          </cell>
          <cell r="I104">
            <v>3680</v>
          </cell>
          <cell r="J104">
            <v>25935</v>
          </cell>
          <cell r="K104">
            <v>25205</v>
          </cell>
          <cell r="L104">
            <v>730</v>
          </cell>
          <cell r="M104">
            <v>8015</v>
          </cell>
          <cell r="N104">
            <v>4105</v>
          </cell>
          <cell r="O104">
            <v>1610</v>
          </cell>
          <cell r="P104">
            <v>1490</v>
          </cell>
          <cell r="Q104">
            <v>805</v>
          </cell>
          <cell r="R104">
            <v>8020</v>
          </cell>
          <cell r="S104">
            <v>6905</v>
          </cell>
          <cell r="T104">
            <v>6575</v>
          </cell>
          <cell r="U104">
            <v>3185</v>
          </cell>
          <cell r="V104">
            <v>3375</v>
          </cell>
          <cell r="W104">
            <v>1190</v>
          </cell>
          <cell r="X104">
            <v>1405</v>
          </cell>
          <cell r="Y104">
            <v>775</v>
          </cell>
          <cell r="Z104">
            <v>340</v>
          </cell>
          <cell r="AA104">
            <v>200</v>
          </cell>
          <cell r="AB104">
            <v>135</v>
          </cell>
          <cell r="AC104">
            <v>100</v>
          </cell>
          <cell r="AD104">
            <v>25</v>
          </cell>
          <cell r="AE104">
            <v>15</v>
          </cell>
          <cell r="AF104">
            <v>1115</v>
          </cell>
          <cell r="AG104">
            <v>920</v>
          </cell>
          <cell r="AH104">
            <v>555</v>
          </cell>
          <cell r="AI104">
            <v>275</v>
          </cell>
          <cell r="AJ104">
            <v>70</v>
          </cell>
          <cell r="AK104">
            <v>195</v>
          </cell>
          <cell r="AL104">
            <v>145</v>
          </cell>
          <cell r="AM104">
            <v>35</v>
          </cell>
          <cell r="AN104">
            <v>0</v>
          </cell>
          <cell r="AO104">
            <v>8465</v>
          </cell>
          <cell r="AP104">
            <v>1615</v>
          </cell>
          <cell r="AQ104">
            <v>2770</v>
          </cell>
          <cell r="AR104">
            <v>1025</v>
          </cell>
          <cell r="AS104">
            <v>1815</v>
          </cell>
          <cell r="AT104">
            <v>1230</v>
          </cell>
          <cell r="AU104">
            <v>1.0554862842892767</v>
          </cell>
          <cell r="AV104">
            <v>29240</v>
          </cell>
          <cell r="AW104">
            <v>5835</v>
          </cell>
          <cell r="AX104">
            <v>530</v>
          </cell>
          <cell r="AY104">
            <v>415</v>
          </cell>
          <cell r="AZ104">
            <v>4880</v>
          </cell>
          <cell r="BA104">
            <v>23405</v>
          </cell>
          <cell r="BB104">
            <v>2.9183291770573567</v>
          </cell>
          <cell r="BC104">
            <v>8215</v>
          </cell>
          <cell r="BD104">
            <v>3430</v>
          </cell>
          <cell r="BE104">
            <v>255</v>
          </cell>
          <cell r="BF104">
            <v>80</v>
          </cell>
          <cell r="BG104">
            <v>3075</v>
          </cell>
          <cell r="BH104">
            <v>4780</v>
          </cell>
          <cell r="BI104">
            <v>13105</v>
          </cell>
          <cell r="BJ104">
            <v>5.2728729492560094</v>
          </cell>
          <cell r="BK104">
            <v>69101</v>
          </cell>
          <cell r="BL104">
            <v>2.2453643647462802</v>
          </cell>
          <cell r="BM104">
            <v>29425.5</v>
          </cell>
          <cell r="BN104">
            <v>13110</v>
          </cell>
          <cell r="BO104">
            <v>6295</v>
          </cell>
          <cell r="BP104">
            <v>6815</v>
          </cell>
          <cell r="BQ104">
            <v>0</v>
          </cell>
          <cell r="BR104">
            <v>13105</v>
          </cell>
          <cell r="BS104">
            <v>8705</v>
          </cell>
          <cell r="BT104">
            <v>3350</v>
          </cell>
          <cell r="BU104">
            <v>1055</v>
          </cell>
          <cell r="BV104">
            <v>13110</v>
          </cell>
          <cell r="BW104">
            <v>530</v>
          </cell>
          <cell r="BX104">
            <v>3450</v>
          </cell>
          <cell r="BY104">
            <v>3340</v>
          </cell>
          <cell r="BZ104">
            <v>2655</v>
          </cell>
          <cell r="CA104">
            <v>1370</v>
          </cell>
          <cell r="CB104">
            <v>880</v>
          </cell>
          <cell r="CC104">
            <v>175</v>
          </cell>
          <cell r="CD104">
            <v>180</v>
          </cell>
          <cell r="CE104">
            <v>490</v>
          </cell>
          <cell r="CF104">
            <v>13115</v>
          </cell>
          <cell r="CG104">
            <v>1905</v>
          </cell>
          <cell r="CH104">
            <v>1420</v>
          </cell>
          <cell r="CI104">
            <v>580</v>
          </cell>
          <cell r="CJ104">
            <v>710</v>
          </cell>
          <cell r="CK104">
            <v>7055</v>
          </cell>
          <cell r="CL104">
            <v>1430</v>
          </cell>
          <cell r="CM104">
            <v>0</v>
          </cell>
          <cell r="CN104">
            <v>10</v>
          </cell>
          <cell r="CO104">
            <v>13110</v>
          </cell>
          <cell r="CP104">
            <v>4900</v>
          </cell>
          <cell r="CQ104">
            <v>4140</v>
          </cell>
          <cell r="CR104">
            <v>1670</v>
          </cell>
          <cell r="CS104">
            <v>2090</v>
          </cell>
          <cell r="CT104">
            <v>320</v>
          </cell>
          <cell r="CU104">
            <v>29245</v>
          </cell>
          <cell r="CV104">
            <v>2.2307398932112892</v>
          </cell>
          <cell r="CW104">
            <v>13110</v>
          </cell>
          <cell r="CX104">
            <v>7885</v>
          </cell>
          <cell r="CY104">
            <v>70</v>
          </cell>
          <cell r="CZ104">
            <v>5155</v>
          </cell>
        </row>
        <row r="107">
          <cell r="A107" t="str">
            <v>4620520.02</v>
          </cell>
          <cell r="B107" t="str">
            <v>0520.02</v>
          </cell>
          <cell r="C107" t="str">
            <v>DOLLARD-DES ORMEAUX</v>
          </cell>
          <cell r="D107">
            <v>5610</v>
          </cell>
          <cell r="E107">
            <v>1845</v>
          </cell>
          <cell r="F107">
            <v>2935</v>
          </cell>
          <cell r="G107">
            <v>105</v>
          </cell>
          <cell r="H107">
            <v>455</v>
          </cell>
          <cell r="I107">
            <v>270</v>
          </cell>
          <cell r="J107">
            <v>5610</v>
          </cell>
          <cell r="K107">
            <v>5290</v>
          </cell>
          <cell r="L107">
            <v>320</v>
          </cell>
          <cell r="M107">
            <v>1980</v>
          </cell>
          <cell r="N107">
            <v>785</v>
          </cell>
          <cell r="O107">
            <v>450</v>
          </cell>
          <cell r="P107">
            <v>460</v>
          </cell>
          <cell r="Q107">
            <v>290</v>
          </cell>
          <cell r="R107">
            <v>1980</v>
          </cell>
          <cell r="S107">
            <v>1600</v>
          </cell>
          <cell r="T107">
            <v>1435</v>
          </cell>
          <cell r="U107">
            <v>515</v>
          </cell>
          <cell r="V107">
            <v>915</v>
          </cell>
          <cell r="W107">
            <v>300</v>
          </cell>
          <cell r="X107">
            <v>370</v>
          </cell>
          <cell r="Y107">
            <v>240</v>
          </cell>
          <cell r="Z107">
            <v>170</v>
          </cell>
          <cell r="AA107">
            <v>80</v>
          </cell>
          <cell r="AB107">
            <v>95</v>
          </cell>
          <cell r="AC107">
            <v>20</v>
          </cell>
          <cell r="AD107">
            <v>45</v>
          </cell>
          <cell r="AE107">
            <v>25</v>
          </cell>
          <cell r="AF107">
            <v>380</v>
          </cell>
          <cell r="AG107">
            <v>315</v>
          </cell>
          <cell r="AH107">
            <v>160</v>
          </cell>
          <cell r="AI107">
            <v>105</v>
          </cell>
          <cell r="AJ107">
            <v>60</v>
          </cell>
          <cell r="AK107">
            <v>60</v>
          </cell>
          <cell r="AL107">
            <v>30</v>
          </cell>
          <cell r="AM107">
            <v>25</v>
          </cell>
          <cell r="AN107">
            <v>10</v>
          </cell>
          <cell r="AO107">
            <v>2745</v>
          </cell>
          <cell r="AP107">
            <v>405</v>
          </cell>
          <cell r="AQ107">
            <v>910</v>
          </cell>
          <cell r="AR107">
            <v>325</v>
          </cell>
          <cell r="AS107">
            <v>620</v>
          </cell>
          <cell r="AT107">
            <v>480</v>
          </cell>
          <cell r="AU107">
            <v>1.4</v>
          </cell>
          <cell r="AV107">
            <v>6930</v>
          </cell>
          <cell r="AW107">
            <v>600</v>
          </cell>
          <cell r="AX107">
            <v>115</v>
          </cell>
          <cell r="AY107">
            <v>70</v>
          </cell>
          <cell r="AZ107">
            <v>415</v>
          </cell>
          <cell r="BA107">
            <v>6330</v>
          </cell>
          <cell r="BB107">
            <v>3.2</v>
          </cell>
          <cell r="BC107">
            <v>905</v>
          </cell>
          <cell r="BD107">
            <v>210</v>
          </cell>
          <cell r="BE107">
            <v>60</v>
          </cell>
          <cell r="BF107">
            <v>10</v>
          </cell>
          <cell r="BG107">
            <v>140</v>
          </cell>
          <cell r="BH107">
            <v>695</v>
          </cell>
          <cell r="BI107">
            <v>2350</v>
          </cell>
          <cell r="BJ107">
            <v>6.8</v>
          </cell>
          <cell r="BK107">
            <v>15980</v>
          </cell>
          <cell r="BL107">
            <v>3.1</v>
          </cell>
          <cell r="BM107">
            <v>7285</v>
          </cell>
          <cell r="BN107">
            <v>2350</v>
          </cell>
          <cell r="BO107">
            <v>1785</v>
          </cell>
          <cell r="BP107">
            <v>565</v>
          </cell>
          <cell r="BQ107">
            <v>0</v>
          </cell>
          <cell r="BR107">
            <v>2345</v>
          </cell>
          <cell r="BS107">
            <v>1345</v>
          </cell>
          <cell r="BT107">
            <v>805</v>
          </cell>
          <cell r="BU107">
            <v>195</v>
          </cell>
          <cell r="BV107">
            <v>2350</v>
          </cell>
          <cell r="BW107">
            <v>20</v>
          </cell>
          <cell r="BX107">
            <v>125</v>
          </cell>
          <cell r="BY107">
            <v>990</v>
          </cell>
          <cell r="BZ107">
            <v>910</v>
          </cell>
          <cell r="CA107">
            <v>50</v>
          </cell>
          <cell r="CB107">
            <v>80</v>
          </cell>
          <cell r="CC107">
            <v>85</v>
          </cell>
          <cell r="CD107">
            <v>70</v>
          </cell>
          <cell r="CE107">
            <v>15</v>
          </cell>
          <cell r="CF107">
            <v>2345</v>
          </cell>
          <cell r="CG107">
            <v>930</v>
          </cell>
          <cell r="CH107">
            <v>95</v>
          </cell>
          <cell r="CI107">
            <v>740</v>
          </cell>
          <cell r="CJ107">
            <v>30</v>
          </cell>
          <cell r="CK107">
            <v>5</v>
          </cell>
          <cell r="CL107">
            <v>545</v>
          </cell>
          <cell r="CM107">
            <v>0</v>
          </cell>
          <cell r="CN107">
            <v>0</v>
          </cell>
          <cell r="CO107">
            <v>2345</v>
          </cell>
          <cell r="CP107">
            <v>410</v>
          </cell>
          <cell r="CQ107">
            <v>665</v>
          </cell>
          <cell r="CR107">
            <v>445</v>
          </cell>
          <cell r="CS107">
            <v>695</v>
          </cell>
          <cell r="CT107">
            <v>125</v>
          </cell>
          <cell r="CU107">
            <v>6930</v>
          </cell>
          <cell r="CV107">
            <v>3</v>
          </cell>
          <cell r="CW107">
            <v>2345</v>
          </cell>
          <cell r="CX107">
            <v>1845</v>
          </cell>
          <cell r="CY107">
            <v>65</v>
          </cell>
          <cell r="CZ107">
            <v>440</v>
          </cell>
        </row>
        <row r="108">
          <cell r="A108" t="str">
            <v>4620520.03</v>
          </cell>
          <cell r="B108" t="str">
            <v>0520.03</v>
          </cell>
          <cell r="C108" t="str">
            <v>DOLLARD-DES ORMEAUX</v>
          </cell>
          <cell r="D108">
            <v>3260</v>
          </cell>
          <cell r="E108">
            <v>1155</v>
          </cell>
          <cell r="F108">
            <v>1720</v>
          </cell>
          <cell r="G108">
            <v>60</v>
          </cell>
          <cell r="H108">
            <v>215</v>
          </cell>
          <cell r="I108">
            <v>110</v>
          </cell>
          <cell r="J108">
            <v>3260</v>
          </cell>
          <cell r="K108">
            <v>3150</v>
          </cell>
          <cell r="L108">
            <v>110</v>
          </cell>
          <cell r="M108">
            <v>1080</v>
          </cell>
          <cell r="N108">
            <v>345</v>
          </cell>
          <cell r="O108">
            <v>265</v>
          </cell>
          <cell r="P108">
            <v>305</v>
          </cell>
          <cell r="Q108">
            <v>165</v>
          </cell>
          <cell r="R108">
            <v>1085</v>
          </cell>
          <cell r="S108">
            <v>880</v>
          </cell>
          <cell r="T108">
            <v>840</v>
          </cell>
          <cell r="U108">
            <v>180</v>
          </cell>
          <cell r="V108">
            <v>655</v>
          </cell>
          <cell r="W108">
            <v>225</v>
          </cell>
          <cell r="X108">
            <v>275</v>
          </cell>
          <cell r="Y108">
            <v>150</v>
          </cell>
          <cell r="Z108">
            <v>45</v>
          </cell>
          <cell r="AA108">
            <v>30</v>
          </cell>
          <cell r="AB108">
            <v>10</v>
          </cell>
          <cell r="AC108">
            <v>0</v>
          </cell>
          <cell r="AD108">
            <v>0</v>
          </cell>
          <cell r="AE108">
            <v>0</v>
          </cell>
          <cell r="AF108">
            <v>205</v>
          </cell>
          <cell r="AG108">
            <v>170</v>
          </cell>
          <cell r="AH108">
            <v>105</v>
          </cell>
          <cell r="AI108">
            <v>35</v>
          </cell>
          <cell r="AJ108">
            <v>30</v>
          </cell>
          <cell r="AK108">
            <v>30</v>
          </cell>
          <cell r="AL108">
            <v>25</v>
          </cell>
          <cell r="AM108">
            <v>0</v>
          </cell>
          <cell r="AN108">
            <v>0</v>
          </cell>
          <cell r="AO108">
            <v>1610</v>
          </cell>
          <cell r="AP108">
            <v>225</v>
          </cell>
          <cell r="AQ108">
            <v>500</v>
          </cell>
          <cell r="AR108">
            <v>160</v>
          </cell>
          <cell r="AS108">
            <v>450</v>
          </cell>
          <cell r="AT108">
            <v>275</v>
          </cell>
          <cell r="AU108">
            <v>1.5</v>
          </cell>
          <cell r="AV108">
            <v>3985</v>
          </cell>
          <cell r="AW108">
            <v>405</v>
          </cell>
          <cell r="AX108">
            <v>100</v>
          </cell>
          <cell r="AY108">
            <v>60</v>
          </cell>
          <cell r="AZ108">
            <v>240</v>
          </cell>
          <cell r="BA108">
            <v>3580</v>
          </cell>
          <cell r="BB108">
            <v>3.3</v>
          </cell>
          <cell r="BC108">
            <v>345</v>
          </cell>
          <cell r="BD108">
            <v>120</v>
          </cell>
          <cell r="BE108">
            <v>40</v>
          </cell>
          <cell r="BF108">
            <v>0</v>
          </cell>
          <cell r="BG108">
            <v>75</v>
          </cell>
          <cell r="BH108">
            <v>220</v>
          </cell>
          <cell r="BI108">
            <v>1310</v>
          </cell>
          <cell r="BJ108">
            <v>6.4</v>
          </cell>
          <cell r="BK108">
            <v>8384</v>
          </cell>
          <cell r="BL108">
            <v>2.9</v>
          </cell>
          <cell r="BM108">
            <v>3799</v>
          </cell>
          <cell r="BN108">
            <v>1310</v>
          </cell>
          <cell r="BO108">
            <v>845</v>
          </cell>
          <cell r="BP108">
            <v>465</v>
          </cell>
          <cell r="BQ108">
            <v>0</v>
          </cell>
          <cell r="BR108">
            <v>1310</v>
          </cell>
          <cell r="BS108">
            <v>815</v>
          </cell>
          <cell r="BT108">
            <v>435</v>
          </cell>
          <cell r="BU108">
            <v>55</v>
          </cell>
          <cell r="BV108">
            <v>1310</v>
          </cell>
          <cell r="BW108">
            <v>10</v>
          </cell>
          <cell r="BX108">
            <v>95</v>
          </cell>
          <cell r="BY108">
            <v>185</v>
          </cell>
          <cell r="BZ108">
            <v>550</v>
          </cell>
          <cell r="CA108">
            <v>380</v>
          </cell>
          <cell r="CB108">
            <v>45</v>
          </cell>
          <cell r="CC108">
            <v>25</v>
          </cell>
          <cell r="CD108">
            <v>20</v>
          </cell>
          <cell r="CE108">
            <v>0</v>
          </cell>
          <cell r="CF108">
            <v>1310</v>
          </cell>
          <cell r="CG108">
            <v>615</v>
          </cell>
          <cell r="CH108">
            <v>5</v>
          </cell>
          <cell r="CI108">
            <v>175</v>
          </cell>
          <cell r="CJ108">
            <v>0</v>
          </cell>
          <cell r="CK108">
            <v>0</v>
          </cell>
          <cell r="CL108">
            <v>510</v>
          </cell>
          <cell r="CM108">
            <v>0</v>
          </cell>
          <cell r="CN108">
            <v>0</v>
          </cell>
          <cell r="CO108">
            <v>1310</v>
          </cell>
          <cell r="CP108">
            <v>250</v>
          </cell>
          <cell r="CQ108">
            <v>295</v>
          </cell>
          <cell r="CR108">
            <v>250</v>
          </cell>
          <cell r="CS108">
            <v>430</v>
          </cell>
          <cell r="CT108">
            <v>80</v>
          </cell>
          <cell r="CU108">
            <v>3985</v>
          </cell>
          <cell r="CV108">
            <v>3</v>
          </cell>
          <cell r="CW108">
            <v>1310</v>
          </cell>
          <cell r="CX108">
            <v>995</v>
          </cell>
          <cell r="CY108">
            <v>45</v>
          </cell>
          <cell r="CZ108">
            <v>275</v>
          </cell>
        </row>
        <row r="109">
          <cell r="A109" t="str">
            <v>4620520.04</v>
          </cell>
          <cell r="B109" t="str">
            <v>0520.04</v>
          </cell>
          <cell r="C109" t="str">
            <v>DOLLARD-DES ORMEAUX</v>
          </cell>
          <cell r="D109">
            <v>3645</v>
          </cell>
          <cell r="E109">
            <v>1300</v>
          </cell>
          <cell r="F109">
            <v>1680</v>
          </cell>
          <cell r="G109">
            <v>115</v>
          </cell>
          <cell r="H109">
            <v>365</v>
          </cell>
          <cell r="I109">
            <v>175</v>
          </cell>
          <cell r="J109">
            <v>3640</v>
          </cell>
          <cell r="K109">
            <v>3385</v>
          </cell>
          <cell r="L109">
            <v>260</v>
          </cell>
          <cell r="M109">
            <v>1215</v>
          </cell>
          <cell r="N109">
            <v>510</v>
          </cell>
          <cell r="O109">
            <v>310</v>
          </cell>
          <cell r="P109">
            <v>255</v>
          </cell>
          <cell r="Q109">
            <v>140</v>
          </cell>
          <cell r="R109">
            <v>1215</v>
          </cell>
          <cell r="S109">
            <v>935</v>
          </cell>
          <cell r="T109">
            <v>810</v>
          </cell>
          <cell r="U109">
            <v>290</v>
          </cell>
          <cell r="V109">
            <v>520</v>
          </cell>
          <cell r="W109">
            <v>180</v>
          </cell>
          <cell r="X109">
            <v>220</v>
          </cell>
          <cell r="Y109">
            <v>120</v>
          </cell>
          <cell r="Z109">
            <v>120</v>
          </cell>
          <cell r="AA109">
            <v>80</v>
          </cell>
          <cell r="AB109">
            <v>40</v>
          </cell>
          <cell r="AC109">
            <v>30</v>
          </cell>
          <cell r="AD109">
            <v>10</v>
          </cell>
          <cell r="AE109">
            <v>0</v>
          </cell>
          <cell r="AF109">
            <v>285</v>
          </cell>
          <cell r="AG109">
            <v>230</v>
          </cell>
          <cell r="AH109">
            <v>125</v>
          </cell>
          <cell r="AI109">
            <v>70</v>
          </cell>
          <cell r="AJ109">
            <v>35</v>
          </cell>
          <cell r="AK109">
            <v>50</v>
          </cell>
          <cell r="AL109">
            <v>10</v>
          </cell>
          <cell r="AM109">
            <v>30</v>
          </cell>
          <cell r="AN109">
            <v>10</v>
          </cell>
          <cell r="AO109">
            <v>1575</v>
          </cell>
          <cell r="AP109">
            <v>265</v>
          </cell>
          <cell r="AQ109">
            <v>475</v>
          </cell>
          <cell r="AR109">
            <v>155</v>
          </cell>
          <cell r="AS109">
            <v>410</v>
          </cell>
          <cell r="AT109">
            <v>270</v>
          </cell>
          <cell r="AU109">
            <v>1.3</v>
          </cell>
          <cell r="AV109">
            <v>4370</v>
          </cell>
          <cell r="AW109">
            <v>640</v>
          </cell>
          <cell r="AX109">
            <v>140</v>
          </cell>
          <cell r="AY109">
            <v>55</v>
          </cell>
          <cell r="AZ109">
            <v>440</v>
          </cell>
          <cell r="BA109">
            <v>3730</v>
          </cell>
          <cell r="BB109">
            <v>3.1</v>
          </cell>
          <cell r="BC109">
            <v>535</v>
          </cell>
          <cell r="BD109">
            <v>180</v>
          </cell>
          <cell r="BE109">
            <v>40</v>
          </cell>
          <cell r="BF109">
            <v>0</v>
          </cell>
          <cell r="BG109">
            <v>135</v>
          </cell>
          <cell r="BH109">
            <v>355</v>
          </cell>
          <cell r="BI109">
            <v>1665</v>
          </cell>
          <cell r="BJ109">
            <v>5.5</v>
          </cell>
          <cell r="BK109">
            <v>9157.5</v>
          </cell>
          <cell r="BL109">
            <v>2.4</v>
          </cell>
          <cell r="BM109">
            <v>3996</v>
          </cell>
          <cell r="BN109">
            <v>1665</v>
          </cell>
          <cell r="BO109">
            <v>825</v>
          </cell>
          <cell r="BP109">
            <v>840</v>
          </cell>
          <cell r="BQ109">
            <v>0</v>
          </cell>
          <cell r="BR109">
            <v>1665</v>
          </cell>
          <cell r="BS109">
            <v>890</v>
          </cell>
          <cell r="BT109">
            <v>605</v>
          </cell>
          <cell r="BU109">
            <v>165</v>
          </cell>
          <cell r="BV109">
            <v>1665</v>
          </cell>
          <cell r="BW109">
            <v>65</v>
          </cell>
          <cell r="BX109">
            <v>100</v>
          </cell>
          <cell r="BY109">
            <v>595</v>
          </cell>
          <cell r="BZ109">
            <v>595</v>
          </cell>
          <cell r="CA109">
            <v>220</v>
          </cell>
          <cell r="CB109">
            <v>60</v>
          </cell>
          <cell r="CC109">
            <v>10</v>
          </cell>
          <cell r="CD109">
            <v>10</v>
          </cell>
          <cell r="CE109">
            <v>10</v>
          </cell>
          <cell r="CF109">
            <v>1665</v>
          </cell>
          <cell r="CG109">
            <v>395</v>
          </cell>
          <cell r="CH109">
            <v>20</v>
          </cell>
          <cell r="CI109">
            <v>665</v>
          </cell>
          <cell r="CJ109">
            <v>0</v>
          </cell>
          <cell r="CK109">
            <v>0</v>
          </cell>
          <cell r="CL109">
            <v>585</v>
          </cell>
          <cell r="CM109">
            <v>0</v>
          </cell>
          <cell r="CN109">
            <v>0</v>
          </cell>
          <cell r="CO109">
            <v>1665</v>
          </cell>
          <cell r="CP109">
            <v>445</v>
          </cell>
          <cell r="CQ109">
            <v>480</v>
          </cell>
          <cell r="CR109">
            <v>300</v>
          </cell>
          <cell r="CS109">
            <v>370</v>
          </cell>
          <cell r="CT109">
            <v>70</v>
          </cell>
          <cell r="CU109">
            <v>4370</v>
          </cell>
          <cell r="CV109">
            <v>2.6</v>
          </cell>
          <cell r="CW109">
            <v>1665</v>
          </cell>
          <cell r="CX109">
            <v>1135</v>
          </cell>
          <cell r="CY109">
            <v>35</v>
          </cell>
          <cell r="CZ109">
            <v>490</v>
          </cell>
        </row>
        <row r="110">
          <cell r="A110" t="str">
            <v>4620521.01</v>
          </cell>
          <cell r="B110" t="str">
            <v>0521.01</v>
          </cell>
          <cell r="C110" t="str">
            <v>DOLLARD-DES ORMEAUX</v>
          </cell>
          <cell r="D110">
            <v>3620</v>
          </cell>
          <cell r="E110">
            <v>1280</v>
          </cell>
          <cell r="F110">
            <v>1685</v>
          </cell>
          <cell r="G110">
            <v>90</v>
          </cell>
          <cell r="H110">
            <v>410</v>
          </cell>
          <cell r="I110">
            <v>150</v>
          </cell>
          <cell r="J110">
            <v>3620</v>
          </cell>
          <cell r="K110">
            <v>3415</v>
          </cell>
          <cell r="L110">
            <v>210</v>
          </cell>
          <cell r="M110">
            <v>1270</v>
          </cell>
          <cell r="N110">
            <v>470</v>
          </cell>
          <cell r="O110">
            <v>340</v>
          </cell>
          <cell r="P110">
            <v>350</v>
          </cell>
          <cell r="Q110">
            <v>105</v>
          </cell>
          <cell r="R110">
            <v>1270</v>
          </cell>
          <cell r="S110">
            <v>925</v>
          </cell>
          <cell r="T110">
            <v>815</v>
          </cell>
          <cell r="U110">
            <v>245</v>
          </cell>
          <cell r="V110">
            <v>570</v>
          </cell>
          <cell r="W110">
            <v>230</v>
          </cell>
          <cell r="X110">
            <v>265</v>
          </cell>
          <cell r="Y110">
            <v>80</v>
          </cell>
          <cell r="Z110">
            <v>110</v>
          </cell>
          <cell r="AA110">
            <v>60</v>
          </cell>
          <cell r="AB110">
            <v>50</v>
          </cell>
          <cell r="AC110">
            <v>0</v>
          </cell>
          <cell r="AD110">
            <v>35</v>
          </cell>
          <cell r="AE110">
            <v>10</v>
          </cell>
          <cell r="AF110">
            <v>345</v>
          </cell>
          <cell r="AG110">
            <v>300</v>
          </cell>
          <cell r="AH110">
            <v>150</v>
          </cell>
          <cell r="AI110">
            <v>100</v>
          </cell>
          <cell r="AJ110">
            <v>50</v>
          </cell>
          <cell r="AK110">
            <v>45</v>
          </cell>
          <cell r="AL110">
            <v>20</v>
          </cell>
          <cell r="AM110">
            <v>10</v>
          </cell>
          <cell r="AN110">
            <v>20</v>
          </cell>
          <cell r="AO110">
            <v>1740</v>
          </cell>
          <cell r="AP110">
            <v>285</v>
          </cell>
          <cell r="AQ110">
            <v>535</v>
          </cell>
          <cell r="AR110">
            <v>195</v>
          </cell>
          <cell r="AS110">
            <v>460</v>
          </cell>
          <cell r="AT110">
            <v>260</v>
          </cell>
          <cell r="AU110">
            <v>1.4</v>
          </cell>
          <cell r="AV110">
            <v>4430</v>
          </cell>
          <cell r="AW110">
            <v>500</v>
          </cell>
          <cell r="AX110">
            <v>80</v>
          </cell>
          <cell r="AY110">
            <v>65</v>
          </cell>
          <cell r="AZ110">
            <v>355</v>
          </cell>
          <cell r="BA110">
            <v>3940</v>
          </cell>
          <cell r="BB110">
            <v>3.1</v>
          </cell>
          <cell r="BC110">
            <v>400</v>
          </cell>
          <cell r="BD110">
            <v>120</v>
          </cell>
          <cell r="BE110">
            <v>25</v>
          </cell>
          <cell r="BF110">
            <v>0</v>
          </cell>
          <cell r="BG110">
            <v>95</v>
          </cell>
          <cell r="BH110">
            <v>280</v>
          </cell>
          <cell r="BI110">
            <v>1590</v>
          </cell>
          <cell r="BJ110">
            <v>6.6</v>
          </cell>
          <cell r="BK110">
            <v>10494</v>
          </cell>
          <cell r="BL110">
            <v>2.9</v>
          </cell>
          <cell r="BM110">
            <v>4611</v>
          </cell>
          <cell r="BN110">
            <v>1590</v>
          </cell>
          <cell r="BO110">
            <v>1140</v>
          </cell>
          <cell r="BP110">
            <v>455</v>
          </cell>
          <cell r="BQ110">
            <v>0</v>
          </cell>
          <cell r="BR110">
            <v>1595</v>
          </cell>
          <cell r="BS110">
            <v>845</v>
          </cell>
          <cell r="BT110">
            <v>600</v>
          </cell>
          <cell r="BU110">
            <v>145</v>
          </cell>
          <cell r="BV110">
            <v>1590</v>
          </cell>
          <cell r="BW110">
            <v>10</v>
          </cell>
          <cell r="BX110">
            <v>30</v>
          </cell>
          <cell r="BY110">
            <v>400</v>
          </cell>
          <cell r="BZ110">
            <v>985</v>
          </cell>
          <cell r="CA110">
            <v>110</v>
          </cell>
          <cell r="CB110">
            <v>20</v>
          </cell>
          <cell r="CC110">
            <v>15</v>
          </cell>
          <cell r="CD110">
            <v>10</v>
          </cell>
          <cell r="CE110">
            <v>10</v>
          </cell>
          <cell r="CF110">
            <v>1595</v>
          </cell>
          <cell r="CG110">
            <v>325</v>
          </cell>
          <cell r="CH110">
            <v>110</v>
          </cell>
          <cell r="CI110">
            <v>910</v>
          </cell>
          <cell r="CJ110">
            <v>5</v>
          </cell>
          <cell r="CK110">
            <v>80</v>
          </cell>
          <cell r="CL110">
            <v>165</v>
          </cell>
          <cell r="CM110">
            <v>0</v>
          </cell>
          <cell r="CN110">
            <v>0</v>
          </cell>
          <cell r="CO110">
            <v>1590</v>
          </cell>
          <cell r="CP110">
            <v>355</v>
          </cell>
          <cell r="CQ110">
            <v>415</v>
          </cell>
          <cell r="CR110">
            <v>320</v>
          </cell>
          <cell r="CS110">
            <v>445</v>
          </cell>
          <cell r="CT110">
            <v>60</v>
          </cell>
          <cell r="CU110">
            <v>4435</v>
          </cell>
          <cell r="CV110">
            <v>2.8</v>
          </cell>
          <cell r="CW110">
            <v>1590</v>
          </cell>
          <cell r="CX110">
            <v>1155</v>
          </cell>
          <cell r="CY110">
            <v>55</v>
          </cell>
          <cell r="CZ110">
            <v>380</v>
          </cell>
        </row>
        <row r="111">
          <cell r="A111" t="str">
            <v>4620521.04</v>
          </cell>
          <cell r="B111" t="str">
            <v>0521.04</v>
          </cell>
          <cell r="C111" t="str">
            <v>DOLLARD-DES ORMEAUX</v>
          </cell>
          <cell r="D111">
            <v>4160</v>
          </cell>
          <cell r="E111">
            <v>1255</v>
          </cell>
          <cell r="F111">
            <v>2485</v>
          </cell>
          <cell r="G111">
            <v>70</v>
          </cell>
          <cell r="H111">
            <v>205</v>
          </cell>
          <cell r="I111">
            <v>140</v>
          </cell>
          <cell r="J111">
            <v>4165</v>
          </cell>
          <cell r="K111">
            <v>4045</v>
          </cell>
          <cell r="L111">
            <v>115</v>
          </cell>
          <cell r="M111">
            <v>1430</v>
          </cell>
          <cell r="N111">
            <v>495</v>
          </cell>
          <cell r="O111">
            <v>265</v>
          </cell>
          <cell r="P111">
            <v>475</v>
          </cell>
          <cell r="Q111">
            <v>205</v>
          </cell>
          <cell r="R111">
            <v>1430</v>
          </cell>
          <cell r="S111">
            <v>1280</v>
          </cell>
          <cell r="T111">
            <v>1220</v>
          </cell>
          <cell r="U111">
            <v>415</v>
          </cell>
          <cell r="V111">
            <v>805</v>
          </cell>
          <cell r="W111">
            <v>185</v>
          </cell>
          <cell r="X111">
            <v>425</v>
          </cell>
          <cell r="Y111">
            <v>195</v>
          </cell>
          <cell r="Z111">
            <v>60</v>
          </cell>
          <cell r="AA111">
            <v>10</v>
          </cell>
          <cell r="AB111">
            <v>45</v>
          </cell>
          <cell r="AC111">
            <v>25</v>
          </cell>
          <cell r="AD111">
            <v>20</v>
          </cell>
          <cell r="AE111">
            <v>0</v>
          </cell>
          <cell r="AF111">
            <v>150</v>
          </cell>
          <cell r="AG111">
            <v>125</v>
          </cell>
          <cell r="AH111">
            <v>45</v>
          </cell>
          <cell r="AI111">
            <v>40</v>
          </cell>
          <cell r="AJ111">
            <v>30</v>
          </cell>
          <cell r="AK111">
            <v>25</v>
          </cell>
          <cell r="AL111">
            <v>15</v>
          </cell>
          <cell r="AM111">
            <v>10</v>
          </cell>
          <cell r="AN111">
            <v>0</v>
          </cell>
          <cell r="AO111">
            <v>2010</v>
          </cell>
          <cell r="AP111">
            <v>330</v>
          </cell>
          <cell r="AQ111">
            <v>660</v>
          </cell>
          <cell r="AR111">
            <v>210</v>
          </cell>
          <cell r="AS111">
            <v>515</v>
          </cell>
          <cell r="AT111">
            <v>290</v>
          </cell>
          <cell r="AU111">
            <v>1.4</v>
          </cell>
          <cell r="AV111">
            <v>5135</v>
          </cell>
          <cell r="AW111">
            <v>420</v>
          </cell>
          <cell r="AX111">
            <v>95</v>
          </cell>
          <cell r="AY111">
            <v>55</v>
          </cell>
          <cell r="AZ111">
            <v>260</v>
          </cell>
          <cell r="BA111">
            <v>4720</v>
          </cell>
          <cell r="BB111">
            <v>3.3</v>
          </cell>
          <cell r="BC111">
            <v>615</v>
          </cell>
          <cell r="BD111">
            <v>165</v>
          </cell>
          <cell r="BE111">
            <v>40</v>
          </cell>
          <cell r="BF111">
            <v>15</v>
          </cell>
          <cell r="BG111">
            <v>110</v>
          </cell>
          <cell r="BH111">
            <v>450</v>
          </cell>
          <cell r="BI111">
            <v>1705</v>
          </cell>
          <cell r="BJ111">
            <v>7.8</v>
          </cell>
          <cell r="BK111">
            <v>13299</v>
          </cell>
          <cell r="BL111">
            <v>3.3</v>
          </cell>
          <cell r="BM111">
            <v>5626.5</v>
          </cell>
          <cell r="BN111">
            <v>1710</v>
          </cell>
          <cell r="BO111">
            <v>1400</v>
          </cell>
          <cell r="BP111">
            <v>310</v>
          </cell>
          <cell r="BQ111">
            <v>0</v>
          </cell>
          <cell r="BR111">
            <v>1710</v>
          </cell>
          <cell r="BS111">
            <v>855</v>
          </cell>
          <cell r="BT111">
            <v>730</v>
          </cell>
          <cell r="BU111">
            <v>120</v>
          </cell>
          <cell r="BV111">
            <v>1705</v>
          </cell>
          <cell r="BW111">
            <v>10</v>
          </cell>
          <cell r="BX111">
            <v>145</v>
          </cell>
          <cell r="BY111">
            <v>1130</v>
          </cell>
          <cell r="BZ111">
            <v>250</v>
          </cell>
          <cell r="CA111">
            <v>130</v>
          </cell>
          <cell r="CB111">
            <v>10</v>
          </cell>
          <cell r="CC111">
            <v>10</v>
          </cell>
          <cell r="CD111">
            <v>10</v>
          </cell>
          <cell r="CE111">
            <v>0</v>
          </cell>
          <cell r="CF111">
            <v>1705</v>
          </cell>
          <cell r="CG111">
            <v>1395</v>
          </cell>
          <cell r="CH111">
            <v>0</v>
          </cell>
          <cell r="CI111">
            <v>20</v>
          </cell>
          <cell r="CJ111">
            <v>0</v>
          </cell>
          <cell r="CK111">
            <v>110</v>
          </cell>
          <cell r="CL111">
            <v>175</v>
          </cell>
          <cell r="CM111">
            <v>0</v>
          </cell>
          <cell r="CN111">
            <v>0</v>
          </cell>
          <cell r="CO111">
            <v>1710</v>
          </cell>
          <cell r="CP111">
            <v>260</v>
          </cell>
          <cell r="CQ111">
            <v>515</v>
          </cell>
          <cell r="CR111">
            <v>245</v>
          </cell>
          <cell r="CS111">
            <v>615</v>
          </cell>
          <cell r="CT111">
            <v>75</v>
          </cell>
          <cell r="CU111">
            <v>5135</v>
          </cell>
          <cell r="CV111">
            <v>3</v>
          </cell>
          <cell r="CW111">
            <v>1705</v>
          </cell>
          <cell r="CX111">
            <v>1360</v>
          </cell>
          <cell r="CY111">
            <v>35</v>
          </cell>
          <cell r="CZ111">
            <v>310</v>
          </cell>
        </row>
        <row r="112">
          <cell r="A112" t="str">
            <v>4620521.05</v>
          </cell>
          <cell r="B112" t="str">
            <v>0521.05</v>
          </cell>
          <cell r="C112" t="str">
            <v>DOLLARD-DES ORMEAUX</v>
          </cell>
          <cell r="D112">
            <v>3440</v>
          </cell>
          <cell r="E112">
            <v>1025</v>
          </cell>
          <cell r="F112">
            <v>2140</v>
          </cell>
          <cell r="G112">
            <v>40</v>
          </cell>
          <cell r="H112">
            <v>115</v>
          </cell>
          <cell r="I112">
            <v>115</v>
          </cell>
          <cell r="J112">
            <v>3440</v>
          </cell>
          <cell r="K112">
            <v>3360</v>
          </cell>
          <cell r="L112">
            <v>80</v>
          </cell>
          <cell r="M112">
            <v>1175</v>
          </cell>
          <cell r="N112">
            <v>185</v>
          </cell>
          <cell r="O112">
            <v>240</v>
          </cell>
          <cell r="P112">
            <v>450</v>
          </cell>
          <cell r="Q112">
            <v>290</v>
          </cell>
          <cell r="R112">
            <v>1175</v>
          </cell>
          <cell r="S112">
            <v>1100</v>
          </cell>
          <cell r="T112">
            <v>1055</v>
          </cell>
          <cell r="U112">
            <v>130</v>
          </cell>
          <cell r="V112">
            <v>930</v>
          </cell>
          <cell r="W112">
            <v>205</v>
          </cell>
          <cell r="X112">
            <v>445</v>
          </cell>
          <cell r="Y112">
            <v>280</v>
          </cell>
          <cell r="Z112">
            <v>40</v>
          </cell>
          <cell r="AA112">
            <v>20</v>
          </cell>
          <cell r="AB112">
            <v>20</v>
          </cell>
          <cell r="AC112">
            <v>0</v>
          </cell>
          <cell r="AD112">
            <v>0</v>
          </cell>
          <cell r="AE112">
            <v>10</v>
          </cell>
          <cell r="AF112">
            <v>70</v>
          </cell>
          <cell r="AG112">
            <v>60</v>
          </cell>
          <cell r="AH112">
            <v>25</v>
          </cell>
          <cell r="AI112">
            <v>30</v>
          </cell>
          <cell r="AJ112">
            <v>0</v>
          </cell>
          <cell r="AK112">
            <v>15</v>
          </cell>
          <cell r="AL112">
            <v>0</v>
          </cell>
          <cell r="AM112">
            <v>10</v>
          </cell>
          <cell r="AN112">
            <v>0</v>
          </cell>
          <cell r="AO112">
            <v>2135</v>
          </cell>
          <cell r="AP112">
            <v>365</v>
          </cell>
          <cell r="AQ112">
            <v>800</v>
          </cell>
          <cell r="AR112">
            <v>270</v>
          </cell>
          <cell r="AS112">
            <v>530</v>
          </cell>
          <cell r="AT112">
            <v>175</v>
          </cell>
          <cell r="AU112">
            <v>1.8</v>
          </cell>
          <cell r="AV112">
            <v>4655</v>
          </cell>
          <cell r="AW112">
            <v>245</v>
          </cell>
          <cell r="AX112">
            <v>60</v>
          </cell>
          <cell r="AY112">
            <v>55</v>
          </cell>
          <cell r="AZ112">
            <v>130</v>
          </cell>
          <cell r="BA112">
            <v>4405</v>
          </cell>
          <cell r="BB112">
            <v>3.8</v>
          </cell>
          <cell r="BC112">
            <v>265</v>
          </cell>
          <cell r="BD112">
            <v>145</v>
          </cell>
          <cell r="BE112">
            <v>50</v>
          </cell>
          <cell r="BF112">
            <v>0</v>
          </cell>
          <cell r="BG112">
            <v>95</v>
          </cell>
          <cell r="BH112">
            <v>125</v>
          </cell>
          <cell r="BI112">
            <v>1290</v>
          </cell>
          <cell r="BJ112">
            <v>8.6999999999999993</v>
          </cell>
          <cell r="BK112">
            <v>11222.999999999998</v>
          </cell>
          <cell r="BL112">
            <v>3.9</v>
          </cell>
          <cell r="BM112">
            <v>5031</v>
          </cell>
          <cell r="BN112">
            <v>1290</v>
          </cell>
          <cell r="BO112">
            <v>1175</v>
          </cell>
          <cell r="BP112">
            <v>120</v>
          </cell>
          <cell r="BQ112">
            <v>0</v>
          </cell>
          <cell r="BR112">
            <v>1295</v>
          </cell>
          <cell r="BS112">
            <v>920</v>
          </cell>
          <cell r="BT112">
            <v>335</v>
          </cell>
          <cell r="BU112">
            <v>35</v>
          </cell>
          <cell r="BV112">
            <v>1295</v>
          </cell>
          <cell r="BW112">
            <v>0</v>
          </cell>
          <cell r="BX112">
            <v>0</v>
          </cell>
          <cell r="BY112">
            <v>45</v>
          </cell>
          <cell r="BZ112">
            <v>65</v>
          </cell>
          <cell r="CA112">
            <v>65</v>
          </cell>
          <cell r="CB112">
            <v>380</v>
          </cell>
          <cell r="CC112">
            <v>215</v>
          </cell>
          <cell r="CD112">
            <v>265</v>
          </cell>
          <cell r="CE112">
            <v>250</v>
          </cell>
          <cell r="CF112">
            <v>1295</v>
          </cell>
          <cell r="CG112">
            <v>1140</v>
          </cell>
          <cell r="CH112">
            <v>5</v>
          </cell>
          <cell r="CI112">
            <v>0</v>
          </cell>
          <cell r="CJ112">
            <v>0</v>
          </cell>
          <cell r="CK112">
            <v>115</v>
          </cell>
          <cell r="CL112">
            <v>40</v>
          </cell>
          <cell r="CM112">
            <v>0</v>
          </cell>
          <cell r="CN112">
            <v>0</v>
          </cell>
          <cell r="CO112">
            <v>1290</v>
          </cell>
          <cell r="CP112">
            <v>130</v>
          </cell>
          <cell r="CQ112">
            <v>180</v>
          </cell>
          <cell r="CR112">
            <v>220</v>
          </cell>
          <cell r="CS112">
            <v>675</v>
          </cell>
          <cell r="CT112">
            <v>85</v>
          </cell>
          <cell r="CU112">
            <v>4650</v>
          </cell>
          <cell r="CV112">
            <v>3.6</v>
          </cell>
          <cell r="CW112">
            <v>1295</v>
          </cell>
          <cell r="CX112">
            <v>1120</v>
          </cell>
          <cell r="CY112">
            <v>25</v>
          </cell>
          <cell r="CZ112">
            <v>150</v>
          </cell>
        </row>
        <row r="113">
          <cell r="A113" t="str">
            <v>4620521.06</v>
          </cell>
          <cell r="B113" t="str">
            <v>0521.06</v>
          </cell>
          <cell r="C113" t="str">
            <v>DOLLARD-DES ORMEAUX</v>
          </cell>
          <cell r="D113">
            <v>3840</v>
          </cell>
          <cell r="E113">
            <v>1075</v>
          </cell>
          <cell r="F113">
            <v>2410</v>
          </cell>
          <cell r="G113">
            <v>50</v>
          </cell>
          <cell r="H113">
            <v>155</v>
          </cell>
          <cell r="I113">
            <v>150</v>
          </cell>
          <cell r="J113">
            <v>3840</v>
          </cell>
          <cell r="K113">
            <v>3735</v>
          </cell>
          <cell r="L113">
            <v>105</v>
          </cell>
          <cell r="M113">
            <v>1360</v>
          </cell>
          <cell r="N113">
            <v>450</v>
          </cell>
          <cell r="O113">
            <v>295</v>
          </cell>
          <cell r="P113">
            <v>430</v>
          </cell>
          <cell r="Q113">
            <v>185</v>
          </cell>
          <cell r="R113">
            <v>1360</v>
          </cell>
          <cell r="S113">
            <v>1260</v>
          </cell>
          <cell r="T113">
            <v>1190</v>
          </cell>
          <cell r="U113">
            <v>340</v>
          </cell>
          <cell r="V113">
            <v>850</v>
          </cell>
          <cell r="W113">
            <v>235</v>
          </cell>
          <cell r="X113">
            <v>430</v>
          </cell>
          <cell r="Y113">
            <v>185</v>
          </cell>
          <cell r="Z113">
            <v>70</v>
          </cell>
          <cell r="AA113">
            <v>40</v>
          </cell>
          <cell r="AB113">
            <v>30</v>
          </cell>
          <cell r="AC113">
            <v>30</v>
          </cell>
          <cell r="AD113">
            <v>0</v>
          </cell>
          <cell r="AE113">
            <v>0</v>
          </cell>
          <cell r="AF113">
            <v>100</v>
          </cell>
          <cell r="AG113">
            <v>90</v>
          </cell>
          <cell r="AH113">
            <v>60</v>
          </cell>
          <cell r="AI113">
            <v>30</v>
          </cell>
          <cell r="AJ113">
            <v>0</v>
          </cell>
          <cell r="AK113">
            <v>0</v>
          </cell>
          <cell r="AL113">
            <v>10</v>
          </cell>
          <cell r="AM113">
            <v>0</v>
          </cell>
          <cell r="AN113">
            <v>0</v>
          </cell>
          <cell r="AO113">
            <v>1860</v>
          </cell>
          <cell r="AP113">
            <v>335</v>
          </cell>
          <cell r="AQ113">
            <v>580</v>
          </cell>
          <cell r="AR113">
            <v>230</v>
          </cell>
          <cell r="AS113">
            <v>455</v>
          </cell>
          <cell r="AT113">
            <v>250</v>
          </cell>
          <cell r="AU113">
            <v>1.4</v>
          </cell>
          <cell r="AV113">
            <v>4750</v>
          </cell>
          <cell r="AW113">
            <v>270</v>
          </cell>
          <cell r="AX113">
            <v>60</v>
          </cell>
          <cell r="AY113">
            <v>15</v>
          </cell>
          <cell r="AZ113">
            <v>190</v>
          </cell>
          <cell r="BA113">
            <v>4480</v>
          </cell>
          <cell r="BB113">
            <v>3.3</v>
          </cell>
          <cell r="BC113">
            <v>510</v>
          </cell>
          <cell r="BD113">
            <v>90</v>
          </cell>
          <cell r="BE113">
            <v>35</v>
          </cell>
          <cell r="BF113">
            <v>0</v>
          </cell>
          <cell r="BG113">
            <v>60</v>
          </cell>
          <cell r="BH113">
            <v>415</v>
          </cell>
          <cell r="BI113">
            <v>1510</v>
          </cell>
          <cell r="BJ113">
            <v>8.1</v>
          </cell>
          <cell r="BK113">
            <v>12231</v>
          </cell>
          <cell r="BL113">
            <v>3.5</v>
          </cell>
          <cell r="BM113">
            <v>5285</v>
          </cell>
          <cell r="BN113">
            <v>1510</v>
          </cell>
          <cell r="BO113">
            <v>1465</v>
          </cell>
          <cell r="BP113">
            <v>50</v>
          </cell>
          <cell r="BQ113">
            <v>0</v>
          </cell>
          <cell r="BR113">
            <v>1510</v>
          </cell>
          <cell r="BS113">
            <v>980</v>
          </cell>
          <cell r="BT113">
            <v>490</v>
          </cell>
          <cell r="BU113">
            <v>45</v>
          </cell>
          <cell r="BV113">
            <v>1515</v>
          </cell>
          <cell r="BW113">
            <v>0</v>
          </cell>
          <cell r="BX113">
            <v>20</v>
          </cell>
          <cell r="BY113">
            <v>160</v>
          </cell>
          <cell r="BZ113">
            <v>455</v>
          </cell>
          <cell r="CA113">
            <v>110</v>
          </cell>
          <cell r="CB113">
            <v>305</v>
          </cell>
          <cell r="CC113">
            <v>45</v>
          </cell>
          <cell r="CD113">
            <v>95</v>
          </cell>
          <cell r="CE113">
            <v>315</v>
          </cell>
          <cell r="CF113">
            <v>1515</v>
          </cell>
          <cell r="CG113">
            <v>1145</v>
          </cell>
          <cell r="CH113">
            <v>15</v>
          </cell>
          <cell r="CI113">
            <v>60</v>
          </cell>
          <cell r="CJ113">
            <v>0</v>
          </cell>
          <cell r="CK113">
            <v>170</v>
          </cell>
          <cell r="CL113">
            <v>125</v>
          </cell>
          <cell r="CM113">
            <v>0</v>
          </cell>
          <cell r="CN113">
            <v>0</v>
          </cell>
          <cell r="CO113">
            <v>1510</v>
          </cell>
          <cell r="CP113">
            <v>190</v>
          </cell>
          <cell r="CQ113">
            <v>410</v>
          </cell>
          <cell r="CR113">
            <v>285</v>
          </cell>
          <cell r="CS113">
            <v>555</v>
          </cell>
          <cell r="CT113">
            <v>75</v>
          </cell>
          <cell r="CU113">
            <v>4750</v>
          </cell>
          <cell r="CV113">
            <v>3.1</v>
          </cell>
          <cell r="CW113">
            <v>1510</v>
          </cell>
          <cell r="CX113">
            <v>1290</v>
          </cell>
          <cell r="CY113">
            <v>30</v>
          </cell>
          <cell r="CZ113">
            <v>195</v>
          </cell>
        </row>
        <row r="114">
          <cell r="A114" t="str">
            <v>4620521.07</v>
          </cell>
          <cell r="B114" t="str">
            <v>0521.07</v>
          </cell>
          <cell r="C114" t="str">
            <v>DOLLARD-DES ORMEAUX</v>
          </cell>
          <cell r="D114">
            <v>3815</v>
          </cell>
          <cell r="E114">
            <v>1150</v>
          </cell>
          <cell r="F114">
            <v>2060</v>
          </cell>
          <cell r="G114">
            <v>40</v>
          </cell>
          <cell r="H114">
            <v>190</v>
          </cell>
          <cell r="I114">
            <v>370</v>
          </cell>
          <cell r="J114">
            <v>3815</v>
          </cell>
          <cell r="K114">
            <v>3695</v>
          </cell>
          <cell r="L114">
            <v>125</v>
          </cell>
          <cell r="M114">
            <v>1160</v>
          </cell>
          <cell r="N114">
            <v>325</v>
          </cell>
          <cell r="O114">
            <v>240</v>
          </cell>
          <cell r="P114">
            <v>415</v>
          </cell>
          <cell r="Q114">
            <v>185</v>
          </cell>
          <cell r="R114">
            <v>1160</v>
          </cell>
          <cell r="S114">
            <v>1040</v>
          </cell>
          <cell r="T114">
            <v>980</v>
          </cell>
          <cell r="U114">
            <v>245</v>
          </cell>
          <cell r="V114">
            <v>735</v>
          </cell>
          <cell r="W114">
            <v>185</v>
          </cell>
          <cell r="X114">
            <v>375</v>
          </cell>
          <cell r="Y114">
            <v>175</v>
          </cell>
          <cell r="Z114">
            <v>60</v>
          </cell>
          <cell r="AA114">
            <v>20</v>
          </cell>
          <cell r="AB114">
            <v>40</v>
          </cell>
          <cell r="AC114">
            <v>10</v>
          </cell>
          <cell r="AD114">
            <v>30</v>
          </cell>
          <cell r="AE114">
            <v>0</v>
          </cell>
          <cell r="AF114">
            <v>120</v>
          </cell>
          <cell r="AG114">
            <v>85</v>
          </cell>
          <cell r="AH114">
            <v>40</v>
          </cell>
          <cell r="AI114">
            <v>30</v>
          </cell>
          <cell r="AJ114">
            <v>20</v>
          </cell>
          <cell r="AK114">
            <v>30</v>
          </cell>
          <cell r="AL114">
            <v>20</v>
          </cell>
          <cell r="AM114">
            <v>15</v>
          </cell>
          <cell r="AN114">
            <v>0</v>
          </cell>
          <cell r="AO114">
            <v>1785</v>
          </cell>
          <cell r="AP114">
            <v>235</v>
          </cell>
          <cell r="AQ114">
            <v>530</v>
          </cell>
          <cell r="AR114">
            <v>230</v>
          </cell>
          <cell r="AS114">
            <v>500</v>
          </cell>
          <cell r="AT114">
            <v>285</v>
          </cell>
          <cell r="AU114">
            <v>1.5</v>
          </cell>
          <cell r="AV114">
            <v>4300</v>
          </cell>
          <cell r="AW114">
            <v>315</v>
          </cell>
          <cell r="AX114">
            <v>80</v>
          </cell>
          <cell r="AY114">
            <v>60</v>
          </cell>
          <cell r="AZ114">
            <v>175</v>
          </cell>
          <cell r="BA114">
            <v>3980</v>
          </cell>
          <cell r="BB114">
            <v>3.4</v>
          </cell>
          <cell r="BC114">
            <v>520</v>
          </cell>
          <cell r="BD114">
            <v>165</v>
          </cell>
          <cell r="BE114">
            <v>60</v>
          </cell>
          <cell r="BF114">
            <v>10</v>
          </cell>
          <cell r="BG114">
            <v>95</v>
          </cell>
          <cell r="BH114">
            <v>355</v>
          </cell>
          <cell r="BI114">
            <v>1340</v>
          </cell>
          <cell r="BJ114">
            <v>8.1999999999999993</v>
          </cell>
          <cell r="BK114">
            <v>10987.999999999998</v>
          </cell>
          <cell r="BL114">
            <v>3.6</v>
          </cell>
          <cell r="BM114">
            <v>4824</v>
          </cell>
          <cell r="BN114">
            <v>1340</v>
          </cell>
          <cell r="BO114">
            <v>1175</v>
          </cell>
          <cell r="BP114">
            <v>165</v>
          </cell>
          <cell r="BQ114">
            <v>0</v>
          </cell>
          <cell r="BR114">
            <v>1335</v>
          </cell>
          <cell r="BS114">
            <v>810</v>
          </cell>
          <cell r="BT114">
            <v>445</v>
          </cell>
          <cell r="BU114">
            <v>80</v>
          </cell>
          <cell r="BV114">
            <v>1340</v>
          </cell>
          <cell r="BW114">
            <v>0</v>
          </cell>
          <cell r="BX114">
            <v>55</v>
          </cell>
          <cell r="BY114">
            <v>470</v>
          </cell>
          <cell r="BZ114">
            <v>115</v>
          </cell>
          <cell r="CA114">
            <v>150</v>
          </cell>
          <cell r="CB114">
            <v>330</v>
          </cell>
          <cell r="CC114">
            <v>80</v>
          </cell>
          <cell r="CD114">
            <v>85</v>
          </cell>
          <cell r="CE114">
            <v>45</v>
          </cell>
          <cell r="CF114">
            <v>1345</v>
          </cell>
          <cell r="CG114">
            <v>1120</v>
          </cell>
          <cell r="CH114">
            <v>80</v>
          </cell>
          <cell r="CI114">
            <v>55</v>
          </cell>
          <cell r="CJ114">
            <v>0</v>
          </cell>
          <cell r="CK114">
            <v>20</v>
          </cell>
          <cell r="CL114">
            <v>75</v>
          </cell>
          <cell r="CM114">
            <v>0</v>
          </cell>
          <cell r="CN114">
            <v>0</v>
          </cell>
          <cell r="CO114">
            <v>1345</v>
          </cell>
          <cell r="CP114">
            <v>175</v>
          </cell>
          <cell r="CQ114">
            <v>325</v>
          </cell>
          <cell r="CR114">
            <v>240</v>
          </cell>
          <cell r="CS114">
            <v>530</v>
          </cell>
          <cell r="CT114">
            <v>75</v>
          </cell>
          <cell r="CU114">
            <v>4315</v>
          </cell>
          <cell r="CV114">
            <v>3.2</v>
          </cell>
          <cell r="CW114">
            <v>1335</v>
          </cell>
          <cell r="CX114">
            <v>1130</v>
          </cell>
          <cell r="CY114">
            <v>15</v>
          </cell>
          <cell r="CZ114">
            <v>190</v>
          </cell>
        </row>
        <row r="115">
          <cell r="A115" t="str">
            <v>4620522.01</v>
          </cell>
          <cell r="B115" t="str">
            <v>0522.01</v>
          </cell>
          <cell r="C115" t="str">
            <v>DOLLARD-DES ORMEAUX</v>
          </cell>
          <cell r="D115">
            <v>3110</v>
          </cell>
          <cell r="E115">
            <v>955</v>
          </cell>
          <cell r="F115">
            <v>1750</v>
          </cell>
          <cell r="G115">
            <v>50</v>
          </cell>
          <cell r="H115">
            <v>195</v>
          </cell>
          <cell r="I115">
            <v>160</v>
          </cell>
          <cell r="J115">
            <v>3115</v>
          </cell>
          <cell r="K115">
            <v>2950</v>
          </cell>
          <cell r="L115">
            <v>165</v>
          </cell>
          <cell r="M115">
            <v>1065</v>
          </cell>
          <cell r="N115">
            <v>390</v>
          </cell>
          <cell r="O115">
            <v>260</v>
          </cell>
          <cell r="P115">
            <v>305</v>
          </cell>
          <cell r="Q115">
            <v>110</v>
          </cell>
          <cell r="R115">
            <v>1065</v>
          </cell>
          <cell r="S115">
            <v>950</v>
          </cell>
          <cell r="T115">
            <v>870</v>
          </cell>
          <cell r="U115">
            <v>260</v>
          </cell>
          <cell r="V115">
            <v>605</v>
          </cell>
          <cell r="W115">
            <v>230</v>
          </cell>
          <cell r="X115">
            <v>270</v>
          </cell>
          <cell r="Y115">
            <v>105</v>
          </cell>
          <cell r="Z115">
            <v>80</v>
          </cell>
          <cell r="AA115">
            <v>45</v>
          </cell>
          <cell r="AB115">
            <v>40</v>
          </cell>
          <cell r="AC115">
            <v>10</v>
          </cell>
          <cell r="AD115">
            <v>20</v>
          </cell>
          <cell r="AE115">
            <v>0</v>
          </cell>
          <cell r="AF115">
            <v>115</v>
          </cell>
          <cell r="AG115">
            <v>85</v>
          </cell>
          <cell r="AH115">
            <v>60</v>
          </cell>
          <cell r="AI115">
            <v>15</v>
          </cell>
          <cell r="AJ115">
            <v>0</v>
          </cell>
          <cell r="AK115">
            <v>25</v>
          </cell>
          <cell r="AL115">
            <v>25</v>
          </cell>
          <cell r="AM115">
            <v>0</v>
          </cell>
          <cell r="AN115">
            <v>0</v>
          </cell>
          <cell r="AO115">
            <v>1345</v>
          </cell>
          <cell r="AP115">
            <v>190</v>
          </cell>
          <cell r="AQ115">
            <v>430</v>
          </cell>
          <cell r="AR115">
            <v>195</v>
          </cell>
          <cell r="AS115">
            <v>335</v>
          </cell>
          <cell r="AT115">
            <v>195</v>
          </cell>
          <cell r="AU115">
            <v>1.3</v>
          </cell>
          <cell r="AV115">
            <v>3715</v>
          </cell>
          <cell r="AW115">
            <v>350</v>
          </cell>
          <cell r="AX115">
            <v>95</v>
          </cell>
          <cell r="AY115">
            <v>25</v>
          </cell>
          <cell r="AZ115">
            <v>230</v>
          </cell>
          <cell r="BA115">
            <v>3360</v>
          </cell>
          <cell r="BB115">
            <v>3.2</v>
          </cell>
          <cell r="BC115">
            <v>525</v>
          </cell>
          <cell r="BD115">
            <v>125</v>
          </cell>
          <cell r="BE115">
            <v>40</v>
          </cell>
          <cell r="BF115">
            <v>0</v>
          </cell>
          <cell r="BG115">
            <v>85</v>
          </cell>
          <cell r="BH115">
            <v>405</v>
          </cell>
          <cell r="BI115">
            <v>1305</v>
          </cell>
          <cell r="BJ115">
            <v>7.5</v>
          </cell>
          <cell r="BK115">
            <v>9787.5</v>
          </cell>
          <cell r="BL115">
            <v>3.3</v>
          </cell>
          <cell r="BM115">
            <v>4306.5</v>
          </cell>
          <cell r="BN115">
            <v>1305</v>
          </cell>
          <cell r="BO115">
            <v>1070</v>
          </cell>
          <cell r="BP115">
            <v>235</v>
          </cell>
          <cell r="BQ115">
            <v>0</v>
          </cell>
          <cell r="BR115">
            <v>1305</v>
          </cell>
          <cell r="BS115">
            <v>715</v>
          </cell>
          <cell r="BT115">
            <v>510</v>
          </cell>
          <cell r="BU115">
            <v>75</v>
          </cell>
          <cell r="BV115">
            <v>1305</v>
          </cell>
          <cell r="BW115">
            <v>0</v>
          </cell>
          <cell r="BX115">
            <v>40</v>
          </cell>
          <cell r="BY115">
            <v>795</v>
          </cell>
          <cell r="BZ115">
            <v>415</v>
          </cell>
          <cell r="CA115">
            <v>40</v>
          </cell>
          <cell r="CB115">
            <v>15</v>
          </cell>
          <cell r="CC115">
            <v>0</v>
          </cell>
          <cell r="CD115">
            <v>0</v>
          </cell>
          <cell r="CE115">
            <v>0</v>
          </cell>
          <cell r="CF115">
            <v>1305</v>
          </cell>
          <cell r="CG115">
            <v>1105</v>
          </cell>
          <cell r="CH115">
            <v>0</v>
          </cell>
          <cell r="CI115">
            <v>0</v>
          </cell>
          <cell r="CJ115">
            <v>0</v>
          </cell>
          <cell r="CK115">
            <v>170</v>
          </cell>
          <cell r="CL115">
            <v>35</v>
          </cell>
          <cell r="CM115">
            <v>0</v>
          </cell>
          <cell r="CN115">
            <v>0</v>
          </cell>
          <cell r="CO115">
            <v>1310</v>
          </cell>
          <cell r="CP115">
            <v>230</v>
          </cell>
          <cell r="CQ115">
            <v>395</v>
          </cell>
          <cell r="CR115">
            <v>235</v>
          </cell>
          <cell r="CS115">
            <v>400</v>
          </cell>
          <cell r="CT115">
            <v>45</v>
          </cell>
          <cell r="CU115">
            <v>3710</v>
          </cell>
          <cell r="CV115">
            <v>2.8</v>
          </cell>
          <cell r="CW115">
            <v>1305</v>
          </cell>
          <cell r="CX115">
            <v>1045</v>
          </cell>
          <cell r="CY115">
            <v>10</v>
          </cell>
          <cell r="CZ115">
            <v>255</v>
          </cell>
        </row>
        <row r="116">
          <cell r="A116" t="str">
            <v>4620522.02</v>
          </cell>
          <cell r="B116" t="str">
            <v>0522.02</v>
          </cell>
          <cell r="C116" t="str">
            <v>DOLLARD-DES ORMEAUX</v>
          </cell>
          <cell r="D116">
            <v>3220</v>
          </cell>
          <cell r="E116">
            <v>965</v>
          </cell>
          <cell r="F116">
            <v>1745</v>
          </cell>
          <cell r="G116">
            <v>50</v>
          </cell>
          <cell r="H116">
            <v>210</v>
          </cell>
          <cell r="I116">
            <v>245</v>
          </cell>
          <cell r="J116">
            <v>3220</v>
          </cell>
          <cell r="K116">
            <v>3075</v>
          </cell>
          <cell r="L116">
            <v>145</v>
          </cell>
          <cell r="M116">
            <v>1045</v>
          </cell>
          <cell r="N116">
            <v>390</v>
          </cell>
          <cell r="O116">
            <v>280</v>
          </cell>
          <cell r="P116">
            <v>255</v>
          </cell>
          <cell r="Q116">
            <v>115</v>
          </cell>
          <cell r="R116">
            <v>1045</v>
          </cell>
          <cell r="S116">
            <v>935</v>
          </cell>
          <cell r="T116">
            <v>860</v>
          </cell>
          <cell r="U116">
            <v>300</v>
          </cell>
          <cell r="V116">
            <v>555</v>
          </cell>
          <cell r="W116">
            <v>225</v>
          </cell>
          <cell r="X116">
            <v>215</v>
          </cell>
          <cell r="Y116">
            <v>115</v>
          </cell>
          <cell r="Z116">
            <v>70</v>
          </cell>
          <cell r="AA116">
            <v>35</v>
          </cell>
          <cell r="AB116">
            <v>40</v>
          </cell>
          <cell r="AC116">
            <v>25</v>
          </cell>
          <cell r="AD116">
            <v>15</v>
          </cell>
          <cell r="AE116">
            <v>0</v>
          </cell>
          <cell r="AF116">
            <v>115</v>
          </cell>
          <cell r="AG116">
            <v>65</v>
          </cell>
          <cell r="AH116">
            <v>25</v>
          </cell>
          <cell r="AI116">
            <v>15</v>
          </cell>
          <cell r="AJ116">
            <v>25</v>
          </cell>
          <cell r="AK116">
            <v>50</v>
          </cell>
          <cell r="AL116">
            <v>25</v>
          </cell>
          <cell r="AM116">
            <v>20</v>
          </cell>
          <cell r="AN116">
            <v>10</v>
          </cell>
          <cell r="AO116">
            <v>1290</v>
          </cell>
          <cell r="AP116">
            <v>180</v>
          </cell>
          <cell r="AQ116">
            <v>405</v>
          </cell>
          <cell r="AR116">
            <v>135</v>
          </cell>
          <cell r="AS116">
            <v>360</v>
          </cell>
          <cell r="AT116">
            <v>215</v>
          </cell>
          <cell r="AU116">
            <v>1.2</v>
          </cell>
          <cell r="AV116">
            <v>3800</v>
          </cell>
          <cell r="AW116">
            <v>535</v>
          </cell>
          <cell r="AX116">
            <v>105</v>
          </cell>
          <cell r="AY116">
            <v>40</v>
          </cell>
          <cell r="AZ116">
            <v>390</v>
          </cell>
          <cell r="BA116">
            <v>3265</v>
          </cell>
          <cell r="BB116">
            <v>3.1</v>
          </cell>
          <cell r="BC116">
            <v>615</v>
          </cell>
          <cell r="BD116">
            <v>290</v>
          </cell>
          <cell r="BE116">
            <v>45</v>
          </cell>
          <cell r="BF116">
            <v>0</v>
          </cell>
          <cell r="BG116">
            <v>240</v>
          </cell>
          <cell r="BH116">
            <v>320</v>
          </cell>
          <cell r="BI116">
            <v>1460</v>
          </cell>
          <cell r="BJ116">
            <v>6.5</v>
          </cell>
          <cell r="BK116">
            <v>9490</v>
          </cell>
          <cell r="BL116">
            <v>2.8</v>
          </cell>
          <cell r="BM116">
            <v>4087.9999999999995</v>
          </cell>
          <cell r="BN116">
            <v>1460</v>
          </cell>
          <cell r="BO116">
            <v>975</v>
          </cell>
          <cell r="BP116">
            <v>485</v>
          </cell>
          <cell r="BQ116">
            <v>0</v>
          </cell>
          <cell r="BR116">
            <v>1460</v>
          </cell>
          <cell r="BS116">
            <v>960</v>
          </cell>
          <cell r="BT116">
            <v>430</v>
          </cell>
          <cell r="BU116">
            <v>75</v>
          </cell>
          <cell r="BV116">
            <v>1460</v>
          </cell>
          <cell r="BW116">
            <v>10</v>
          </cell>
          <cell r="BX116">
            <v>25</v>
          </cell>
          <cell r="BY116">
            <v>260</v>
          </cell>
          <cell r="BZ116">
            <v>780</v>
          </cell>
          <cell r="CA116">
            <v>110</v>
          </cell>
          <cell r="CB116">
            <v>45</v>
          </cell>
          <cell r="CC116">
            <v>10</v>
          </cell>
          <cell r="CD116">
            <v>0</v>
          </cell>
          <cell r="CE116">
            <v>225</v>
          </cell>
          <cell r="CF116">
            <v>1465</v>
          </cell>
          <cell r="CG116">
            <v>895</v>
          </cell>
          <cell r="CH116">
            <v>25</v>
          </cell>
          <cell r="CI116">
            <v>35</v>
          </cell>
          <cell r="CJ116">
            <v>0</v>
          </cell>
          <cell r="CK116">
            <v>335</v>
          </cell>
          <cell r="CL116">
            <v>175</v>
          </cell>
          <cell r="CM116">
            <v>0</v>
          </cell>
          <cell r="CN116">
            <v>5</v>
          </cell>
          <cell r="CO116">
            <v>1465</v>
          </cell>
          <cell r="CP116">
            <v>390</v>
          </cell>
          <cell r="CQ116">
            <v>425</v>
          </cell>
          <cell r="CR116">
            <v>225</v>
          </cell>
          <cell r="CS116">
            <v>380</v>
          </cell>
          <cell r="CT116">
            <v>40</v>
          </cell>
          <cell r="CU116">
            <v>3805</v>
          </cell>
          <cell r="CV116">
            <v>2.6</v>
          </cell>
          <cell r="CW116">
            <v>1460</v>
          </cell>
          <cell r="CX116">
            <v>1005</v>
          </cell>
          <cell r="CY116">
            <v>15</v>
          </cell>
          <cell r="CZ116">
            <v>440</v>
          </cell>
        </row>
        <row r="117">
          <cell r="A117" t="str">
            <v>4620523.00</v>
          </cell>
          <cell r="B117" t="str">
            <v>0523.00</v>
          </cell>
          <cell r="C117" t="str">
            <v>DOLLARD-DES ORMEAUX</v>
          </cell>
          <cell r="D117">
            <v>2040</v>
          </cell>
          <cell r="E117">
            <v>625</v>
          </cell>
          <cell r="F117">
            <v>1175</v>
          </cell>
          <cell r="G117">
            <v>40</v>
          </cell>
          <cell r="H117">
            <v>90</v>
          </cell>
          <cell r="I117">
            <v>110</v>
          </cell>
          <cell r="J117">
            <v>2035</v>
          </cell>
          <cell r="K117">
            <v>1940</v>
          </cell>
          <cell r="L117">
            <v>90</v>
          </cell>
          <cell r="M117">
            <v>735</v>
          </cell>
          <cell r="N117">
            <v>260</v>
          </cell>
          <cell r="O117">
            <v>180</v>
          </cell>
          <cell r="P117">
            <v>205</v>
          </cell>
          <cell r="Q117">
            <v>85</v>
          </cell>
          <cell r="R117">
            <v>735</v>
          </cell>
          <cell r="S117">
            <v>645</v>
          </cell>
          <cell r="T117">
            <v>585</v>
          </cell>
          <cell r="U117">
            <v>190</v>
          </cell>
          <cell r="V117">
            <v>400</v>
          </cell>
          <cell r="W117">
            <v>130</v>
          </cell>
          <cell r="X117">
            <v>200</v>
          </cell>
          <cell r="Y117">
            <v>70</v>
          </cell>
          <cell r="Z117">
            <v>60</v>
          </cell>
          <cell r="AA117">
            <v>35</v>
          </cell>
          <cell r="AB117">
            <v>20</v>
          </cell>
          <cell r="AC117">
            <v>0</v>
          </cell>
          <cell r="AD117">
            <v>0</v>
          </cell>
          <cell r="AE117">
            <v>20</v>
          </cell>
          <cell r="AF117">
            <v>90</v>
          </cell>
          <cell r="AG117">
            <v>70</v>
          </cell>
          <cell r="AH117">
            <v>35</v>
          </cell>
          <cell r="AI117">
            <v>25</v>
          </cell>
          <cell r="AJ117">
            <v>0</v>
          </cell>
          <cell r="AK117">
            <v>20</v>
          </cell>
          <cell r="AL117">
            <v>0</v>
          </cell>
          <cell r="AM117">
            <v>20</v>
          </cell>
          <cell r="AN117">
            <v>0</v>
          </cell>
          <cell r="AO117">
            <v>975</v>
          </cell>
          <cell r="AP117">
            <v>150</v>
          </cell>
          <cell r="AQ117">
            <v>325</v>
          </cell>
          <cell r="AR117">
            <v>95</v>
          </cell>
          <cell r="AS117">
            <v>215</v>
          </cell>
          <cell r="AT117">
            <v>190</v>
          </cell>
          <cell r="AU117">
            <v>1.3</v>
          </cell>
          <cell r="AV117">
            <v>2460</v>
          </cell>
          <cell r="AW117">
            <v>115</v>
          </cell>
          <cell r="AX117">
            <v>15</v>
          </cell>
          <cell r="AY117">
            <v>15</v>
          </cell>
          <cell r="AZ117">
            <v>75</v>
          </cell>
          <cell r="BA117">
            <v>2350</v>
          </cell>
          <cell r="BB117">
            <v>3.2</v>
          </cell>
          <cell r="BC117">
            <v>400</v>
          </cell>
          <cell r="BD117">
            <v>70</v>
          </cell>
          <cell r="BE117">
            <v>0</v>
          </cell>
          <cell r="BF117">
            <v>0</v>
          </cell>
          <cell r="BG117">
            <v>60</v>
          </cell>
          <cell r="BH117">
            <v>330</v>
          </cell>
          <cell r="BI117">
            <v>800</v>
          </cell>
          <cell r="BJ117">
            <v>8.1999999999999993</v>
          </cell>
          <cell r="BK117">
            <v>6559.9999999999991</v>
          </cell>
          <cell r="BL117">
            <v>3.6</v>
          </cell>
          <cell r="BM117">
            <v>2880</v>
          </cell>
          <cell r="BN117">
            <v>800</v>
          </cell>
          <cell r="BO117">
            <v>790</v>
          </cell>
          <cell r="BP117">
            <v>10</v>
          </cell>
          <cell r="BQ117">
            <v>0</v>
          </cell>
          <cell r="BR117">
            <v>800</v>
          </cell>
          <cell r="BS117">
            <v>445</v>
          </cell>
          <cell r="BT117">
            <v>325</v>
          </cell>
          <cell r="BU117">
            <v>40</v>
          </cell>
          <cell r="BV117">
            <v>800</v>
          </cell>
          <cell r="BW117">
            <v>10</v>
          </cell>
          <cell r="BX117">
            <v>95</v>
          </cell>
          <cell r="BY117">
            <v>665</v>
          </cell>
          <cell r="BZ117">
            <v>35</v>
          </cell>
          <cell r="CA117">
            <v>0</v>
          </cell>
          <cell r="CB117">
            <v>0</v>
          </cell>
          <cell r="CC117">
            <v>0</v>
          </cell>
          <cell r="CD117">
            <v>0</v>
          </cell>
          <cell r="CE117">
            <v>0</v>
          </cell>
          <cell r="CF117">
            <v>805</v>
          </cell>
          <cell r="CG117">
            <v>800</v>
          </cell>
          <cell r="CH117">
            <v>5</v>
          </cell>
          <cell r="CI117">
            <v>5</v>
          </cell>
          <cell r="CJ117">
            <v>0</v>
          </cell>
          <cell r="CK117">
            <v>0</v>
          </cell>
          <cell r="CL117">
            <v>0</v>
          </cell>
          <cell r="CM117">
            <v>0</v>
          </cell>
          <cell r="CN117">
            <v>0</v>
          </cell>
          <cell r="CO117">
            <v>805</v>
          </cell>
          <cell r="CP117">
            <v>80</v>
          </cell>
          <cell r="CQ117">
            <v>240</v>
          </cell>
          <cell r="CR117">
            <v>170</v>
          </cell>
          <cell r="CS117">
            <v>295</v>
          </cell>
          <cell r="CT117">
            <v>20</v>
          </cell>
          <cell r="CU117">
            <v>2465</v>
          </cell>
          <cell r="CV117">
            <v>3.1</v>
          </cell>
          <cell r="CW117">
            <v>800</v>
          </cell>
          <cell r="CX117">
            <v>705</v>
          </cell>
          <cell r="CY117">
            <v>15</v>
          </cell>
          <cell r="CZ117">
            <v>85</v>
          </cell>
        </row>
        <row r="118">
          <cell r="C118" t="str">
            <v>DOLLARD-DES ORMEAUX</v>
          </cell>
          <cell r="D118">
            <v>39760</v>
          </cell>
          <cell r="E118">
            <v>12630</v>
          </cell>
          <cell r="F118">
            <v>21785</v>
          </cell>
          <cell r="G118">
            <v>710</v>
          </cell>
          <cell r="H118">
            <v>2605</v>
          </cell>
          <cell r="I118">
            <v>1995</v>
          </cell>
          <cell r="J118">
            <v>39760</v>
          </cell>
          <cell r="K118">
            <v>38040</v>
          </cell>
          <cell r="L118">
            <v>1725</v>
          </cell>
          <cell r="M118">
            <v>13515</v>
          </cell>
          <cell r="N118">
            <v>4605</v>
          </cell>
          <cell r="O118">
            <v>3125</v>
          </cell>
          <cell r="P118">
            <v>3905</v>
          </cell>
          <cell r="Q118">
            <v>1875</v>
          </cell>
          <cell r="R118">
            <v>13520</v>
          </cell>
          <cell r="S118">
            <v>11550</v>
          </cell>
          <cell r="T118">
            <v>10660</v>
          </cell>
          <cell r="U118">
            <v>3110</v>
          </cell>
          <cell r="V118">
            <v>7540</v>
          </cell>
          <cell r="W118">
            <v>2330</v>
          </cell>
          <cell r="X118">
            <v>3490</v>
          </cell>
          <cell r="Y118">
            <v>1715</v>
          </cell>
          <cell r="Z118">
            <v>885</v>
          </cell>
          <cell r="AA118">
            <v>455</v>
          </cell>
          <cell r="AB118">
            <v>430</v>
          </cell>
          <cell r="AC118">
            <v>150</v>
          </cell>
          <cell r="AD118">
            <v>175</v>
          </cell>
          <cell r="AE118">
            <v>65</v>
          </cell>
          <cell r="AF118">
            <v>1975</v>
          </cell>
          <cell r="AG118">
            <v>1595</v>
          </cell>
          <cell r="AH118">
            <v>830</v>
          </cell>
          <cell r="AI118">
            <v>495</v>
          </cell>
          <cell r="AJ118">
            <v>250</v>
          </cell>
          <cell r="AK118">
            <v>350</v>
          </cell>
          <cell r="AL118">
            <v>180</v>
          </cell>
          <cell r="AM118">
            <v>140</v>
          </cell>
          <cell r="AN118">
            <v>50</v>
          </cell>
          <cell r="AO118">
            <v>19070</v>
          </cell>
          <cell r="AP118">
            <v>2965</v>
          </cell>
          <cell r="AQ118">
            <v>6150</v>
          </cell>
          <cell r="AR118">
            <v>2200</v>
          </cell>
          <cell r="AS118">
            <v>4850</v>
          </cell>
          <cell r="AT118">
            <v>2885</v>
          </cell>
          <cell r="AU118">
            <v>1.4105029585798816</v>
          </cell>
          <cell r="AV118">
            <v>48530</v>
          </cell>
          <cell r="AW118">
            <v>4395</v>
          </cell>
          <cell r="AX118">
            <v>945</v>
          </cell>
          <cell r="AY118">
            <v>515</v>
          </cell>
          <cell r="AZ118">
            <v>2900</v>
          </cell>
          <cell r="BA118">
            <v>44140</v>
          </cell>
          <cell r="BB118">
            <v>3.2647928994082842</v>
          </cell>
          <cell r="BC118">
            <v>5635</v>
          </cell>
          <cell r="BD118">
            <v>1680</v>
          </cell>
          <cell r="BE118">
            <v>435</v>
          </cell>
          <cell r="BF118">
            <v>35</v>
          </cell>
          <cell r="BG118">
            <v>1190</v>
          </cell>
          <cell r="BH118">
            <v>3950</v>
          </cell>
          <cell r="BI118">
            <v>16325</v>
          </cell>
          <cell r="BJ118">
            <v>7.2033078101071979</v>
          </cell>
          <cell r="BK118">
            <v>117594</v>
          </cell>
          <cell r="BL118">
            <v>3.1688820826952528</v>
          </cell>
          <cell r="BM118">
            <v>51732</v>
          </cell>
          <cell r="BN118">
            <v>16330</v>
          </cell>
          <cell r="BO118">
            <v>12645</v>
          </cell>
          <cell r="BP118">
            <v>3700</v>
          </cell>
          <cell r="BQ118">
            <v>0</v>
          </cell>
          <cell r="BR118">
            <v>16330</v>
          </cell>
          <cell r="BS118">
            <v>9580</v>
          </cell>
          <cell r="BT118">
            <v>5710</v>
          </cell>
          <cell r="BU118">
            <v>1030</v>
          </cell>
          <cell r="BV118">
            <v>16335</v>
          </cell>
          <cell r="BW118">
            <v>135</v>
          </cell>
          <cell r="BX118">
            <v>730</v>
          </cell>
          <cell r="BY118">
            <v>5695</v>
          </cell>
          <cell r="BZ118">
            <v>5155</v>
          </cell>
          <cell r="CA118">
            <v>1365</v>
          </cell>
          <cell r="CB118">
            <v>1290</v>
          </cell>
          <cell r="CC118">
            <v>495</v>
          </cell>
          <cell r="CD118">
            <v>565</v>
          </cell>
          <cell r="CE118">
            <v>870</v>
          </cell>
          <cell r="CF118">
            <v>16350</v>
          </cell>
          <cell r="CG118">
            <v>9865</v>
          </cell>
          <cell r="CH118">
            <v>360</v>
          </cell>
          <cell r="CI118">
            <v>2665</v>
          </cell>
          <cell r="CJ118">
            <v>35</v>
          </cell>
          <cell r="CK118">
            <v>1005</v>
          </cell>
          <cell r="CL118">
            <v>2430</v>
          </cell>
          <cell r="CM118">
            <v>0</v>
          </cell>
          <cell r="CN118">
            <v>5</v>
          </cell>
          <cell r="CO118">
            <v>16345</v>
          </cell>
          <cell r="CP118">
            <v>2915</v>
          </cell>
          <cell r="CQ118">
            <v>4345</v>
          </cell>
          <cell r="CR118">
            <v>2935</v>
          </cell>
          <cell r="CS118">
            <v>5390</v>
          </cell>
          <cell r="CT118">
            <v>750</v>
          </cell>
          <cell r="CU118">
            <v>48550</v>
          </cell>
          <cell r="CV118">
            <v>2.9703273172223921</v>
          </cell>
          <cell r="CW118">
            <v>16320</v>
          </cell>
          <cell r="CX118">
            <v>12785</v>
          </cell>
          <cell r="CY118">
            <v>345</v>
          </cell>
          <cell r="CZ118">
            <v>3210</v>
          </cell>
        </row>
        <row r="121">
          <cell r="A121" t="str">
            <v>4620430.00</v>
          </cell>
          <cell r="B121" t="str">
            <v>0430.00</v>
          </cell>
          <cell r="C121" t="str">
            <v>DORVAL</v>
          </cell>
          <cell r="D121">
            <v>5095</v>
          </cell>
          <cell r="E121">
            <v>2080</v>
          </cell>
          <cell r="F121">
            <v>1875</v>
          </cell>
          <cell r="G121">
            <v>150</v>
          </cell>
          <cell r="H121">
            <v>565</v>
          </cell>
          <cell r="I121">
            <v>425</v>
          </cell>
          <cell r="J121">
            <v>5090</v>
          </cell>
          <cell r="K121">
            <v>4405</v>
          </cell>
          <cell r="L121">
            <v>685</v>
          </cell>
          <cell r="M121">
            <v>1505</v>
          </cell>
          <cell r="N121">
            <v>820</v>
          </cell>
          <cell r="O121">
            <v>305</v>
          </cell>
          <cell r="P121">
            <v>300</v>
          </cell>
          <cell r="Q121">
            <v>70</v>
          </cell>
          <cell r="R121">
            <v>1505</v>
          </cell>
          <cell r="S121">
            <v>1260</v>
          </cell>
          <cell r="T121">
            <v>915</v>
          </cell>
          <cell r="U121">
            <v>415</v>
          </cell>
          <cell r="V121">
            <v>500</v>
          </cell>
          <cell r="W121">
            <v>200</v>
          </cell>
          <cell r="X121">
            <v>250</v>
          </cell>
          <cell r="Y121">
            <v>50</v>
          </cell>
          <cell r="Z121">
            <v>345</v>
          </cell>
          <cell r="AA121">
            <v>225</v>
          </cell>
          <cell r="AB121">
            <v>120</v>
          </cell>
          <cell r="AC121">
            <v>50</v>
          </cell>
          <cell r="AD121">
            <v>50</v>
          </cell>
          <cell r="AE121">
            <v>20</v>
          </cell>
          <cell r="AF121">
            <v>240</v>
          </cell>
          <cell r="AG121">
            <v>200</v>
          </cell>
          <cell r="AH121">
            <v>155</v>
          </cell>
          <cell r="AI121">
            <v>50</v>
          </cell>
          <cell r="AJ121">
            <v>0</v>
          </cell>
          <cell r="AK121">
            <v>40</v>
          </cell>
          <cell r="AL121">
            <v>30</v>
          </cell>
          <cell r="AM121">
            <v>10</v>
          </cell>
          <cell r="AN121">
            <v>0</v>
          </cell>
          <cell r="AO121">
            <v>1390</v>
          </cell>
          <cell r="AP121">
            <v>200</v>
          </cell>
          <cell r="AQ121">
            <v>495</v>
          </cell>
          <cell r="AR121">
            <v>185</v>
          </cell>
          <cell r="AS121">
            <v>315</v>
          </cell>
          <cell r="AT121">
            <v>195</v>
          </cell>
          <cell r="AU121">
            <v>0.9</v>
          </cell>
          <cell r="AV121">
            <v>5620</v>
          </cell>
          <cell r="AW121">
            <v>1475</v>
          </cell>
          <cell r="AX121">
            <v>70</v>
          </cell>
          <cell r="AY121">
            <v>145</v>
          </cell>
          <cell r="AZ121">
            <v>1255</v>
          </cell>
          <cell r="BA121">
            <v>4155</v>
          </cell>
          <cell r="BB121">
            <v>2.8</v>
          </cell>
          <cell r="BC121">
            <v>980</v>
          </cell>
          <cell r="BD121">
            <v>430</v>
          </cell>
          <cell r="BE121">
            <v>10</v>
          </cell>
          <cell r="BF121">
            <v>30</v>
          </cell>
          <cell r="BG121">
            <v>390</v>
          </cell>
          <cell r="BH121">
            <v>545</v>
          </cell>
          <cell r="BI121">
            <v>2830</v>
          </cell>
          <cell r="BJ121">
            <v>5</v>
          </cell>
          <cell r="BK121">
            <v>14150</v>
          </cell>
          <cell r="BL121">
            <v>2</v>
          </cell>
          <cell r="BM121">
            <v>5660</v>
          </cell>
          <cell r="BN121">
            <v>2830</v>
          </cell>
          <cell r="BO121">
            <v>1130</v>
          </cell>
          <cell r="BP121">
            <v>1695</v>
          </cell>
          <cell r="BQ121">
            <v>0</v>
          </cell>
          <cell r="BR121">
            <v>2830</v>
          </cell>
          <cell r="BS121">
            <v>1600</v>
          </cell>
          <cell r="BT121">
            <v>950</v>
          </cell>
          <cell r="BU121">
            <v>285</v>
          </cell>
          <cell r="BV121">
            <v>2830</v>
          </cell>
          <cell r="BW121">
            <v>190</v>
          </cell>
          <cell r="BX121">
            <v>1210</v>
          </cell>
          <cell r="BY121">
            <v>685</v>
          </cell>
          <cell r="BZ121">
            <v>260</v>
          </cell>
          <cell r="CA121">
            <v>90</v>
          </cell>
          <cell r="CB121">
            <v>125</v>
          </cell>
          <cell r="CC121">
            <v>45</v>
          </cell>
          <cell r="CD121">
            <v>40</v>
          </cell>
          <cell r="CE121">
            <v>185</v>
          </cell>
          <cell r="CF121">
            <v>2830</v>
          </cell>
          <cell r="CG121">
            <v>855</v>
          </cell>
          <cell r="CH121">
            <v>85</v>
          </cell>
          <cell r="CI121">
            <v>0</v>
          </cell>
          <cell r="CJ121">
            <v>70</v>
          </cell>
          <cell r="CK121">
            <v>575</v>
          </cell>
          <cell r="CL121">
            <v>1245</v>
          </cell>
          <cell r="CM121">
            <v>0</v>
          </cell>
          <cell r="CN121">
            <v>0</v>
          </cell>
          <cell r="CO121">
            <v>2830</v>
          </cell>
          <cell r="CP121">
            <v>1255</v>
          </cell>
          <cell r="CQ121">
            <v>870</v>
          </cell>
          <cell r="CR121">
            <v>330</v>
          </cell>
          <cell r="CS121">
            <v>350</v>
          </cell>
          <cell r="CT121">
            <v>25</v>
          </cell>
          <cell r="CU121">
            <v>5620</v>
          </cell>
          <cell r="CV121">
            <v>2</v>
          </cell>
          <cell r="CW121">
            <v>2830</v>
          </cell>
          <cell r="CX121">
            <v>1475</v>
          </cell>
          <cell r="CY121">
            <v>15</v>
          </cell>
          <cell r="CZ121">
            <v>1340</v>
          </cell>
        </row>
        <row r="122">
          <cell r="A122" t="str">
            <v>4620431.00</v>
          </cell>
          <cell r="B122" t="str">
            <v>0431.00</v>
          </cell>
          <cell r="C122" t="str">
            <v>DORVAL</v>
          </cell>
          <cell r="D122">
            <v>4635</v>
          </cell>
          <cell r="E122">
            <v>1625</v>
          </cell>
          <cell r="F122">
            <v>2080</v>
          </cell>
          <cell r="G122">
            <v>100</v>
          </cell>
          <cell r="H122">
            <v>460</v>
          </cell>
          <cell r="I122">
            <v>370</v>
          </cell>
          <cell r="J122">
            <v>4635</v>
          </cell>
          <cell r="K122">
            <v>4200</v>
          </cell>
          <cell r="L122">
            <v>435</v>
          </cell>
          <cell r="M122">
            <v>1515</v>
          </cell>
          <cell r="N122">
            <v>790</v>
          </cell>
          <cell r="O122">
            <v>295</v>
          </cell>
          <cell r="P122">
            <v>295</v>
          </cell>
          <cell r="Q122">
            <v>135</v>
          </cell>
          <cell r="R122">
            <v>1515</v>
          </cell>
          <cell r="S122">
            <v>1230</v>
          </cell>
          <cell r="T122">
            <v>1010</v>
          </cell>
          <cell r="U122">
            <v>430</v>
          </cell>
          <cell r="V122">
            <v>575</v>
          </cell>
          <cell r="W122">
            <v>215</v>
          </cell>
          <cell r="X122">
            <v>260</v>
          </cell>
          <cell r="Y122">
            <v>100</v>
          </cell>
          <cell r="Z122">
            <v>220</v>
          </cell>
          <cell r="AA122">
            <v>140</v>
          </cell>
          <cell r="AB122">
            <v>80</v>
          </cell>
          <cell r="AC122">
            <v>35</v>
          </cell>
          <cell r="AD122">
            <v>15</v>
          </cell>
          <cell r="AE122">
            <v>30</v>
          </cell>
          <cell r="AF122">
            <v>285</v>
          </cell>
          <cell r="AG122">
            <v>230</v>
          </cell>
          <cell r="AH122">
            <v>175</v>
          </cell>
          <cell r="AI122">
            <v>30</v>
          </cell>
          <cell r="AJ122">
            <v>25</v>
          </cell>
          <cell r="AK122">
            <v>55</v>
          </cell>
          <cell r="AL122">
            <v>40</v>
          </cell>
          <cell r="AM122">
            <v>20</v>
          </cell>
          <cell r="AN122">
            <v>0</v>
          </cell>
          <cell r="AO122">
            <v>1610</v>
          </cell>
          <cell r="AP122">
            <v>270</v>
          </cell>
          <cell r="AQ122">
            <v>535</v>
          </cell>
          <cell r="AR122">
            <v>240</v>
          </cell>
          <cell r="AS122">
            <v>360</v>
          </cell>
          <cell r="AT122">
            <v>200</v>
          </cell>
          <cell r="AU122">
            <v>1.1000000000000001</v>
          </cell>
          <cell r="AV122">
            <v>5455</v>
          </cell>
          <cell r="AW122">
            <v>1095</v>
          </cell>
          <cell r="AX122">
            <v>105</v>
          </cell>
          <cell r="AY122">
            <v>200</v>
          </cell>
          <cell r="AZ122">
            <v>785</v>
          </cell>
          <cell r="BA122">
            <v>4360</v>
          </cell>
          <cell r="BB122">
            <v>2.9</v>
          </cell>
          <cell r="BC122">
            <v>990</v>
          </cell>
          <cell r="BD122">
            <v>405</v>
          </cell>
          <cell r="BE122">
            <v>60</v>
          </cell>
          <cell r="BF122">
            <v>30</v>
          </cell>
          <cell r="BG122">
            <v>315</v>
          </cell>
          <cell r="BH122">
            <v>585</v>
          </cell>
          <cell r="BI122">
            <v>2365</v>
          </cell>
          <cell r="BJ122">
            <v>6.1</v>
          </cell>
          <cell r="BK122">
            <v>14426.5</v>
          </cell>
          <cell r="BL122">
            <v>2.6</v>
          </cell>
          <cell r="BM122">
            <v>6149</v>
          </cell>
          <cell r="BN122">
            <v>2370</v>
          </cell>
          <cell r="BO122">
            <v>1205</v>
          </cell>
          <cell r="BP122">
            <v>1165</v>
          </cell>
          <cell r="BQ122">
            <v>0</v>
          </cell>
          <cell r="BR122">
            <v>2365</v>
          </cell>
          <cell r="BS122">
            <v>1400</v>
          </cell>
          <cell r="BT122">
            <v>810</v>
          </cell>
          <cell r="BU122">
            <v>165</v>
          </cell>
          <cell r="BV122">
            <v>2365</v>
          </cell>
          <cell r="BW122">
            <v>105</v>
          </cell>
          <cell r="BX122">
            <v>755</v>
          </cell>
          <cell r="BY122">
            <v>625</v>
          </cell>
          <cell r="BZ122">
            <v>270</v>
          </cell>
          <cell r="CA122">
            <v>140</v>
          </cell>
          <cell r="CB122">
            <v>250</v>
          </cell>
          <cell r="CC122">
            <v>140</v>
          </cell>
          <cell r="CD122">
            <v>75</v>
          </cell>
          <cell r="CE122">
            <v>10</v>
          </cell>
          <cell r="CF122">
            <v>2365</v>
          </cell>
          <cell r="CG122">
            <v>960</v>
          </cell>
          <cell r="CH122">
            <v>70</v>
          </cell>
          <cell r="CI122">
            <v>175</v>
          </cell>
          <cell r="CJ122">
            <v>105</v>
          </cell>
          <cell r="CK122">
            <v>225</v>
          </cell>
          <cell r="CL122">
            <v>825</v>
          </cell>
          <cell r="CM122">
            <v>5</v>
          </cell>
          <cell r="CN122">
            <v>0</v>
          </cell>
          <cell r="CO122">
            <v>2365</v>
          </cell>
          <cell r="CP122">
            <v>790</v>
          </cell>
          <cell r="CQ122">
            <v>775</v>
          </cell>
          <cell r="CR122">
            <v>340</v>
          </cell>
          <cell r="CS122">
            <v>405</v>
          </cell>
          <cell r="CT122">
            <v>55</v>
          </cell>
          <cell r="CU122">
            <v>5450</v>
          </cell>
          <cell r="CV122">
            <v>2.2999999999999998</v>
          </cell>
          <cell r="CW122">
            <v>2365</v>
          </cell>
          <cell r="CX122">
            <v>1440</v>
          </cell>
          <cell r="CY122">
            <v>35</v>
          </cell>
          <cell r="CZ122">
            <v>890</v>
          </cell>
        </row>
        <row r="123">
          <cell r="A123" t="str">
            <v>4620432.00</v>
          </cell>
          <cell r="B123" t="str">
            <v>0432.00</v>
          </cell>
          <cell r="C123" t="str">
            <v>DORVAL</v>
          </cell>
          <cell r="D123">
            <v>2705</v>
          </cell>
          <cell r="E123">
            <v>815</v>
          </cell>
          <cell r="F123">
            <v>1405</v>
          </cell>
          <cell r="G123">
            <v>60</v>
          </cell>
          <cell r="H123">
            <v>225</v>
          </cell>
          <cell r="I123">
            <v>195</v>
          </cell>
          <cell r="J123">
            <v>2700</v>
          </cell>
          <cell r="K123">
            <v>2420</v>
          </cell>
          <cell r="L123">
            <v>280</v>
          </cell>
          <cell r="M123">
            <v>985</v>
          </cell>
          <cell r="N123">
            <v>460</v>
          </cell>
          <cell r="O123">
            <v>230</v>
          </cell>
          <cell r="P123">
            <v>215</v>
          </cell>
          <cell r="Q123">
            <v>80</v>
          </cell>
          <cell r="R123">
            <v>985</v>
          </cell>
          <cell r="S123">
            <v>830</v>
          </cell>
          <cell r="T123">
            <v>695</v>
          </cell>
          <cell r="U123">
            <v>285</v>
          </cell>
          <cell r="V123">
            <v>405</v>
          </cell>
          <cell r="W123">
            <v>155</v>
          </cell>
          <cell r="X123">
            <v>175</v>
          </cell>
          <cell r="Y123">
            <v>75</v>
          </cell>
          <cell r="Z123">
            <v>135</v>
          </cell>
          <cell r="AA123">
            <v>70</v>
          </cell>
          <cell r="AB123">
            <v>65</v>
          </cell>
          <cell r="AC123">
            <v>40</v>
          </cell>
          <cell r="AD123">
            <v>25</v>
          </cell>
          <cell r="AE123">
            <v>0</v>
          </cell>
          <cell r="AF123">
            <v>150</v>
          </cell>
          <cell r="AG123">
            <v>130</v>
          </cell>
          <cell r="AH123">
            <v>85</v>
          </cell>
          <cell r="AI123">
            <v>35</v>
          </cell>
          <cell r="AJ123">
            <v>15</v>
          </cell>
          <cell r="AK123">
            <v>25</v>
          </cell>
          <cell r="AL123">
            <v>20</v>
          </cell>
          <cell r="AM123">
            <v>0</v>
          </cell>
          <cell r="AN123">
            <v>0</v>
          </cell>
          <cell r="AO123">
            <v>1065</v>
          </cell>
          <cell r="AP123">
            <v>215</v>
          </cell>
          <cell r="AQ123">
            <v>365</v>
          </cell>
          <cell r="AR123">
            <v>125</v>
          </cell>
          <cell r="AS123">
            <v>225</v>
          </cell>
          <cell r="AT123">
            <v>135</v>
          </cell>
          <cell r="AU123">
            <v>1.1000000000000001</v>
          </cell>
          <cell r="AV123">
            <v>3215</v>
          </cell>
          <cell r="AW123">
            <v>335</v>
          </cell>
          <cell r="AX123">
            <v>50</v>
          </cell>
          <cell r="AY123">
            <v>20</v>
          </cell>
          <cell r="AZ123">
            <v>260</v>
          </cell>
          <cell r="BA123">
            <v>2880</v>
          </cell>
          <cell r="BB123">
            <v>2.9</v>
          </cell>
          <cell r="BC123">
            <v>505</v>
          </cell>
          <cell r="BD123">
            <v>135</v>
          </cell>
          <cell r="BE123">
            <v>35</v>
          </cell>
          <cell r="BF123">
            <v>10</v>
          </cell>
          <cell r="BG123">
            <v>95</v>
          </cell>
          <cell r="BH123">
            <v>365</v>
          </cell>
          <cell r="BI123">
            <v>1235</v>
          </cell>
          <cell r="BJ123">
            <v>7.6</v>
          </cell>
          <cell r="BK123">
            <v>9386</v>
          </cell>
          <cell r="BL123">
            <v>3.2</v>
          </cell>
          <cell r="BM123">
            <v>3952</v>
          </cell>
          <cell r="BN123">
            <v>1240</v>
          </cell>
          <cell r="BO123">
            <v>1135</v>
          </cell>
          <cell r="BP123">
            <v>100</v>
          </cell>
          <cell r="BQ123">
            <v>0</v>
          </cell>
          <cell r="BR123">
            <v>1240</v>
          </cell>
          <cell r="BS123">
            <v>620</v>
          </cell>
          <cell r="BT123">
            <v>440</v>
          </cell>
          <cell r="BU123">
            <v>175</v>
          </cell>
          <cell r="BV123">
            <v>1235</v>
          </cell>
          <cell r="BW123">
            <v>165</v>
          </cell>
          <cell r="BX123">
            <v>895</v>
          </cell>
          <cell r="BY123">
            <v>65</v>
          </cell>
          <cell r="BZ123">
            <v>25</v>
          </cell>
          <cell r="CA123">
            <v>10</v>
          </cell>
          <cell r="CB123">
            <v>25</v>
          </cell>
          <cell r="CC123">
            <v>0</v>
          </cell>
          <cell r="CD123">
            <v>35</v>
          </cell>
          <cell r="CE123">
            <v>15</v>
          </cell>
          <cell r="CF123">
            <v>1240</v>
          </cell>
          <cell r="CG123">
            <v>1120</v>
          </cell>
          <cell r="CH123">
            <v>40</v>
          </cell>
          <cell r="CI123">
            <v>0</v>
          </cell>
          <cell r="CJ123">
            <v>20</v>
          </cell>
          <cell r="CK123">
            <v>0</v>
          </cell>
          <cell r="CL123">
            <v>60</v>
          </cell>
          <cell r="CM123">
            <v>0</v>
          </cell>
          <cell r="CN123">
            <v>0</v>
          </cell>
          <cell r="CO123">
            <v>1240</v>
          </cell>
          <cell r="CP123">
            <v>265</v>
          </cell>
          <cell r="CQ123">
            <v>435</v>
          </cell>
          <cell r="CR123">
            <v>220</v>
          </cell>
          <cell r="CS123">
            <v>290</v>
          </cell>
          <cell r="CT123">
            <v>30</v>
          </cell>
          <cell r="CU123">
            <v>3215</v>
          </cell>
          <cell r="CV123">
            <v>2.6</v>
          </cell>
          <cell r="CW123">
            <v>1240</v>
          </cell>
          <cell r="CX123">
            <v>940</v>
          </cell>
          <cell r="CY123">
            <v>20</v>
          </cell>
          <cell r="CZ123">
            <v>275</v>
          </cell>
        </row>
        <row r="124">
          <cell r="A124" t="str">
            <v>4620433.00</v>
          </cell>
          <cell r="B124" t="str">
            <v>0433.00</v>
          </cell>
          <cell r="C124" t="str">
            <v>DORVAL</v>
          </cell>
          <cell r="D124">
            <v>2965</v>
          </cell>
          <cell r="E124">
            <v>1090</v>
          </cell>
          <cell r="F124">
            <v>1395</v>
          </cell>
          <cell r="G124">
            <v>55</v>
          </cell>
          <cell r="H124">
            <v>260</v>
          </cell>
          <cell r="I124">
            <v>160</v>
          </cell>
          <cell r="J124">
            <v>2965</v>
          </cell>
          <cell r="K124">
            <v>2640</v>
          </cell>
          <cell r="L124">
            <v>325</v>
          </cell>
          <cell r="M124">
            <v>1020</v>
          </cell>
          <cell r="N124">
            <v>430</v>
          </cell>
          <cell r="O124">
            <v>265</v>
          </cell>
          <cell r="P124">
            <v>230</v>
          </cell>
          <cell r="Q124">
            <v>90</v>
          </cell>
          <cell r="R124">
            <v>1015</v>
          </cell>
          <cell r="S124">
            <v>850</v>
          </cell>
          <cell r="T124">
            <v>680</v>
          </cell>
          <cell r="U124">
            <v>235</v>
          </cell>
          <cell r="V124">
            <v>450</v>
          </cell>
          <cell r="W124">
            <v>175</v>
          </cell>
          <cell r="X124">
            <v>195</v>
          </cell>
          <cell r="Y124">
            <v>75</v>
          </cell>
          <cell r="Z124">
            <v>165</v>
          </cell>
          <cell r="AA124">
            <v>90</v>
          </cell>
          <cell r="AB124">
            <v>75</v>
          </cell>
          <cell r="AC124">
            <v>40</v>
          </cell>
          <cell r="AD124">
            <v>25</v>
          </cell>
          <cell r="AE124">
            <v>10</v>
          </cell>
          <cell r="AF124">
            <v>170</v>
          </cell>
          <cell r="AG124">
            <v>150</v>
          </cell>
          <cell r="AH124">
            <v>80</v>
          </cell>
          <cell r="AI124">
            <v>50</v>
          </cell>
          <cell r="AJ124">
            <v>15</v>
          </cell>
          <cell r="AK124">
            <v>25</v>
          </cell>
          <cell r="AL124">
            <v>25</v>
          </cell>
          <cell r="AM124">
            <v>0</v>
          </cell>
          <cell r="AN124">
            <v>0</v>
          </cell>
          <cell r="AO124">
            <v>1200</v>
          </cell>
          <cell r="AP124">
            <v>190</v>
          </cell>
          <cell r="AQ124">
            <v>375</v>
          </cell>
          <cell r="AR124">
            <v>160</v>
          </cell>
          <cell r="AS124">
            <v>330</v>
          </cell>
          <cell r="AT124">
            <v>145</v>
          </cell>
          <cell r="AU124">
            <v>1.2</v>
          </cell>
          <cell r="AV124">
            <v>3540</v>
          </cell>
          <cell r="AW124">
            <v>475</v>
          </cell>
          <cell r="AX124">
            <v>60</v>
          </cell>
          <cell r="AY124">
            <v>70</v>
          </cell>
          <cell r="AZ124">
            <v>340</v>
          </cell>
          <cell r="BA124">
            <v>3065</v>
          </cell>
          <cell r="BB124">
            <v>3</v>
          </cell>
          <cell r="BC124">
            <v>475</v>
          </cell>
          <cell r="BD124">
            <v>150</v>
          </cell>
          <cell r="BE124">
            <v>30</v>
          </cell>
          <cell r="BF124">
            <v>10</v>
          </cell>
          <cell r="BG124">
            <v>115</v>
          </cell>
          <cell r="BH124">
            <v>325</v>
          </cell>
          <cell r="BI124">
            <v>1375</v>
          </cell>
          <cell r="BJ124">
            <v>6.9</v>
          </cell>
          <cell r="BK124">
            <v>9487.5</v>
          </cell>
          <cell r="BL124">
            <v>2.9</v>
          </cell>
          <cell r="BM124">
            <v>3987.5</v>
          </cell>
          <cell r="BN124">
            <v>1375</v>
          </cell>
          <cell r="BO124">
            <v>1140</v>
          </cell>
          <cell r="BP124">
            <v>235</v>
          </cell>
          <cell r="BQ124">
            <v>0</v>
          </cell>
          <cell r="BR124">
            <v>1380</v>
          </cell>
          <cell r="BS124">
            <v>745</v>
          </cell>
          <cell r="BT124">
            <v>540</v>
          </cell>
          <cell r="BU124">
            <v>90</v>
          </cell>
          <cell r="BV124">
            <v>1375</v>
          </cell>
          <cell r="BW124">
            <v>90</v>
          </cell>
          <cell r="BX124">
            <v>895</v>
          </cell>
          <cell r="BY124">
            <v>145</v>
          </cell>
          <cell r="BZ124">
            <v>80</v>
          </cell>
          <cell r="CA124">
            <v>50</v>
          </cell>
          <cell r="CB124">
            <v>60</v>
          </cell>
          <cell r="CC124">
            <v>0</v>
          </cell>
          <cell r="CD124">
            <v>10</v>
          </cell>
          <cell r="CE124">
            <v>40</v>
          </cell>
          <cell r="CF124">
            <v>1375</v>
          </cell>
          <cell r="CG124">
            <v>975</v>
          </cell>
          <cell r="CH124">
            <v>100</v>
          </cell>
          <cell r="CI124">
            <v>5</v>
          </cell>
          <cell r="CJ124">
            <v>25</v>
          </cell>
          <cell r="CK124">
            <v>0</v>
          </cell>
          <cell r="CL124">
            <v>265</v>
          </cell>
          <cell r="CM124">
            <v>0</v>
          </cell>
          <cell r="CN124">
            <v>0</v>
          </cell>
          <cell r="CO124">
            <v>1375</v>
          </cell>
          <cell r="CP124">
            <v>345</v>
          </cell>
          <cell r="CQ124">
            <v>435</v>
          </cell>
          <cell r="CR124">
            <v>245</v>
          </cell>
          <cell r="CS124">
            <v>315</v>
          </cell>
          <cell r="CT124">
            <v>35</v>
          </cell>
          <cell r="CU124">
            <v>3535</v>
          </cell>
          <cell r="CV124">
            <v>2.6</v>
          </cell>
          <cell r="CW124">
            <v>1375</v>
          </cell>
          <cell r="CX124">
            <v>985</v>
          </cell>
          <cell r="CY124">
            <v>20</v>
          </cell>
          <cell r="CZ124">
            <v>370</v>
          </cell>
        </row>
        <row r="125">
          <cell r="C125" t="str">
            <v>DORVAL</v>
          </cell>
          <cell r="D125">
            <v>15400</v>
          </cell>
          <cell r="E125">
            <v>5610</v>
          </cell>
          <cell r="F125">
            <v>6755</v>
          </cell>
          <cell r="G125">
            <v>365</v>
          </cell>
          <cell r="H125">
            <v>1510</v>
          </cell>
          <cell r="I125">
            <v>1150</v>
          </cell>
          <cell r="J125">
            <v>15390</v>
          </cell>
          <cell r="K125">
            <v>13665</v>
          </cell>
          <cell r="L125">
            <v>1725</v>
          </cell>
          <cell r="M125">
            <v>5025</v>
          </cell>
          <cell r="N125">
            <v>2500</v>
          </cell>
          <cell r="O125">
            <v>1095</v>
          </cell>
          <cell r="P125">
            <v>1040</v>
          </cell>
          <cell r="Q125">
            <v>375</v>
          </cell>
          <cell r="R125">
            <v>5020</v>
          </cell>
          <cell r="S125">
            <v>4170</v>
          </cell>
          <cell r="T125">
            <v>3300</v>
          </cell>
          <cell r="U125">
            <v>1365</v>
          </cell>
          <cell r="V125">
            <v>1930</v>
          </cell>
          <cell r="W125">
            <v>745</v>
          </cell>
          <cell r="X125">
            <v>880</v>
          </cell>
          <cell r="Y125">
            <v>300</v>
          </cell>
          <cell r="Z125">
            <v>865</v>
          </cell>
          <cell r="AA125">
            <v>525</v>
          </cell>
          <cell r="AB125">
            <v>340</v>
          </cell>
          <cell r="AC125">
            <v>165</v>
          </cell>
          <cell r="AD125">
            <v>115</v>
          </cell>
          <cell r="AE125">
            <v>60</v>
          </cell>
          <cell r="AF125">
            <v>845</v>
          </cell>
          <cell r="AG125">
            <v>710</v>
          </cell>
          <cell r="AH125">
            <v>495</v>
          </cell>
          <cell r="AI125">
            <v>165</v>
          </cell>
          <cell r="AJ125">
            <v>55</v>
          </cell>
          <cell r="AK125">
            <v>145</v>
          </cell>
          <cell r="AL125">
            <v>115</v>
          </cell>
          <cell r="AM125">
            <v>30</v>
          </cell>
          <cell r="AN125">
            <v>0</v>
          </cell>
          <cell r="AO125">
            <v>5265</v>
          </cell>
          <cell r="AP125">
            <v>875</v>
          </cell>
          <cell r="AQ125">
            <v>1770</v>
          </cell>
          <cell r="AR125">
            <v>710</v>
          </cell>
          <cell r="AS125">
            <v>1230</v>
          </cell>
          <cell r="AT125">
            <v>675</v>
          </cell>
          <cell r="AU125">
            <v>1.048804780876494</v>
          </cell>
          <cell r="AV125">
            <v>17830</v>
          </cell>
          <cell r="AW125">
            <v>3380</v>
          </cell>
          <cell r="AX125">
            <v>285</v>
          </cell>
          <cell r="AY125">
            <v>435</v>
          </cell>
          <cell r="AZ125">
            <v>2640</v>
          </cell>
          <cell r="BA125">
            <v>14460</v>
          </cell>
          <cell r="BB125">
            <v>2.8804780876494025</v>
          </cell>
          <cell r="BC125">
            <v>2950</v>
          </cell>
          <cell r="BD125">
            <v>1120</v>
          </cell>
          <cell r="BE125">
            <v>135</v>
          </cell>
          <cell r="BF125">
            <v>80</v>
          </cell>
          <cell r="BG125">
            <v>915</v>
          </cell>
          <cell r="BH125">
            <v>1820</v>
          </cell>
          <cell r="BI125">
            <v>7805</v>
          </cell>
          <cell r="BJ125">
            <v>6.0794362588084558</v>
          </cell>
          <cell r="BK125">
            <v>47450</v>
          </cell>
          <cell r="BL125">
            <v>2.5302370275464448</v>
          </cell>
          <cell r="BM125">
            <v>19748.5</v>
          </cell>
          <cell r="BN125">
            <v>7815</v>
          </cell>
          <cell r="BO125">
            <v>4610</v>
          </cell>
          <cell r="BP125">
            <v>3195</v>
          </cell>
          <cell r="BQ125">
            <v>0</v>
          </cell>
          <cell r="BR125">
            <v>7815</v>
          </cell>
          <cell r="BS125">
            <v>4365</v>
          </cell>
          <cell r="BT125">
            <v>2740</v>
          </cell>
          <cell r="BU125">
            <v>715</v>
          </cell>
          <cell r="BV125">
            <v>7805</v>
          </cell>
          <cell r="BW125">
            <v>550</v>
          </cell>
          <cell r="BX125">
            <v>3755</v>
          </cell>
          <cell r="BY125">
            <v>1520</v>
          </cell>
          <cell r="BZ125">
            <v>635</v>
          </cell>
          <cell r="CA125">
            <v>290</v>
          </cell>
          <cell r="CB125">
            <v>460</v>
          </cell>
          <cell r="CC125">
            <v>185</v>
          </cell>
          <cell r="CD125">
            <v>160</v>
          </cell>
          <cell r="CE125">
            <v>250</v>
          </cell>
          <cell r="CF125">
            <v>7810</v>
          </cell>
          <cell r="CG125">
            <v>3910</v>
          </cell>
          <cell r="CH125">
            <v>295</v>
          </cell>
          <cell r="CI125">
            <v>180</v>
          </cell>
          <cell r="CJ125">
            <v>220</v>
          </cell>
          <cell r="CK125">
            <v>800</v>
          </cell>
          <cell r="CL125">
            <v>2395</v>
          </cell>
          <cell r="CM125">
            <v>5</v>
          </cell>
          <cell r="CN125">
            <v>0</v>
          </cell>
          <cell r="CO125">
            <v>7810</v>
          </cell>
          <cell r="CP125">
            <v>2655</v>
          </cell>
          <cell r="CQ125">
            <v>2515</v>
          </cell>
          <cell r="CR125">
            <v>1135</v>
          </cell>
          <cell r="CS125">
            <v>1360</v>
          </cell>
          <cell r="CT125">
            <v>145</v>
          </cell>
          <cell r="CU125">
            <v>17820</v>
          </cell>
          <cell r="CV125">
            <v>2.2816901408450705</v>
          </cell>
          <cell r="CW125">
            <v>7810</v>
          </cell>
          <cell r="CX125">
            <v>4840</v>
          </cell>
          <cell r="CY125">
            <v>90</v>
          </cell>
          <cell r="CZ125">
            <v>2875</v>
          </cell>
        </row>
        <row r="128">
          <cell r="A128" t="str">
            <v>4620370.00</v>
          </cell>
          <cell r="B128" t="str">
            <v>0370.00</v>
          </cell>
          <cell r="C128" t="str">
            <v>HAMPSTEAD</v>
          </cell>
          <cell r="D128">
            <v>5515</v>
          </cell>
          <cell r="E128">
            <v>1590</v>
          </cell>
          <cell r="F128">
            <v>3280</v>
          </cell>
          <cell r="G128">
            <v>80</v>
          </cell>
          <cell r="H128">
            <v>300</v>
          </cell>
          <cell r="I128">
            <v>260</v>
          </cell>
          <cell r="J128">
            <v>5510</v>
          </cell>
          <cell r="K128">
            <v>5340</v>
          </cell>
          <cell r="L128">
            <v>170</v>
          </cell>
          <cell r="M128">
            <v>1875</v>
          </cell>
          <cell r="N128">
            <v>755</v>
          </cell>
          <cell r="O128">
            <v>335</v>
          </cell>
          <cell r="P128">
            <v>450</v>
          </cell>
          <cell r="Q128">
            <v>330</v>
          </cell>
          <cell r="R128">
            <v>1875</v>
          </cell>
          <cell r="S128">
            <v>1695</v>
          </cell>
          <cell r="T128">
            <v>1610</v>
          </cell>
          <cell r="U128">
            <v>595</v>
          </cell>
          <cell r="V128">
            <v>1015</v>
          </cell>
          <cell r="W128">
            <v>255</v>
          </cell>
          <cell r="X128">
            <v>425</v>
          </cell>
          <cell r="Y128">
            <v>330</v>
          </cell>
          <cell r="Z128">
            <v>90</v>
          </cell>
          <cell r="AA128">
            <v>55</v>
          </cell>
          <cell r="AB128">
            <v>35</v>
          </cell>
          <cell r="AC128">
            <v>25</v>
          </cell>
          <cell r="AD128">
            <v>10</v>
          </cell>
          <cell r="AE128">
            <v>0</v>
          </cell>
          <cell r="AF128">
            <v>180</v>
          </cell>
          <cell r="AG128">
            <v>160</v>
          </cell>
          <cell r="AH128">
            <v>85</v>
          </cell>
          <cell r="AI128">
            <v>55</v>
          </cell>
          <cell r="AJ128">
            <v>15</v>
          </cell>
          <cell r="AK128">
            <v>20</v>
          </cell>
          <cell r="AL128">
            <v>20</v>
          </cell>
          <cell r="AM128">
            <v>0</v>
          </cell>
          <cell r="AN128">
            <v>0</v>
          </cell>
          <cell r="AO128">
            <v>2570</v>
          </cell>
          <cell r="AP128">
            <v>490</v>
          </cell>
          <cell r="AQ128">
            <v>1000</v>
          </cell>
          <cell r="AR128">
            <v>300</v>
          </cell>
          <cell r="AS128">
            <v>545</v>
          </cell>
          <cell r="AT128">
            <v>235</v>
          </cell>
          <cell r="AU128">
            <v>1.4</v>
          </cell>
          <cell r="AV128">
            <v>6990</v>
          </cell>
          <cell r="AW128">
            <v>850</v>
          </cell>
          <cell r="AX128">
            <v>90</v>
          </cell>
          <cell r="AY128">
            <v>170</v>
          </cell>
          <cell r="AZ128">
            <v>595</v>
          </cell>
          <cell r="BA128">
            <v>6145</v>
          </cell>
          <cell r="BB128">
            <v>3.3</v>
          </cell>
          <cell r="BC128">
            <v>1060</v>
          </cell>
          <cell r="BD128">
            <v>295</v>
          </cell>
          <cell r="BE128">
            <v>50</v>
          </cell>
          <cell r="BF128">
            <v>15</v>
          </cell>
          <cell r="BG128">
            <v>225</v>
          </cell>
          <cell r="BH128">
            <v>760</v>
          </cell>
          <cell r="BI128">
            <v>2515</v>
          </cell>
          <cell r="BJ128">
            <v>7.7</v>
          </cell>
          <cell r="BK128">
            <v>19365.5</v>
          </cell>
          <cell r="BL128">
            <v>3.3</v>
          </cell>
          <cell r="BM128">
            <v>8299.5</v>
          </cell>
          <cell r="BN128">
            <v>2515</v>
          </cell>
          <cell r="BO128">
            <v>1730</v>
          </cell>
          <cell r="BP128">
            <v>785</v>
          </cell>
          <cell r="BQ128">
            <v>0</v>
          </cell>
          <cell r="BR128">
            <v>2515</v>
          </cell>
          <cell r="BS128">
            <v>1455</v>
          </cell>
          <cell r="BT128">
            <v>890</v>
          </cell>
          <cell r="BU128">
            <v>170</v>
          </cell>
          <cell r="BV128">
            <v>2515</v>
          </cell>
          <cell r="BW128">
            <v>535</v>
          </cell>
          <cell r="BX128">
            <v>685</v>
          </cell>
          <cell r="BY128">
            <v>775</v>
          </cell>
          <cell r="BZ128">
            <v>385</v>
          </cell>
          <cell r="CA128">
            <v>65</v>
          </cell>
          <cell r="CB128">
            <v>25</v>
          </cell>
          <cell r="CC128">
            <v>10</v>
          </cell>
          <cell r="CD128">
            <v>15</v>
          </cell>
          <cell r="CE128">
            <v>15</v>
          </cell>
          <cell r="CF128">
            <v>2520</v>
          </cell>
          <cell r="CG128">
            <v>1250</v>
          </cell>
          <cell r="CH128">
            <v>205</v>
          </cell>
          <cell r="CI128">
            <v>0</v>
          </cell>
          <cell r="CJ128">
            <v>350</v>
          </cell>
          <cell r="CK128">
            <v>245</v>
          </cell>
          <cell r="CL128">
            <v>470</v>
          </cell>
          <cell r="CM128">
            <v>0</v>
          </cell>
          <cell r="CN128">
            <v>0</v>
          </cell>
          <cell r="CO128">
            <v>2515</v>
          </cell>
          <cell r="CP128">
            <v>595</v>
          </cell>
          <cell r="CQ128">
            <v>745</v>
          </cell>
          <cell r="CR128">
            <v>370</v>
          </cell>
          <cell r="CS128">
            <v>700</v>
          </cell>
          <cell r="CT128">
            <v>115</v>
          </cell>
          <cell r="CU128">
            <v>6995</v>
          </cell>
          <cell r="CV128">
            <v>2.8</v>
          </cell>
          <cell r="CW128">
            <v>2520</v>
          </cell>
          <cell r="CX128">
            <v>1850</v>
          </cell>
          <cell r="CY128">
            <v>15</v>
          </cell>
          <cell r="CZ128">
            <v>655</v>
          </cell>
        </row>
        <row r="129">
          <cell r="C129" t="str">
            <v>HAMPSTEAD</v>
          </cell>
          <cell r="D129">
            <v>5515</v>
          </cell>
          <cell r="E129">
            <v>1590</v>
          </cell>
          <cell r="F129">
            <v>3280</v>
          </cell>
          <cell r="G129">
            <v>80</v>
          </cell>
          <cell r="H129">
            <v>300</v>
          </cell>
          <cell r="I129">
            <v>260</v>
          </cell>
          <cell r="J129">
            <v>5510</v>
          </cell>
          <cell r="K129">
            <v>5340</v>
          </cell>
          <cell r="L129">
            <v>170</v>
          </cell>
          <cell r="M129">
            <v>1875</v>
          </cell>
          <cell r="N129">
            <v>755</v>
          </cell>
          <cell r="O129">
            <v>335</v>
          </cell>
          <cell r="P129">
            <v>450</v>
          </cell>
          <cell r="Q129">
            <v>330</v>
          </cell>
          <cell r="R129">
            <v>1875</v>
          </cell>
          <cell r="S129">
            <v>1695</v>
          </cell>
          <cell r="T129">
            <v>1610</v>
          </cell>
          <cell r="U129">
            <v>595</v>
          </cell>
          <cell r="V129">
            <v>1015</v>
          </cell>
          <cell r="W129">
            <v>255</v>
          </cell>
          <cell r="X129">
            <v>425</v>
          </cell>
          <cell r="Y129">
            <v>330</v>
          </cell>
          <cell r="Z129">
            <v>90</v>
          </cell>
          <cell r="AA129">
            <v>55</v>
          </cell>
          <cell r="AB129">
            <v>35</v>
          </cell>
          <cell r="AC129">
            <v>25</v>
          </cell>
          <cell r="AD129">
            <v>10</v>
          </cell>
          <cell r="AE129">
            <v>0</v>
          </cell>
          <cell r="AF129">
            <v>180</v>
          </cell>
          <cell r="AG129">
            <v>160</v>
          </cell>
          <cell r="AH129">
            <v>85</v>
          </cell>
          <cell r="AI129">
            <v>55</v>
          </cell>
          <cell r="AJ129">
            <v>15</v>
          </cell>
          <cell r="AK129">
            <v>20</v>
          </cell>
          <cell r="AL129">
            <v>20</v>
          </cell>
          <cell r="AM129">
            <v>0</v>
          </cell>
          <cell r="AN129">
            <v>0</v>
          </cell>
          <cell r="AO129">
            <v>2570</v>
          </cell>
          <cell r="AP129">
            <v>490</v>
          </cell>
          <cell r="AQ129">
            <v>1000</v>
          </cell>
          <cell r="AR129">
            <v>300</v>
          </cell>
          <cell r="AS129">
            <v>545</v>
          </cell>
          <cell r="AT129">
            <v>235</v>
          </cell>
          <cell r="AU129">
            <v>1.3706666666666667</v>
          </cell>
          <cell r="AV129">
            <v>6990</v>
          </cell>
          <cell r="AW129">
            <v>850</v>
          </cell>
          <cell r="AX129">
            <v>90</v>
          </cell>
          <cell r="AY129">
            <v>170</v>
          </cell>
          <cell r="AZ129">
            <v>595</v>
          </cell>
          <cell r="BA129">
            <v>6145</v>
          </cell>
          <cell r="BB129">
            <v>3.2773333333333334</v>
          </cell>
          <cell r="BC129">
            <v>1060</v>
          </cell>
          <cell r="BD129">
            <v>295</v>
          </cell>
          <cell r="BE129">
            <v>50</v>
          </cell>
          <cell r="BF129">
            <v>15</v>
          </cell>
          <cell r="BG129">
            <v>225</v>
          </cell>
          <cell r="BH129">
            <v>760</v>
          </cell>
          <cell r="BI129">
            <v>2515</v>
          </cell>
          <cell r="BJ129">
            <v>7.7</v>
          </cell>
          <cell r="BK129">
            <v>19365.5</v>
          </cell>
          <cell r="BL129">
            <v>3.3</v>
          </cell>
          <cell r="BM129">
            <v>8299.5</v>
          </cell>
          <cell r="BN129">
            <v>2515</v>
          </cell>
          <cell r="BO129">
            <v>1730</v>
          </cell>
          <cell r="BP129">
            <v>785</v>
          </cell>
          <cell r="BQ129">
            <v>0</v>
          </cell>
          <cell r="BR129">
            <v>2515</v>
          </cell>
          <cell r="BS129">
            <v>1455</v>
          </cell>
          <cell r="BT129">
            <v>890</v>
          </cell>
          <cell r="BU129">
            <v>170</v>
          </cell>
          <cell r="BV129">
            <v>2515</v>
          </cell>
          <cell r="BW129">
            <v>535</v>
          </cell>
          <cell r="BX129">
            <v>685</v>
          </cell>
          <cell r="BY129">
            <v>775</v>
          </cell>
          <cell r="BZ129">
            <v>385</v>
          </cell>
          <cell r="CA129">
            <v>65</v>
          </cell>
          <cell r="CB129">
            <v>25</v>
          </cell>
          <cell r="CC129">
            <v>10</v>
          </cell>
          <cell r="CD129">
            <v>15</v>
          </cell>
          <cell r="CE129">
            <v>15</v>
          </cell>
          <cell r="CF129">
            <v>2520</v>
          </cell>
          <cell r="CG129">
            <v>1250</v>
          </cell>
          <cell r="CH129">
            <v>205</v>
          </cell>
          <cell r="CI129">
            <v>0</v>
          </cell>
          <cell r="CJ129">
            <v>350</v>
          </cell>
          <cell r="CK129">
            <v>245</v>
          </cell>
          <cell r="CL129">
            <v>470</v>
          </cell>
          <cell r="CM129">
            <v>0</v>
          </cell>
          <cell r="CN129">
            <v>0</v>
          </cell>
          <cell r="CO129">
            <v>2515</v>
          </cell>
          <cell r="CP129">
            <v>595</v>
          </cell>
          <cell r="CQ129">
            <v>745</v>
          </cell>
          <cell r="CR129">
            <v>370</v>
          </cell>
          <cell r="CS129">
            <v>700</v>
          </cell>
          <cell r="CT129">
            <v>115</v>
          </cell>
          <cell r="CU129">
            <v>6995</v>
          </cell>
          <cell r="CV129">
            <v>2.7813121272365806</v>
          </cell>
          <cell r="CW129">
            <v>2520</v>
          </cell>
          <cell r="CX129">
            <v>1850</v>
          </cell>
          <cell r="CY129">
            <v>15</v>
          </cell>
          <cell r="CZ129">
            <v>655</v>
          </cell>
        </row>
        <row r="132">
          <cell r="A132" t="str">
            <v>4620470.01</v>
          </cell>
          <cell r="B132" t="str">
            <v>0470.01</v>
          </cell>
          <cell r="C132" t="str">
            <v>KIRKLAND</v>
          </cell>
          <cell r="D132">
            <v>5890</v>
          </cell>
          <cell r="E132">
            <v>1630</v>
          </cell>
          <cell r="F132">
            <v>3350</v>
          </cell>
          <cell r="G132">
            <v>95</v>
          </cell>
          <cell r="H132">
            <v>440</v>
          </cell>
          <cell r="I132">
            <v>370</v>
          </cell>
          <cell r="J132">
            <v>5890</v>
          </cell>
          <cell r="K132">
            <v>5570</v>
          </cell>
          <cell r="L132">
            <v>315</v>
          </cell>
          <cell r="M132">
            <v>2060</v>
          </cell>
          <cell r="N132">
            <v>810</v>
          </cell>
          <cell r="O132">
            <v>420</v>
          </cell>
          <cell r="P132">
            <v>595</v>
          </cell>
          <cell r="Q132">
            <v>230</v>
          </cell>
          <cell r="R132">
            <v>2055</v>
          </cell>
          <cell r="S132">
            <v>1820</v>
          </cell>
          <cell r="T132">
            <v>1655</v>
          </cell>
          <cell r="U132">
            <v>600</v>
          </cell>
          <cell r="V132">
            <v>1060</v>
          </cell>
          <cell r="W132">
            <v>295</v>
          </cell>
          <cell r="X132">
            <v>530</v>
          </cell>
          <cell r="Y132">
            <v>235</v>
          </cell>
          <cell r="Z132">
            <v>160</v>
          </cell>
          <cell r="AA132">
            <v>90</v>
          </cell>
          <cell r="AB132">
            <v>70</v>
          </cell>
          <cell r="AC132">
            <v>40</v>
          </cell>
          <cell r="AD132">
            <v>30</v>
          </cell>
          <cell r="AE132">
            <v>0</v>
          </cell>
          <cell r="AF132">
            <v>235</v>
          </cell>
          <cell r="AG132">
            <v>210</v>
          </cell>
          <cell r="AH132">
            <v>100</v>
          </cell>
          <cell r="AI132">
            <v>75</v>
          </cell>
          <cell r="AJ132">
            <v>30</v>
          </cell>
          <cell r="AK132">
            <v>25</v>
          </cell>
          <cell r="AL132">
            <v>15</v>
          </cell>
          <cell r="AM132">
            <v>10</v>
          </cell>
          <cell r="AN132">
            <v>0</v>
          </cell>
          <cell r="AO132">
            <v>2585</v>
          </cell>
          <cell r="AP132">
            <v>440</v>
          </cell>
          <cell r="AQ132">
            <v>885</v>
          </cell>
          <cell r="AR132">
            <v>375</v>
          </cell>
          <cell r="AS132">
            <v>585</v>
          </cell>
          <cell r="AT132">
            <v>300</v>
          </cell>
          <cell r="AU132">
            <v>1.3</v>
          </cell>
          <cell r="AV132">
            <v>7195</v>
          </cell>
          <cell r="AW132">
            <v>735</v>
          </cell>
          <cell r="AX132">
            <v>110</v>
          </cell>
          <cell r="AY132">
            <v>40</v>
          </cell>
          <cell r="AZ132">
            <v>575</v>
          </cell>
          <cell r="BA132">
            <v>6460</v>
          </cell>
          <cell r="BB132">
            <v>3.1</v>
          </cell>
          <cell r="BC132">
            <v>1110</v>
          </cell>
          <cell r="BD132">
            <v>435</v>
          </cell>
          <cell r="BE132">
            <v>70</v>
          </cell>
          <cell r="BF132">
            <v>0</v>
          </cell>
          <cell r="BG132">
            <v>365</v>
          </cell>
          <cell r="BH132">
            <v>675</v>
          </cell>
          <cell r="BI132">
            <v>2630</v>
          </cell>
          <cell r="BJ132">
            <v>7.6</v>
          </cell>
          <cell r="BK132">
            <v>19988</v>
          </cell>
          <cell r="BL132">
            <v>3.2</v>
          </cell>
          <cell r="BM132">
            <v>8416</v>
          </cell>
          <cell r="BN132">
            <v>2630</v>
          </cell>
          <cell r="BO132">
            <v>2220</v>
          </cell>
          <cell r="BP132">
            <v>410</v>
          </cell>
          <cell r="BQ132">
            <v>0</v>
          </cell>
          <cell r="BR132">
            <v>2630</v>
          </cell>
          <cell r="BS132">
            <v>1665</v>
          </cell>
          <cell r="BT132">
            <v>780</v>
          </cell>
          <cell r="BU132">
            <v>185</v>
          </cell>
          <cell r="BV132">
            <v>2630</v>
          </cell>
          <cell r="BW132">
            <v>15</v>
          </cell>
          <cell r="BX132">
            <v>30</v>
          </cell>
          <cell r="BY132">
            <v>555</v>
          </cell>
          <cell r="BZ132">
            <v>1170</v>
          </cell>
          <cell r="CA132">
            <v>295</v>
          </cell>
          <cell r="CB132">
            <v>260</v>
          </cell>
          <cell r="CC132">
            <v>65</v>
          </cell>
          <cell r="CD132">
            <v>110</v>
          </cell>
          <cell r="CE132">
            <v>125</v>
          </cell>
          <cell r="CF132">
            <v>2635</v>
          </cell>
          <cell r="CG132">
            <v>1715</v>
          </cell>
          <cell r="CH132">
            <v>50</v>
          </cell>
          <cell r="CI132">
            <v>440</v>
          </cell>
          <cell r="CJ132">
            <v>5</v>
          </cell>
          <cell r="CK132">
            <v>400</v>
          </cell>
          <cell r="CL132">
            <v>25</v>
          </cell>
          <cell r="CM132">
            <v>0</v>
          </cell>
          <cell r="CN132">
            <v>0</v>
          </cell>
          <cell r="CO132">
            <v>2635</v>
          </cell>
          <cell r="CP132">
            <v>580</v>
          </cell>
          <cell r="CQ132">
            <v>775</v>
          </cell>
          <cell r="CR132">
            <v>425</v>
          </cell>
          <cell r="CS132">
            <v>790</v>
          </cell>
          <cell r="CT132">
            <v>60</v>
          </cell>
          <cell r="CU132">
            <v>7195</v>
          </cell>
          <cell r="CV132">
            <v>2.7</v>
          </cell>
          <cell r="CW132">
            <v>2630</v>
          </cell>
          <cell r="CX132">
            <v>1975</v>
          </cell>
          <cell r="CY132">
            <v>40</v>
          </cell>
          <cell r="CZ132">
            <v>615</v>
          </cell>
        </row>
        <row r="133">
          <cell r="A133" t="str">
            <v>4620470.03</v>
          </cell>
          <cell r="B133" t="str">
            <v>0470.03</v>
          </cell>
          <cell r="C133" t="str">
            <v>KIRKLAND</v>
          </cell>
          <cell r="D133">
            <v>3755</v>
          </cell>
          <cell r="E133">
            <v>1115</v>
          </cell>
          <cell r="F133">
            <v>2365</v>
          </cell>
          <cell r="G133">
            <v>35</v>
          </cell>
          <cell r="H133">
            <v>170</v>
          </cell>
          <cell r="I133">
            <v>75</v>
          </cell>
          <cell r="J133">
            <v>3755</v>
          </cell>
          <cell r="K133">
            <v>3560</v>
          </cell>
          <cell r="L133">
            <v>195</v>
          </cell>
          <cell r="M133">
            <v>1370</v>
          </cell>
          <cell r="N133">
            <v>295</v>
          </cell>
          <cell r="O133">
            <v>305</v>
          </cell>
          <cell r="P133">
            <v>585</v>
          </cell>
          <cell r="Q133">
            <v>190</v>
          </cell>
          <cell r="R133">
            <v>1375</v>
          </cell>
          <cell r="S133">
            <v>1270</v>
          </cell>
          <cell r="T133">
            <v>1180</v>
          </cell>
          <cell r="U133">
            <v>205</v>
          </cell>
          <cell r="V133">
            <v>970</v>
          </cell>
          <cell r="W133">
            <v>245</v>
          </cell>
          <cell r="X133">
            <v>545</v>
          </cell>
          <cell r="Y133">
            <v>180</v>
          </cell>
          <cell r="Z133">
            <v>95</v>
          </cell>
          <cell r="AA133">
            <v>30</v>
          </cell>
          <cell r="AB133">
            <v>65</v>
          </cell>
          <cell r="AC133">
            <v>30</v>
          </cell>
          <cell r="AD133">
            <v>35</v>
          </cell>
          <cell r="AE133">
            <v>0</v>
          </cell>
          <cell r="AF133">
            <v>100</v>
          </cell>
          <cell r="AG133">
            <v>90</v>
          </cell>
          <cell r="AH133">
            <v>55</v>
          </cell>
          <cell r="AI133">
            <v>20</v>
          </cell>
          <cell r="AJ133">
            <v>15</v>
          </cell>
          <cell r="AK133">
            <v>10</v>
          </cell>
          <cell r="AL133">
            <v>10</v>
          </cell>
          <cell r="AM133">
            <v>10</v>
          </cell>
          <cell r="AN133">
            <v>0</v>
          </cell>
          <cell r="AO133">
            <v>2180</v>
          </cell>
          <cell r="AP133">
            <v>355</v>
          </cell>
          <cell r="AQ133">
            <v>880</v>
          </cell>
          <cell r="AR133">
            <v>290</v>
          </cell>
          <cell r="AS133">
            <v>545</v>
          </cell>
          <cell r="AT133">
            <v>115</v>
          </cell>
          <cell r="AU133">
            <v>1.6</v>
          </cell>
          <cell r="AV133">
            <v>4990</v>
          </cell>
          <cell r="AW133">
            <v>160</v>
          </cell>
          <cell r="AX133">
            <v>60</v>
          </cell>
          <cell r="AY133">
            <v>15</v>
          </cell>
          <cell r="AZ133">
            <v>85</v>
          </cell>
          <cell r="BA133">
            <v>4825</v>
          </cell>
          <cell r="BB133">
            <v>3.5</v>
          </cell>
          <cell r="BC133">
            <v>225</v>
          </cell>
          <cell r="BD133">
            <v>60</v>
          </cell>
          <cell r="BE133">
            <v>50</v>
          </cell>
          <cell r="BF133">
            <v>0</v>
          </cell>
          <cell r="BG133">
            <v>10</v>
          </cell>
          <cell r="BH133">
            <v>160</v>
          </cell>
          <cell r="BI133">
            <v>1440</v>
          </cell>
          <cell r="BJ133">
            <v>9</v>
          </cell>
          <cell r="BK133">
            <v>12960</v>
          </cell>
          <cell r="BL133">
            <v>3.7</v>
          </cell>
          <cell r="BM133">
            <v>5328</v>
          </cell>
          <cell r="BN133">
            <v>1435</v>
          </cell>
          <cell r="BO133">
            <v>1425</v>
          </cell>
          <cell r="BP133">
            <v>10</v>
          </cell>
          <cell r="BQ133">
            <v>0</v>
          </cell>
          <cell r="BR133">
            <v>1440</v>
          </cell>
          <cell r="BS133">
            <v>1025</v>
          </cell>
          <cell r="BT133">
            <v>380</v>
          </cell>
          <cell r="BU133">
            <v>40</v>
          </cell>
          <cell r="BV133">
            <v>1435</v>
          </cell>
          <cell r="BW133">
            <v>0</v>
          </cell>
          <cell r="BX133">
            <v>0</v>
          </cell>
          <cell r="BY133">
            <v>15</v>
          </cell>
          <cell r="BZ133">
            <v>210</v>
          </cell>
          <cell r="CA133">
            <v>200</v>
          </cell>
          <cell r="CB133">
            <v>455</v>
          </cell>
          <cell r="CC133">
            <v>160</v>
          </cell>
          <cell r="CD133">
            <v>235</v>
          </cell>
          <cell r="CE133">
            <v>165</v>
          </cell>
          <cell r="CF133">
            <v>1440</v>
          </cell>
          <cell r="CG133">
            <v>1365</v>
          </cell>
          <cell r="CH133">
            <v>5</v>
          </cell>
          <cell r="CI133">
            <v>65</v>
          </cell>
          <cell r="CJ133">
            <v>0</v>
          </cell>
          <cell r="CK133">
            <v>0</v>
          </cell>
          <cell r="CL133">
            <v>0</v>
          </cell>
          <cell r="CM133">
            <v>0</v>
          </cell>
          <cell r="CN133">
            <v>0</v>
          </cell>
          <cell r="CO133">
            <v>1440</v>
          </cell>
          <cell r="CP133">
            <v>90</v>
          </cell>
          <cell r="CQ133">
            <v>260</v>
          </cell>
          <cell r="CR133">
            <v>310</v>
          </cell>
          <cell r="CS133">
            <v>720</v>
          </cell>
          <cell r="CT133">
            <v>55</v>
          </cell>
          <cell r="CU133">
            <v>4990</v>
          </cell>
          <cell r="CV133">
            <v>3.5</v>
          </cell>
          <cell r="CW133">
            <v>1440</v>
          </cell>
          <cell r="CX133">
            <v>1315</v>
          </cell>
          <cell r="CY133">
            <v>30</v>
          </cell>
          <cell r="CZ133">
            <v>95</v>
          </cell>
        </row>
        <row r="134">
          <cell r="A134" t="str">
            <v>4620470.04</v>
          </cell>
          <cell r="B134" t="str">
            <v>0470.04</v>
          </cell>
          <cell r="C134" t="str">
            <v>KIRKLAND</v>
          </cell>
          <cell r="D134">
            <v>3205</v>
          </cell>
          <cell r="E134">
            <v>985</v>
          </cell>
          <cell r="F134">
            <v>1925</v>
          </cell>
          <cell r="G134">
            <v>35</v>
          </cell>
          <cell r="H134">
            <v>155</v>
          </cell>
          <cell r="I134">
            <v>110</v>
          </cell>
          <cell r="J134">
            <v>3205</v>
          </cell>
          <cell r="K134">
            <v>3050</v>
          </cell>
          <cell r="L134">
            <v>155</v>
          </cell>
          <cell r="M134">
            <v>1135</v>
          </cell>
          <cell r="N134">
            <v>330</v>
          </cell>
          <cell r="O134">
            <v>255</v>
          </cell>
          <cell r="P134">
            <v>420</v>
          </cell>
          <cell r="Q134">
            <v>125</v>
          </cell>
          <cell r="R134">
            <v>1135</v>
          </cell>
          <cell r="S134">
            <v>1035</v>
          </cell>
          <cell r="T134">
            <v>950</v>
          </cell>
          <cell r="U134">
            <v>255</v>
          </cell>
          <cell r="V134">
            <v>690</v>
          </cell>
          <cell r="W134">
            <v>190</v>
          </cell>
          <cell r="X134">
            <v>390</v>
          </cell>
          <cell r="Y134">
            <v>115</v>
          </cell>
          <cell r="Z134">
            <v>80</v>
          </cell>
          <cell r="AA134">
            <v>25</v>
          </cell>
          <cell r="AB134">
            <v>55</v>
          </cell>
          <cell r="AC134">
            <v>20</v>
          </cell>
          <cell r="AD134">
            <v>20</v>
          </cell>
          <cell r="AE134">
            <v>15</v>
          </cell>
          <cell r="AF134">
            <v>105</v>
          </cell>
          <cell r="AG134">
            <v>85</v>
          </cell>
          <cell r="AH134">
            <v>45</v>
          </cell>
          <cell r="AI134">
            <v>30</v>
          </cell>
          <cell r="AJ134">
            <v>10</v>
          </cell>
          <cell r="AK134">
            <v>20</v>
          </cell>
          <cell r="AL134">
            <v>10</v>
          </cell>
          <cell r="AM134">
            <v>10</v>
          </cell>
          <cell r="AN134">
            <v>0</v>
          </cell>
          <cell r="AO134">
            <v>1600</v>
          </cell>
          <cell r="AP134">
            <v>200</v>
          </cell>
          <cell r="AQ134">
            <v>540</v>
          </cell>
          <cell r="AR134">
            <v>205</v>
          </cell>
          <cell r="AS134">
            <v>445</v>
          </cell>
          <cell r="AT134">
            <v>205</v>
          </cell>
          <cell r="AU134">
            <v>1.4</v>
          </cell>
          <cell r="AV134">
            <v>3950</v>
          </cell>
          <cell r="AW134">
            <v>180</v>
          </cell>
          <cell r="AX134">
            <v>65</v>
          </cell>
          <cell r="AY134">
            <v>25</v>
          </cell>
          <cell r="AZ134">
            <v>95</v>
          </cell>
          <cell r="BA134">
            <v>3770</v>
          </cell>
          <cell r="BB134">
            <v>3.3</v>
          </cell>
          <cell r="BC134">
            <v>330</v>
          </cell>
          <cell r="BD134">
            <v>85</v>
          </cell>
          <cell r="BE134">
            <v>35</v>
          </cell>
          <cell r="BF134">
            <v>0</v>
          </cell>
          <cell r="BG134">
            <v>55</v>
          </cell>
          <cell r="BH134">
            <v>245</v>
          </cell>
          <cell r="BI134">
            <v>1215</v>
          </cell>
          <cell r="BJ134">
            <v>8.3000000000000007</v>
          </cell>
          <cell r="BK134">
            <v>10084.5</v>
          </cell>
          <cell r="BL134">
            <v>3.5</v>
          </cell>
          <cell r="BM134">
            <v>4252.5</v>
          </cell>
          <cell r="BN134">
            <v>1215</v>
          </cell>
          <cell r="BO134">
            <v>1190</v>
          </cell>
          <cell r="BP134">
            <v>25</v>
          </cell>
          <cell r="BQ134">
            <v>0</v>
          </cell>
          <cell r="BR134">
            <v>1215</v>
          </cell>
          <cell r="BS134">
            <v>765</v>
          </cell>
          <cell r="BT134">
            <v>395</v>
          </cell>
          <cell r="BU134">
            <v>50</v>
          </cell>
          <cell r="BV134">
            <v>1215</v>
          </cell>
          <cell r="BW134">
            <v>0</v>
          </cell>
          <cell r="BX134">
            <v>10</v>
          </cell>
          <cell r="BY134">
            <v>40</v>
          </cell>
          <cell r="BZ134">
            <v>615</v>
          </cell>
          <cell r="CA134">
            <v>290</v>
          </cell>
          <cell r="CB134">
            <v>185</v>
          </cell>
          <cell r="CC134">
            <v>0</v>
          </cell>
          <cell r="CD134">
            <v>0</v>
          </cell>
          <cell r="CE134">
            <v>65</v>
          </cell>
          <cell r="CF134">
            <v>1215</v>
          </cell>
          <cell r="CG134">
            <v>1215</v>
          </cell>
          <cell r="CH134">
            <v>0</v>
          </cell>
          <cell r="CI134">
            <v>0</v>
          </cell>
          <cell r="CJ134">
            <v>0</v>
          </cell>
          <cell r="CK134">
            <v>0</v>
          </cell>
          <cell r="CL134">
            <v>0</v>
          </cell>
          <cell r="CM134">
            <v>0</v>
          </cell>
          <cell r="CN134">
            <v>0</v>
          </cell>
          <cell r="CO134">
            <v>1215</v>
          </cell>
          <cell r="CP134">
            <v>95</v>
          </cell>
          <cell r="CQ134">
            <v>305</v>
          </cell>
          <cell r="CR134">
            <v>240</v>
          </cell>
          <cell r="CS134">
            <v>535</v>
          </cell>
          <cell r="CT134">
            <v>40</v>
          </cell>
          <cell r="CU134">
            <v>3950</v>
          </cell>
          <cell r="CV134">
            <v>3.3</v>
          </cell>
          <cell r="CW134">
            <v>1215</v>
          </cell>
          <cell r="CX134">
            <v>1090</v>
          </cell>
          <cell r="CY134">
            <v>25</v>
          </cell>
          <cell r="CZ134">
            <v>105</v>
          </cell>
        </row>
        <row r="135">
          <cell r="A135" t="str">
            <v>4620470.05</v>
          </cell>
          <cell r="B135" t="str">
            <v>0470.05</v>
          </cell>
          <cell r="C135" t="str">
            <v>KIRKLAND</v>
          </cell>
          <cell r="D135">
            <v>3510</v>
          </cell>
          <cell r="E135">
            <v>1155</v>
          </cell>
          <cell r="F135">
            <v>2070</v>
          </cell>
          <cell r="G135">
            <v>40</v>
          </cell>
          <cell r="H135">
            <v>130</v>
          </cell>
          <cell r="I135">
            <v>110</v>
          </cell>
          <cell r="J135">
            <v>3510</v>
          </cell>
          <cell r="K135">
            <v>3355</v>
          </cell>
          <cell r="L135">
            <v>160</v>
          </cell>
          <cell r="M135">
            <v>1210</v>
          </cell>
          <cell r="N135">
            <v>315</v>
          </cell>
          <cell r="O135">
            <v>270</v>
          </cell>
          <cell r="P135">
            <v>405</v>
          </cell>
          <cell r="Q135">
            <v>215</v>
          </cell>
          <cell r="R135">
            <v>1210</v>
          </cell>
          <cell r="S135">
            <v>1110</v>
          </cell>
          <cell r="T135">
            <v>1035</v>
          </cell>
          <cell r="U135">
            <v>240</v>
          </cell>
          <cell r="V135">
            <v>790</v>
          </cell>
          <cell r="W135">
            <v>215</v>
          </cell>
          <cell r="X135">
            <v>375</v>
          </cell>
          <cell r="Y135">
            <v>205</v>
          </cell>
          <cell r="Z135">
            <v>80</v>
          </cell>
          <cell r="AA135">
            <v>30</v>
          </cell>
          <cell r="AB135">
            <v>45</v>
          </cell>
          <cell r="AC135">
            <v>10</v>
          </cell>
          <cell r="AD135">
            <v>20</v>
          </cell>
          <cell r="AE135">
            <v>15</v>
          </cell>
          <cell r="AF135">
            <v>100</v>
          </cell>
          <cell r="AG135">
            <v>80</v>
          </cell>
          <cell r="AH135">
            <v>35</v>
          </cell>
          <cell r="AI135">
            <v>30</v>
          </cell>
          <cell r="AJ135">
            <v>15</v>
          </cell>
          <cell r="AK135">
            <v>20</v>
          </cell>
          <cell r="AL135">
            <v>10</v>
          </cell>
          <cell r="AM135">
            <v>10</v>
          </cell>
          <cell r="AN135">
            <v>0</v>
          </cell>
          <cell r="AO135">
            <v>1875</v>
          </cell>
          <cell r="AP135">
            <v>185</v>
          </cell>
          <cell r="AQ135">
            <v>635</v>
          </cell>
          <cell r="AR135">
            <v>315</v>
          </cell>
          <cell r="AS135">
            <v>505</v>
          </cell>
          <cell r="AT135">
            <v>225</v>
          </cell>
          <cell r="AU135">
            <v>1.6</v>
          </cell>
          <cell r="AV135">
            <v>4325</v>
          </cell>
          <cell r="AW135">
            <v>125</v>
          </cell>
          <cell r="AX135">
            <v>30</v>
          </cell>
          <cell r="AY135">
            <v>10</v>
          </cell>
          <cell r="AZ135">
            <v>85</v>
          </cell>
          <cell r="BA135">
            <v>4200</v>
          </cell>
          <cell r="BB135">
            <v>3.5</v>
          </cell>
          <cell r="BC135">
            <v>300</v>
          </cell>
          <cell r="BD135">
            <v>45</v>
          </cell>
          <cell r="BE135">
            <v>25</v>
          </cell>
          <cell r="BF135">
            <v>0</v>
          </cell>
          <cell r="BG135">
            <v>15</v>
          </cell>
          <cell r="BH135">
            <v>260</v>
          </cell>
          <cell r="BI135">
            <v>1250</v>
          </cell>
          <cell r="BJ135">
            <v>9.3000000000000007</v>
          </cell>
          <cell r="BK135">
            <v>11625</v>
          </cell>
          <cell r="BL135">
            <v>3.9</v>
          </cell>
          <cell r="BM135">
            <v>4875</v>
          </cell>
          <cell r="BN135">
            <v>1250</v>
          </cell>
          <cell r="BO135">
            <v>1235</v>
          </cell>
          <cell r="BP135">
            <v>20</v>
          </cell>
          <cell r="BQ135">
            <v>0</v>
          </cell>
          <cell r="BR135">
            <v>1250</v>
          </cell>
          <cell r="BS135">
            <v>805</v>
          </cell>
          <cell r="BT135">
            <v>410</v>
          </cell>
          <cell r="BU135">
            <v>40</v>
          </cell>
          <cell r="BV135">
            <v>1250</v>
          </cell>
          <cell r="BW135">
            <v>0</v>
          </cell>
          <cell r="BX135">
            <v>50</v>
          </cell>
          <cell r="BY135">
            <v>15</v>
          </cell>
          <cell r="BZ135">
            <v>360</v>
          </cell>
          <cell r="CA135">
            <v>165</v>
          </cell>
          <cell r="CB135">
            <v>360</v>
          </cell>
          <cell r="CC135">
            <v>155</v>
          </cell>
          <cell r="CD135">
            <v>135</v>
          </cell>
          <cell r="CE135">
            <v>20</v>
          </cell>
          <cell r="CF135">
            <v>1250</v>
          </cell>
          <cell r="CG135">
            <v>1255</v>
          </cell>
          <cell r="CH135">
            <v>0</v>
          </cell>
          <cell r="CI135">
            <v>0</v>
          </cell>
          <cell r="CJ135">
            <v>0</v>
          </cell>
          <cell r="CK135">
            <v>0</v>
          </cell>
          <cell r="CL135">
            <v>0</v>
          </cell>
          <cell r="CM135">
            <v>0</v>
          </cell>
          <cell r="CN135">
            <v>0</v>
          </cell>
          <cell r="CO135">
            <v>1255</v>
          </cell>
          <cell r="CP135">
            <v>85</v>
          </cell>
          <cell r="CQ135">
            <v>270</v>
          </cell>
          <cell r="CR135">
            <v>235</v>
          </cell>
          <cell r="CS135">
            <v>590</v>
          </cell>
          <cell r="CT135">
            <v>70</v>
          </cell>
          <cell r="CU135">
            <v>4330</v>
          </cell>
          <cell r="CV135">
            <v>3.5</v>
          </cell>
          <cell r="CW135">
            <v>1250</v>
          </cell>
          <cell r="CX135">
            <v>1110</v>
          </cell>
          <cell r="CY135">
            <v>55</v>
          </cell>
          <cell r="CZ135">
            <v>90</v>
          </cell>
        </row>
        <row r="136">
          <cell r="C136" t="str">
            <v>KIRKLAND</v>
          </cell>
          <cell r="D136">
            <v>16360</v>
          </cell>
          <cell r="E136">
            <v>4885</v>
          </cell>
          <cell r="F136">
            <v>9710</v>
          </cell>
          <cell r="G136">
            <v>205</v>
          </cell>
          <cell r="H136">
            <v>895</v>
          </cell>
          <cell r="I136">
            <v>665</v>
          </cell>
          <cell r="J136">
            <v>16360</v>
          </cell>
          <cell r="K136">
            <v>15535</v>
          </cell>
          <cell r="L136">
            <v>825</v>
          </cell>
          <cell r="M136">
            <v>5775</v>
          </cell>
          <cell r="N136">
            <v>1750</v>
          </cell>
          <cell r="O136">
            <v>1250</v>
          </cell>
          <cell r="P136">
            <v>2005</v>
          </cell>
          <cell r="Q136">
            <v>760</v>
          </cell>
          <cell r="R136">
            <v>5775</v>
          </cell>
          <cell r="S136">
            <v>5235</v>
          </cell>
          <cell r="T136">
            <v>4820</v>
          </cell>
          <cell r="U136">
            <v>1300</v>
          </cell>
          <cell r="V136">
            <v>3510</v>
          </cell>
          <cell r="W136">
            <v>945</v>
          </cell>
          <cell r="X136">
            <v>1840</v>
          </cell>
          <cell r="Y136">
            <v>735</v>
          </cell>
          <cell r="Z136">
            <v>415</v>
          </cell>
          <cell r="AA136">
            <v>175</v>
          </cell>
          <cell r="AB136">
            <v>235</v>
          </cell>
          <cell r="AC136">
            <v>100</v>
          </cell>
          <cell r="AD136">
            <v>105</v>
          </cell>
          <cell r="AE136">
            <v>30</v>
          </cell>
          <cell r="AF136">
            <v>540</v>
          </cell>
          <cell r="AG136">
            <v>465</v>
          </cell>
          <cell r="AH136">
            <v>235</v>
          </cell>
          <cell r="AI136">
            <v>155</v>
          </cell>
          <cell r="AJ136">
            <v>70</v>
          </cell>
          <cell r="AK136">
            <v>75</v>
          </cell>
          <cell r="AL136">
            <v>45</v>
          </cell>
          <cell r="AM136">
            <v>40</v>
          </cell>
          <cell r="AN136">
            <v>0</v>
          </cell>
          <cell r="AO136">
            <v>8240</v>
          </cell>
          <cell r="AP136">
            <v>1180</v>
          </cell>
          <cell r="AQ136">
            <v>2940</v>
          </cell>
          <cell r="AR136">
            <v>1185</v>
          </cell>
          <cell r="AS136">
            <v>2080</v>
          </cell>
          <cell r="AT136">
            <v>845</v>
          </cell>
          <cell r="AU136">
            <v>1.4268398268398268</v>
          </cell>
          <cell r="AV136">
            <v>20460</v>
          </cell>
          <cell r="AW136">
            <v>1200</v>
          </cell>
          <cell r="AX136">
            <v>265</v>
          </cell>
          <cell r="AY136">
            <v>90</v>
          </cell>
          <cell r="AZ136">
            <v>840</v>
          </cell>
          <cell r="BA136">
            <v>19255</v>
          </cell>
          <cell r="BB136">
            <v>3.3341991341991344</v>
          </cell>
          <cell r="BC136">
            <v>1965</v>
          </cell>
          <cell r="BD136">
            <v>625</v>
          </cell>
          <cell r="BE136">
            <v>180</v>
          </cell>
          <cell r="BF136">
            <v>0</v>
          </cell>
          <cell r="BG136">
            <v>445</v>
          </cell>
          <cell r="BH136">
            <v>1340</v>
          </cell>
          <cell r="BI136">
            <v>6535</v>
          </cell>
          <cell r="BJ136">
            <v>8.3638102524866103</v>
          </cell>
          <cell r="BK136">
            <v>54657.5</v>
          </cell>
          <cell r="BL136">
            <v>3.4998469778117829</v>
          </cell>
          <cell r="BM136">
            <v>22871.5</v>
          </cell>
          <cell r="BN136">
            <v>6530</v>
          </cell>
          <cell r="BO136">
            <v>6070</v>
          </cell>
          <cell r="BP136">
            <v>465</v>
          </cell>
          <cell r="BQ136">
            <v>0</v>
          </cell>
          <cell r="BR136">
            <v>6535</v>
          </cell>
          <cell r="BS136">
            <v>4260</v>
          </cell>
          <cell r="BT136">
            <v>1965</v>
          </cell>
          <cell r="BU136">
            <v>315</v>
          </cell>
          <cell r="BV136">
            <v>6530</v>
          </cell>
          <cell r="BW136">
            <v>15</v>
          </cell>
          <cell r="BX136">
            <v>90</v>
          </cell>
          <cell r="BY136">
            <v>625</v>
          </cell>
          <cell r="BZ136">
            <v>2355</v>
          </cell>
          <cell r="CA136">
            <v>950</v>
          </cell>
          <cell r="CB136">
            <v>1260</v>
          </cell>
          <cell r="CC136">
            <v>380</v>
          </cell>
          <cell r="CD136">
            <v>480</v>
          </cell>
          <cell r="CE136">
            <v>375</v>
          </cell>
          <cell r="CF136">
            <v>6540</v>
          </cell>
          <cell r="CG136">
            <v>5550</v>
          </cell>
          <cell r="CH136">
            <v>55</v>
          </cell>
          <cell r="CI136">
            <v>505</v>
          </cell>
          <cell r="CJ136">
            <v>5</v>
          </cell>
          <cell r="CK136">
            <v>400</v>
          </cell>
          <cell r="CL136">
            <v>25</v>
          </cell>
          <cell r="CM136">
            <v>0</v>
          </cell>
          <cell r="CN136">
            <v>0</v>
          </cell>
          <cell r="CO136">
            <v>6545</v>
          </cell>
          <cell r="CP136">
            <v>850</v>
          </cell>
          <cell r="CQ136">
            <v>1610</v>
          </cell>
          <cell r="CR136">
            <v>1210</v>
          </cell>
          <cell r="CS136">
            <v>2635</v>
          </cell>
          <cell r="CT136">
            <v>225</v>
          </cell>
          <cell r="CU136">
            <v>20465</v>
          </cell>
          <cell r="CV136">
            <v>3.1268143621084796</v>
          </cell>
          <cell r="CW136">
            <v>6535</v>
          </cell>
          <cell r="CX136">
            <v>5490</v>
          </cell>
          <cell r="CY136">
            <v>150</v>
          </cell>
          <cell r="CZ136">
            <v>905</v>
          </cell>
        </row>
        <row r="139">
          <cell r="A139" t="str">
            <v>4620330.00</v>
          </cell>
          <cell r="B139" t="str">
            <v>0330.00</v>
          </cell>
          <cell r="C139" t="str">
            <v>Lachine</v>
          </cell>
          <cell r="D139">
            <v>3960</v>
          </cell>
          <cell r="E139">
            <v>1980</v>
          </cell>
          <cell r="F139">
            <v>1170</v>
          </cell>
          <cell r="G139">
            <v>140</v>
          </cell>
          <cell r="H139">
            <v>455</v>
          </cell>
          <cell r="I139">
            <v>215</v>
          </cell>
          <cell r="J139">
            <v>3960</v>
          </cell>
          <cell r="K139">
            <v>3235</v>
          </cell>
          <cell r="L139">
            <v>725</v>
          </cell>
          <cell r="M139">
            <v>1355</v>
          </cell>
          <cell r="N139">
            <v>725</v>
          </cell>
          <cell r="O139">
            <v>320</v>
          </cell>
          <cell r="P139">
            <v>225</v>
          </cell>
          <cell r="Q139">
            <v>75</v>
          </cell>
          <cell r="R139">
            <v>1355</v>
          </cell>
          <cell r="S139">
            <v>935</v>
          </cell>
          <cell r="T139">
            <v>570</v>
          </cell>
          <cell r="U139">
            <v>265</v>
          </cell>
          <cell r="V139">
            <v>305</v>
          </cell>
          <cell r="W139">
            <v>135</v>
          </cell>
          <cell r="X139">
            <v>130</v>
          </cell>
          <cell r="Y139">
            <v>40</v>
          </cell>
          <cell r="Z139">
            <v>360</v>
          </cell>
          <cell r="AA139">
            <v>175</v>
          </cell>
          <cell r="AB139">
            <v>190</v>
          </cell>
          <cell r="AC139">
            <v>95</v>
          </cell>
          <cell r="AD139">
            <v>65</v>
          </cell>
          <cell r="AE139">
            <v>25</v>
          </cell>
          <cell r="AF139">
            <v>420</v>
          </cell>
          <cell r="AG139">
            <v>325</v>
          </cell>
          <cell r="AH139">
            <v>205</v>
          </cell>
          <cell r="AI139">
            <v>80</v>
          </cell>
          <cell r="AJ139">
            <v>40</v>
          </cell>
          <cell r="AK139">
            <v>90</v>
          </cell>
          <cell r="AL139">
            <v>85</v>
          </cell>
          <cell r="AM139">
            <v>10</v>
          </cell>
          <cell r="AN139">
            <v>0</v>
          </cell>
          <cell r="AO139">
            <v>1460</v>
          </cell>
          <cell r="AP139">
            <v>340</v>
          </cell>
          <cell r="AQ139">
            <v>550</v>
          </cell>
          <cell r="AR139">
            <v>225</v>
          </cell>
          <cell r="AS139">
            <v>230</v>
          </cell>
          <cell r="AT139">
            <v>110</v>
          </cell>
          <cell r="AU139">
            <v>1.1000000000000001</v>
          </cell>
          <cell r="AV139">
            <v>4795</v>
          </cell>
          <cell r="AW139">
            <v>1050</v>
          </cell>
          <cell r="AX139">
            <v>160</v>
          </cell>
          <cell r="AY139">
            <v>170</v>
          </cell>
          <cell r="AZ139">
            <v>720</v>
          </cell>
          <cell r="BA139">
            <v>3745</v>
          </cell>
          <cell r="BB139">
            <v>2.8</v>
          </cell>
          <cell r="BC139">
            <v>450</v>
          </cell>
          <cell r="BD139">
            <v>135</v>
          </cell>
          <cell r="BE139">
            <v>25</v>
          </cell>
          <cell r="BF139">
            <v>0</v>
          </cell>
          <cell r="BG139">
            <v>115</v>
          </cell>
          <cell r="BH139">
            <v>310</v>
          </cell>
          <cell r="BI139">
            <v>2150</v>
          </cell>
          <cell r="BJ139">
            <v>4.8</v>
          </cell>
          <cell r="BK139">
            <v>10320</v>
          </cell>
          <cell r="BL139">
            <v>2.2000000000000002</v>
          </cell>
          <cell r="BM139">
            <v>4730</v>
          </cell>
          <cell r="BN139">
            <v>2145</v>
          </cell>
          <cell r="BO139">
            <v>535</v>
          </cell>
          <cell r="BP139">
            <v>1610</v>
          </cell>
          <cell r="BQ139">
            <v>0</v>
          </cell>
          <cell r="BR139">
            <v>2145</v>
          </cell>
          <cell r="BS139">
            <v>1090</v>
          </cell>
          <cell r="BT139">
            <v>750</v>
          </cell>
          <cell r="BU139">
            <v>310</v>
          </cell>
          <cell r="BV139">
            <v>2145</v>
          </cell>
          <cell r="BW139">
            <v>585</v>
          </cell>
          <cell r="BX139">
            <v>735</v>
          </cell>
          <cell r="BY139">
            <v>355</v>
          </cell>
          <cell r="BZ139">
            <v>140</v>
          </cell>
          <cell r="CA139">
            <v>110</v>
          </cell>
          <cell r="CB139">
            <v>85</v>
          </cell>
          <cell r="CC139">
            <v>105</v>
          </cell>
          <cell r="CD139">
            <v>10</v>
          </cell>
          <cell r="CE139">
            <v>15</v>
          </cell>
          <cell r="CF139">
            <v>2150</v>
          </cell>
          <cell r="CG139">
            <v>125</v>
          </cell>
          <cell r="CH139">
            <v>55</v>
          </cell>
          <cell r="CI139">
            <v>115</v>
          </cell>
          <cell r="CJ139">
            <v>465</v>
          </cell>
          <cell r="CK139">
            <v>5</v>
          </cell>
          <cell r="CL139">
            <v>1385</v>
          </cell>
          <cell r="CM139">
            <v>5</v>
          </cell>
          <cell r="CN139">
            <v>0</v>
          </cell>
          <cell r="CO139">
            <v>2155</v>
          </cell>
          <cell r="CP139">
            <v>730</v>
          </cell>
          <cell r="CQ139">
            <v>715</v>
          </cell>
          <cell r="CR139">
            <v>355</v>
          </cell>
          <cell r="CS139">
            <v>310</v>
          </cell>
          <cell r="CT139">
            <v>40</v>
          </cell>
          <cell r="CU139">
            <v>4805</v>
          </cell>
          <cell r="CV139">
            <v>2.2000000000000002</v>
          </cell>
          <cell r="CW139">
            <v>2150</v>
          </cell>
          <cell r="CX139">
            <v>1325</v>
          </cell>
          <cell r="CY139">
            <v>15</v>
          </cell>
          <cell r="CZ139">
            <v>805</v>
          </cell>
        </row>
        <row r="140">
          <cell r="A140" t="str">
            <v>4620390.00</v>
          </cell>
          <cell r="B140" t="str">
            <v>0390.00</v>
          </cell>
          <cell r="C140" t="str">
            <v>Lachine</v>
          </cell>
          <cell r="D140">
            <v>1095</v>
          </cell>
          <cell r="E140">
            <v>590</v>
          </cell>
          <cell r="F140">
            <v>250</v>
          </cell>
          <cell r="G140">
            <v>40</v>
          </cell>
          <cell r="H140">
            <v>155</v>
          </cell>
          <cell r="I140">
            <v>55</v>
          </cell>
          <cell r="J140">
            <v>1090</v>
          </cell>
          <cell r="K140">
            <v>855</v>
          </cell>
          <cell r="L140">
            <v>235</v>
          </cell>
          <cell r="M140">
            <v>355</v>
          </cell>
          <cell r="N140">
            <v>250</v>
          </cell>
          <cell r="O140">
            <v>45</v>
          </cell>
          <cell r="P140">
            <v>50</v>
          </cell>
          <cell r="Q140">
            <v>10</v>
          </cell>
          <cell r="R140">
            <v>355</v>
          </cell>
          <cell r="S140">
            <v>265</v>
          </cell>
          <cell r="T140">
            <v>130</v>
          </cell>
          <cell r="U140">
            <v>80</v>
          </cell>
          <cell r="V140">
            <v>50</v>
          </cell>
          <cell r="W140">
            <v>15</v>
          </cell>
          <cell r="X140">
            <v>25</v>
          </cell>
          <cell r="Y140">
            <v>0</v>
          </cell>
          <cell r="Z140">
            <v>130</v>
          </cell>
          <cell r="AA140">
            <v>115</v>
          </cell>
          <cell r="AB140">
            <v>20</v>
          </cell>
          <cell r="AC140">
            <v>10</v>
          </cell>
          <cell r="AD140">
            <v>10</v>
          </cell>
          <cell r="AE140">
            <v>0</v>
          </cell>
          <cell r="AF140">
            <v>90</v>
          </cell>
          <cell r="AG140">
            <v>85</v>
          </cell>
          <cell r="AH140">
            <v>50</v>
          </cell>
          <cell r="AI140">
            <v>20</v>
          </cell>
          <cell r="AJ140">
            <v>15</v>
          </cell>
          <cell r="AK140">
            <v>0</v>
          </cell>
          <cell r="AL140">
            <v>0</v>
          </cell>
          <cell r="AM140">
            <v>0</v>
          </cell>
          <cell r="AN140">
            <v>0</v>
          </cell>
          <cell r="AO140">
            <v>265</v>
          </cell>
          <cell r="AP140">
            <v>60</v>
          </cell>
          <cell r="AQ140">
            <v>85</v>
          </cell>
          <cell r="AR140">
            <v>50</v>
          </cell>
          <cell r="AS140">
            <v>35</v>
          </cell>
          <cell r="AT140">
            <v>30</v>
          </cell>
          <cell r="AU140">
            <v>0.7</v>
          </cell>
          <cell r="AV140">
            <v>1240</v>
          </cell>
          <cell r="AW140">
            <v>355</v>
          </cell>
          <cell r="AX140">
            <v>40</v>
          </cell>
          <cell r="AY140">
            <v>65</v>
          </cell>
          <cell r="AZ140">
            <v>245</v>
          </cell>
          <cell r="BA140">
            <v>885</v>
          </cell>
          <cell r="BB140">
            <v>2.5</v>
          </cell>
          <cell r="BC140">
            <v>135</v>
          </cell>
          <cell r="BD140">
            <v>50</v>
          </cell>
          <cell r="BE140">
            <v>0</v>
          </cell>
          <cell r="BF140">
            <v>0</v>
          </cell>
          <cell r="BG140">
            <v>55</v>
          </cell>
          <cell r="BH140">
            <v>80</v>
          </cell>
          <cell r="BI140">
            <v>630</v>
          </cell>
          <cell r="BJ140">
            <v>4.8</v>
          </cell>
          <cell r="BK140">
            <v>3024</v>
          </cell>
          <cell r="BL140">
            <v>2.2000000000000002</v>
          </cell>
          <cell r="BM140">
            <v>1386</v>
          </cell>
          <cell r="BN140">
            <v>630</v>
          </cell>
          <cell r="BO140">
            <v>245</v>
          </cell>
          <cell r="BP140">
            <v>385</v>
          </cell>
          <cell r="BQ140">
            <v>0</v>
          </cell>
          <cell r="BR140">
            <v>630</v>
          </cell>
          <cell r="BS140">
            <v>360</v>
          </cell>
          <cell r="BT140">
            <v>235</v>
          </cell>
          <cell r="BU140">
            <v>35</v>
          </cell>
          <cell r="BV140">
            <v>630</v>
          </cell>
          <cell r="BW140">
            <v>230</v>
          </cell>
          <cell r="BX140">
            <v>105</v>
          </cell>
          <cell r="BY140">
            <v>70</v>
          </cell>
          <cell r="BZ140">
            <v>65</v>
          </cell>
          <cell r="CA140">
            <v>35</v>
          </cell>
          <cell r="CB140">
            <v>35</v>
          </cell>
          <cell r="CC140">
            <v>10</v>
          </cell>
          <cell r="CD140">
            <v>45</v>
          </cell>
          <cell r="CE140">
            <v>25</v>
          </cell>
          <cell r="CF140">
            <v>630</v>
          </cell>
          <cell r="CG140">
            <v>25</v>
          </cell>
          <cell r="CH140">
            <v>10</v>
          </cell>
          <cell r="CI140">
            <v>40</v>
          </cell>
          <cell r="CJ140">
            <v>285</v>
          </cell>
          <cell r="CK140">
            <v>0</v>
          </cell>
          <cell r="CL140">
            <v>265</v>
          </cell>
          <cell r="CM140">
            <v>5</v>
          </cell>
          <cell r="CN140">
            <v>0</v>
          </cell>
          <cell r="CO140">
            <v>630</v>
          </cell>
          <cell r="CP140">
            <v>255</v>
          </cell>
          <cell r="CQ140">
            <v>245</v>
          </cell>
          <cell r="CR140">
            <v>60</v>
          </cell>
          <cell r="CS140">
            <v>60</v>
          </cell>
          <cell r="CT140">
            <v>10</v>
          </cell>
          <cell r="CU140">
            <v>1240</v>
          </cell>
          <cell r="CV140">
            <v>2</v>
          </cell>
          <cell r="CW140">
            <v>630</v>
          </cell>
          <cell r="CX140">
            <v>355</v>
          </cell>
          <cell r="CY140">
            <v>0</v>
          </cell>
          <cell r="CZ140">
            <v>275</v>
          </cell>
        </row>
        <row r="141">
          <cell r="A141" t="str">
            <v>4620391.00</v>
          </cell>
          <cell r="B141" t="str">
            <v>0391.00</v>
          </cell>
          <cell r="C141" t="str">
            <v>Lachine</v>
          </cell>
          <cell r="D141">
            <v>1585</v>
          </cell>
          <cell r="E141">
            <v>775</v>
          </cell>
          <cell r="F141">
            <v>380</v>
          </cell>
          <cell r="G141">
            <v>50</v>
          </cell>
          <cell r="H141">
            <v>195</v>
          </cell>
          <cell r="I141">
            <v>185</v>
          </cell>
          <cell r="J141">
            <v>1590</v>
          </cell>
          <cell r="K141">
            <v>1310</v>
          </cell>
          <cell r="L141">
            <v>280</v>
          </cell>
          <cell r="M141">
            <v>385</v>
          </cell>
          <cell r="N141">
            <v>215</v>
          </cell>
          <cell r="O141">
            <v>75</v>
          </cell>
          <cell r="P141">
            <v>65</v>
          </cell>
          <cell r="Q141">
            <v>35</v>
          </cell>
          <cell r="R141">
            <v>385</v>
          </cell>
          <cell r="S141">
            <v>295</v>
          </cell>
          <cell r="T141">
            <v>180</v>
          </cell>
          <cell r="U141">
            <v>90</v>
          </cell>
          <cell r="V141">
            <v>90</v>
          </cell>
          <cell r="W141">
            <v>40</v>
          </cell>
          <cell r="X141">
            <v>35</v>
          </cell>
          <cell r="Y141">
            <v>20</v>
          </cell>
          <cell r="Z141">
            <v>115</v>
          </cell>
          <cell r="AA141">
            <v>55</v>
          </cell>
          <cell r="AB141">
            <v>60</v>
          </cell>
          <cell r="AC141">
            <v>20</v>
          </cell>
          <cell r="AD141">
            <v>25</v>
          </cell>
          <cell r="AE141">
            <v>15</v>
          </cell>
          <cell r="AF141">
            <v>95</v>
          </cell>
          <cell r="AG141">
            <v>90</v>
          </cell>
          <cell r="AH141">
            <v>70</v>
          </cell>
          <cell r="AI141">
            <v>10</v>
          </cell>
          <cell r="AJ141">
            <v>10</v>
          </cell>
          <cell r="AK141">
            <v>10</v>
          </cell>
          <cell r="AL141">
            <v>0</v>
          </cell>
          <cell r="AM141">
            <v>0</v>
          </cell>
          <cell r="AN141">
            <v>0</v>
          </cell>
          <cell r="AO141">
            <v>405</v>
          </cell>
          <cell r="AP141">
            <v>70</v>
          </cell>
          <cell r="AQ141">
            <v>175</v>
          </cell>
          <cell r="AR141">
            <v>40</v>
          </cell>
          <cell r="AS141">
            <v>95</v>
          </cell>
          <cell r="AT141">
            <v>25</v>
          </cell>
          <cell r="AU141">
            <v>1</v>
          </cell>
          <cell r="AV141">
            <v>1640</v>
          </cell>
          <cell r="AW141">
            <v>550</v>
          </cell>
          <cell r="AX141">
            <v>15</v>
          </cell>
          <cell r="AY141">
            <v>125</v>
          </cell>
          <cell r="AZ141">
            <v>410</v>
          </cell>
          <cell r="BA141">
            <v>1090</v>
          </cell>
          <cell r="BB141">
            <v>2.8</v>
          </cell>
          <cell r="BC141">
            <v>285</v>
          </cell>
          <cell r="BD141">
            <v>205</v>
          </cell>
          <cell r="BE141">
            <v>0</v>
          </cell>
          <cell r="BF141">
            <v>45</v>
          </cell>
          <cell r="BG141">
            <v>155</v>
          </cell>
          <cell r="BH141">
            <v>80</v>
          </cell>
          <cell r="BI141">
            <v>855</v>
          </cell>
          <cell r="BJ141">
            <v>4.5999999999999996</v>
          </cell>
          <cell r="BK141">
            <v>3932.9999999999995</v>
          </cell>
          <cell r="BL141">
            <v>1.9</v>
          </cell>
          <cell r="BM141">
            <v>1624.5</v>
          </cell>
          <cell r="BN141">
            <v>855</v>
          </cell>
          <cell r="BO141">
            <v>195</v>
          </cell>
          <cell r="BP141">
            <v>655</v>
          </cell>
          <cell r="BQ141">
            <v>0</v>
          </cell>
          <cell r="BR141">
            <v>855</v>
          </cell>
          <cell r="BS141">
            <v>520</v>
          </cell>
          <cell r="BT141">
            <v>230</v>
          </cell>
          <cell r="BU141">
            <v>105</v>
          </cell>
          <cell r="BV141">
            <v>855</v>
          </cell>
          <cell r="BW141">
            <v>465</v>
          </cell>
          <cell r="BX141">
            <v>130</v>
          </cell>
          <cell r="BY141">
            <v>80</v>
          </cell>
          <cell r="BZ141">
            <v>45</v>
          </cell>
          <cell r="CA141">
            <v>45</v>
          </cell>
          <cell r="CB141">
            <v>45</v>
          </cell>
          <cell r="CC141">
            <v>15</v>
          </cell>
          <cell r="CD141">
            <v>15</v>
          </cell>
          <cell r="CE141">
            <v>10</v>
          </cell>
          <cell r="CF141">
            <v>855</v>
          </cell>
          <cell r="CG141">
            <v>30</v>
          </cell>
          <cell r="CH141">
            <v>10</v>
          </cell>
          <cell r="CI141">
            <v>25</v>
          </cell>
          <cell r="CJ141">
            <v>250</v>
          </cell>
          <cell r="CK141">
            <v>110</v>
          </cell>
          <cell r="CL141">
            <v>390</v>
          </cell>
          <cell r="CM141">
            <v>35</v>
          </cell>
          <cell r="CN141">
            <v>0</v>
          </cell>
          <cell r="CO141">
            <v>855</v>
          </cell>
          <cell r="CP141">
            <v>395</v>
          </cell>
          <cell r="CQ141">
            <v>255</v>
          </cell>
          <cell r="CR141">
            <v>105</v>
          </cell>
          <cell r="CS141">
            <v>90</v>
          </cell>
          <cell r="CT141">
            <v>5</v>
          </cell>
          <cell r="CU141">
            <v>1640</v>
          </cell>
          <cell r="CV141">
            <v>1.9</v>
          </cell>
          <cell r="CW141">
            <v>855</v>
          </cell>
          <cell r="CX141">
            <v>385</v>
          </cell>
          <cell r="CY141">
            <v>0</v>
          </cell>
          <cell r="CZ141">
            <v>465</v>
          </cell>
        </row>
        <row r="142">
          <cell r="A142" t="str">
            <v>4620392.00</v>
          </cell>
          <cell r="B142" t="str">
            <v>0392.00</v>
          </cell>
          <cell r="C142" t="str">
            <v>Lachine</v>
          </cell>
          <cell r="D142">
            <v>1315</v>
          </cell>
          <cell r="E142">
            <v>640</v>
          </cell>
          <cell r="F142">
            <v>355</v>
          </cell>
          <cell r="G142">
            <v>35</v>
          </cell>
          <cell r="H142">
            <v>140</v>
          </cell>
          <cell r="I142">
            <v>145</v>
          </cell>
          <cell r="J142">
            <v>1315</v>
          </cell>
          <cell r="K142">
            <v>1080</v>
          </cell>
          <cell r="L142">
            <v>240</v>
          </cell>
          <cell r="M142">
            <v>375</v>
          </cell>
          <cell r="N142">
            <v>215</v>
          </cell>
          <cell r="O142">
            <v>110</v>
          </cell>
          <cell r="P142">
            <v>25</v>
          </cell>
          <cell r="Q142">
            <v>15</v>
          </cell>
          <cell r="R142">
            <v>370</v>
          </cell>
          <cell r="S142">
            <v>310</v>
          </cell>
          <cell r="T142">
            <v>170</v>
          </cell>
          <cell r="U142">
            <v>85</v>
          </cell>
          <cell r="V142">
            <v>85</v>
          </cell>
          <cell r="W142">
            <v>45</v>
          </cell>
          <cell r="X142">
            <v>30</v>
          </cell>
          <cell r="Y142">
            <v>10</v>
          </cell>
          <cell r="Z142">
            <v>140</v>
          </cell>
          <cell r="AA142">
            <v>95</v>
          </cell>
          <cell r="AB142">
            <v>50</v>
          </cell>
          <cell r="AC142">
            <v>50</v>
          </cell>
          <cell r="AD142">
            <v>0</v>
          </cell>
          <cell r="AE142">
            <v>0</v>
          </cell>
          <cell r="AF142">
            <v>60</v>
          </cell>
          <cell r="AG142">
            <v>50</v>
          </cell>
          <cell r="AH142">
            <v>30</v>
          </cell>
          <cell r="AI142">
            <v>10</v>
          </cell>
          <cell r="AJ142">
            <v>0</v>
          </cell>
          <cell r="AK142">
            <v>15</v>
          </cell>
          <cell r="AL142">
            <v>10</v>
          </cell>
          <cell r="AM142">
            <v>10</v>
          </cell>
          <cell r="AN142">
            <v>0</v>
          </cell>
          <cell r="AO142">
            <v>280</v>
          </cell>
          <cell r="AP142">
            <v>40</v>
          </cell>
          <cell r="AQ142">
            <v>90</v>
          </cell>
          <cell r="AR142">
            <v>45</v>
          </cell>
          <cell r="AS142">
            <v>75</v>
          </cell>
          <cell r="AT142">
            <v>20</v>
          </cell>
          <cell r="AU142">
            <v>0.8</v>
          </cell>
          <cell r="AV142">
            <v>1335</v>
          </cell>
          <cell r="AW142">
            <v>370</v>
          </cell>
          <cell r="AX142">
            <v>15</v>
          </cell>
          <cell r="AY142">
            <v>65</v>
          </cell>
          <cell r="AZ142">
            <v>290</v>
          </cell>
          <cell r="BA142">
            <v>970</v>
          </cell>
          <cell r="BB142">
            <v>2.6</v>
          </cell>
          <cell r="BC142">
            <v>155</v>
          </cell>
          <cell r="BD142">
            <v>65</v>
          </cell>
          <cell r="BE142">
            <v>0</v>
          </cell>
          <cell r="BF142">
            <v>0</v>
          </cell>
          <cell r="BG142">
            <v>60</v>
          </cell>
          <cell r="BH142">
            <v>85</v>
          </cell>
          <cell r="BI142">
            <v>685</v>
          </cell>
          <cell r="BJ142">
            <v>5.0999999999999996</v>
          </cell>
          <cell r="BK142">
            <v>3493.4999999999995</v>
          </cell>
          <cell r="BL142">
            <v>2</v>
          </cell>
          <cell r="BM142">
            <v>1370</v>
          </cell>
          <cell r="BN142">
            <v>690</v>
          </cell>
          <cell r="BO142">
            <v>305</v>
          </cell>
          <cell r="BP142">
            <v>385</v>
          </cell>
          <cell r="BQ142">
            <v>0</v>
          </cell>
          <cell r="BR142">
            <v>690</v>
          </cell>
          <cell r="BS142">
            <v>370</v>
          </cell>
          <cell r="BT142">
            <v>210</v>
          </cell>
          <cell r="BU142">
            <v>110</v>
          </cell>
          <cell r="BV142">
            <v>685</v>
          </cell>
          <cell r="BW142">
            <v>395</v>
          </cell>
          <cell r="BX142">
            <v>90</v>
          </cell>
          <cell r="BY142">
            <v>25</v>
          </cell>
          <cell r="BZ142">
            <v>0</v>
          </cell>
          <cell r="CA142">
            <v>15</v>
          </cell>
          <cell r="CB142">
            <v>0</v>
          </cell>
          <cell r="CC142">
            <v>20</v>
          </cell>
          <cell r="CD142">
            <v>40</v>
          </cell>
          <cell r="CE142">
            <v>95</v>
          </cell>
          <cell r="CF142">
            <v>685</v>
          </cell>
          <cell r="CG142">
            <v>30</v>
          </cell>
          <cell r="CH142">
            <v>50</v>
          </cell>
          <cell r="CI142">
            <v>75</v>
          </cell>
          <cell r="CJ142">
            <v>155</v>
          </cell>
          <cell r="CK142">
            <v>0</v>
          </cell>
          <cell r="CL142">
            <v>340</v>
          </cell>
          <cell r="CM142">
            <v>45</v>
          </cell>
          <cell r="CN142">
            <v>0</v>
          </cell>
          <cell r="CO142">
            <v>690</v>
          </cell>
          <cell r="CP142">
            <v>310</v>
          </cell>
          <cell r="CQ142">
            <v>220</v>
          </cell>
          <cell r="CR142">
            <v>95</v>
          </cell>
          <cell r="CS142">
            <v>55</v>
          </cell>
          <cell r="CT142">
            <v>10</v>
          </cell>
          <cell r="CU142">
            <v>1340</v>
          </cell>
          <cell r="CV142">
            <v>1.9</v>
          </cell>
          <cell r="CW142">
            <v>690</v>
          </cell>
          <cell r="CX142">
            <v>370</v>
          </cell>
          <cell r="CY142">
            <v>0</v>
          </cell>
          <cell r="CZ142">
            <v>315</v>
          </cell>
        </row>
        <row r="143">
          <cell r="A143" t="str">
            <v>4620393.00</v>
          </cell>
          <cell r="B143" t="str">
            <v>0393.00</v>
          </cell>
          <cell r="C143" t="str">
            <v>Lachine</v>
          </cell>
          <cell r="D143">
            <v>4660</v>
          </cell>
          <cell r="E143">
            <v>2210</v>
          </cell>
          <cell r="F143">
            <v>1365</v>
          </cell>
          <cell r="G143">
            <v>130</v>
          </cell>
          <cell r="H143">
            <v>555</v>
          </cell>
          <cell r="I143">
            <v>395</v>
          </cell>
          <cell r="J143">
            <v>4660</v>
          </cell>
          <cell r="K143">
            <v>3825</v>
          </cell>
          <cell r="L143">
            <v>840</v>
          </cell>
          <cell r="M143">
            <v>1490</v>
          </cell>
          <cell r="N143">
            <v>760</v>
          </cell>
          <cell r="O143">
            <v>425</v>
          </cell>
          <cell r="P143">
            <v>230</v>
          </cell>
          <cell r="Q143">
            <v>80</v>
          </cell>
          <cell r="R143">
            <v>1495</v>
          </cell>
          <cell r="S143">
            <v>1090</v>
          </cell>
          <cell r="T143">
            <v>665</v>
          </cell>
          <cell r="U143">
            <v>315</v>
          </cell>
          <cell r="V143">
            <v>350</v>
          </cell>
          <cell r="W143">
            <v>150</v>
          </cell>
          <cell r="X143">
            <v>145</v>
          </cell>
          <cell r="Y143">
            <v>60</v>
          </cell>
          <cell r="Z143">
            <v>425</v>
          </cell>
          <cell r="AA143">
            <v>180</v>
          </cell>
          <cell r="AB143">
            <v>240</v>
          </cell>
          <cell r="AC143">
            <v>145</v>
          </cell>
          <cell r="AD143">
            <v>80</v>
          </cell>
          <cell r="AE143">
            <v>15</v>
          </cell>
          <cell r="AF143">
            <v>405</v>
          </cell>
          <cell r="AG143">
            <v>295</v>
          </cell>
          <cell r="AH143">
            <v>205</v>
          </cell>
          <cell r="AI143">
            <v>85</v>
          </cell>
          <cell r="AJ143">
            <v>10</v>
          </cell>
          <cell r="AK143">
            <v>105</v>
          </cell>
          <cell r="AL143">
            <v>55</v>
          </cell>
          <cell r="AM143">
            <v>45</v>
          </cell>
          <cell r="AN143">
            <v>0</v>
          </cell>
          <cell r="AO143">
            <v>1545</v>
          </cell>
          <cell r="AP143">
            <v>330</v>
          </cell>
          <cell r="AQ143">
            <v>495</v>
          </cell>
          <cell r="AR143">
            <v>220</v>
          </cell>
          <cell r="AS143">
            <v>290</v>
          </cell>
          <cell r="AT143">
            <v>205</v>
          </cell>
          <cell r="AU143">
            <v>1</v>
          </cell>
          <cell r="AV143">
            <v>5305</v>
          </cell>
          <cell r="AW143">
            <v>1180</v>
          </cell>
          <cell r="AX143">
            <v>70</v>
          </cell>
          <cell r="AY143">
            <v>175</v>
          </cell>
          <cell r="AZ143">
            <v>935</v>
          </cell>
          <cell r="BA143">
            <v>4125</v>
          </cell>
          <cell r="BB143">
            <v>2.8</v>
          </cell>
          <cell r="BC143">
            <v>795</v>
          </cell>
          <cell r="BD143">
            <v>380</v>
          </cell>
          <cell r="BE143">
            <v>25</v>
          </cell>
          <cell r="BF143">
            <v>25</v>
          </cell>
          <cell r="BG143">
            <v>330</v>
          </cell>
          <cell r="BH143">
            <v>415</v>
          </cell>
          <cell r="BI143">
            <v>2480</v>
          </cell>
          <cell r="BJ143">
            <v>5</v>
          </cell>
          <cell r="BK143">
            <v>12400</v>
          </cell>
          <cell r="BL143">
            <v>2.2999999999999998</v>
          </cell>
          <cell r="BM143">
            <v>5704</v>
          </cell>
          <cell r="BN143">
            <v>2485</v>
          </cell>
          <cell r="BO143">
            <v>960</v>
          </cell>
          <cell r="BP143">
            <v>1520</v>
          </cell>
          <cell r="BQ143">
            <v>0</v>
          </cell>
          <cell r="BR143">
            <v>2485</v>
          </cell>
          <cell r="BS143">
            <v>1485</v>
          </cell>
          <cell r="BT143">
            <v>740</v>
          </cell>
          <cell r="BU143">
            <v>255</v>
          </cell>
          <cell r="BV143">
            <v>2485</v>
          </cell>
          <cell r="BW143">
            <v>555</v>
          </cell>
          <cell r="BX143">
            <v>980</v>
          </cell>
          <cell r="BY143">
            <v>355</v>
          </cell>
          <cell r="BZ143">
            <v>235</v>
          </cell>
          <cell r="CA143">
            <v>75</v>
          </cell>
          <cell r="CB143">
            <v>95</v>
          </cell>
          <cell r="CC143">
            <v>25</v>
          </cell>
          <cell r="CD143">
            <v>25</v>
          </cell>
          <cell r="CE143">
            <v>135</v>
          </cell>
          <cell r="CF143">
            <v>2485</v>
          </cell>
          <cell r="CG143">
            <v>195</v>
          </cell>
          <cell r="CH143">
            <v>85</v>
          </cell>
          <cell r="CI143">
            <v>255</v>
          </cell>
          <cell r="CJ143">
            <v>685</v>
          </cell>
          <cell r="CK143">
            <v>40</v>
          </cell>
          <cell r="CL143">
            <v>1200</v>
          </cell>
          <cell r="CM143">
            <v>30</v>
          </cell>
          <cell r="CN143">
            <v>0</v>
          </cell>
          <cell r="CO143">
            <v>2485</v>
          </cell>
          <cell r="CP143">
            <v>930</v>
          </cell>
          <cell r="CQ143">
            <v>780</v>
          </cell>
          <cell r="CR143">
            <v>420</v>
          </cell>
          <cell r="CS143">
            <v>325</v>
          </cell>
          <cell r="CT143">
            <v>30</v>
          </cell>
          <cell r="CU143">
            <v>5305</v>
          </cell>
          <cell r="CV143">
            <v>2.1</v>
          </cell>
          <cell r="CW143">
            <v>2485</v>
          </cell>
          <cell r="CX143">
            <v>1440</v>
          </cell>
          <cell r="CY143">
            <v>25</v>
          </cell>
          <cell r="CZ143">
            <v>1015</v>
          </cell>
        </row>
        <row r="144">
          <cell r="A144" t="str">
            <v>4620394.00</v>
          </cell>
          <cell r="B144" t="str">
            <v>0394.00</v>
          </cell>
          <cell r="C144" t="str">
            <v>Lachine</v>
          </cell>
          <cell r="D144">
            <v>3335</v>
          </cell>
          <cell r="E144">
            <v>1675</v>
          </cell>
          <cell r="F144">
            <v>980</v>
          </cell>
          <cell r="G144">
            <v>85</v>
          </cell>
          <cell r="H144">
            <v>380</v>
          </cell>
          <cell r="I144">
            <v>210</v>
          </cell>
          <cell r="J144">
            <v>3335</v>
          </cell>
          <cell r="K144">
            <v>2655</v>
          </cell>
          <cell r="L144">
            <v>680</v>
          </cell>
          <cell r="M144">
            <v>1120</v>
          </cell>
          <cell r="N144">
            <v>655</v>
          </cell>
          <cell r="O144">
            <v>255</v>
          </cell>
          <cell r="P144">
            <v>145</v>
          </cell>
          <cell r="Q144">
            <v>60</v>
          </cell>
          <cell r="R144">
            <v>1120</v>
          </cell>
          <cell r="S144">
            <v>825</v>
          </cell>
          <cell r="T144">
            <v>480</v>
          </cell>
          <cell r="U144">
            <v>285</v>
          </cell>
          <cell r="V144">
            <v>200</v>
          </cell>
          <cell r="W144">
            <v>90</v>
          </cell>
          <cell r="X144">
            <v>70</v>
          </cell>
          <cell r="Y144">
            <v>35</v>
          </cell>
          <cell r="Z144">
            <v>340</v>
          </cell>
          <cell r="AA144">
            <v>195</v>
          </cell>
          <cell r="AB144">
            <v>145</v>
          </cell>
          <cell r="AC144">
            <v>75</v>
          </cell>
          <cell r="AD144">
            <v>55</v>
          </cell>
          <cell r="AE144">
            <v>10</v>
          </cell>
          <cell r="AF144">
            <v>295</v>
          </cell>
          <cell r="AG144">
            <v>220</v>
          </cell>
          <cell r="AH144">
            <v>125</v>
          </cell>
          <cell r="AI144">
            <v>75</v>
          </cell>
          <cell r="AJ144">
            <v>15</v>
          </cell>
          <cell r="AK144">
            <v>75</v>
          </cell>
          <cell r="AL144">
            <v>55</v>
          </cell>
          <cell r="AM144">
            <v>10</v>
          </cell>
          <cell r="AN144">
            <v>15</v>
          </cell>
          <cell r="AO144">
            <v>1045</v>
          </cell>
          <cell r="AP144">
            <v>230</v>
          </cell>
          <cell r="AQ144">
            <v>375</v>
          </cell>
          <cell r="AR144">
            <v>125</v>
          </cell>
          <cell r="AS144">
            <v>175</v>
          </cell>
          <cell r="AT144">
            <v>135</v>
          </cell>
          <cell r="AU144">
            <v>0.9</v>
          </cell>
          <cell r="AV144">
            <v>3945</v>
          </cell>
          <cell r="AW144">
            <v>960</v>
          </cell>
          <cell r="AX144">
            <v>90</v>
          </cell>
          <cell r="AY144">
            <v>175</v>
          </cell>
          <cell r="AZ144">
            <v>690</v>
          </cell>
          <cell r="BA144">
            <v>2990</v>
          </cell>
          <cell r="BB144">
            <v>2.7</v>
          </cell>
          <cell r="BC144">
            <v>440</v>
          </cell>
          <cell r="BD144">
            <v>180</v>
          </cell>
          <cell r="BE144">
            <v>25</v>
          </cell>
          <cell r="BF144">
            <v>0</v>
          </cell>
          <cell r="BG144">
            <v>155</v>
          </cell>
          <cell r="BH144">
            <v>255</v>
          </cell>
          <cell r="BI144">
            <v>1860</v>
          </cell>
          <cell r="BJ144">
            <v>4.5999999999999996</v>
          </cell>
          <cell r="BK144">
            <v>8556</v>
          </cell>
          <cell r="BL144">
            <v>2</v>
          </cell>
          <cell r="BM144">
            <v>3720</v>
          </cell>
          <cell r="BN144">
            <v>1860</v>
          </cell>
          <cell r="BO144">
            <v>655</v>
          </cell>
          <cell r="BP144">
            <v>1200</v>
          </cell>
          <cell r="BQ144">
            <v>0</v>
          </cell>
          <cell r="BR144">
            <v>1855</v>
          </cell>
          <cell r="BS144">
            <v>930</v>
          </cell>
          <cell r="BT144">
            <v>680</v>
          </cell>
          <cell r="BU144">
            <v>245</v>
          </cell>
          <cell r="BV144">
            <v>1855</v>
          </cell>
          <cell r="BW144">
            <v>600</v>
          </cell>
          <cell r="BX144">
            <v>685</v>
          </cell>
          <cell r="BY144">
            <v>245</v>
          </cell>
          <cell r="BZ144">
            <v>100</v>
          </cell>
          <cell r="CA144">
            <v>45</v>
          </cell>
          <cell r="CB144">
            <v>60</v>
          </cell>
          <cell r="CC144">
            <v>0</v>
          </cell>
          <cell r="CD144">
            <v>25</v>
          </cell>
          <cell r="CE144">
            <v>95</v>
          </cell>
          <cell r="CF144">
            <v>1860</v>
          </cell>
          <cell r="CG144">
            <v>105</v>
          </cell>
          <cell r="CH144">
            <v>50</v>
          </cell>
          <cell r="CI144">
            <v>10</v>
          </cell>
          <cell r="CJ144">
            <v>935</v>
          </cell>
          <cell r="CK144">
            <v>15</v>
          </cell>
          <cell r="CL144">
            <v>730</v>
          </cell>
          <cell r="CM144">
            <v>15</v>
          </cell>
          <cell r="CN144">
            <v>0</v>
          </cell>
          <cell r="CO144">
            <v>1855</v>
          </cell>
          <cell r="CP144">
            <v>685</v>
          </cell>
          <cell r="CQ144">
            <v>625</v>
          </cell>
          <cell r="CR144">
            <v>275</v>
          </cell>
          <cell r="CS144">
            <v>240</v>
          </cell>
          <cell r="CT144">
            <v>25</v>
          </cell>
          <cell r="CU144">
            <v>3945</v>
          </cell>
          <cell r="CV144">
            <v>2.1</v>
          </cell>
          <cell r="CW144">
            <v>1855</v>
          </cell>
          <cell r="CX144">
            <v>1075</v>
          </cell>
          <cell r="CY144">
            <v>20</v>
          </cell>
          <cell r="CZ144">
            <v>755</v>
          </cell>
        </row>
        <row r="145">
          <cell r="A145" t="str">
            <v>4620395.01</v>
          </cell>
          <cell r="B145" t="str">
            <v>0395.01</v>
          </cell>
          <cell r="C145" t="str">
            <v>Lachine</v>
          </cell>
          <cell r="D145">
            <v>1805</v>
          </cell>
          <cell r="E145">
            <v>1045</v>
          </cell>
          <cell r="F145">
            <v>390</v>
          </cell>
          <cell r="G145">
            <v>60</v>
          </cell>
          <cell r="H145">
            <v>225</v>
          </cell>
          <cell r="I145">
            <v>80</v>
          </cell>
          <cell r="J145">
            <v>1805</v>
          </cell>
          <cell r="K145">
            <v>1555</v>
          </cell>
          <cell r="L145">
            <v>250</v>
          </cell>
          <cell r="M145">
            <v>510</v>
          </cell>
          <cell r="N145">
            <v>255</v>
          </cell>
          <cell r="O145">
            <v>115</v>
          </cell>
          <cell r="P145">
            <v>110</v>
          </cell>
          <cell r="Q145">
            <v>25</v>
          </cell>
          <cell r="R145">
            <v>505</v>
          </cell>
          <cell r="S145">
            <v>350</v>
          </cell>
          <cell r="T145">
            <v>205</v>
          </cell>
          <cell r="U145">
            <v>75</v>
          </cell>
          <cell r="V145">
            <v>135</v>
          </cell>
          <cell r="W145">
            <v>55</v>
          </cell>
          <cell r="X145">
            <v>75</v>
          </cell>
          <cell r="Y145">
            <v>10</v>
          </cell>
          <cell r="Z145">
            <v>140</v>
          </cell>
          <cell r="AA145">
            <v>90</v>
          </cell>
          <cell r="AB145">
            <v>45</v>
          </cell>
          <cell r="AC145">
            <v>10</v>
          </cell>
          <cell r="AD145">
            <v>15</v>
          </cell>
          <cell r="AE145">
            <v>20</v>
          </cell>
          <cell r="AF145">
            <v>155</v>
          </cell>
          <cell r="AG145">
            <v>115</v>
          </cell>
          <cell r="AH145">
            <v>50</v>
          </cell>
          <cell r="AI145">
            <v>45</v>
          </cell>
          <cell r="AJ145">
            <v>15</v>
          </cell>
          <cell r="AK145">
            <v>45</v>
          </cell>
          <cell r="AL145">
            <v>35</v>
          </cell>
          <cell r="AM145">
            <v>10</v>
          </cell>
          <cell r="AN145">
            <v>0</v>
          </cell>
          <cell r="AO145">
            <v>580</v>
          </cell>
          <cell r="AP145">
            <v>175</v>
          </cell>
          <cell r="AQ145">
            <v>240</v>
          </cell>
          <cell r="AR145">
            <v>55</v>
          </cell>
          <cell r="AS145">
            <v>85</v>
          </cell>
          <cell r="AT145">
            <v>25</v>
          </cell>
          <cell r="AU145">
            <v>1.1000000000000001</v>
          </cell>
          <cell r="AV145">
            <v>1960</v>
          </cell>
          <cell r="AW145">
            <v>525</v>
          </cell>
          <cell r="AX145">
            <v>45</v>
          </cell>
          <cell r="AY145">
            <v>95</v>
          </cell>
          <cell r="AZ145">
            <v>380</v>
          </cell>
          <cell r="BA145">
            <v>1435</v>
          </cell>
          <cell r="BB145">
            <v>2.8</v>
          </cell>
          <cell r="BC145">
            <v>175</v>
          </cell>
          <cell r="BD145">
            <v>75</v>
          </cell>
          <cell r="BE145">
            <v>0</v>
          </cell>
          <cell r="BF145">
            <v>0</v>
          </cell>
          <cell r="BG145">
            <v>60</v>
          </cell>
          <cell r="BH145">
            <v>105</v>
          </cell>
          <cell r="BI145">
            <v>935</v>
          </cell>
          <cell r="BJ145">
            <v>4</v>
          </cell>
          <cell r="BK145">
            <v>3740</v>
          </cell>
          <cell r="BL145">
            <v>1.8</v>
          </cell>
          <cell r="BM145">
            <v>1683</v>
          </cell>
          <cell r="BN145">
            <v>930</v>
          </cell>
          <cell r="BO145">
            <v>60</v>
          </cell>
          <cell r="BP145">
            <v>875</v>
          </cell>
          <cell r="BQ145">
            <v>0</v>
          </cell>
          <cell r="BR145">
            <v>930</v>
          </cell>
          <cell r="BS145">
            <v>505</v>
          </cell>
          <cell r="BT145">
            <v>225</v>
          </cell>
          <cell r="BU145">
            <v>200</v>
          </cell>
          <cell r="BV145">
            <v>935</v>
          </cell>
          <cell r="BW145">
            <v>80</v>
          </cell>
          <cell r="BX145">
            <v>210</v>
          </cell>
          <cell r="BY145">
            <v>205</v>
          </cell>
          <cell r="BZ145">
            <v>270</v>
          </cell>
          <cell r="CA145">
            <v>50</v>
          </cell>
          <cell r="CB145">
            <v>35</v>
          </cell>
          <cell r="CC145">
            <v>0</v>
          </cell>
          <cell r="CD145">
            <v>0</v>
          </cell>
          <cell r="CE145">
            <v>85</v>
          </cell>
          <cell r="CF145">
            <v>920</v>
          </cell>
          <cell r="CG145">
            <v>25</v>
          </cell>
          <cell r="CH145">
            <v>5</v>
          </cell>
          <cell r="CI145">
            <v>0</v>
          </cell>
          <cell r="CJ145">
            <v>55</v>
          </cell>
          <cell r="CK145">
            <v>0</v>
          </cell>
          <cell r="CL145">
            <v>835</v>
          </cell>
          <cell r="CM145">
            <v>0</v>
          </cell>
          <cell r="CN145">
            <v>0</v>
          </cell>
          <cell r="CO145">
            <v>915</v>
          </cell>
          <cell r="CP145">
            <v>390</v>
          </cell>
          <cell r="CQ145">
            <v>245</v>
          </cell>
          <cell r="CR145">
            <v>125</v>
          </cell>
          <cell r="CS145">
            <v>140</v>
          </cell>
          <cell r="CT145">
            <v>15</v>
          </cell>
          <cell r="CU145">
            <v>1955</v>
          </cell>
          <cell r="CV145">
            <v>2.1</v>
          </cell>
          <cell r="CW145">
            <v>935</v>
          </cell>
          <cell r="CX145">
            <v>500</v>
          </cell>
          <cell r="CY145">
            <v>0</v>
          </cell>
          <cell r="CZ145">
            <v>425</v>
          </cell>
        </row>
        <row r="146">
          <cell r="A146" t="str">
            <v>4620395.02</v>
          </cell>
          <cell r="B146" t="str">
            <v>0395.02</v>
          </cell>
          <cell r="C146" t="str">
            <v>Lachine</v>
          </cell>
          <cell r="D146">
            <v>5390</v>
          </cell>
          <cell r="E146">
            <v>2180</v>
          </cell>
          <cell r="F146">
            <v>1895</v>
          </cell>
          <cell r="G146">
            <v>170</v>
          </cell>
          <cell r="H146">
            <v>615</v>
          </cell>
          <cell r="I146">
            <v>535</v>
          </cell>
          <cell r="J146">
            <v>5390</v>
          </cell>
          <cell r="K146">
            <v>4745</v>
          </cell>
          <cell r="L146">
            <v>640</v>
          </cell>
          <cell r="M146">
            <v>1620</v>
          </cell>
          <cell r="N146">
            <v>825</v>
          </cell>
          <cell r="O146">
            <v>405</v>
          </cell>
          <cell r="P146">
            <v>315</v>
          </cell>
          <cell r="Q146">
            <v>80</v>
          </cell>
          <cell r="R146">
            <v>1620</v>
          </cell>
          <cell r="S146">
            <v>1205</v>
          </cell>
          <cell r="T146">
            <v>880</v>
          </cell>
          <cell r="U146">
            <v>390</v>
          </cell>
          <cell r="V146">
            <v>495</v>
          </cell>
          <cell r="W146">
            <v>185</v>
          </cell>
          <cell r="X146">
            <v>220</v>
          </cell>
          <cell r="Y146">
            <v>80</v>
          </cell>
          <cell r="Z146">
            <v>325</v>
          </cell>
          <cell r="AA146">
            <v>170</v>
          </cell>
          <cell r="AB146">
            <v>155</v>
          </cell>
          <cell r="AC146">
            <v>90</v>
          </cell>
          <cell r="AD146">
            <v>65</v>
          </cell>
          <cell r="AE146">
            <v>0</v>
          </cell>
          <cell r="AF146">
            <v>415</v>
          </cell>
          <cell r="AG146">
            <v>305</v>
          </cell>
          <cell r="AH146">
            <v>180</v>
          </cell>
          <cell r="AI146">
            <v>100</v>
          </cell>
          <cell r="AJ146">
            <v>25</v>
          </cell>
          <cell r="AK146">
            <v>105</v>
          </cell>
          <cell r="AL146">
            <v>80</v>
          </cell>
          <cell r="AM146">
            <v>25</v>
          </cell>
          <cell r="AN146">
            <v>0</v>
          </cell>
          <cell r="AO146">
            <v>1695</v>
          </cell>
          <cell r="AP146">
            <v>420</v>
          </cell>
          <cell r="AQ146">
            <v>540</v>
          </cell>
          <cell r="AR146">
            <v>195</v>
          </cell>
          <cell r="AS146">
            <v>290</v>
          </cell>
          <cell r="AT146">
            <v>245</v>
          </cell>
          <cell r="AU146">
            <v>1</v>
          </cell>
          <cell r="AV146">
            <v>6000</v>
          </cell>
          <cell r="AW146">
            <v>1470</v>
          </cell>
          <cell r="AX146">
            <v>180</v>
          </cell>
          <cell r="AY146">
            <v>220</v>
          </cell>
          <cell r="AZ146">
            <v>1075</v>
          </cell>
          <cell r="BA146">
            <v>4525</v>
          </cell>
          <cell r="BB146">
            <v>2.8</v>
          </cell>
          <cell r="BC146">
            <v>725</v>
          </cell>
          <cell r="BD146">
            <v>300</v>
          </cell>
          <cell r="BE146">
            <v>10</v>
          </cell>
          <cell r="BF146">
            <v>25</v>
          </cell>
          <cell r="BG146">
            <v>265</v>
          </cell>
          <cell r="BH146">
            <v>425</v>
          </cell>
          <cell r="BI146">
            <v>2755</v>
          </cell>
          <cell r="BJ146">
            <v>4.7</v>
          </cell>
          <cell r="BK146">
            <v>12948.5</v>
          </cell>
          <cell r="BL146">
            <v>2.1</v>
          </cell>
          <cell r="BM146">
            <v>5785.5</v>
          </cell>
          <cell r="BN146">
            <v>2755</v>
          </cell>
          <cell r="BO146">
            <v>935</v>
          </cell>
          <cell r="BP146">
            <v>1830</v>
          </cell>
          <cell r="BQ146">
            <v>0</v>
          </cell>
          <cell r="BR146">
            <v>2755</v>
          </cell>
          <cell r="BS146">
            <v>1585</v>
          </cell>
          <cell r="BT146">
            <v>925</v>
          </cell>
          <cell r="BU146">
            <v>245</v>
          </cell>
          <cell r="BV146">
            <v>2755</v>
          </cell>
          <cell r="BW146">
            <v>225</v>
          </cell>
          <cell r="BX146">
            <v>685</v>
          </cell>
          <cell r="BY146">
            <v>640</v>
          </cell>
          <cell r="BZ146">
            <v>385</v>
          </cell>
          <cell r="CA146">
            <v>125</v>
          </cell>
          <cell r="CB146">
            <v>300</v>
          </cell>
          <cell r="CC146">
            <v>270</v>
          </cell>
          <cell r="CD146">
            <v>60</v>
          </cell>
          <cell r="CE146">
            <v>75</v>
          </cell>
          <cell r="CF146">
            <v>2745</v>
          </cell>
          <cell r="CG146">
            <v>65</v>
          </cell>
          <cell r="CH146">
            <v>135</v>
          </cell>
          <cell r="CI146">
            <v>300</v>
          </cell>
          <cell r="CJ146">
            <v>175</v>
          </cell>
          <cell r="CK146">
            <v>355</v>
          </cell>
          <cell r="CL146">
            <v>1670</v>
          </cell>
          <cell r="CM146">
            <v>10</v>
          </cell>
          <cell r="CN146">
            <v>40</v>
          </cell>
          <cell r="CO146">
            <v>2745</v>
          </cell>
          <cell r="CP146">
            <v>1060</v>
          </cell>
          <cell r="CQ146">
            <v>805</v>
          </cell>
          <cell r="CR146">
            <v>410</v>
          </cell>
          <cell r="CS146">
            <v>430</v>
          </cell>
          <cell r="CT146">
            <v>45</v>
          </cell>
          <cell r="CU146">
            <v>5995</v>
          </cell>
          <cell r="CV146">
            <v>2.2000000000000002</v>
          </cell>
          <cell r="CW146">
            <v>2760</v>
          </cell>
          <cell r="CX146">
            <v>1525</v>
          </cell>
          <cell r="CY146">
            <v>45</v>
          </cell>
          <cell r="CZ146">
            <v>1185</v>
          </cell>
        </row>
        <row r="147">
          <cell r="A147" t="str">
            <v>4620395.03</v>
          </cell>
          <cell r="B147" t="str">
            <v>0395.03</v>
          </cell>
          <cell r="C147" t="str">
            <v>Lachine</v>
          </cell>
          <cell r="D147">
            <v>3625</v>
          </cell>
          <cell r="E147">
            <v>1565</v>
          </cell>
          <cell r="F147">
            <v>1210</v>
          </cell>
          <cell r="G147">
            <v>115</v>
          </cell>
          <cell r="H147">
            <v>480</v>
          </cell>
          <cell r="I147">
            <v>250</v>
          </cell>
          <cell r="J147">
            <v>3625</v>
          </cell>
          <cell r="K147">
            <v>3070</v>
          </cell>
          <cell r="L147">
            <v>555</v>
          </cell>
          <cell r="M147">
            <v>1115</v>
          </cell>
          <cell r="N147">
            <v>630</v>
          </cell>
          <cell r="O147">
            <v>275</v>
          </cell>
          <cell r="P147">
            <v>155</v>
          </cell>
          <cell r="Q147">
            <v>55</v>
          </cell>
          <cell r="R147">
            <v>1120</v>
          </cell>
          <cell r="S147">
            <v>870</v>
          </cell>
          <cell r="T147">
            <v>595</v>
          </cell>
          <cell r="U147">
            <v>270</v>
          </cell>
          <cell r="V147">
            <v>325</v>
          </cell>
          <cell r="W147">
            <v>145</v>
          </cell>
          <cell r="X147">
            <v>135</v>
          </cell>
          <cell r="Y147">
            <v>45</v>
          </cell>
          <cell r="Z147">
            <v>280</v>
          </cell>
          <cell r="AA147">
            <v>195</v>
          </cell>
          <cell r="AB147">
            <v>80</v>
          </cell>
          <cell r="AC147">
            <v>55</v>
          </cell>
          <cell r="AD147">
            <v>20</v>
          </cell>
          <cell r="AE147">
            <v>10</v>
          </cell>
          <cell r="AF147">
            <v>245</v>
          </cell>
          <cell r="AG147">
            <v>195</v>
          </cell>
          <cell r="AH147">
            <v>140</v>
          </cell>
          <cell r="AI147">
            <v>55</v>
          </cell>
          <cell r="AJ147">
            <v>0</v>
          </cell>
          <cell r="AK147">
            <v>50</v>
          </cell>
          <cell r="AL147">
            <v>25</v>
          </cell>
          <cell r="AM147">
            <v>20</v>
          </cell>
          <cell r="AN147">
            <v>0</v>
          </cell>
          <cell r="AO147">
            <v>1030</v>
          </cell>
          <cell r="AP147">
            <v>275</v>
          </cell>
          <cell r="AQ147">
            <v>350</v>
          </cell>
          <cell r="AR147">
            <v>100</v>
          </cell>
          <cell r="AS147">
            <v>200</v>
          </cell>
          <cell r="AT147">
            <v>105</v>
          </cell>
          <cell r="AU147">
            <v>0.9</v>
          </cell>
          <cell r="AV147">
            <v>4225</v>
          </cell>
          <cell r="AW147">
            <v>1210</v>
          </cell>
          <cell r="AX147">
            <v>55</v>
          </cell>
          <cell r="AY147">
            <v>115</v>
          </cell>
          <cell r="AZ147">
            <v>1035</v>
          </cell>
          <cell r="BA147">
            <v>3020</v>
          </cell>
          <cell r="BB147">
            <v>2.7</v>
          </cell>
          <cell r="BC147">
            <v>660</v>
          </cell>
          <cell r="BD147">
            <v>315</v>
          </cell>
          <cell r="BE147">
            <v>25</v>
          </cell>
          <cell r="BF147">
            <v>10</v>
          </cell>
          <cell r="BG147">
            <v>280</v>
          </cell>
          <cell r="BH147">
            <v>340</v>
          </cell>
          <cell r="BI147">
            <v>2205</v>
          </cell>
          <cell r="BJ147">
            <v>4.7</v>
          </cell>
          <cell r="BK147">
            <v>10363.5</v>
          </cell>
          <cell r="BL147">
            <v>1.9</v>
          </cell>
          <cell r="BM147">
            <v>4189.5</v>
          </cell>
          <cell r="BN147">
            <v>2210</v>
          </cell>
          <cell r="BO147">
            <v>1000</v>
          </cell>
          <cell r="BP147">
            <v>1210</v>
          </cell>
          <cell r="BQ147">
            <v>0</v>
          </cell>
          <cell r="BR147">
            <v>2205</v>
          </cell>
          <cell r="BS147">
            <v>1350</v>
          </cell>
          <cell r="BT147">
            <v>635</v>
          </cell>
          <cell r="BU147">
            <v>215</v>
          </cell>
          <cell r="BV147">
            <v>2210</v>
          </cell>
          <cell r="BW147">
            <v>40</v>
          </cell>
          <cell r="BX147">
            <v>440</v>
          </cell>
          <cell r="BY147">
            <v>665</v>
          </cell>
          <cell r="BZ147">
            <v>210</v>
          </cell>
          <cell r="CA147">
            <v>95</v>
          </cell>
          <cell r="CB147">
            <v>450</v>
          </cell>
          <cell r="CC147">
            <v>200</v>
          </cell>
          <cell r="CD147">
            <v>40</v>
          </cell>
          <cell r="CE147">
            <v>70</v>
          </cell>
          <cell r="CF147">
            <v>2205</v>
          </cell>
          <cell r="CG147">
            <v>215</v>
          </cell>
          <cell r="CH147">
            <v>75</v>
          </cell>
          <cell r="CI147">
            <v>190</v>
          </cell>
          <cell r="CJ147">
            <v>325</v>
          </cell>
          <cell r="CK147">
            <v>0</v>
          </cell>
          <cell r="CL147">
            <v>1405</v>
          </cell>
          <cell r="CM147">
            <v>0</v>
          </cell>
          <cell r="CN147">
            <v>0</v>
          </cell>
          <cell r="CO147">
            <v>2205</v>
          </cell>
          <cell r="CP147">
            <v>1040</v>
          </cell>
          <cell r="CQ147">
            <v>640</v>
          </cell>
          <cell r="CR147">
            <v>305</v>
          </cell>
          <cell r="CS147">
            <v>210</v>
          </cell>
          <cell r="CT147">
            <v>20</v>
          </cell>
          <cell r="CU147">
            <v>4225</v>
          </cell>
          <cell r="CV147">
            <v>1.9</v>
          </cell>
          <cell r="CW147">
            <v>2205</v>
          </cell>
          <cell r="CX147">
            <v>1100</v>
          </cell>
          <cell r="CY147">
            <v>10</v>
          </cell>
          <cell r="CZ147">
            <v>1100</v>
          </cell>
        </row>
        <row r="148">
          <cell r="A148" t="str">
            <v>4620396.00</v>
          </cell>
          <cell r="B148" t="str">
            <v>0396.00</v>
          </cell>
          <cell r="C148" t="str">
            <v>Lachine</v>
          </cell>
          <cell r="D148">
            <v>4935</v>
          </cell>
          <cell r="E148">
            <v>1995</v>
          </cell>
          <cell r="F148">
            <v>1890</v>
          </cell>
          <cell r="G148">
            <v>130</v>
          </cell>
          <cell r="H148">
            <v>540</v>
          </cell>
          <cell r="I148">
            <v>380</v>
          </cell>
          <cell r="J148">
            <v>4935</v>
          </cell>
          <cell r="K148">
            <v>4105</v>
          </cell>
          <cell r="L148">
            <v>830</v>
          </cell>
          <cell r="M148">
            <v>1620</v>
          </cell>
          <cell r="N148">
            <v>840</v>
          </cell>
          <cell r="O148">
            <v>350</v>
          </cell>
          <cell r="P148">
            <v>335</v>
          </cell>
          <cell r="Q148">
            <v>95</v>
          </cell>
          <cell r="R148">
            <v>1615</v>
          </cell>
          <cell r="S148">
            <v>1355</v>
          </cell>
          <cell r="T148">
            <v>935</v>
          </cell>
          <cell r="U148">
            <v>475</v>
          </cell>
          <cell r="V148">
            <v>460</v>
          </cell>
          <cell r="W148">
            <v>170</v>
          </cell>
          <cell r="X148">
            <v>220</v>
          </cell>
          <cell r="Y148">
            <v>70</v>
          </cell>
          <cell r="Z148">
            <v>415</v>
          </cell>
          <cell r="AA148">
            <v>210</v>
          </cell>
          <cell r="AB148">
            <v>200</v>
          </cell>
          <cell r="AC148">
            <v>85</v>
          </cell>
          <cell r="AD148">
            <v>95</v>
          </cell>
          <cell r="AE148">
            <v>20</v>
          </cell>
          <cell r="AF148">
            <v>260</v>
          </cell>
          <cell r="AG148">
            <v>155</v>
          </cell>
          <cell r="AH148">
            <v>95</v>
          </cell>
          <cell r="AI148">
            <v>50</v>
          </cell>
          <cell r="AJ148">
            <v>10</v>
          </cell>
          <cell r="AK148">
            <v>105</v>
          </cell>
          <cell r="AL148">
            <v>55</v>
          </cell>
          <cell r="AM148">
            <v>40</v>
          </cell>
          <cell r="AN148">
            <v>10</v>
          </cell>
          <cell r="AO148">
            <v>1590</v>
          </cell>
          <cell r="AP148">
            <v>285</v>
          </cell>
          <cell r="AQ148">
            <v>640</v>
          </cell>
          <cell r="AR148">
            <v>210</v>
          </cell>
          <cell r="AS148">
            <v>295</v>
          </cell>
          <cell r="AT148">
            <v>165</v>
          </cell>
          <cell r="AU148">
            <v>1</v>
          </cell>
          <cell r="AV148">
            <v>5835</v>
          </cell>
          <cell r="AW148">
            <v>1275</v>
          </cell>
          <cell r="AX148">
            <v>120</v>
          </cell>
          <cell r="AY148">
            <v>125</v>
          </cell>
          <cell r="AZ148">
            <v>1030</v>
          </cell>
          <cell r="BA148">
            <v>4560</v>
          </cell>
          <cell r="BB148">
            <v>2.8</v>
          </cell>
          <cell r="BC148">
            <v>990</v>
          </cell>
          <cell r="BD148">
            <v>470</v>
          </cell>
          <cell r="BE148">
            <v>65</v>
          </cell>
          <cell r="BF148">
            <v>0</v>
          </cell>
          <cell r="BG148">
            <v>410</v>
          </cell>
          <cell r="BH148">
            <v>520</v>
          </cell>
          <cell r="BI148">
            <v>2715</v>
          </cell>
          <cell r="BJ148">
            <v>5.6</v>
          </cell>
          <cell r="BK148">
            <v>15203.999999999998</v>
          </cell>
          <cell r="BL148">
            <v>2.2999999999999998</v>
          </cell>
          <cell r="BM148">
            <v>6244.4999999999991</v>
          </cell>
          <cell r="BN148">
            <v>2715</v>
          </cell>
          <cell r="BO148">
            <v>1435</v>
          </cell>
          <cell r="BP148">
            <v>1280</v>
          </cell>
          <cell r="BQ148">
            <v>0</v>
          </cell>
          <cell r="BR148">
            <v>2720</v>
          </cell>
          <cell r="BS148">
            <v>1490</v>
          </cell>
          <cell r="BT148">
            <v>965</v>
          </cell>
          <cell r="BU148">
            <v>260</v>
          </cell>
          <cell r="BV148">
            <v>2715</v>
          </cell>
          <cell r="BW148">
            <v>600</v>
          </cell>
          <cell r="BX148">
            <v>1175</v>
          </cell>
          <cell r="BY148">
            <v>375</v>
          </cell>
          <cell r="BZ148">
            <v>155</v>
          </cell>
          <cell r="CA148">
            <v>45</v>
          </cell>
          <cell r="CB148">
            <v>50</v>
          </cell>
          <cell r="CC148">
            <v>10</v>
          </cell>
          <cell r="CD148">
            <v>130</v>
          </cell>
          <cell r="CE148">
            <v>170</v>
          </cell>
          <cell r="CF148">
            <v>2720</v>
          </cell>
          <cell r="CG148">
            <v>860</v>
          </cell>
          <cell r="CH148">
            <v>185</v>
          </cell>
          <cell r="CI148">
            <v>10</v>
          </cell>
          <cell r="CJ148">
            <v>265</v>
          </cell>
          <cell r="CK148">
            <v>135</v>
          </cell>
          <cell r="CL148">
            <v>1255</v>
          </cell>
          <cell r="CM148">
            <v>10</v>
          </cell>
          <cell r="CN148">
            <v>0</v>
          </cell>
          <cell r="CO148">
            <v>2720</v>
          </cell>
          <cell r="CP148">
            <v>1030</v>
          </cell>
          <cell r="CQ148">
            <v>855</v>
          </cell>
          <cell r="CR148">
            <v>385</v>
          </cell>
          <cell r="CS148">
            <v>425</v>
          </cell>
          <cell r="CT148">
            <v>25</v>
          </cell>
          <cell r="CU148">
            <v>5835</v>
          </cell>
          <cell r="CV148">
            <v>2.1</v>
          </cell>
          <cell r="CW148">
            <v>2720</v>
          </cell>
          <cell r="CX148">
            <v>1595</v>
          </cell>
          <cell r="CY148">
            <v>10</v>
          </cell>
          <cell r="CZ148">
            <v>1110</v>
          </cell>
        </row>
        <row r="149">
          <cell r="A149" t="str">
            <v>4620397.00</v>
          </cell>
          <cell r="B149" t="str">
            <v>0397.00</v>
          </cell>
          <cell r="C149" t="str">
            <v>Lachine</v>
          </cell>
          <cell r="D149">
            <v>3085</v>
          </cell>
          <cell r="E149">
            <v>1115</v>
          </cell>
          <cell r="F149">
            <v>1495</v>
          </cell>
          <cell r="G149">
            <v>45</v>
          </cell>
          <cell r="H149">
            <v>245</v>
          </cell>
          <cell r="I149">
            <v>180</v>
          </cell>
          <cell r="J149">
            <v>3085</v>
          </cell>
          <cell r="K149">
            <v>2585</v>
          </cell>
          <cell r="L149">
            <v>500</v>
          </cell>
          <cell r="M149">
            <v>1140</v>
          </cell>
          <cell r="N149">
            <v>460</v>
          </cell>
          <cell r="O149">
            <v>315</v>
          </cell>
          <cell r="P149">
            <v>260</v>
          </cell>
          <cell r="Q149">
            <v>110</v>
          </cell>
          <cell r="R149">
            <v>1140</v>
          </cell>
          <cell r="S149">
            <v>960</v>
          </cell>
          <cell r="T149">
            <v>745</v>
          </cell>
          <cell r="U149">
            <v>295</v>
          </cell>
          <cell r="V149">
            <v>445</v>
          </cell>
          <cell r="W149">
            <v>170</v>
          </cell>
          <cell r="X149">
            <v>190</v>
          </cell>
          <cell r="Y149">
            <v>90</v>
          </cell>
          <cell r="Z149">
            <v>215</v>
          </cell>
          <cell r="AA149">
            <v>60</v>
          </cell>
          <cell r="AB149">
            <v>155</v>
          </cell>
          <cell r="AC149">
            <v>70</v>
          </cell>
          <cell r="AD149">
            <v>70</v>
          </cell>
          <cell r="AE149">
            <v>15</v>
          </cell>
          <cell r="AF149">
            <v>180</v>
          </cell>
          <cell r="AG149">
            <v>130</v>
          </cell>
          <cell r="AH149">
            <v>70</v>
          </cell>
          <cell r="AI149">
            <v>50</v>
          </cell>
          <cell r="AJ149">
            <v>0</v>
          </cell>
          <cell r="AK149">
            <v>50</v>
          </cell>
          <cell r="AL149">
            <v>30</v>
          </cell>
          <cell r="AM149">
            <v>25</v>
          </cell>
          <cell r="AN149">
            <v>0</v>
          </cell>
          <cell r="AO149">
            <v>1370</v>
          </cell>
          <cell r="AP149">
            <v>225</v>
          </cell>
          <cell r="AQ149">
            <v>530</v>
          </cell>
          <cell r="AR149">
            <v>190</v>
          </cell>
          <cell r="AS149">
            <v>285</v>
          </cell>
          <cell r="AT149">
            <v>140</v>
          </cell>
          <cell r="AU149">
            <v>1.2</v>
          </cell>
          <cell r="AV149">
            <v>3825</v>
          </cell>
          <cell r="AW149">
            <v>350</v>
          </cell>
          <cell r="AX149">
            <v>40</v>
          </cell>
          <cell r="AY149">
            <v>40</v>
          </cell>
          <cell r="AZ149">
            <v>270</v>
          </cell>
          <cell r="BA149">
            <v>3475</v>
          </cell>
          <cell r="BB149">
            <v>3</v>
          </cell>
          <cell r="BC149">
            <v>535</v>
          </cell>
          <cell r="BD149">
            <v>230</v>
          </cell>
          <cell r="BE149">
            <v>30</v>
          </cell>
          <cell r="BF149">
            <v>25</v>
          </cell>
          <cell r="BG149">
            <v>180</v>
          </cell>
          <cell r="BH149">
            <v>300</v>
          </cell>
          <cell r="BI149">
            <v>1410</v>
          </cell>
          <cell r="BJ149">
            <v>7.1</v>
          </cell>
          <cell r="BK149">
            <v>10011</v>
          </cell>
          <cell r="BL149">
            <v>3</v>
          </cell>
          <cell r="BM149">
            <v>4230</v>
          </cell>
          <cell r="BN149">
            <v>1410</v>
          </cell>
          <cell r="BO149">
            <v>1260</v>
          </cell>
          <cell r="BP149">
            <v>150</v>
          </cell>
          <cell r="BQ149">
            <v>0</v>
          </cell>
          <cell r="BR149">
            <v>1410</v>
          </cell>
          <cell r="BS149">
            <v>725</v>
          </cell>
          <cell r="BT149">
            <v>595</v>
          </cell>
          <cell r="BU149">
            <v>90</v>
          </cell>
          <cell r="BV149">
            <v>1410</v>
          </cell>
          <cell r="BW149">
            <v>35</v>
          </cell>
          <cell r="BX149">
            <v>1150</v>
          </cell>
          <cell r="BY149">
            <v>190</v>
          </cell>
          <cell r="BZ149">
            <v>15</v>
          </cell>
          <cell r="CA149">
            <v>10</v>
          </cell>
          <cell r="CB149">
            <v>0</v>
          </cell>
          <cell r="CC149">
            <v>0</v>
          </cell>
          <cell r="CD149">
            <v>0</v>
          </cell>
          <cell r="CE149">
            <v>15</v>
          </cell>
          <cell r="CF149">
            <v>1425</v>
          </cell>
          <cell r="CG149">
            <v>1120</v>
          </cell>
          <cell r="CH149">
            <v>25</v>
          </cell>
          <cell r="CI149">
            <v>25</v>
          </cell>
          <cell r="CJ149">
            <v>185</v>
          </cell>
          <cell r="CK149">
            <v>0</v>
          </cell>
          <cell r="CL149">
            <v>75</v>
          </cell>
          <cell r="CM149">
            <v>0</v>
          </cell>
          <cell r="CN149">
            <v>0</v>
          </cell>
          <cell r="CO149">
            <v>1425</v>
          </cell>
          <cell r="CP149">
            <v>260</v>
          </cell>
          <cell r="CQ149">
            <v>470</v>
          </cell>
          <cell r="CR149">
            <v>295</v>
          </cell>
          <cell r="CS149">
            <v>370</v>
          </cell>
          <cell r="CT149">
            <v>30</v>
          </cell>
          <cell r="CU149">
            <v>3830</v>
          </cell>
          <cell r="CV149">
            <v>2.7</v>
          </cell>
          <cell r="CW149">
            <v>1410</v>
          </cell>
          <cell r="CX149">
            <v>1090</v>
          </cell>
          <cell r="CY149">
            <v>25</v>
          </cell>
          <cell r="CZ149">
            <v>295</v>
          </cell>
        </row>
        <row r="150">
          <cell r="C150" t="str">
            <v>Lachine</v>
          </cell>
          <cell r="D150">
            <v>34790</v>
          </cell>
          <cell r="E150">
            <v>15770</v>
          </cell>
          <cell r="F150">
            <v>11380</v>
          </cell>
          <cell r="G150">
            <v>1000</v>
          </cell>
          <cell r="H150">
            <v>3985</v>
          </cell>
          <cell r="I150">
            <v>2630</v>
          </cell>
          <cell r="J150">
            <v>34790</v>
          </cell>
          <cell r="K150">
            <v>29020</v>
          </cell>
          <cell r="L150">
            <v>5775</v>
          </cell>
          <cell r="M150">
            <v>11085</v>
          </cell>
          <cell r="N150">
            <v>5830</v>
          </cell>
          <cell r="O150">
            <v>2690</v>
          </cell>
          <cell r="P150">
            <v>1915</v>
          </cell>
          <cell r="Q150">
            <v>640</v>
          </cell>
          <cell r="R150">
            <v>11080</v>
          </cell>
          <cell r="S150">
            <v>8460</v>
          </cell>
          <cell r="T150">
            <v>5555</v>
          </cell>
          <cell r="U150">
            <v>2625</v>
          </cell>
          <cell r="V150">
            <v>2940</v>
          </cell>
          <cell r="W150">
            <v>1200</v>
          </cell>
          <cell r="X150">
            <v>1275</v>
          </cell>
          <cell r="Y150">
            <v>460</v>
          </cell>
          <cell r="Z150">
            <v>2885</v>
          </cell>
          <cell r="AA150">
            <v>1540</v>
          </cell>
          <cell r="AB150">
            <v>1340</v>
          </cell>
          <cell r="AC150">
            <v>705</v>
          </cell>
          <cell r="AD150">
            <v>500</v>
          </cell>
          <cell r="AE150">
            <v>130</v>
          </cell>
          <cell r="AF150">
            <v>2620</v>
          </cell>
          <cell r="AG150">
            <v>1965</v>
          </cell>
          <cell r="AH150">
            <v>1220</v>
          </cell>
          <cell r="AI150">
            <v>580</v>
          </cell>
          <cell r="AJ150">
            <v>140</v>
          </cell>
          <cell r="AK150">
            <v>650</v>
          </cell>
          <cell r="AL150">
            <v>430</v>
          </cell>
          <cell r="AM150">
            <v>195</v>
          </cell>
          <cell r="AN150">
            <v>25</v>
          </cell>
          <cell r="AO150">
            <v>11265</v>
          </cell>
          <cell r="AP150">
            <v>2450</v>
          </cell>
          <cell r="AQ150">
            <v>4070</v>
          </cell>
          <cell r="AR150">
            <v>1455</v>
          </cell>
          <cell r="AS150">
            <v>2055</v>
          </cell>
          <cell r="AT150">
            <v>1205</v>
          </cell>
          <cell r="AU150">
            <v>1.0166967509025271</v>
          </cell>
          <cell r="AV150">
            <v>40105</v>
          </cell>
          <cell r="AW150">
            <v>9295</v>
          </cell>
          <cell r="AX150">
            <v>830</v>
          </cell>
          <cell r="AY150">
            <v>1370</v>
          </cell>
          <cell r="AZ150">
            <v>7080</v>
          </cell>
          <cell r="BA150">
            <v>30820</v>
          </cell>
          <cell r="BB150">
            <v>2.7815884476534296</v>
          </cell>
          <cell r="BC150">
            <v>5345</v>
          </cell>
          <cell r="BD150">
            <v>2405</v>
          </cell>
          <cell r="BE150">
            <v>205</v>
          </cell>
          <cell r="BF150">
            <v>130</v>
          </cell>
          <cell r="BG150">
            <v>2065</v>
          </cell>
          <cell r="BH150">
            <v>2915</v>
          </cell>
          <cell r="BI150">
            <v>18680</v>
          </cell>
          <cell r="BJ150">
            <v>5.0317719486081369</v>
          </cell>
          <cell r="BK150">
            <v>93993.5</v>
          </cell>
          <cell r="BL150">
            <v>2.1770342612419702</v>
          </cell>
          <cell r="BM150">
            <v>40667</v>
          </cell>
          <cell r="BN150">
            <v>18685</v>
          </cell>
          <cell r="BO150">
            <v>7585</v>
          </cell>
          <cell r="BP150">
            <v>11100</v>
          </cell>
          <cell r="BQ150">
            <v>0</v>
          </cell>
          <cell r="BR150">
            <v>18680</v>
          </cell>
          <cell r="BS150">
            <v>10410</v>
          </cell>
          <cell r="BT150">
            <v>6190</v>
          </cell>
          <cell r="BU150">
            <v>2070</v>
          </cell>
          <cell r="BV150">
            <v>18680</v>
          </cell>
          <cell r="BW150">
            <v>3810</v>
          </cell>
          <cell r="BX150">
            <v>6385</v>
          </cell>
          <cell r="BY150">
            <v>3205</v>
          </cell>
          <cell r="BZ150">
            <v>1620</v>
          </cell>
          <cell r="CA150">
            <v>650</v>
          </cell>
          <cell r="CB150">
            <v>1155</v>
          </cell>
          <cell r="CC150">
            <v>655</v>
          </cell>
          <cell r="CD150">
            <v>390</v>
          </cell>
          <cell r="CE150">
            <v>790</v>
          </cell>
          <cell r="CF150">
            <v>18680</v>
          </cell>
          <cell r="CG150">
            <v>2795</v>
          </cell>
          <cell r="CH150">
            <v>685</v>
          </cell>
          <cell r="CI150">
            <v>1045</v>
          </cell>
          <cell r="CJ150">
            <v>3780</v>
          </cell>
          <cell r="CK150">
            <v>660</v>
          </cell>
          <cell r="CL150">
            <v>9550</v>
          </cell>
          <cell r="CM150">
            <v>155</v>
          </cell>
          <cell r="CN150">
            <v>40</v>
          </cell>
          <cell r="CO150">
            <v>18680</v>
          </cell>
          <cell r="CP150">
            <v>7085</v>
          </cell>
          <cell r="CQ150">
            <v>5855</v>
          </cell>
          <cell r="CR150">
            <v>2830</v>
          </cell>
          <cell r="CS150">
            <v>2655</v>
          </cell>
          <cell r="CT150">
            <v>255</v>
          </cell>
          <cell r="CU150">
            <v>40115</v>
          </cell>
          <cell r="CV150">
            <v>2.1474839400428265</v>
          </cell>
          <cell r="CW150">
            <v>18695</v>
          </cell>
          <cell r="CX150">
            <v>10760</v>
          </cell>
          <cell r="CY150">
            <v>150</v>
          </cell>
          <cell r="CZ150">
            <v>7745</v>
          </cell>
        </row>
        <row r="153">
          <cell r="A153" t="str">
            <v>4620320.00</v>
          </cell>
          <cell r="B153" t="str">
            <v>0320.00</v>
          </cell>
          <cell r="C153" t="str">
            <v>LaSalle</v>
          </cell>
          <cell r="D153">
            <v>3955</v>
          </cell>
          <cell r="E153">
            <v>1700</v>
          </cell>
          <cell r="F153">
            <v>1400</v>
          </cell>
          <cell r="G153">
            <v>100</v>
          </cell>
          <cell r="H153">
            <v>465</v>
          </cell>
          <cell r="I153">
            <v>290</v>
          </cell>
          <cell r="J153">
            <v>3955</v>
          </cell>
          <cell r="K153">
            <v>3310</v>
          </cell>
          <cell r="L153">
            <v>645</v>
          </cell>
          <cell r="M153">
            <v>1335</v>
          </cell>
          <cell r="N153">
            <v>725</v>
          </cell>
          <cell r="O153">
            <v>350</v>
          </cell>
          <cell r="P153">
            <v>200</v>
          </cell>
          <cell r="Q153">
            <v>55</v>
          </cell>
          <cell r="R153">
            <v>1335</v>
          </cell>
          <cell r="S153">
            <v>1020</v>
          </cell>
          <cell r="T153">
            <v>695</v>
          </cell>
          <cell r="U153">
            <v>340</v>
          </cell>
          <cell r="V153">
            <v>355</v>
          </cell>
          <cell r="W153">
            <v>185</v>
          </cell>
          <cell r="X153">
            <v>130</v>
          </cell>
          <cell r="Y153">
            <v>35</v>
          </cell>
          <cell r="Z153">
            <v>320</v>
          </cell>
          <cell r="AA153">
            <v>180</v>
          </cell>
          <cell r="AB153">
            <v>140</v>
          </cell>
          <cell r="AC153">
            <v>55</v>
          </cell>
          <cell r="AD153">
            <v>70</v>
          </cell>
          <cell r="AE153">
            <v>20</v>
          </cell>
          <cell r="AF153">
            <v>315</v>
          </cell>
          <cell r="AG153">
            <v>260</v>
          </cell>
          <cell r="AH153">
            <v>165</v>
          </cell>
          <cell r="AI153">
            <v>90</v>
          </cell>
          <cell r="AJ153">
            <v>0</v>
          </cell>
          <cell r="AK153">
            <v>55</v>
          </cell>
          <cell r="AL153">
            <v>45</v>
          </cell>
          <cell r="AM153">
            <v>15</v>
          </cell>
          <cell r="AN153">
            <v>0</v>
          </cell>
          <cell r="AO153">
            <v>1250</v>
          </cell>
          <cell r="AP153">
            <v>210</v>
          </cell>
          <cell r="AQ153">
            <v>410</v>
          </cell>
          <cell r="AR153">
            <v>110</v>
          </cell>
          <cell r="AS153">
            <v>320</v>
          </cell>
          <cell r="AT153">
            <v>195</v>
          </cell>
          <cell r="AU153">
            <v>0.9</v>
          </cell>
          <cell r="AV153">
            <v>4545</v>
          </cell>
          <cell r="AW153">
            <v>945</v>
          </cell>
          <cell r="AX153">
            <v>35</v>
          </cell>
          <cell r="AY153">
            <v>105</v>
          </cell>
          <cell r="AZ153">
            <v>795</v>
          </cell>
          <cell r="BA153">
            <v>3605</v>
          </cell>
          <cell r="BB153">
            <v>2.7</v>
          </cell>
          <cell r="BC153">
            <v>835</v>
          </cell>
          <cell r="BD153">
            <v>290</v>
          </cell>
          <cell r="BE153">
            <v>15</v>
          </cell>
          <cell r="BF153">
            <v>20</v>
          </cell>
          <cell r="BG153">
            <v>260</v>
          </cell>
          <cell r="BH153">
            <v>540</v>
          </cell>
          <cell r="BI153">
            <v>2160</v>
          </cell>
          <cell r="BJ153">
            <v>5.3</v>
          </cell>
          <cell r="BK153">
            <v>11448</v>
          </cell>
          <cell r="BL153">
            <v>2.2999999999999998</v>
          </cell>
          <cell r="BM153">
            <v>4968</v>
          </cell>
          <cell r="BN153">
            <v>2160</v>
          </cell>
          <cell r="BO153">
            <v>1070</v>
          </cell>
          <cell r="BP153">
            <v>1085</v>
          </cell>
          <cell r="BQ153">
            <v>0</v>
          </cell>
          <cell r="BR153">
            <v>2155</v>
          </cell>
          <cell r="BS153">
            <v>1225</v>
          </cell>
          <cell r="BT153">
            <v>705</v>
          </cell>
          <cell r="BU153">
            <v>225</v>
          </cell>
          <cell r="BV153">
            <v>2155</v>
          </cell>
          <cell r="BW153">
            <v>345</v>
          </cell>
          <cell r="BX153">
            <v>1260</v>
          </cell>
          <cell r="BY153">
            <v>345</v>
          </cell>
          <cell r="BZ153">
            <v>95</v>
          </cell>
          <cell r="CA153">
            <v>20</v>
          </cell>
          <cell r="CB153">
            <v>10</v>
          </cell>
          <cell r="CC153">
            <v>50</v>
          </cell>
          <cell r="CD153">
            <v>20</v>
          </cell>
          <cell r="CE153">
            <v>10</v>
          </cell>
          <cell r="CF153">
            <v>2150</v>
          </cell>
          <cell r="CG153">
            <v>225</v>
          </cell>
          <cell r="CH153">
            <v>45</v>
          </cell>
          <cell r="CI153">
            <v>35</v>
          </cell>
          <cell r="CJ153">
            <v>1815</v>
          </cell>
          <cell r="CK153">
            <v>5</v>
          </cell>
          <cell r="CL153">
            <v>25</v>
          </cell>
          <cell r="CM153">
            <v>5</v>
          </cell>
          <cell r="CN153">
            <v>0</v>
          </cell>
          <cell r="CO153">
            <v>2150</v>
          </cell>
          <cell r="CP153">
            <v>790</v>
          </cell>
          <cell r="CQ153">
            <v>735</v>
          </cell>
          <cell r="CR153">
            <v>330</v>
          </cell>
          <cell r="CS153">
            <v>280</v>
          </cell>
          <cell r="CT153">
            <v>20</v>
          </cell>
          <cell r="CU153">
            <v>4545</v>
          </cell>
          <cell r="CV153">
            <v>2.1</v>
          </cell>
          <cell r="CW153">
            <v>2160</v>
          </cell>
          <cell r="CX153">
            <v>1300</v>
          </cell>
          <cell r="CY153">
            <v>15</v>
          </cell>
          <cell r="CZ153">
            <v>840</v>
          </cell>
        </row>
        <row r="154">
          <cell r="A154" t="str">
            <v>4620321.00</v>
          </cell>
          <cell r="B154" t="str">
            <v>0321.00</v>
          </cell>
          <cell r="C154" t="str">
            <v>LaSalle</v>
          </cell>
          <cell r="D154">
            <v>2470</v>
          </cell>
          <cell r="E154">
            <v>1100</v>
          </cell>
          <cell r="F154">
            <v>825</v>
          </cell>
          <cell r="G154">
            <v>90</v>
          </cell>
          <cell r="H154">
            <v>300</v>
          </cell>
          <cell r="I154">
            <v>160</v>
          </cell>
          <cell r="J154">
            <v>2475</v>
          </cell>
          <cell r="K154">
            <v>2075</v>
          </cell>
          <cell r="L154">
            <v>395</v>
          </cell>
          <cell r="M154">
            <v>815</v>
          </cell>
          <cell r="N154">
            <v>470</v>
          </cell>
          <cell r="O154">
            <v>160</v>
          </cell>
          <cell r="P154">
            <v>155</v>
          </cell>
          <cell r="Q154">
            <v>30</v>
          </cell>
          <cell r="R154">
            <v>820</v>
          </cell>
          <cell r="S154">
            <v>605</v>
          </cell>
          <cell r="T154">
            <v>405</v>
          </cell>
          <cell r="U154">
            <v>210</v>
          </cell>
          <cell r="V154">
            <v>195</v>
          </cell>
          <cell r="W154">
            <v>105</v>
          </cell>
          <cell r="X154">
            <v>75</v>
          </cell>
          <cell r="Y154">
            <v>15</v>
          </cell>
          <cell r="Z154">
            <v>200</v>
          </cell>
          <cell r="AA154">
            <v>85</v>
          </cell>
          <cell r="AB154">
            <v>110</v>
          </cell>
          <cell r="AC154">
            <v>20</v>
          </cell>
          <cell r="AD154">
            <v>70</v>
          </cell>
          <cell r="AE154">
            <v>15</v>
          </cell>
          <cell r="AF154">
            <v>210</v>
          </cell>
          <cell r="AG154">
            <v>175</v>
          </cell>
          <cell r="AH154">
            <v>135</v>
          </cell>
          <cell r="AI154">
            <v>25</v>
          </cell>
          <cell r="AJ154">
            <v>0</v>
          </cell>
          <cell r="AK154">
            <v>40</v>
          </cell>
          <cell r="AL154">
            <v>35</v>
          </cell>
          <cell r="AM154">
            <v>10</v>
          </cell>
          <cell r="AN154">
            <v>0</v>
          </cell>
          <cell r="AO154">
            <v>770</v>
          </cell>
          <cell r="AP154">
            <v>150</v>
          </cell>
          <cell r="AQ154">
            <v>260</v>
          </cell>
          <cell r="AR154">
            <v>70</v>
          </cell>
          <cell r="AS154">
            <v>165</v>
          </cell>
          <cell r="AT154">
            <v>125</v>
          </cell>
          <cell r="AU154">
            <v>0.9</v>
          </cell>
          <cell r="AV154">
            <v>2865</v>
          </cell>
          <cell r="AW154">
            <v>670</v>
          </cell>
          <cell r="AX154">
            <v>75</v>
          </cell>
          <cell r="AY154">
            <v>45</v>
          </cell>
          <cell r="AZ154">
            <v>550</v>
          </cell>
          <cell r="BA154">
            <v>2190</v>
          </cell>
          <cell r="BB154">
            <v>2.7</v>
          </cell>
          <cell r="BC154">
            <v>490</v>
          </cell>
          <cell r="BD154">
            <v>175</v>
          </cell>
          <cell r="BE154">
            <v>35</v>
          </cell>
          <cell r="BF154">
            <v>10</v>
          </cell>
          <cell r="BG154">
            <v>130</v>
          </cell>
          <cell r="BH154">
            <v>315</v>
          </cell>
          <cell r="BI154">
            <v>1395</v>
          </cell>
          <cell r="BJ154">
            <v>5.0999999999999996</v>
          </cell>
          <cell r="BK154">
            <v>7114.4999999999991</v>
          </cell>
          <cell r="BL154">
            <v>2.1</v>
          </cell>
          <cell r="BM154">
            <v>2929.5</v>
          </cell>
          <cell r="BN154">
            <v>1395</v>
          </cell>
          <cell r="BO154">
            <v>625</v>
          </cell>
          <cell r="BP154">
            <v>765</v>
          </cell>
          <cell r="BQ154">
            <v>0</v>
          </cell>
          <cell r="BR154">
            <v>1395</v>
          </cell>
          <cell r="BS154">
            <v>810</v>
          </cell>
          <cell r="BT154">
            <v>490</v>
          </cell>
          <cell r="BU154">
            <v>95</v>
          </cell>
          <cell r="BV154">
            <v>1395</v>
          </cell>
          <cell r="BW154">
            <v>320</v>
          </cell>
          <cell r="BX154">
            <v>805</v>
          </cell>
          <cell r="BY154">
            <v>135</v>
          </cell>
          <cell r="BZ154">
            <v>75</v>
          </cell>
          <cell r="CA154">
            <v>25</v>
          </cell>
          <cell r="CB154">
            <v>0</v>
          </cell>
          <cell r="CC154">
            <v>10</v>
          </cell>
          <cell r="CD154">
            <v>15</v>
          </cell>
          <cell r="CE154">
            <v>15</v>
          </cell>
          <cell r="CF154">
            <v>1395</v>
          </cell>
          <cell r="CG154">
            <v>140</v>
          </cell>
          <cell r="CH154">
            <v>30</v>
          </cell>
          <cell r="CI154">
            <v>20</v>
          </cell>
          <cell r="CJ154">
            <v>1170</v>
          </cell>
          <cell r="CK154">
            <v>15</v>
          </cell>
          <cell r="CL154">
            <v>15</v>
          </cell>
          <cell r="CM154">
            <v>0</v>
          </cell>
          <cell r="CN154">
            <v>0</v>
          </cell>
          <cell r="CO154">
            <v>1395</v>
          </cell>
          <cell r="CP154">
            <v>550</v>
          </cell>
          <cell r="CQ154">
            <v>465</v>
          </cell>
          <cell r="CR154">
            <v>190</v>
          </cell>
          <cell r="CS154">
            <v>175</v>
          </cell>
          <cell r="CT154">
            <v>15</v>
          </cell>
          <cell r="CU154">
            <v>2865</v>
          </cell>
          <cell r="CV154">
            <v>2.1</v>
          </cell>
          <cell r="CW154">
            <v>1395</v>
          </cell>
          <cell r="CX154">
            <v>815</v>
          </cell>
          <cell r="CY154">
            <v>0</v>
          </cell>
          <cell r="CZ154">
            <v>575</v>
          </cell>
        </row>
        <row r="155">
          <cell r="A155" t="str">
            <v>4620322.02</v>
          </cell>
          <cell r="B155" t="str">
            <v>0322.02</v>
          </cell>
          <cell r="C155" t="str">
            <v>LaSalle</v>
          </cell>
          <cell r="D155">
            <v>3275</v>
          </cell>
          <cell r="E155">
            <v>1230</v>
          </cell>
          <cell r="F155">
            <v>1430</v>
          </cell>
          <cell r="G155">
            <v>60</v>
          </cell>
          <cell r="H155">
            <v>350</v>
          </cell>
          <cell r="I155">
            <v>210</v>
          </cell>
          <cell r="J155">
            <v>3275</v>
          </cell>
          <cell r="K155">
            <v>2855</v>
          </cell>
          <cell r="L155">
            <v>425</v>
          </cell>
          <cell r="M155">
            <v>1090</v>
          </cell>
          <cell r="N155">
            <v>550</v>
          </cell>
          <cell r="O155">
            <v>255</v>
          </cell>
          <cell r="P155">
            <v>200</v>
          </cell>
          <cell r="Q155">
            <v>85</v>
          </cell>
          <cell r="R155">
            <v>1090</v>
          </cell>
          <cell r="S155">
            <v>925</v>
          </cell>
          <cell r="T155">
            <v>705</v>
          </cell>
          <cell r="U155">
            <v>340</v>
          </cell>
          <cell r="V155">
            <v>370</v>
          </cell>
          <cell r="W155">
            <v>150</v>
          </cell>
          <cell r="X155">
            <v>140</v>
          </cell>
          <cell r="Y155">
            <v>75</v>
          </cell>
          <cell r="Z155">
            <v>210</v>
          </cell>
          <cell r="AA155">
            <v>105</v>
          </cell>
          <cell r="AB155">
            <v>105</v>
          </cell>
          <cell r="AC155">
            <v>50</v>
          </cell>
          <cell r="AD155">
            <v>50</v>
          </cell>
          <cell r="AE155">
            <v>10</v>
          </cell>
          <cell r="AF155">
            <v>170</v>
          </cell>
          <cell r="AG155">
            <v>140</v>
          </cell>
          <cell r="AH155">
            <v>90</v>
          </cell>
          <cell r="AI155">
            <v>45</v>
          </cell>
          <cell r="AJ155">
            <v>10</v>
          </cell>
          <cell r="AK155">
            <v>25</v>
          </cell>
          <cell r="AL155">
            <v>15</v>
          </cell>
          <cell r="AM155">
            <v>10</v>
          </cell>
          <cell r="AN155">
            <v>0</v>
          </cell>
          <cell r="AO155">
            <v>1110</v>
          </cell>
          <cell r="AP155">
            <v>220</v>
          </cell>
          <cell r="AQ155">
            <v>370</v>
          </cell>
          <cell r="AR155">
            <v>140</v>
          </cell>
          <cell r="AS155">
            <v>245</v>
          </cell>
          <cell r="AT155">
            <v>135</v>
          </cell>
          <cell r="AU155">
            <v>1</v>
          </cell>
          <cell r="AV155">
            <v>3830</v>
          </cell>
          <cell r="AW155">
            <v>715</v>
          </cell>
          <cell r="AX155">
            <v>55</v>
          </cell>
          <cell r="AY155">
            <v>125</v>
          </cell>
          <cell r="AZ155">
            <v>530</v>
          </cell>
          <cell r="BA155">
            <v>3120</v>
          </cell>
          <cell r="BB155">
            <v>2.9</v>
          </cell>
          <cell r="BC155">
            <v>660</v>
          </cell>
          <cell r="BD155">
            <v>200</v>
          </cell>
          <cell r="BE155">
            <v>40</v>
          </cell>
          <cell r="BF155">
            <v>0</v>
          </cell>
          <cell r="BG155">
            <v>155</v>
          </cell>
          <cell r="BH155">
            <v>455</v>
          </cell>
          <cell r="BI155">
            <v>1695</v>
          </cell>
          <cell r="BJ155">
            <v>5.5</v>
          </cell>
          <cell r="BK155">
            <v>9322.5</v>
          </cell>
          <cell r="BL155">
            <v>2.4</v>
          </cell>
          <cell r="BM155">
            <v>4068</v>
          </cell>
          <cell r="BN155">
            <v>1690</v>
          </cell>
          <cell r="BO155">
            <v>890</v>
          </cell>
          <cell r="BP155">
            <v>800</v>
          </cell>
          <cell r="BQ155">
            <v>0</v>
          </cell>
          <cell r="BR155">
            <v>1690</v>
          </cell>
          <cell r="BS155">
            <v>975</v>
          </cell>
          <cell r="BT155">
            <v>515</v>
          </cell>
          <cell r="BU155">
            <v>200</v>
          </cell>
          <cell r="BV155">
            <v>1690</v>
          </cell>
          <cell r="BW155">
            <v>40</v>
          </cell>
          <cell r="BX155">
            <v>650</v>
          </cell>
          <cell r="BY155">
            <v>520</v>
          </cell>
          <cell r="BZ155">
            <v>200</v>
          </cell>
          <cell r="CA155">
            <v>125</v>
          </cell>
          <cell r="CB155">
            <v>85</v>
          </cell>
          <cell r="CC155">
            <v>10</v>
          </cell>
          <cell r="CD155">
            <v>45</v>
          </cell>
          <cell r="CE155">
            <v>15</v>
          </cell>
          <cell r="CF155">
            <v>1695</v>
          </cell>
          <cell r="CG155">
            <v>325</v>
          </cell>
          <cell r="CH155">
            <v>145</v>
          </cell>
          <cell r="CI155">
            <v>0</v>
          </cell>
          <cell r="CJ155">
            <v>1080</v>
          </cell>
          <cell r="CK155">
            <v>0</v>
          </cell>
          <cell r="CL155">
            <v>145</v>
          </cell>
          <cell r="CM155">
            <v>0</v>
          </cell>
          <cell r="CN155">
            <v>0</v>
          </cell>
          <cell r="CO155">
            <v>1695</v>
          </cell>
          <cell r="CP155">
            <v>525</v>
          </cell>
          <cell r="CQ155">
            <v>600</v>
          </cell>
          <cell r="CR155">
            <v>260</v>
          </cell>
          <cell r="CS155">
            <v>285</v>
          </cell>
          <cell r="CT155">
            <v>20</v>
          </cell>
          <cell r="CU155">
            <v>3835</v>
          </cell>
          <cell r="CV155">
            <v>2.2999999999999998</v>
          </cell>
          <cell r="CW155">
            <v>1690</v>
          </cell>
          <cell r="CX155">
            <v>1090</v>
          </cell>
          <cell r="CY155">
            <v>0</v>
          </cell>
          <cell r="CZ155">
            <v>600</v>
          </cell>
        </row>
        <row r="156">
          <cell r="A156" t="str">
            <v>4620322.03</v>
          </cell>
          <cell r="B156" t="str">
            <v>0322.03</v>
          </cell>
          <cell r="C156" t="str">
            <v>LaSalle</v>
          </cell>
          <cell r="D156">
            <v>4150</v>
          </cell>
          <cell r="E156">
            <v>1415</v>
          </cell>
          <cell r="F156">
            <v>1615</v>
          </cell>
          <cell r="G156">
            <v>115</v>
          </cell>
          <cell r="H156">
            <v>495</v>
          </cell>
          <cell r="I156">
            <v>505</v>
          </cell>
          <cell r="J156">
            <v>4150</v>
          </cell>
          <cell r="K156">
            <v>3730</v>
          </cell>
          <cell r="L156">
            <v>425</v>
          </cell>
          <cell r="M156">
            <v>1275</v>
          </cell>
          <cell r="N156">
            <v>735</v>
          </cell>
          <cell r="O156">
            <v>290</v>
          </cell>
          <cell r="P156">
            <v>195</v>
          </cell>
          <cell r="Q156">
            <v>60</v>
          </cell>
          <cell r="R156">
            <v>1275</v>
          </cell>
          <cell r="S156">
            <v>1020</v>
          </cell>
          <cell r="T156">
            <v>805</v>
          </cell>
          <cell r="U156">
            <v>375</v>
          </cell>
          <cell r="V156">
            <v>425</v>
          </cell>
          <cell r="W156">
            <v>215</v>
          </cell>
          <cell r="X156">
            <v>165</v>
          </cell>
          <cell r="Y156">
            <v>50</v>
          </cell>
          <cell r="Z156">
            <v>220</v>
          </cell>
          <cell r="AA156">
            <v>130</v>
          </cell>
          <cell r="AB156">
            <v>85</v>
          </cell>
          <cell r="AC156">
            <v>50</v>
          </cell>
          <cell r="AD156">
            <v>30</v>
          </cell>
          <cell r="AE156">
            <v>10</v>
          </cell>
          <cell r="AF156">
            <v>255</v>
          </cell>
          <cell r="AG156">
            <v>240</v>
          </cell>
          <cell r="AH156">
            <v>210</v>
          </cell>
          <cell r="AI156">
            <v>25</v>
          </cell>
          <cell r="AJ156">
            <v>0</v>
          </cell>
          <cell r="AK156">
            <v>15</v>
          </cell>
          <cell r="AL156">
            <v>15</v>
          </cell>
          <cell r="AM156">
            <v>0</v>
          </cell>
          <cell r="AN156">
            <v>0</v>
          </cell>
          <cell r="AO156">
            <v>1115</v>
          </cell>
          <cell r="AP156">
            <v>220</v>
          </cell>
          <cell r="AQ156">
            <v>335</v>
          </cell>
          <cell r="AR156">
            <v>105</v>
          </cell>
          <cell r="AS156">
            <v>175</v>
          </cell>
          <cell r="AT156">
            <v>285</v>
          </cell>
          <cell r="AU156">
            <v>0.9</v>
          </cell>
          <cell r="AV156">
            <v>4665</v>
          </cell>
          <cell r="AW156">
            <v>1250</v>
          </cell>
          <cell r="AX156">
            <v>65</v>
          </cell>
          <cell r="AY156">
            <v>80</v>
          </cell>
          <cell r="AZ156">
            <v>1100</v>
          </cell>
          <cell r="BA156">
            <v>3420</v>
          </cell>
          <cell r="BB156">
            <v>2.7</v>
          </cell>
          <cell r="BC156">
            <v>1275</v>
          </cell>
          <cell r="BD156">
            <v>580</v>
          </cell>
          <cell r="BE156">
            <v>20</v>
          </cell>
          <cell r="BF156">
            <v>0</v>
          </cell>
          <cell r="BG156">
            <v>565</v>
          </cell>
          <cell r="BH156">
            <v>695</v>
          </cell>
          <cell r="BI156">
            <v>2405</v>
          </cell>
          <cell r="BJ156">
            <v>4.7</v>
          </cell>
          <cell r="BK156">
            <v>11303.5</v>
          </cell>
          <cell r="BL156">
            <v>2.1</v>
          </cell>
          <cell r="BM156">
            <v>5050.5</v>
          </cell>
          <cell r="BN156">
            <v>2405</v>
          </cell>
          <cell r="BO156">
            <v>650</v>
          </cell>
          <cell r="BP156">
            <v>1760</v>
          </cell>
          <cell r="BQ156">
            <v>0</v>
          </cell>
          <cell r="BR156">
            <v>2405</v>
          </cell>
          <cell r="BS156">
            <v>1515</v>
          </cell>
          <cell r="BT156">
            <v>700</v>
          </cell>
          <cell r="BU156">
            <v>190</v>
          </cell>
          <cell r="BV156">
            <v>2405</v>
          </cell>
          <cell r="BW156">
            <v>60</v>
          </cell>
          <cell r="BX156">
            <v>450</v>
          </cell>
          <cell r="BY156">
            <v>1170</v>
          </cell>
          <cell r="BZ156">
            <v>485</v>
          </cell>
          <cell r="CA156">
            <v>170</v>
          </cell>
          <cell r="CB156">
            <v>55</v>
          </cell>
          <cell r="CC156">
            <v>10</v>
          </cell>
          <cell r="CD156">
            <v>0</v>
          </cell>
          <cell r="CE156">
            <v>0</v>
          </cell>
          <cell r="CF156">
            <v>2410</v>
          </cell>
          <cell r="CG156">
            <v>45</v>
          </cell>
          <cell r="CH156">
            <v>140</v>
          </cell>
          <cell r="CI156">
            <v>0</v>
          </cell>
          <cell r="CJ156">
            <v>1335</v>
          </cell>
          <cell r="CK156">
            <v>250</v>
          </cell>
          <cell r="CL156">
            <v>640</v>
          </cell>
          <cell r="CM156">
            <v>0</v>
          </cell>
          <cell r="CN156">
            <v>0</v>
          </cell>
          <cell r="CO156">
            <v>2405</v>
          </cell>
          <cell r="CP156">
            <v>1100</v>
          </cell>
          <cell r="CQ156">
            <v>730</v>
          </cell>
          <cell r="CR156">
            <v>305</v>
          </cell>
          <cell r="CS156">
            <v>245</v>
          </cell>
          <cell r="CT156">
            <v>25</v>
          </cell>
          <cell r="CU156">
            <v>4670</v>
          </cell>
          <cell r="CV156">
            <v>1.9</v>
          </cell>
          <cell r="CW156">
            <v>2405</v>
          </cell>
          <cell r="CX156">
            <v>1240</v>
          </cell>
          <cell r="CY156">
            <v>20</v>
          </cell>
          <cell r="CZ156">
            <v>1145</v>
          </cell>
        </row>
        <row r="157">
          <cell r="A157" t="str">
            <v>4620322.04</v>
          </cell>
          <cell r="B157" t="str">
            <v>0322.04</v>
          </cell>
          <cell r="C157" t="str">
            <v>LaSalle</v>
          </cell>
          <cell r="D157">
            <v>3225</v>
          </cell>
          <cell r="E157">
            <v>930</v>
          </cell>
          <cell r="F157">
            <v>1390</v>
          </cell>
          <cell r="G157">
            <v>80</v>
          </cell>
          <cell r="H157">
            <v>255</v>
          </cell>
          <cell r="I157">
            <v>575</v>
          </cell>
          <cell r="J157">
            <v>3225</v>
          </cell>
          <cell r="K157">
            <v>2960</v>
          </cell>
          <cell r="L157">
            <v>265</v>
          </cell>
          <cell r="M157">
            <v>865</v>
          </cell>
          <cell r="N157">
            <v>460</v>
          </cell>
          <cell r="O157">
            <v>190</v>
          </cell>
          <cell r="P157">
            <v>175</v>
          </cell>
          <cell r="Q157">
            <v>45</v>
          </cell>
          <cell r="R157">
            <v>860</v>
          </cell>
          <cell r="S157">
            <v>770</v>
          </cell>
          <cell r="T157">
            <v>640</v>
          </cell>
          <cell r="U157">
            <v>295</v>
          </cell>
          <cell r="V157">
            <v>345</v>
          </cell>
          <cell r="W157">
            <v>130</v>
          </cell>
          <cell r="X157">
            <v>170</v>
          </cell>
          <cell r="Y157">
            <v>40</v>
          </cell>
          <cell r="Z157">
            <v>130</v>
          </cell>
          <cell r="AA157">
            <v>105</v>
          </cell>
          <cell r="AB157">
            <v>25</v>
          </cell>
          <cell r="AC157">
            <v>20</v>
          </cell>
          <cell r="AD157">
            <v>0</v>
          </cell>
          <cell r="AE157">
            <v>0</v>
          </cell>
          <cell r="AF157">
            <v>90</v>
          </cell>
          <cell r="AG157">
            <v>75</v>
          </cell>
          <cell r="AH157">
            <v>40</v>
          </cell>
          <cell r="AI157">
            <v>35</v>
          </cell>
          <cell r="AJ157">
            <v>0</v>
          </cell>
          <cell r="AK157">
            <v>20</v>
          </cell>
          <cell r="AL157">
            <v>15</v>
          </cell>
          <cell r="AM157">
            <v>0</v>
          </cell>
          <cell r="AN157">
            <v>0</v>
          </cell>
          <cell r="AO157">
            <v>755</v>
          </cell>
          <cell r="AP157">
            <v>110</v>
          </cell>
          <cell r="AQ157">
            <v>245</v>
          </cell>
          <cell r="AR157">
            <v>80</v>
          </cell>
          <cell r="AS157">
            <v>150</v>
          </cell>
          <cell r="AT157">
            <v>170</v>
          </cell>
          <cell r="AU157">
            <v>0.9</v>
          </cell>
          <cell r="AV157">
            <v>3385</v>
          </cell>
          <cell r="AW157">
            <v>995</v>
          </cell>
          <cell r="AX157">
            <v>55</v>
          </cell>
          <cell r="AY157">
            <v>125</v>
          </cell>
          <cell r="AZ157">
            <v>820</v>
          </cell>
          <cell r="BA157">
            <v>2390</v>
          </cell>
          <cell r="BB157">
            <v>2.8</v>
          </cell>
          <cell r="BC157">
            <v>1045</v>
          </cell>
          <cell r="BD157">
            <v>545</v>
          </cell>
          <cell r="BE157">
            <v>10</v>
          </cell>
          <cell r="BF157">
            <v>20</v>
          </cell>
          <cell r="BG157">
            <v>520</v>
          </cell>
          <cell r="BH157">
            <v>505</v>
          </cell>
          <cell r="BI157">
            <v>1735</v>
          </cell>
          <cell r="BJ157">
            <v>4.5999999999999996</v>
          </cell>
          <cell r="BK157">
            <v>7980.9999999999991</v>
          </cell>
          <cell r="BL157">
            <v>2</v>
          </cell>
          <cell r="BM157">
            <v>3470</v>
          </cell>
          <cell r="BN157">
            <v>1730</v>
          </cell>
          <cell r="BO157">
            <v>585</v>
          </cell>
          <cell r="BP157">
            <v>1150</v>
          </cell>
          <cell r="BQ157">
            <v>0</v>
          </cell>
          <cell r="BR157">
            <v>1730</v>
          </cell>
          <cell r="BS157">
            <v>1295</v>
          </cell>
          <cell r="BT157">
            <v>360</v>
          </cell>
          <cell r="BU157">
            <v>75</v>
          </cell>
          <cell r="BV157">
            <v>1735</v>
          </cell>
          <cell r="BW157">
            <v>0</v>
          </cell>
          <cell r="BX157">
            <v>45</v>
          </cell>
          <cell r="BY157">
            <v>185</v>
          </cell>
          <cell r="BZ157">
            <v>540</v>
          </cell>
          <cell r="CA157">
            <v>395</v>
          </cell>
          <cell r="CB157">
            <v>160</v>
          </cell>
          <cell r="CC157">
            <v>45</v>
          </cell>
          <cell r="CD157">
            <v>15</v>
          </cell>
          <cell r="CE157">
            <v>330</v>
          </cell>
          <cell r="CF157">
            <v>1735</v>
          </cell>
          <cell r="CG157">
            <v>30</v>
          </cell>
          <cell r="CH157">
            <v>225</v>
          </cell>
          <cell r="CI157">
            <v>0</v>
          </cell>
          <cell r="CJ157">
            <v>820</v>
          </cell>
          <cell r="CK157">
            <v>215</v>
          </cell>
          <cell r="CL157">
            <v>440</v>
          </cell>
          <cell r="CM157">
            <v>0</v>
          </cell>
          <cell r="CN157">
            <v>0</v>
          </cell>
          <cell r="CO157">
            <v>1735</v>
          </cell>
          <cell r="CP157">
            <v>820</v>
          </cell>
          <cell r="CQ157">
            <v>480</v>
          </cell>
          <cell r="CR157">
            <v>205</v>
          </cell>
          <cell r="CS157">
            <v>230</v>
          </cell>
          <cell r="CT157">
            <v>5</v>
          </cell>
          <cell r="CU157">
            <v>3390</v>
          </cell>
          <cell r="CV157">
            <v>2</v>
          </cell>
          <cell r="CW157">
            <v>1735</v>
          </cell>
          <cell r="CX157">
            <v>820</v>
          </cell>
          <cell r="CY157">
            <v>20</v>
          </cell>
          <cell r="CZ157">
            <v>890</v>
          </cell>
        </row>
        <row r="158">
          <cell r="A158" t="str">
            <v>4620323.00</v>
          </cell>
          <cell r="B158" t="str">
            <v>0323.00</v>
          </cell>
          <cell r="C158" t="str">
            <v>LaSalle</v>
          </cell>
          <cell r="D158">
            <v>2740</v>
          </cell>
          <cell r="E158">
            <v>1065</v>
          </cell>
          <cell r="F158">
            <v>880</v>
          </cell>
          <cell r="G158">
            <v>70</v>
          </cell>
          <cell r="H158">
            <v>355</v>
          </cell>
          <cell r="I158">
            <v>370</v>
          </cell>
          <cell r="J158">
            <v>2740</v>
          </cell>
          <cell r="K158">
            <v>2385</v>
          </cell>
          <cell r="L158">
            <v>355</v>
          </cell>
          <cell r="M158">
            <v>765</v>
          </cell>
          <cell r="N158">
            <v>465</v>
          </cell>
          <cell r="O158">
            <v>145</v>
          </cell>
          <cell r="P158">
            <v>125</v>
          </cell>
          <cell r="Q158">
            <v>30</v>
          </cell>
          <cell r="R158">
            <v>760</v>
          </cell>
          <cell r="S158">
            <v>590</v>
          </cell>
          <cell r="T158">
            <v>400</v>
          </cell>
          <cell r="U158">
            <v>195</v>
          </cell>
          <cell r="V158">
            <v>200</v>
          </cell>
          <cell r="W158">
            <v>80</v>
          </cell>
          <cell r="X158">
            <v>100</v>
          </cell>
          <cell r="Y158">
            <v>15</v>
          </cell>
          <cell r="Z158">
            <v>195</v>
          </cell>
          <cell r="AA158">
            <v>120</v>
          </cell>
          <cell r="AB158">
            <v>75</v>
          </cell>
          <cell r="AC158">
            <v>40</v>
          </cell>
          <cell r="AD158">
            <v>20</v>
          </cell>
          <cell r="AE158">
            <v>0</v>
          </cell>
          <cell r="AF158">
            <v>170</v>
          </cell>
          <cell r="AG158">
            <v>150</v>
          </cell>
          <cell r="AH158">
            <v>125</v>
          </cell>
          <cell r="AI158">
            <v>25</v>
          </cell>
          <cell r="AJ158">
            <v>0</v>
          </cell>
          <cell r="AK158">
            <v>20</v>
          </cell>
          <cell r="AL158">
            <v>20</v>
          </cell>
          <cell r="AM158">
            <v>0</v>
          </cell>
          <cell r="AN158">
            <v>0</v>
          </cell>
          <cell r="AO158">
            <v>655</v>
          </cell>
          <cell r="AP158">
            <v>140</v>
          </cell>
          <cell r="AQ158">
            <v>205</v>
          </cell>
          <cell r="AR158">
            <v>125</v>
          </cell>
          <cell r="AS158">
            <v>140</v>
          </cell>
          <cell r="AT158">
            <v>45</v>
          </cell>
          <cell r="AU158">
            <v>0.8</v>
          </cell>
          <cell r="AV158">
            <v>2695</v>
          </cell>
          <cell r="AW158">
            <v>685</v>
          </cell>
          <cell r="AX158">
            <v>60</v>
          </cell>
          <cell r="AY158">
            <v>80</v>
          </cell>
          <cell r="AZ158">
            <v>545</v>
          </cell>
          <cell r="BA158">
            <v>2010</v>
          </cell>
          <cell r="BB158">
            <v>2.6</v>
          </cell>
          <cell r="BC158">
            <v>485</v>
          </cell>
          <cell r="BD158">
            <v>240</v>
          </cell>
          <cell r="BE158">
            <v>35</v>
          </cell>
          <cell r="BF158">
            <v>25</v>
          </cell>
          <cell r="BG158">
            <v>175</v>
          </cell>
          <cell r="BH158">
            <v>245</v>
          </cell>
          <cell r="BI158">
            <v>1350</v>
          </cell>
          <cell r="BJ158">
            <v>5</v>
          </cell>
          <cell r="BK158">
            <v>6750</v>
          </cell>
          <cell r="BL158">
            <v>2.1</v>
          </cell>
          <cell r="BM158">
            <v>2835</v>
          </cell>
          <cell r="BN158">
            <v>1350</v>
          </cell>
          <cell r="BO158">
            <v>480</v>
          </cell>
          <cell r="BP158">
            <v>865</v>
          </cell>
          <cell r="BQ158">
            <v>0</v>
          </cell>
          <cell r="BR158">
            <v>1350</v>
          </cell>
          <cell r="BS158">
            <v>870</v>
          </cell>
          <cell r="BT158">
            <v>390</v>
          </cell>
          <cell r="BU158">
            <v>85</v>
          </cell>
          <cell r="BV158">
            <v>1345</v>
          </cell>
          <cell r="BW158">
            <v>80</v>
          </cell>
          <cell r="BX158">
            <v>515</v>
          </cell>
          <cell r="BY158">
            <v>515</v>
          </cell>
          <cell r="BZ158">
            <v>110</v>
          </cell>
          <cell r="CA158">
            <v>15</v>
          </cell>
          <cell r="CB158">
            <v>20</v>
          </cell>
          <cell r="CC158">
            <v>45</v>
          </cell>
          <cell r="CD158">
            <v>0</v>
          </cell>
          <cell r="CE158">
            <v>30</v>
          </cell>
          <cell r="CF158">
            <v>1345</v>
          </cell>
          <cell r="CG158">
            <v>45</v>
          </cell>
          <cell r="CH158">
            <v>20</v>
          </cell>
          <cell r="CI158">
            <v>0</v>
          </cell>
          <cell r="CJ158">
            <v>1260</v>
          </cell>
          <cell r="CK158">
            <v>5</v>
          </cell>
          <cell r="CL158">
            <v>20</v>
          </cell>
          <cell r="CM158">
            <v>0</v>
          </cell>
          <cell r="CN158">
            <v>0</v>
          </cell>
          <cell r="CO158">
            <v>1345</v>
          </cell>
          <cell r="CP158">
            <v>565</v>
          </cell>
          <cell r="CQ158">
            <v>425</v>
          </cell>
          <cell r="CR158">
            <v>180</v>
          </cell>
          <cell r="CS158">
            <v>170</v>
          </cell>
          <cell r="CT158">
            <v>15</v>
          </cell>
          <cell r="CU158">
            <v>2720</v>
          </cell>
          <cell r="CV158">
            <v>2</v>
          </cell>
          <cell r="CW158">
            <v>1345</v>
          </cell>
          <cell r="CX158">
            <v>755</v>
          </cell>
          <cell r="CY158">
            <v>0</v>
          </cell>
          <cell r="CZ158">
            <v>590</v>
          </cell>
        </row>
        <row r="159">
          <cell r="A159" t="str">
            <v>4620324.01</v>
          </cell>
          <cell r="B159" t="str">
            <v>0324.01</v>
          </cell>
          <cell r="C159" t="str">
            <v>LaSalle</v>
          </cell>
          <cell r="D159">
            <v>3800</v>
          </cell>
          <cell r="E159">
            <v>1520</v>
          </cell>
          <cell r="F159">
            <v>1555</v>
          </cell>
          <cell r="G159">
            <v>105</v>
          </cell>
          <cell r="H159">
            <v>385</v>
          </cell>
          <cell r="I159">
            <v>235</v>
          </cell>
          <cell r="J159">
            <v>3805</v>
          </cell>
          <cell r="K159">
            <v>3410</v>
          </cell>
          <cell r="L159">
            <v>390</v>
          </cell>
          <cell r="M159">
            <v>1215</v>
          </cell>
          <cell r="N159">
            <v>595</v>
          </cell>
          <cell r="O159">
            <v>300</v>
          </cell>
          <cell r="P159">
            <v>240</v>
          </cell>
          <cell r="Q159">
            <v>75</v>
          </cell>
          <cell r="R159">
            <v>1215</v>
          </cell>
          <cell r="S159">
            <v>945</v>
          </cell>
          <cell r="T159">
            <v>745</v>
          </cell>
          <cell r="U159">
            <v>285</v>
          </cell>
          <cell r="V159">
            <v>460</v>
          </cell>
          <cell r="W159">
            <v>220</v>
          </cell>
          <cell r="X159">
            <v>175</v>
          </cell>
          <cell r="Y159">
            <v>60</v>
          </cell>
          <cell r="Z159">
            <v>200</v>
          </cell>
          <cell r="AA159">
            <v>130</v>
          </cell>
          <cell r="AB159">
            <v>70</v>
          </cell>
          <cell r="AC159">
            <v>10</v>
          </cell>
          <cell r="AD159">
            <v>55</v>
          </cell>
          <cell r="AE159">
            <v>0</v>
          </cell>
          <cell r="AF159">
            <v>270</v>
          </cell>
          <cell r="AG159">
            <v>215</v>
          </cell>
          <cell r="AH159">
            <v>145</v>
          </cell>
          <cell r="AI159">
            <v>50</v>
          </cell>
          <cell r="AJ159">
            <v>20</v>
          </cell>
          <cell r="AK159">
            <v>55</v>
          </cell>
          <cell r="AL159">
            <v>35</v>
          </cell>
          <cell r="AM159">
            <v>15</v>
          </cell>
          <cell r="AN159">
            <v>0</v>
          </cell>
          <cell r="AO159">
            <v>1305</v>
          </cell>
          <cell r="AP159">
            <v>250</v>
          </cell>
          <cell r="AQ159">
            <v>485</v>
          </cell>
          <cell r="AR159">
            <v>150</v>
          </cell>
          <cell r="AS159">
            <v>215</v>
          </cell>
          <cell r="AT159">
            <v>205</v>
          </cell>
          <cell r="AU159">
            <v>1.1000000000000001</v>
          </cell>
          <cell r="AV159">
            <v>4485</v>
          </cell>
          <cell r="AW159">
            <v>1015</v>
          </cell>
          <cell r="AX159">
            <v>80</v>
          </cell>
          <cell r="AY159">
            <v>310</v>
          </cell>
          <cell r="AZ159">
            <v>625</v>
          </cell>
          <cell r="BA159">
            <v>3465</v>
          </cell>
          <cell r="BB159">
            <v>2.9</v>
          </cell>
          <cell r="BC159">
            <v>690</v>
          </cell>
          <cell r="BD159">
            <v>235</v>
          </cell>
          <cell r="BE159">
            <v>20</v>
          </cell>
          <cell r="BF159">
            <v>40</v>
          </cell>
          <cell r="BG159">
            <v>175</v>
          </cell>
          <cell r="BH159">
            <v>445</v>
          </cell>
          <cell r="BI159">
            <v>1975</v>
          </cell>
          <cell r="BJ159">
            <v>5</v>
          </cell>
          <cell r="BK159">
            <v>9875</v>
          </cell>
          <cell r="BL159">
            <v>2.2999999999999998</v>
          </cell>
          <cell r="BM159">
            <v>4542.5</v>
          </cell>
          <cell r="BN159">
            <v>1970</v>
          </cell>
          <cell r="BO159">
            <v>740</v>
          </cell>
          <cell r="BP159">
            <v>1230</v>
          </cell>
          <cell r="BQ159">
            <v>0</v>
          </cell>
          <cell r="BR159">
            <v>1975</v>
          </cell>
          <cell r="BS159">
            <v>1110</v>
          </cell>
          <cell r="BT159">
            <v>680</v>
          </cell>
          <cell r="BU159">
            <v>180</v>
          </cell>
          <cell r="BV159">
            <v>1975</v>
          </cell>
          <cell r="BW159">
            <v>45</v>
          </cell>
          <cell r="BX159">
            <v>415</v>
          </cell>
          <cell r="BY159">
            <v>1045</v>
          </cell>
          <cell r="BZ159">
            <v>255</v>
          </cell>
          <cell r="CA159">
            <v>70</v>
          </cell>
          <cell r="CB159">
            <v>25</v>
          </cell>
          <cell r="CC159">
            <v>0</v>
          </cell>
          <cell r="CD159">
            <v>65</v>
          </cell>
          <cell r="CE159">
            <v>55</v>
          </cell>
          <cell r="CF159">
            <v>1975</v>
          </cell>
          <cell r="CG159">
            <v>45</v>
          </cell>
          <cell r="CH159">
            <v>30</v>
          </cell>
          <cell r="CI159">
            <v>35</v>
          </cell>
          <cell r="CJ159">
            <v>1520</v>
          </cell>
          <cell r="CK159">
            <v>10</v>
          </cell>
          <cell r="CL159">
            <v>335</v>
          </cell>
          <cell r="CM159">
            <v>0</v>
          </cell>
          <cell r="CN159">
            <v>0</v>
          </cell>
          <cell r="CO159">
            <v>1975</v>
          </cell>
          <cell r="CP159">
            <v>625</v>
          </cell>
          <cell r="CQ159">
            <v>670</v>
          </cell>
          <cell r="CR159">
            <v>340</v>
          </cell>
          <cell r="CS159">
            <v>310</v>
          </cell>
          <cell r="CT159">
            <v>30</v>
          </cell>
          <cell r="CU159">
            <v>4485</v>
          </cell>
          <cell r="CV159">
            <v>2.2999999999999998</v>
          </cell>
          <cell r="CW159">
            <v>1975</v>
          </cell>
          <cell r="CX159">
            <v>1200</v>
          </cell>
          <cell r="CY159">
            <v>0</v>
          </cell>
          <cell r="CZ159">
            <v>765</v>
          </cell>
        </row>
        <row r="160">
          <cell r="A160" t="str">
            <v>4620324.02</v>
          </cell>
          <cell r="B160" t="str">
            <v>0324.02</v>
          </cell>
          <cell r="C160" t="str">
            <v>LaSalle</v>
          </cell>
          <cell r="D160">
            <v>2375</v>
          </cell>
          <cell r="E160">
            <v>910</v>
          </cell>
          <cell r="F160">
            <v>1105</v>
          </cell>
          <cell r="G160">
            <v>55</v>
          </cell>
          <cell r="H160">
            <v>200</v>
          </cell>
          <cell r="I160">
            <v>110</v>
          </cell>
          <cell r="J160">
            <v>2375</v>
          </cell>
          <cell r="K160">
            <v>2190</v>
          </cell>
          <cell r="L160">
            <v>185</v>
          </cell>
          <cell r="M160">
            <v>780</v>
          </cell>
          <cell r="N160">
            <v>285</v>
          </cell>
          <cell r="O160">
            <v>245</v>
          </cell>
          <cell r="P160">
            <v>165</v>
          </cell>
          <cell r="Q160">
            <v>85</v>
          </cell>
          <cell r="R160">
            <v>780</v>
          </cell>
          <cell r="S160">
            <v>610</v>
          </cell>
          <cell r="T160">
            <v>530</v>
          </cell>
          <cell r="U160">
            <v>160</v>
          </cell>
          <cell r="V160">
            <v>370</v>
          </cell>
          <cell r="W160">
            <v>165</v>
          </cell>
          <cell r="X160">
            <v>130</v>
          </cell>
          <cell r="Y160">
            <v>75</v>
          </cell>
          <cell r="Z160">
            <v>75</v>
          </cell>
          <cell r="AA160">
            <v>50</v>
          </cell>
          <cell r="AB160">
            <v>25</v>
          </cell>
          <cell r="AC160">
            <v>10</v>
          </cell>
          <cell r="AD160">
            <v>15</v>
          </cell>
          <cell r="AE160">
            <v>0</v>
          </cell>
          <cell r="AF160">
            <v>170</v>
          </cell>
          <cell r="AG160">
            <v>130</v>
          </cell>
          <cell r="AH160">
            <v>55</v>
          </cell>
          <cell r="AI160">
            <v>65</v>
          </cell>
          <cell r="AJ160">
            <v>15</v>
          </cell>
          <cell r="AK160">
            <v>40</v>
          </cell>
          <cell r="AL160">
            <v>20</v>
          </cell>
          <cell r="AM160">
            <v>10</v>
          </cell>
          <cell r="AN160">
            <v>10</v>
          </cell>
          <cell r="AO160">
            <v>1000</v>
          </cell>
          <cell r="AP160">
            <v>185</v>
          </cell>
          <cell r="AQ160">
            <v>325</v>
          </cell>
          <cell r="AR160">
            <v>85</v>
          </cell>
          <cell r="AS160">
            <v>225</v>
          </cell>
          <cell r="AT160">
            <v>180</v>
          </cell>
          <cell r="AU160">
            <v>1.3</v>
          </cell>
          <cell r="AV160">
            <v>2880</v>
          </cell>
          <cell r="AW160">
            <v>500</v>
          </cell>
          <cell r="AX160">
            <v>85</v>
          </cell>
          <cell r="AY160">
            <v>70</v>
          </cell>
          <cell r="AZ160">
            <v>345</v>
          </cell>
          <cell r="BA160">
            <v>2380</v>
          </cell>
          <cell r="BB160">
            <v>3.1</v>
          </cell>
          <cell r="BC160">
            <v>330</v>
          </cell>
          <cell r="BD160">
            <v>130</v>
          </cell>
          <cell r="BE160">
            <v>45</v>
          </cell>
          <cell r="BF160">
            <v>0</v>
          </cell>
          <cell r="BG160">
            <v>85</v>
          </cell>
          <cell r="BH160">
            <v>200</v>
          </cell>
          <cell r="BI160">
            <v>1155</v>
          </cell>
          <cell r="BJ160">
            <v>5</v>
          </cell>
          <cell r="BK160">
            <v>5775</v>
          </cell>
          <cell r="BL160">
            <v>2.2999999999999998</v>
          </cell>
          <cell r="BM160">
            <v>2656.5</v>
          </cell>
          <cell r="BN160">
            <v>1155</v>
          </cell>
          <cell r="BO160">
            <v>420</v>
          </cell>
          <cell r="BP160">
            <v>735</v>
          </cell>
          <cell r="BQ160">
            <v>0</v>
          </cell>
          <cell r="BR160">
            <v>1155</v>
          </cell>
          <cell r="BS160">
            <v>650</v>
          </cell>
          <cell r="BT160">
            <v>370</v>
          </cell>
          <cell r="BU160">
            <v>135</v>
          </cell>
          <cell r="BV160">
            <v>1155</v>
          </cell>
          <cell r="BW160">
            <v>20</v>
          </cell>
          <cell r="BX160">
            <v>240</v>
          </cell>
          <cell r="BY160">
            <v>405</v>
          </cell>
          <cell r="BZ160">
            <v>350</v>
          </cell>
          <cell r="CA160">
            <v>50</v>
          </cell>
          <cell r="CB160">
            <v>80</v>
          </cell>
          <cell r="CC160">
            <v>0</v>
          </cell>
          <cell r="CD160">
            <v>0</v>
          </cell>
          <cell r="CE160">
            <v>0</v>
          </cell>
          <cell r="CF160">
            <v>1155</v>
          </cell>
          <cell r="CG160">
            <v>5</v>
          </cell>
          <cell r="CH160">
            <v>130</v>
          </cell>
          <cell r="CI160">
            <v>0</v>
          </cell>
          <cell r="CJ160">
            <v>695</v>
          </cell>
          <cell r="CK160">
            <v>5</v>
          </cell>
          <cell r="CL160">
            <v>320</v>
          </cell>
          <cell r="CM160">
            <v>0</v>
          </cell>
          <cell r="CN160">
            <v>0</v>
          </cell>
          <cell r="CO160">
            <v>1155</v>
          </cell>
          <cell r="CP160">
            <v>325</v>
          </cell>
          <cell r="CQ160">
            <v>355</v>
          </cell>
          <cell r="CR160">
            <v>210</v>
          </cell>
          <cell r="CS160">
            <v>245</v>
          </cell>
          <cell r="CT160">
            <v>20</v>
          </cell>
          <cell r="CU160">
            <v>2850</v>
          </cell>
          <cell r="CV160">
            <v>2.5</v>
          </cell>
          <cell r="CW160">
            <v>1155</v>
          </cell>
          <cell r="CX160">
            <v>775</v>
          </cell>
          <cell r="CY160">
            <v>0</v>
          </cell>
          <cell r="CZ160">
            <v>380</v>
          </cell>
        </row>
        <row r="161">
          <cell r="A161" t="str">
            <v>4620325.01</v>
          </cell>
          <cell r="B161" t="str">
            <v>0325.01</v>
          </cell>
          <cell r="C161" t="str">
            <v>LaSalle</v>
          </cell>
          <cell r="D161">
            <v>3105</v>
          </cell>
          <cell r="E161">
            <v>1165</v>
          </cell>
          <cell r="F161">
            <v>1405</v>
          </cell>
          <cell r="G161">
            <v>95</v>
          </cell>
          <cell r="H161">
            <v>250</v>
          </cell>
          <cell r="I161">
            <v>190</v>
          </cell>
          <cell r="J161">
            <v>3105</v>
          </cell>
          <cell r="K161">
            <v>2810</v>
          </cell>
          <cell r="L161">
            <v>300</v>
          </cell>
          <cell r="M161">
            <v>1110</v>
          </cell>
          <cell r="N161">
            <v>525</v>
          </cell>
          <cell r="O161">
            <v>265</v>
          </cell>
          <cell r="P161">
            <v>250</v>
          </cell>
          <cell r="Q161">
            <v>65</v>
          </cell>
          <cell r="R161">
            <v>1110</v>
          </cell>
          <cell r="S161">
            <v>850</v>
          </cell>
          <cell r="T161">
            <v>695</v>
          </cell>
          <cell r="U161">
            <v>280</v>
          </cell>
          <cell r="V161">
            <v>415</v>
          </cell>
          <cell r="W161">
            <v>140</v>
          </cell>
          <cell r="X161">
            <v>215</v>
          </cell>
          <cell r="Y161">
            <v>60</v>
          </cell>
          <cell r="Z161">
            <v>155</v>
          </cell>
          <cell r="AA161">
            <v>85</v>
          </cell>
          <cell r="AB161">
            <v>70</v>
          </cell>
          <cell r="AC161">
            <v>50</v>
          </cell>
          <cell r="AD161">
            <v>15</v>
          </cell>
          <cell r="AE161">
            <v>10</v>
          </cell>
          <cell r="AF161">
            <v>260</v>
          </cell>
          <cell r="AG161">
            <v>220</v>
          </cell>
          <cell r="AH161">
            <v>125</v>
          </cell>
          <cell r="AI161">
            <v>75</v>
          </cell>
          <cell r="AJ161">
            <v>20</v>
          </cell>
          <cell r="AK161">
            <v>35</v>
          </cell>
          <cell r="AL161">
            <v>30</v>
          </cell>
          <cell r="AM161">
            <v>0</v>
          </cell>
          <cell r="AN161">
            <v>0</v>
          </cell>
          <cell r="AO161">
            <v>1250</v>
          </cell>
          <cell r="AP161">
            <v>240</v>
          </cell>
          <cell r="AQ161">
            <v>405</v>
          </cell>
          <cell r="AR161">
            <v>110</v>
          </cell>
          <cell r="AS161">
            <v>315</v>
          </cell>
          <cell r="AT161">
            <v>185</v>
          </cell>
          <cell r="AU161">
            <v>1.1000000000000001</v>
          </cell>
          <cell r="AV161">
            <v>3740</v>
          </cell>
          <cell r="AW161">
            <v>525</v>
          </cell>
          <cell r="AX161">
            <v>100</v>
          </cell>
          <cell r="AY161">
            <v>65</v>
          </cell>
          <cell r="AZ161">
            <v>355</v>
          </cell>
          <cell r="BA161">
            <v>3215</v>
          </cell>
          <cell r="BB161">
            <v>2.9</v>
          </cell>
          <cell r="BC161">
            <v>535</v>
          </cell>
          <cell r="BD161">
            <v>185</v>
          </cell>
          <cell r="BE161">
            <v>35</v>
          </cell>
          <cell r="BF161">
            <v>0</v>
          </cell>
          <cell r="BG161">
            <v>145</v>
          </cell>
          <cell r="BH161">
            <v>345</v>
          </cell>
          <cell r="BI161">
            <v>1460</v>
          </cell>
          <cell r="BJ161">
            <v>5.3</v>
          </cell>
          <cell r="BK161">
            <v>7738</v>
          </cell>
          <cell r="BL161">
            <v>2.6</v>
          </cell>
          <cell r="BM161">
            <v>3796</v>
          </cell>
          <cell r="BN161">
            <v>1465</v>
          </cell>
          <cell r="BO161">
            <v>550</v>
          </cell>
          <cell r="BP161">
            <v>910</v>
          </cell>
          <cell r="BQ161">
            <v>0</v>
          </cell>
          <cell r="BR161">
            <v>1465</v>
          </cell>
          <cell r="BS161">
            <v>770</v>
          </cell>
          <cell r="BT161">
            <v>535</v>
          </cell>
          <cell r="BU161">
            <v>160</v>
          </cell>
          <cell r="BV161">
            <v>1460</v>
          </cell>
          <cell r="BW161">
            <v>15</v>
          </cell>
          <cell r="BX161">
            <v>155</v>
          </cell>
          <cell r="BY161">
            <v>820</v>
          </cell>
          <cell r="BZ161">
            <v>395</v>
          </cell>
          <cell r="CA161">
            <v>50</v>
          </cell>
          <cell r="CB161">
            <v>15</v>
          </cell>
          <cell r="CC161">
            <v>10</v>
          </cell>
          <cell r="CD161">
            <v>0</v>
          </cell>
          <cell r="CE161">
            <v>0</v>
          </cell>
          <cell r="CF161">
            <v>1465</v>
          </cell>
          <cell r="CG161">
            <v>0</v>
          </cell>
          <cell r="CH161">
            <v>0</v>
          </cell>
          <cell r="CI161">
            <v>60</v>
          </cell>
          <cell r="CJ161">
            <v>885</v>
          </cell>
          <cell r="CK161">
            <v>0</v>
          </cell>
          <cell r="CL161">
            <v>515</v>
          </cell>
          <cell r="CM161">
            <v>0</v>
          </cell>
          <cell r="CN161">
            <v>0</v>
          </cell>
          <cell r="CO161">
            <v>1465</v>
          </cell>
          <cell r="CP161">
            <v>355</v>
          </cell>
          <cell r="CQ161">
            <v>495</v>
          </cell>
          <cell r="CR161">
            <v>245</v>
          </cell>
          <cell r="CS161">
            <v>320</v>
          </cell>
          <cell r="CT161">
            <v>45</v>
          </cell>
          <cell r="CU161">
            <v>3735</v>
          </cell>
          <cell r="CV161">
            <v>2.5</v>
          </cell>
          <cell r="CW161">
            <v>1465</v>
          </cell>
          <cell r="CX161">
            <v>1020</v>
          </cell>
          <cell r="CY161">
            <v>40</v>
          </cell>
          <cell r="CZ161">
            <v>405</v>
          </cell>
        </row>
        <row r="162">
          <cell r="A162" t="str">
            <v>4620325.02</v>
          </cell>
          <cell r="B162" t="str">
            <v>0325.02</v>
          </cell>
          <cell r="C162" t="str">
            <v>LaSalle</v>
          </cell>
          <cell r="D162">
            <v>5435</v>
          </cell>
          <cell r="E162">
            <v>2045</v>
          </cell>
          <cell r="F162">
            <v>2135</v>
          </cell>
          <cell r="G162">
            <v>175</v>
          </cell>
          <cell r="H162">
            <v>615</v>
          </cell>
          <cell r="I162">
            <v>465</v>
          </cell>
          <cell r="J162">
            <v>5435</v>
          </cell>
          <cell r="K162">
            <v>4915</v>
          </cell>
          <cell r="L162">
            <v>520</v>
          </cell>
          <cell r="M162">
            <v>1770</v>
          </cell>
          <cell r="N162">
            <v>870</v>
          </cell>
          <cell r="O162">
            <v>425</v>
          </cell>
          <cell r="P162">
            <v>350</v>
          </cell>
          <cell r="Q162">
            <v>130</v>
          </cell>
          <cell r="R162">
            <v>1770</v>
          </cell>
          <cell r="S162">
            <v>1300</v>
          </cell>
          <cell r="T162">
            <v>1040</v>
          </cell>
          <cell r="U162">
            <v>410</v>
          </cell>
          <cell r="V162">
            <v>630</v>
          </cell>
          <cell r="W162">
            <v>245</v>
          </cell>
          <cell r="X162">
            <v>280</v>
          </cell>
          <cell r="Y162">
            <v>110</v>
          </cell>
          <cell r="Z162">
            <v>260</v>
          </cell>
          <cell r="AA162">
            <v>175</v>
          </cell>
          <cell r="AB162">
            <v>85</v>
          </cell>
          <cell r="AC162">
            <v>55</v>
          </cell>
          <cell r="AD162">
            <v>25</v>
          </cell>
          <cell r="AE162">
            <v>10</v>
          </cell>
          <cell r="AF162">
            <v>470</v>
          </cell>
          <cell r="AG162">
            <v>365</v>
          </cell>
          <cell r="AH162">
            <v>205</v>
          </cell>
          <cell r="AI162">
            <v>110</v>
          </cell>
          <cell r="AJ162">
            <v>55</v>
          </cell>
          <cell r="AK162">
            <v>100</v>
          </cell>
          <cell r="AL162">
            <v>80</v>
          </cell>
          <cell r="AM162">
            <v>15</v>
          </cell>
          <cell r="AN162">
            <v>0</v>
          </cell>
          <cell r="AO162">
            <v>2025</v>
          </cell>
          <cell r="AP162">
            <v>395</v>
          </cell>
          <cell r="AQ162">
            <v>685</v>
          </cell>
          <cell r="AR162">
            <v>210</v>
          </cell>
          <cell r="AS162">
            <v>425</v>
          </cell>
          <cell r="AT162">
            <v>305</v>
          </cell>
          <cell r="AU162">
            <v>1.1000000000000001</v>
          </cell>
          <cell r="AV162">
            <v>6485</v>
          </cell>
          <cell r="AW162">
            <v>1385</v>
          </cell>
          <cell r="AX162">
            <v>140</v>
          </cell>
          <cell r="AY162">
            <v>195</v>
          </cell>
          <cell r="AZ162">
            <v>1050</v>
          </cell>
          <cell r="BA162">
            <v>5100</v>
          </cell>
          <cell r="BB162">
            <v>2.9</v>
          </cell>
          <cell r="BC162">
            <v>1145</v>
          </cell>
          <cell r="BD162">
            <v>600</v>
          </cell>
          <cell r="BE162">
            <v>65</v>
          </cell>
          <cell r="BF162">
            <v>25</v>
          </cell>
          <cell r="BG162">
            <v>510</v>
          </cell>
          <cell r="BH162">
            <v>555</v>
          </cell>
          <cell r="BI162">
            <v>2885</v>
          </cell>
          <cell r="BJ162">
            <v>4.5</v>
          </cell>
          <cell r="BK162">
            <v>12982.5</v>
          </cell>
          <cell r="BL162">
            <v>2.1</v>
          </cell>
          <cell r="BM162">
            <v>6058.5</v>
          </cell>
          <cell r="BN162">
            <v>2885</v>
          </cell>
          <cell r="BO162">
            <v>790</v>
          </cell>
          <cell r="BP162">
            <v>2090</v>
          </cell>
          <cell r="BQ162">
            <v>0</v>
          </cell>
          <cell r="BR162">
            <v>2885</v>
          </cell>
          <cell r="BS162">
            <v>1940</v>
          </cell>
          <cell r="BT162">
            <v>740</v>
          </cell>
          <cell r="BU162">
            <v>200</v>
          </cell>
          <cell r="BV162">
            <v>2885</v>
          </cell>
          <cell r="BW162">
            <v>60</v>
          </cell>
          <cell r="BX162">
            <v>305</v>
          </cell>
          <cell r="BY162">
            <v>1145</v>
          </cell>
          <cell r="BZ162">
            <v>485</v>
          </cell>
          <cell r="CA162">
            <v>270</v>
          </cell>
          <cell r="CB162">
            <v>140</v>
          </cell>
          <cell r="CC162">
            <v>95</v>
          </cell>
          <cell r="CD162">
            <v>330</v>
          </cell>
          <cell r="CE162">
            <v>55</v>
          </cell>
          <cell r="CF162">
            <v>2885</v>
          </cell>
          <cell r="CG162">
            <v>5</v>
          </cell>
          <cell r="CH162">
            <v>115</v>
          </cell>
          <cell r="CI162">
            <v>5</v>
          </cell>
          <cell r="CJ162">
            <v>800</v>
          </cell>
          <cell r="CK162">
            <v>150</v>
          </cell>
          <cell r="CL162">
            <v>1810</v>
          </cell>
          <cell r="CM162">
            <v>0</v>
          </cell>
          <cell r="CN162">
            <v>0</v>
          </cell>
          <cell r="CO162">
            <v>2885</v>
          </cell>
          <cell r="CP162">
            <v>1050</v>
          </cell>
          <cell r="CQ162">
            <v>860</v>
          </cell>
          <cell r="CR162">
            <v>435</v>
          </cell>
          <cell r="CS162">
            <v>495</v>
          </cell>
          <cell r="CT162">
            <v>45</v>
          </cell>
          <cell r="CU162">
            <v>6485</v>
          </cell>
          <cell r="CV162">
            <v>2.2000000000000002</v>
          </cell>
          <cell r="CW162">
            <v>2885</v>
          </cell>
          <cell r="CX162">
            <v>1690</v>
          </cell>
          <cell r="CY162">
            <v>40</v>
          </cell>
          <cell r="CZ162">
            <v>1155</v>
          </cell>
        </row>
        <row r="163">
          <cell r="A163" t="str">
            <v>4620325.03</v>
          </cell>
          <cell r="B163" t="str">
            <v>0325.03</v>
          </cell>
          <cell r="C163" t="str">
            <v>LaSalle</v>
          </cell>
          <cell r="D163">
            <v>3010</v>
          </cell>
          <cell r="E163">
            <v>1020</v>
          </cell>
          <cell r="F163">
            <v>1440</v>
          </cell>
          <cell r="G163">
            <v>55</v>
          </cell>
          <cell r="H163">
            <v>285</v>
          </cell>
          <cell r="I163">
            <v>215</v>
          </cell>
          <cell r="J163">
            <v>3010</v>
          </cell>
          <cell r="K163">
            <v>2755</v>
          </cell>
          <cell r="L163">
            <v>255</v>
          </cell>
          <cell r="M163">
            <v>1045</v>
          </cell>
          <cell r="N163">
            <v>535</v>
          </cell>
          <cell r="O163">
            <v>270</v>
          </cell>
          <cell r="P163">
            <v>170</v>
          </cell>
          <cell r="Q163">
            <v>75</v>
          </cell>
          <cell r="R163">
            <v>1045</v>
          </cell>
          <cell r="S163">
            <v>825</v>
          </cell>
          <cell r="T163">
            <v>695</v>
          </cell>
          <cell r="U163">
            <v>315</v>
          </cell>
          <cell r="V163">
            <v>380</v>
          </cell>
          <cell r="W163">
            <v>190</v>
          </cell>
          <cell r="X163">
            <v>130</v>
          </cell>
          <cell r="Y163">
            <v>65</v>
          </cell>
          <cell r="Z163">
            <v>125</v>
          </cell>
          <cell r="AA163">
            <v>60</v>
          </cell>
          <cell r="AB163">
            <v>65</v>
          </cell>
          <cell r="AC163">
            <v>40</v>
          </cell>
          <cell r="AD163">
            <v>20</v>
          </cell>
          <cell r="AE163">
            <v>10</v>
          </cell>
          <cell r="AF163">
            <v>225</v>
          </cell>
          <cell r="AG163">
            <v>210</v>
          </cell>
          <cell r="AH163">
            <v>145</v>
          </cell>
          <cell r="AI163">
            <v>45</v>
          </cell>
          <cell r="AJ163">
            <v>20</v>
          </cell>
          <cell r="AK163">
            <v>15</v>
          </cell>
          <cell r="AL163">
            <v>15</v>
          </cell>
          <cell r="AM163">
            <v>0</v>
          </cell>
          <cell r="AN163">
            <v>10</v>
          </cell>
          <cell r="AO163">
            <v>1090</v>
          </cell>
          <cell r="AP163">
            <v>255</v>
          </cell>
          <cell r="AQ163">
            <v>370</v>
          </cell>
          <cell r="AR163">
            <v>95</v>
          </cell>
          <cell r="AS163">
            <v>225</v>
          </cell>
          <cell r="AT163">
            <v>135</v>
          </cell>
          <cell r="AU163">
            <v>1</v>
          </cell>
          <cell r="AV163">
            <v>3620</v>
          </cell>
          <cell r="AW163">
            <v>655</v>
          </cell>
          <cell r="AX163">
            <v>100</v>
          </cell>
          <cell r="AY163">
            <v>120</v>
          </cell>
          <cell r="AZ163">
            <v>435</v>
          </cell>
          <cell r="BA163">
            <v>2960</v>
          </cell>
          <cell r="BB163">
            <v>2.8</v>
          </cell>
          <cell r="BC163">
            <v>630</v>
          </cell>
          <cell r="BD163">
            <v>210</v>
          </cell>
          <cell r="BE163">
            <v>50</v>
          </cell>
          <cell r="BF163">
            <v>30</v>
          </cell>
          <cell r="BG163">
            <v>135</v>
          </cell>
          <cell r="BH163">
            <v>425</v>
          </cell>
          <cell r="BI163">
            <v>1510</v>
          </cell>
          <cell r="BJ163">
            <v>5.2</v>
          </cell>
          <cell r="BK163">
            <v>7852</v>
          </cell>
          <cell r="BL163">
            <v>2.6</v>
          </cell>
          <cell r="BM163">
            <v>3926</v>
          </cell>
          <cell r="BN163">
            <v>1510</v>
          </cell>
          <cell r="BO163">
            <v>655</v>
          </cell>
          <cell r="BP163">
            <v>855</v>
          </cell>
          <cell r="BQ163">
            <v>0</v>
          </cell>
          <cell r="BR163">
            <v>1510</v>
          </cell>
          <cell r="BS163">
            <v>1005</v>
          </cell>
          <cell r="BT163">
            <v>375</v>
          </cell>
          <cell r="BU163">
            <v>135</v>
          </cell>
          <cell r="BV163">
            <v>1510</v>
          </cell>
          <cell r="BW163">
            <v>25</v>
          </cell>
          <cell r="BX163">
            <v>145</v>
          </cell>
          <cell r="BY163">
            <v>895</v>
          </cell>
          <cell r="BZ163">
            <v>325</v>
          </cell>
          <cell r="CA163">
            <v>20</v>
          </cell>
          <cell r="CB163">
            <v>15</v>
          </cell>
          <cell r="CC163">
            <v>0</v>
          </cell>
          <cell r="CD163">
            <v>15</v>
          </cell>
          <cell r="CE163">
            <v>80</v>
          </cell>
          <cell r="CF163">
            <v>1510</v>
          </cell>
          <cell r="CG163">
            <v>0</v>
          </cell>
          <cell r="CH163">
            <v>0</v>
          </cell>
          <cell r="CI163">
            <v>0</v>
          </cell>
          <cell r="CJ163">
            <v>810</v>
          </cell>
          <cell r="CK163">
            <v>10</v>
          </cell>
          <cell r="CL163">
            <v>685</v>
          </cell>
          <cell r="CM163">
            <v>0</v>
          </cell>
          <cell r="CN163">
            <v>0</v>
          </cell>
          <cell r="CO163">
            <v>1510</v>
          </cell>
          <cell r="CP163">
            <v>435</v>
          </cell>
          <cell r="CQ163">
            <v>500</v>
          </cell>
          <cell r="CR163">
            <v>275</v>
          </cell>
          <cell r="CS163">
            <v>265</v>
          </cell>
          <cell r="CT163">
            <v>35</v>
          </cell>
          <cell r="CU163">
            <v>3620</v>
          </cell>
          <cell r="CV163">
            <v>2.4</v>
          </cell>
          <cell r="CW163">
            <v>1510</v>
          </cell>
          <cell r="CX163">
            <v>995</v>
          </cell>
          <cell r="CY163">
            <v>25</v>
          </cell>
          <cell r="CZ163">
            <v>490</v>
          </cell>
        </row>
        <row r="164">
          <cell r="A164" t="str">
            <v>4620325.04</v>
          </cell>
          <cell r="B164" t="str">
            <v>0325.04</v>
          </cell>
          <cell r="C164" t="str">
            <v>LaSalle</v>
          </cell>
          <cell r="D164">
            <v>7915</v>
          </cell>
          <cell r="E164">
            <v>2765</v>
          </cell>
          <cell r="F164">
            <v>3630</v>
          </cell>
          <cell r="G164">
            <v>195</v>
          </cell>
          <cell r="H164">
            <v>745</v>
          </cell>
          <cell r="I164">
            <v>585</v>
          </cell>
          <cell r="J164">
            <v>7920</v>
          </cell>
          <cell r="K164">
            <v>7010</v>
          </cell>
          <cell r="L164">
            <v>910</v>
          </cell>
          <cell r="M164">
            <v>2645</v>
          </cell>
          <cell r="N164">
            <v>1480</v>
          </cell>
          <cell r="O164">
            <v>600</v>
          </cell>
          <cell r="P164">
            <v>440</v>
          </cell>
          <cell r="Q164">
            <v>125</v>
          </cell>
          <cell r="R164">
            <v>2650</v>
          </cell>
          <cell r="S164">
            <v>2250</v>
          </cell>
          <cell r="T164">
            <v>1795</v>
          </cell>
          <cell r="U164">
            <v>915</v>
          </cell>
          <cell r="V164">
            <v>875</v>
          </cell>
          <cell r="W164">
            <v>375</v>
          </cell>
          <cell r="X164">
            <v>400</v>
          </cell>
          <cell r="Y164">
            <v>100</v>
          </cell>
          <cell r="Z164">
            <v>460</v>
          </cell>
          <cell r="AA164">
            <v>295</v>
          </cell>
          <cell r="AB164">
            <v>165</v>
          </cell>
          <cell r="AC164">
            <v>125</v>
          </cell>
          <cell r="AD164">
            <v>25</v>
          </cell>
          <cell r="AE164">
            <v>15</v>
          </cell>
          <cell r="AF164">
            <v>395</v>
          </cell>
          <cell r="AG164">
            <v>355</v>
          </cell>
          <cell r="AH164">
            <v>235</v>
          </cell>
          <cell r="AI164">
            <v>100</v>
          </cell>
          <cell r="AJ164">
            <v>20</v>
          </cell>
          <cell r="AK164">
            <v>40</v>
          </cell>
          <cell r="AL164">
            <v>35</v>
          </cell>
          <cell r="AM164">
            <v>0</v>
          </cell>
          <cell r="AN164">
            <v>10</v>
          </cell>
          <cell r="AO164">
            <v>2280</v>
          </cell>
          <cell r="AP164">
            <v>485</v>
          </cell>
          <cell r="AQ164">
            <v>550</v>
          </cell>
          <cell r="AR164">
            <v>255</v>
          </cell>
          <cell r="AS164">
            <v>555</v>
          </cell>
          <cell r="AT164">
            <v>435</v>
          </cell>
          <cell r="AU164">
            <v>0.9</v>
          </cell>
          <cell r="AV164">
            <v>8940</v>
          </cell>
          <cell r="AW164">
            <v>1755</v>
          </cell>
          <cell r="AX164">
            <v>190</v>
          </cell>
          <cell r="AY164">
            <v>120</v>
          </cell>
          <cell r="AZ164">
            <v>1440</v>
          </cell>
          <cell r="BA164">
            <v>7180</v>
          </cell>
          <cell r="BB164">
            <v>2.7</v>
          </cell>
          <cell r="BC164">
            <v>1670</v>
          </cell>
          <cell r="BD164">
            <v>580</v>
          </cell>
          <cell r="BE164">
            <v>65</v>
          </cell>
          <cell r="BF164">
            <v>35</v>
          </cell>
          <cell r="BG164">
            <v>475</v>
          </cell>
          <cell r="BH164">
            <v>1095</v>
          </cell>
          <cell r="BI164">
            <v>4155</v>
          </cell>
          <cell r="BJ164">
            <v>4.8</v>
          </cell>
          <cell r="BK164">
            <v>19944</v>
          </cell>
          <cell r="BL164">
            <v>2.2000000000000002</v>
          </cell>
          <cell r="BM164">
            <v>9141</v>
          </cell>
          <cell r="BN164">
            <v>4160</v>
          </cell>
          <cell r="BO164">
            <v>2690</v>
          </cell>
          <cell r="BP164">
            <v>1470</v>
          </cell>
          <cell r="BQ164">
            <v>0</v>
          </cell>
          <cell r="BR164">
            <v>4155</v>
          </cell>
          <cell r="BS164">
            <v>2990</v>
          </cell>
          <cell r="BT164">
            <v>995</v>
          </cell>
          <cell r="BU164">
            <v>170</v>
          </cell>
          <cell r="BV164">
            <v>4155</v>
          </cell>
          <cell r="BW164">
            <v>10</v>
          </cell>
          <cell r="BX164">
            <v>155</v>
          </cell>
          <cell r="BY164">
            <v>585</v>
          </cell>
          <cell r="BZ164">
            <v>1045</v>
          </cell>
          <cell r="CA164">
            <v>545</v>
          </cell>
          <cell r="CB164">
            <v>280</v>
          </cell>
          <cell r="CC164">
            <v>410</v>
          </cell>
          <cell r="CD164">
            <v>540</v>
          </cell>
          <cell r="CE164">
            <v>585</v>
          </cell>
          <cell r="CF164">
            <v>4155</v>
          </cell>
          <cell r="CG164">
            <v>25</v>
          </cell>
          <cell r="CH164">
            <v>300</v>
          </cell>
          <cell r="CI164">
            <v>325</v>
          </cell>
          <cell r="CJ164">
            <v>1480</v>
          </cell>
          <cell r="CK164">
            <v>240</v>
          </cell>
          <cell r="CL164">
            <v>1780</v>
          </cell>
          <cell r="CM164">
            <v>0</v>
          </cell>
          <cell r="CN164">
            <v>0</v>
          </cell>
          <cell r="CO164">
            <v>4155</v>
          </cell>
          <cell r="CP164">
            <v>1445</v>
          </cell>
          <cell r="CQ164">
            <v>1505</v>
          </cell>
          <cell r="CR164">
            <v>620</v>
          </cell>
          <cell r="CS164">
            <v>535</v>
          </cell>
          <cell r="CT164">
            <v>55</v>
          </cell>
          <cell r="CU164">
            <v>8930</v>
          </cell>
          <cell r="CV164">
            <v>2.2000000000000002</v>
          </cell>
          <cell r="CW164">
            <v>4155</v>
          </cell>
          <cell r="CX164">
            <v>2580</v>
          </cell>
          <cell r="CY164">
            <v>30</v>
          </cell>
          <cell r="CZ164">
            <v>1540</v>
          </cell>
        </row>
        <row r="165">
          <cell r="A165" t="str">
            <v>4620326.01</v>
          </cell>
          <cell r="B165" t="str">
            <v>0326.01</v>
          </cell>
          <cell r="C165" t="str">
            <v>LaSalle</v>
          </cell>
          <cell r="D165">
            <v>2365</v>
          </cell>
          <cell r="E165">
            <v>860</v>
          </cell>
          <cell r="F165">
            <v>1090</v>
          </cell>
          <cell r="G165">
            <v>60</v>
          </cell>
          <cell r="H165">
            <v>215</v>
          </cell>
          <cell r="I165">
            <v>140</v>
          </cell>
          <cell r="J165">
            <v>2365</v>
          </cell>
          <cell r="K165">
            <v>2165</v>
          </cell>
          <cell r="L165">
            <v>200</v>
          </cell>
          <cell r="M165">
            <v>835</v>
          </cell>
          <cell r="N165">
            <v>405</v>
          </cell>
          <cell r="O165">
            <v>195</v>
          </cell>
          <cell r="P165">
            <v>140</v>
          </cell>
          <cell r="Q165">
            <v>90</v>
          </cell>
          <cell r="R165">
            <v>830</v>
          </cell>
          <cell r="S165">
            <v>625</v>
          </cell>
          <cell r="T165">
            <v>545</v>
          </cell>
          <cell r="U165">
            <v>240</v>
          </cell>
          <cell r="V165">
            <v>300</v>
          </cell>
          <cell r="W165">
            <v>115</v>
          </cell>
          <cell r="X165">
            <v>95</v>
          </cell>
          <cell r="Y165">
            <v>95</v>
          </cell>
          <cell r="Z165">
            <v>80</v>
          </cell>
          <cell r="AA165">
            <v>45</v>
          </cell>
          <cell r="AB165">
            <v>35</v>
          </cell>
          <cell r="AC165">
            <v>30</v>
          </cell>
          <cell r="AD165">
            <v>10</v>
          </cell>
          <cell r="AE165">
            <v>0</v>
          </cell>
          <cell r="AF165">
            <v>210</v>
          </cell>
          <cell r="AG165">
            <v>175</v>
          </cell>
          <cell r="AH165">
            <v>95</v>
          </cell>
          <cell r="AI165">
            <v>50</v>
          </cell>
          <cell r="AJ165">
            <v>30</v>
          </cell>
          <cell r="AK165">
            <v>30</v>
          </cell>
          <cell r="AL165">
            <v>25</v>
          </cell>
          <cell r="AM165">
            <v>0</v>
          </cell>
          <cell r="AN165">
            <v>10</v>
          </cell>
          <cell r="AO165">
            <v>955</v>
          </cell>
          <cell r="AP165">
            <v>150</v>
          </cell>
          <cell r="AQ165">
            <v>350</v>
          </cell>
          <cell r="AR165">
            <v>120</v>
          </cell>
          <cell r="AS165">
            <v>185</v>
          </cell>
          <cell r="AT165">
            <v>150</v>
          </cell>
          <cell r="AU165">
            <v>1.2</v>
          </cell>
          <cell r="AV165">
            <v>2860</v>
          </cell>
          <cell r="AW165">
            <v>445</v>
          </cell>
          <cell r="AX165">
            <v>65</v>
          </cell>
          <cell r="AY165">
            <v>80</v>
          </cell>
          <cell r="AZ165">
            <v>295</v>
          </cell>
          <cell r="BA165">
            <v>2415</v>
          </cell>
          <cell r="BB165">
            <v>2.9</v>
          </cell>
          <cell r="BC165">
            <v>430</v>
          </cell>
          <cell r="BD165">
            <v>105</v>
          </cell>
          <cell r="BE165">
            <v>35</v>
          </cell>
          <cell r="BF165">
            <v>15</v>
          </cell>
          <cell r="BG165">
            <v>60</v>
          </cell>
          <cell r="BH165">
            <v>320</v>
          </cell>
          <cell r="BI165">
            <v>1150</v>
          </cell>
          <cell r="BJ165">
            <v>4.8</v>
          </cell>
          <cell r="BK165">
            <v>5520</v>
          </cell>
          <cell r="BL165">
            <v>2.2999999999999998</v>
          </cell>
          <cell r="BM165">
            <v>2645</v>
          </cell>
          <cell r="BN165">
            <v>1150</v>
          </cell>
          <cell r="BO165">
            <v>365</v>
          </cell>
          <cell r="BP165">
            <v>785</v>
          </cell>
          <cell r="BQ165">
            <v>0</v>
          </cell>
          <cell r="BR165">
            <v>1150</v>
          </cell>
          <cell r="BS165">
            <v>585</v>
          </cell>
          <cell r="BT165">
            <v>460</v>
          </cell>
          <cell r="BU165">
            <v>110</v>
          </cell>
          <cell r="BV165">
            <v>1150</v>
          </cell>
          <cell r="BW165">
            <v>20</v>
          </cell>
          <cell r="BX165">
            <v>75</v>
          </cell>
          <cell r="BY165">
            <v>425</v>
          </cell>
          <cell r="BZ165">
            <v>545</v>
          </cell>
          <cell r="CA165">
            <v>50</v>
          </cell>
          <cell r="CB165">
            <v>10</v>
          </cell>
          <cell r="CC165">
            <v>0</v>
          </cell>
          <cell r="CD165">
            <v>20</v>
          </cell>
          <cell r="CE165">
            <v>0</v>
          </cell>
          <cell r="CF165">
            <v>1150</v>
          </cell>
          <cell r="CG165">
            <v>0</v>
          </cell>
          <cell r="CH165">
            <v>40</v>
          </cell>
          <cell r="CI165">
            <v>0</v>
          </cell>
          <cell r="CJ165">
            <v>1105</v>
          </cell>
          <cell r="CK165">
            <v>0</v>
          </cell>
          <cell r="CL165">
            <v>5</v>
          </cell>
          <cell r="CM165">
            <v>5</v>
          </cell>
          <cell r="CN165">
            <v>0</v>
          </cell>
          <cell r="CO165">
            <v>1155</v>
          </cell>
          <cell r="CP165">
            <v>285</v>
          </cell>
          <cell r="CQ165">
            <v>405</v>
          </cell>
          <cell r="CR165">
            <v>215</v>
          </cell>
          <cell r="CS165">
            <v>225</v>
          </cell>
          <cell r="CT165">
            <v>20</v>
          </cell>
          <cell r="CU165">
            <v>2850</v>
          </cell>
          <cell r="CV165">
            <v>2.5</v>
          </cell>
          <cell r="CW165">
            <v>1150</v>
          </cell>
          <cell r="CX165">
            <v>775</v>
          </cell>
          <cell r="CY165">
            <v>30</v>
          </cell>
          <cell r="CZ165">
            <v>345</v>
          </cell>
        </row>
        <row r="166">
          <cell r="A166" t="str">
            <v>4620326.02</v>
          </cell>
          <cell r="B166" t="str">
            <v>0326.02</v>
          </cell>
          <cell r="C166" t="str">
            <v>LaSalle</v>
          </cell>
          <cell r="D166">
            <v>2905</v>
          </cell>
          <cell r="E166">
            <v>1170</v>
          </cell>
          <cell r="F166">
            <v>1085</v>
          </cell>
          <cell r="G166">
            <v>105</v>
          </cell>
          <cell r="H166">
            <v>345</v>
          </cell>
          <cell r="I166">
            <v>200</v>
          </cell>
          <cell r="J166">
            <v>2905</v>
          </cell>
          <cell r="K166">
            <v>2500</v>
          </cell>
          <cell r="L166">
            <v>405</v>
          </cell>
          <cell r="M166">
            <v>980</v>
          </cell>
          <cell r="N166">
            <v>555</v>
          </cell>
          <cell r="O166">
            <v>215</v>
          </cell>
          <cell r="P166">
            <v>165</v>
          </cell>
          <cell r="Q166">
            <v>40</v>
          </cell>
          <cell r="R166">
            <v>980</v>
          </cell>
          <cell r="S166">
            <v>740</v>
          </cell>
          <cell r="T166">
            <v>540</v>
          </cell>
          <cell r="U166">
            <v>280</v>
          </cell>
          <cell r="V166">
            <v>260</v>
          </cell>
          <cell r="W166">
            <v>130</v>
          </cell>
          <cell r="X166">
            <v>85</v>
          </cell>
          <cell r="Y166">
            <v>45</v>
          </cell>
          <cell r="Z166">
            <v>205</v>
          </cell>
          <cell r="AA166">
            <v>120</v>
          </cell>
          <cell r="AB166">
            <v>85</v>
          </cell>
          <cell r="AC166">
            <v>30</v>
          </cell>
          <cell r="AD166">
            <v>50</v>
          </cell>
          <cell r="AE166">
            <v>0</v>
          </cell>
          <cell r="AF166">
            <v>235</v>
          </cell>
          <cell r="AG166">
            <v>170</v>
          </cell>
          <cell r="AH166">
            <v>100</v>
          </cell>
          <cell r="AI166">
            <v>40</v>
          </cell>
          <cell r="AJ166">
            <v>25</v>
          </cell>
          <cell r="AK166">
            <v>65</v>
          </cell>
          <cell r="AL166">
            <v>60</v>
          </cell>
          <cell r="AM166">
            <v>10</v>
          </cell>
          <cell r="AN166">
            <v>0</v>
          </cell>
          <cell r="AO166">
            <v>915</v>
          </cell>
          <cell r="AP166">
            <v>185</v>
          </cell>
          <cell r="AQ166">
            <v>330</v>
          </cell>
          <cell r="AR166">
            <v>100</v>
          </cell>
          <cell r="AS166">
            <v>165</v>
          </cell>
          <cell r="AT166">
            <v>140</v>
          </cell>
          <cell r="AU166">
            <v>0.9</v>
          </cell>
          <cell r="AV166">
            <v>3425</v>
          </cell>
          <cell r="AW166">
            <v>780</v>
          </cell>
          <cell r="AX166">
            <v>85</v>
          </cell>
          <cell r="AY166">
            <v>85</v>
          </cell>
          <cell r="AZ166">
            <v>620</v>
          </cell>
          <cell r="BA166">
            <v>2640</v>
          </cell>
          <cell r="BB166">
            <v>2.7</v>
          </cell>
          <cell r="BC166">
            <v>545</v>
          </cell>
          <cell r="BD166">
            <v>215</v>
          </cell>
          <cell r="BE166">
            <v>20</v>
          </cell>
          <cell r="BF166">
            <v>10</v>
          </cell>
          <cell r="BG166">
            <v>185</v>
          </cell>
          <cell r="BH166">
            <v>330</v>
          </cell>
          <cell r="BI166">
            <v>1610</v>
          </cell>
          <cell r="BJ166">
            <v>4.5</v>
          </cell>
          <cell r="BK166">
            <v>7245</v>
          </cell>
          <cell r="BL166">
            <v>2</v>
          </cell>
          <cell r="BM166">
            <v>3220</v>
          </cell>
          <cell r="BN166">
            <v>1615</v>
          </cell>
          <cell r="BO166">
            <v>555</v>
          </cell>
          <cell r="BP166">
            <v>1055</v>
          </cell>
          <cell r="BQ166">
            <v>0</v>
          </cell>
          <cell r="BR166">
            <v>1615</v>
          </cell>
          <cell r="BS166">
            <v>880</v>
          </cell>
          <cell r="BT166">
            <v>545</v>
          </cell>
          <cell r="BU166">
            <v>185</v>
          </cell>
          <cell r="BV166">
            <v>1615</v>
          </cell>
          <cell r="BW166">
            <v>125</v>
          </cell>
          <cell r="BX166">
            <v>740</v>
          </cell>
          <cell r="BY166">
            <v>325</v>
          </cell>
          <cell r="BZ166">
            <v>260</v>
          </cell>
          <cell r="CA166">
            <v>60</v>
          </cell>
          <cell r="CB166">
            <v>80</v>
          </cell>
          <cell r="CC166">
            <v>10</v>
          </cell>
          <cell r="CD166">
            <v>10</v>
          </cell>
          <cell r="CE166">
            <v>0</v>
          </cell>
          <cell r="CF166">
            <v>1610</v>
          </cell>
          <cell r="CG166">
            <v>70</v>
          </cell>
          <cell r="CH166">
            <v>55</v>
          </cell>
          <cell r="CI166">
            <v>0</v>
          </cell>
          <cell r="CJ166">
            <v>1135</v>
          </cell>
          <cell r="CK166">
            <v>10</v>
          </cell>
          <cell r="CL166">
            <v>350</v>
          </cell>
          <cell r="CM166">
            <v>0</v>
          </cell>
          <cell r="CN166">
            <v>0</v>
          </cell>
          <cell r="CO166">
            <v>1610</v>
          </cell>
          <cell r="CP166">
            <v>620</v>
          </cell>
          <cell r="CQ166">
            <v>520</v>
          </cell>
          <cell r="CR166">
            <v>230</v>
          </cell>
          <cell r="CS166">
            <v>230</v>
          </cell>
          <cell r="CT166">
            <v>15</v>
          </cell>
          <cell r="CU166">
            <v>3425</v>
          </cell>
          <cell r="CV166">
            <v>2.1</v>
          </cell>
          <cell r="CW166">
            <v>1615</v>
          </cell>
          <cell r="CX166">
            <v>910</v>
          </cell>
          <cell r="CY166">
            <v>35</v>
          </cell>
          <cell r="CZ166">
            <v>665</v>
          </cell>
        </row>
        <row r="167">
          <cell r="A167" t="str">
            <v>4620326.03</v>
          </cell>
          <cell r="B167" t="str">
            <v>0326.03</v>
          </cell>
          <cell r="C167" t="str">
            <v>LaSalle</v>
          </cell>
          <cell r="D167">
            <v>4065</v>
          </cell>
          <cell r="E167">
            <v>1390</v>
          </cell>
          <cell r="F167">
            <v>1960</v>
          </cell>
          <cell r="G167">
            <v>115</v>
          </cell>
          <cell r="H167">
            <v>350</v>
          </cell>
          <cell r="I167">
            <v>250</v>
          </cell>
          <cell r="J167">
            <v>4065</v>
          </cell>
          <cell r="K167">
            <v>3745</v>
          </cell>
          <cell r="L167">
            <v>320</v>
          </cell>
          <cell r="M167">
            <v>1405</v>
          </cell>
          <cell r="N167">
            <v>610</v>
          </cell>
          <cell r="O167">
            <v>400</v>
          </cell>
          <cell r="P167">
            <v>290</v>
          </cell>
          <cell r="Q167">
            <v>105</v>
          </cell>
          <cell r="R167">
            <v>1405</v>
          </cell>
          <cell r="S167">
            <v>1110</v>
          </cell>
          <cell r="T167">
            <v>950</v>
          </cell>
          <cell r="U167">
            <v>335</v>
          </cell>
          <cell r="V167">
            <v>615</v>
          </cell>
          <cell r="W167">
            <v>275</v>
          </cell>
          <cell r="X167">
            <v>240</v>
          </cell>
          <cell r="Y167">
            <v>95</v>
          </cell>
          <cell r="Z167">
            <v>160</v>
          </cell>
          <cell r="AA167">
            <v>80</v>
          </cell>
          <cell r="AB167">
            <v>80</v>
          </cell>
          <cell r="AC167">
            <v>35</v>
          </cell>
          <cell r="AD167">
            <v>40</v>
          </cell>
          <cell r="AE167">
            <v>10</v>
          </cell>
          <cell r="AF167">
            <v>295</v>
          </cell>
          <cell r="AG167">
            <v>255</v>
          </cell>
          <cell r="AH167">
            <v>165</v>
          </cell>
          <cell r="AI167">
            <v>75</v>
          </cell>
          <cell r="AJ167">
            <v>10</v>
          </cell>
          <cell r="AK167">
            <v>40</v>
          </cell>
          <cell r="AL167">
            <v>25</v>
          </cell>
          <cell r="AM167">
            <v>15</v>
          </cell>
          <cell r="AN167">
            <v>0</v>
          </cell>
          <cell r="AO167">
            <v>1630</v>
          </cell>
          <cell r="AP167">
            <v>345</v>
          </cell>
          <cell r="AQ167">
            <v>540</v>
          </cell>
          <cell r="AR167">
            <v>145</v>
          </cell>
          <cell r="AS167">
            <v>300</v>
          </cell>
          <cell r="AT167">
            <v>300</v>
          </cell>
          <cell r="AU167">
            <v>1.2</v>
          </cell>
          <cell r="AV167">
            <v>4935</v>
          </cell>
          <cell r="AW167">
            <v>790</v>
          </cell>
          <cell r="AX167">
            <v>140</v>
          </cell>
          <cell r="AY167">
            <v>125</v>
          </cell>
          <cell r="AZ167">
            <v>525</v>
          </cell>
          <cell r="BA167">
            <v>4145</v>
          </cell>
          <cell r="BB167">
            <v>3</v>
          </cell>
          <cell r="BC167">
            <v>740</v>
          </cell>
          <cell r="BD167">
            <v>245</v>
          </cell>
          <cell r="BE167">
            <v>55</v>
          </cell>
          <cell r="BF167">
            <v>0</v>
          </cell>
          <cell r="BG167">
            <v>190</v>
          </cell>
          <cell r="BH167">
            <v>495</v>
          </cell>
          <cell r="BI167">
            <v>1930</v>
          </cell>
          <cell r="BJ167">
            <v>5.2</v>
          </cell>
          <cell r="BK167">
            <v>10036</v>
          </cell>
          <cell r="BL167">
            <v>2.4</v>
          </cell>
          <cell r="BM167">
            <v>4632</v>
          </cell>
          <cell r="BN167">
            <v>1930</v>
          </cell>
          <cell r="BO167">
            <v>810</v>
          </cell>
          <cell r="BP167">
            <v>1120</v>
          </cell>
          <cell r="BQ167">
            <v>0</v>
          </cell>
          <cell r="BR167">
            <v>1930</v>
          </cell>
          <cell r="BS167">
            <v>1240</v>
          </cell>
          <cell r="BT167">
            <v>580</v>
          </cell>
          <cell r="BU167">
            <v>110</v>
          </cell>
          <cell r="BV167">
            <v>1930</v>
          </cell>
          <cell r="BW167">
            <v>10</v>
          </cell>
          <cell r="BX167">
            <v>210</v>
          </cell>
          <cell r="BY167">
            <v>1035</v>
          </cell>
          <cell r="BZ167">
            <v>430</v>
          </cell>
          <cell r="CA167">
            <v>25</v>
          </cell>
          <cell r="CB167">
            <v>50</v>
          </cell>
          <cell r="CC167">
            <v>110</v>
          </cell>
          <cell r="CD167">
            <v>50</v>
          </cell>
          <cell r="CE167">
            <v>10</v>
          </cell>
          <cell r="CF167">
            <v>1930</v>
          </cell>
          <cell r="CG167">
            <v>0</v>
          </cell>
          <cell r="CH167">
            <v>120</v>
          </cell>
          <cell r="CI167">
            <v>50</v>
          </cell>
          <cell r="CJ167">
            <v>1470</v>
          </cell>
          <cell r="CK167">
            <v>5</v>
          </cell>
          <cell r="CL167">
            <v>285</v>
          </cell>
          <cell r="CM167">
            <v>0</v>
          </cell>
          <cell r="CN167">
            <v>0</v>
          </cell>
          <cell r="CO167">
            <v>1930</v>
          </cell>
          <cell r="CP167">
            <v>525</v>
          </cell>
          <cell r="CQ167">
            <v>550</v>
          </cell>
          <cell r="CR167">
            <v>390</v>
          </cell>
          <cell r="CS167">
            <v>400</v>
          </cell>
          <cell r="CT167">
            <v>65</v>
          </cell>
          <cell r="CU167">
            <v>4935</v>
          </cell>
          <cell r="CV167">
            <v>2.6</v>
          </cell>
          <cell r="CW167">
            <v>1930</v>
          </cell>
          <cell r="CX167">
            <v>1305</v>
          </cell>
          <cell r="CY167">
            <v>50</v>
          </cell>
          <cell r="CZ167">
            <v>575</v>
          </cell>
        </row>
        <row r="168">
          <cell r="A168" t="str">
            <v>4620327.00</v>
          </cell>
          <cell r="B168" t="str">
            <v>0327.00</v>
          </cell>
          <cell r="C168" t="str">
            <v>LaSalle</v>
          </cell>
          <cell r="D168">
            <v>4000</v>
          </cell>
          <cell r="E168">
            <v>1765</v>
          </cell>
          <cell r="F168">
            <v>1420</v>
          </cell>
          <cell r="G168">
            <v>145</v>
          </cell>
          <cell r="H168">
            <v>440</v>
          </cell>
          <cell r="I168">
            <v>230</v>
          </cell>
          <cell r="J168">
            <v>4005</v>
          </cell>
          <cell r="K168">
            <v>3430</v>
          </cell>
          <cell r="L168">
            <v>570</v>
          </cell>
          <cell r="M168">
            <v>1335</v>
          </cell>
          <cell r="N168">
            <v>670</v>
          </cell>
          <cell r="O168">
            <v>350</v>
          </cell>
          <cell r="P168">
            <v>215</v>
          </cell>
          <cell r="Q168">
            <v>95</v>
          </cell>
          <cell r="R168">
            <v>1340</v>
          </cell>
          <cell r="S168">
            <v>980</v>
          </cell>
          <cell r="T168">
            <v>690</v>
          </cell>
          <cell r="U168">
            <v>275</v>
          </cell>
          <cell r="V168">
            <v>420</v>
          </cell>
          <cell r="W168">
            <v>200</v>
          </cell>
          <cell r="X168">
            <v>140</v>
          </cell>
          <cell r="Y168">
            <v>75</v>
          </cell>
          <cell r="Z168">
            <v>290</v>
          </cell>
          <cell r="AA168">
            <v>140</v>
          </cell>
          <cell r="AB168">
            <v>155</v>
          </cell>
          <cell r="AC168">
            <v>70</v>
          </cell>
          <cell r="AD168">
            <v>65</v>
          </cell>
          <cell r="AE168">
            <v>15</v>
          </cell>
          <cell r="AF168">
            <v>355</v>
          </cell>
          <cell r="AG168">
            <v>275</v>
          </cell>
          <cell r="AH168">
            <v>190</v>
          </cell>
          <cell r="AI168">
            <v>70</v>
          </cell>
          <cell r="AJ168">
            <v>15</v>
          </cell>
          <cell r="AK168">
            <v>75</v>
          </cell>
          <cell r="AL168">
            <v>65</v>
          </cell>
          <cell r="AM168">
            <v>10</v>
          </cell>
          <cell r="AN168">
            <v>0</v>
          </cell>
          <cell r="AO168">
            <v>1475</v>
          </cell>
          <cell r="AP168">
            <v>305</v>
          </cell>
          <cell r="AQ168">
            <v>510</v>
          </cell>
          <cell r="AR168">
            <v>190</v>
          </cell>
          <cell r="AS168">
            <v>280</v>
          </cell>
          <cell r="AT168">
            <v>185</v>
          </cell>
          <cell r="AU168">
            <v>1.1000000000000001</v>
          </cell>
          <cell r="AV168">
            <v>4800</v>
          </cell>
          <cell r="AW168">
            <v>1010</v>
          </cell>
          <cell r="AX168">
            <v>90</v>
          </cell>
          <cell r="AY168">
            <v>190</v>
          </cell>
          <cell r="AZ168">
            <v>725</v>
          </cell>
          <cell r="BA168">
            <v>3795</v>
          </cell>
          <cell r="BB168">
            <v>2.8</v>
          </cell>
          <cell r="BC168">
            <v>635</v>
          </cell>
          <cell r="BD168">
            <v>255</v>
          </cell>
          <cell r="BE168">
            <v>25</v>
          </cell>
          <cell r="BF168">
            <v>20</v>
          </cell>
          <cell r="BG168">
            <v>210</v>
          </cell>
          <cell r="BH168">
            <v>375</v>
          </cell>
          <cell r="BI168">
            <v>2105</v>
          </cell>
          <cell r="BJ168">
            <v>4.9000000000000004</v>
          </cell>
          <cell r="BK168">
            <v>10314.5</v>
          </cell>
          <cell r="BL168">
            <v>2.2000000000000002</v>
          </cell>
          <cell r="BM168">
            <v>4631</v>
          </cell>
          <cell r="BN168">
            <v>2105</v>
          </cell>
          <cell r="BO168">
            <v>745</v>
          </cell>
          <cell r="BP168">
            <v>1360</v>
          </cell>
          <cell r="BQ168">
            <v>0</v>
          </cell>
          <cell r="BR168">
            <v>2105</v>
          </cell>
          <cell r="BS168">
            <v>1285</v>
          </cell>
          <cell r="BT168">
            <v>640</v>
          </cell>
          <cell r="BU168">
            <v>175</v>
          </cell>
          <cell r="BV168">
            <v>2105</v>
          </cell>
          <cell r="BW168">
            <v>130</v>
          </cell>
          <cell r="BX168">
            <v>610</v>
          </cell>
          <cell r="BY168">
            <v>720</v>
          </cell>
          <cell r="BZ168">
            <v>375</v>
          </cell>
          <cell r="CA168">
            <v>125</v>
          </cell>
          <cell r="CB168">
            <v>80</v>
          </cell>
          <cell r="CC168">
            <v>10</v>
          </cell>
          <cell r="CD168">
            <v>25</v>
          </cell>
          <cell r="CE168">
            <v>30</v>
          </cell>
          <cell r="CF168">
            <v>2105</v>
          </cell>
          <cell r="CG168">
            <v>90</v>
          </cell>
          <cell r="CH168">
            <v>50</v>
          </cell>
          <cell r="CI168">
            <v>45</v>
          </cell>
          <cell r="CJ168">
            <v>1640</v>
          </cell>
          <cell r="CK168">
            <v>0</v>
          </cell>
          <cell r="CL168">
            <v>275</v>
          </cell>
          <cell r="CM168">
            <v>0</v>
          </cell>
          <cell r="CN168">
            <v>0</v>
          </cell>
          <cell r="CO168">
            <v>2100</v>
          </cell>
          <cell r="CP168">
            <v>725</v>
          </cell>
          <cell r="CQ168">
            <v>630</v>
          </cell>
          <cell r="CR168">
            <v>365</v>
          </cell>
          <cell r="CS168">
            <v>340</v>
          </cell>
          <cell r="CT168">
            <v>45</v>
          </cell>
          <cell r="CU168">
            <v>4800</v>
          </cell>
          <cell r="CV168">
            <v>2.2999999999999998</v>
          </cell>
          <cell r="CW168">
            <v>2105</v>
          </cell>
          <cell r="CX168">
            <v>1245</v>
          </cell>
          <cell r="CY168">
            <v>45</v>
          </cell>
          <cell r="CZ168">
            <v>810</v>
          </cell>
        </row>
        <row r="169">
          <cell r="A169" t="str">
            <v>4620328.00</v>
          </cell>
          <cell r="B169" t="str">
            <v>0328.00</v>
          </cell>
          <cell r="C169" t="str">
            <v>LaSalle</v>
          </cell>
          <cell r="D169">
            <v>1530</v>
          </cell>
          <cell r="E169">
            <v>600</v>
          </cell>
          <cell r="F169">
            <v>560</v>
          </cell>
          <cell r="G169">
            <v>75</v>
          </cell>
          <cell r="H169">
            <v>205</v>
          </cell>
          <cell r="I169">
            <v>95</v>
          </cell>
          <cell r="J169">
            <v>1530</v>
          </cell>
          <cell r="K169">
            <v>1430</v>
          </cell>
          <cell r="L169">
            <v>105</v>
          </cell>
          <cell r="M169">
            <v>510</v>
          </cell>
          <cell r="N169">
            <v>215</v>
          </cell>
          <cell r="O169">
            <v>115</v>
          </cell>
          <cell r="P169">
            <v>115</v>
          </cell>
          <cell r="Q169">
            <v>55</v>
          </cell>
          <cell r="R169">
            <v>510</v>
          </cell>
          <cell r="S169">
            <v>295</v>
          </cell>
          <cell r="T169">
            <v>255</v>
          </cell>
          <cell r="U169">
            <v>75</v>
          </cell>
          <cell r="V169">
            <v>185</v>
          </cell>
          <cell r="W169">
            <v>40</v>
          </cell>
          <cell r="X169">
            <v>90</v>
          </cell>
          <cell r="Y169">
            <v>55</v>
          </cell>
          <cell r="Z169">
            <v>40</v>
          </cell>
          <cell r="AA169">
            <v>20</v>
          </cell>
          <cell r="AB169">
            <v>20</v>
          </cell>
          <cell r="AC169">
            <v>15</v>
          </cell>
          <cell r="AD169">
            <v>10</v>
          </cell>
          <cell r="AE169">
            <v>0</v>
          </cell>
          <cell r="AF169">
            <v>215</v>
          </cell>
          <cell r="AG169">
            <v>195</v>
          </cell>
          <cell r="AH169">
            <v>110</v>
          </cell>
          <cell r="AI169">
            <v>60</v>
          </cell>
          <cell r="AJ169">
            <v>25</v>
          </cell>
          <cell r="AK169">
            <v>20</v>
          </cell>
          <cell r="AL169">
            <v>15</v>
          </cell>
          <cell r="AM169">
            <v>0</v>
          </cell>
          <cell r="AN169">
            <v>0</v>
          </cell>
          <cell r="AO169">
            <v>775</v>
          </cell>
          <cell r="AP169">
            <v>170</v>
          </cell>
          <cell r="AQ169">
            <v>290</v>
          </cell>
          <cell r="AR169">
            <v>55</v>
          </cell>
          <cell r="AS169">
            <v>185</v>
          </cell>
          <cell r="AT169">
            <v>75</v>
          </cell>
          <cell r="AU169">
            <v>1.5</v>
          </cell>
          <cell r="AV169">
            <v>1970</v>
          </cell>
          <cell r="AW169">
            <v>385</v>
          </cell>
          <cell r="AX169">
            <v>15</v>
          </cell>
          <cell r="AY169">
            <v>75</v>
          </cell>
          <cell r="AZ169">
            <v>295</v>
          </cell>
          <cell r="BA169">
            <v>1580</v>
          </cell>
          <cell r="BB169">
            <v>3.1</v>
          </cell>
          <cell r="BC169">
            <v>200</v>
          </cell>
          <cell r="BD169">
            <v>105</v>
          </cell>
          <cell r="BE169">
            <v>20</v>
          </cell>
          <cell r="BF169">
            <v>10</v>
          </cell>
          <cell r="BG169">
            <v>80</v>
          </cell>
          <cell r="BH169">
            <v>100</v>
          </cell>
          <cell r="BI169">
            <v>835</v>
          </cell>
          <cell r="BJ169">
            <v>4.5</v>
          </cell>
          <cell r="BK169">
            <v>3757.5</v>
          </cell>
          <cell r="BL169">
            <v>2.2999999999999998</v>
          </cell>
          <cell r="BM169">
            <v>1920.4999999999998</v>
          </cell>
          <cell r="BN169">
            <v>835</v>
          </cell>
          <cell r="BO169">
            <v>15</v>
          </cell>
          <cell r="BP169">
            <v>820</v>
          </cell>
          <cell r="BQ169">
            <v>0</v>
          </cell>
          <cell r="BR169">
            <v>835</v>
          </cell>
          <cell r="BS169">
            <v>540</v>
          </cell>
          <cell r="BT169">
            <v>215</v>
          </cell>
          <cell r="BU169">
            <v>75</v>
          </cell>
          <cell r="BV169">
            <v>835</v>
          </cell>
          <cell r="BW169">
            <v>50</v>
          </cell>
          <cell r="BX169">
            <v>420</v>
          </cell>
          <cell r="BY169">
            <v>165</v>
          </cell>
          <cell r="BZ169">
            <v>60</v>
          </cell>
          <cell r="CA169">
            <v>25</v>
          </cell>
          <cell r="CB169">
            <v>45</v>
          </cell>
          <cell r="CC169">
            <v>40</v>
          </cell>
          <cell r="CD169">
            <v>10</v>
          </cell>
          <cell r="CE169">
            <v>25</v>
          </cell>
          <cell r="CF169">
            <v>835</v>
          </cell>
          <cell r="CG169">
            <v>0</v>
          </cell>
          <cell r="CH169">
            <v>0</v>
          </cell>
          <cell r="CI169">
            <v>45</v>
          </cell>
          <cell r="CJ169">
            <v>10</v>
          </cell>
          <cell r="CK169">
            <v>0</v>
          </cell>
          <cell r="CL169">
            <v>780</v>
          </cell>
          <cell r="CM169">
            <v>0</v>
          </cell>
          <cell r="CN169">
            <v>0</v>
          </cell>
          <cell r="CO169">
            <v>835</v>
          </cell>
          <cell r="CP169">
            <v>290</v>
          </cell>
          <cell r="CQ169">
            <v>235</v>
          </cell>
          <cell r="CR169">
            <v>130</v>
          </cell>
          <cell r="CS169">
            <v>155</v>
          </cell>
          <cell r="CT169">
            <v>25</v>
          </cell>
          <cell r="CU169">
            <v>1970</v>
          </cell>
          <cell r="CV169">
            <v>2.4</v>
          </cell>
          <cell r="CW169">
            <v>835</v>
          </cell>
          <cell r="CX169">
            <v>500</v>
          </cell>
          <cell r="CY169">
            <v>10</v>
          </cell>
          <cell r="CZ169">
            <v>325</v>
          </cell>
        </row>
        <row r="170">
          <cell r="A170" t="str">
            <v>4620329.00</v>
          </cell>
          <cell r="B170" t="str">
            <v>0329.00</v>
          </cell>
          <cell r="C170" t="str">
            <v>LaSalle</v>
          </cell>
          <cell r="D170">
            <v>3065</v>
          </cell>
          <cell r="E170">
            <v>1310</v>
          </cell>
          <cell r="F170">
            <v>1130</v>
          </cell>
          <cell r="G170">
            <v>85</v>
          </cell>
          <cell r="H170">
            <v>400</v>
          </cell>
          <cell r="I170">
            <v>135</v>
          </cell>
          <cell r="J170">
            <v>3065</v>
          </cell>
          <cell r="K170">
            <v>2615</v>
          </cell>
          <cell r="L170">
            <v>450</v>
          </cell>
          <cell r="M170">
            <v>1010</v>
          </cell>
          <cell r="N170">
            <v>520</v>
          </cell>
          <cell r="O170">
            <v>240</v>
          </cell>
          <cell r="P170">
            <v>165</v>
          </cell>
          <cell r="Q170">
            <v>85</v>
          </cell>
          <cell r="R170">
            <v>1015</v>
          </cell>
          <cell r="S170">
            <v>770</v>
          </cell>
          <cell r="T170">
            <v>550</v>
          </cell>
          <cell r="U170">
            <v>230</v>
          </cell>
          <cell r="V170">
            <v>320</v>
          </cell>
          <cell r="W170">
            <v>125</v>
          </cell>
          <cell r="X170">
            <v>125</v>
          </cell>
          <cell r="Y170">
            <v>65</v>
          </cell>
          <cell r="Z170">
            <v>220</v>
          </cell>
          <cell r="AA170">
            <v>160</v>
          </cell>
          <cell r="AB170">
            <v>65</v>
          </cell>
          <cell r="AC170">
            <v>40</v>
          </cell>
          <cell r="AD170">
            <v>20</v>
          </cell>
          <cell r="AE170">
            <v>10</v>
          </cell>
          <cell r="AF170">
            <v>240</v>
          </cell>
          <cell r="AG170">
            <v>200</v>
          </cell>
          <cell r="AH170">
            <v>110</v>
          </cell>
          <cell r="AI170">
            <v>60</v>
          </cell>
          <cell r="AJ170">
            <v>30</v>
          </cell>
          <cell r="AK170">
            <v>45</v>
          </cell>
          <cell r="AL170">
            <v>30</v>
          </cell>
          <cell r="AM170">
            <v>10</v>
          </cell>
          <cell r="AN170">
            <v>0</v>
          </cell>
          <cell r="AO170">
            <v>1090</v>
          </cell>
          <cell r="AP170">
            <v>260</v>
          </cell>
          <cell r="AQ170">
            <v>415</v>
          </cell>
          <cell r="AR170">
            <v>115</v>
          </cell>
          <cell r="AS170">
            <v>200</v>
          </cell>
          <cell r="AT170">
            <v>100</v>
          </cell>
          <cell r="AU170">
            <v>1.1000000000000001</v>
          </cell>
          <cell r="AV170">
            <v>3735</v>
          </cell>
          <cell r="AW170">
            <v>865</v>
          </cell>
          <cell r="AX170">
            <v>110</v>
          </cell>
          <cell r="AY170">
            <v>105</v>
          </cell>
          <cell r="AZ170">
            <v>650</v>
          </cell>
          <cell r="BA170">
            <v>2870</v>
          </cell>
          <cell r="BB170">
            <v>2.8</v>
          </cell>
          <cell r="BC170">
            <v>440</v>
          </cell>
          <cell r="BD170">
            <v>175</v>
          </cell>
          <cell r="BE170">
            <v>45</v>
          </cell>
          <cell r="BF170">
            <v>0</v>
          </cell>
          <cell r="BG170">
            <v>130</v>
          </cell>
          <cell r="BH170">
            <v>260</v>
          </cell>
          <cell r="BI170">
            <v>1720</v>
          </cell>
          <cell r="BJ170">
            <v>4.8</v>
          </cell>
          <cell r="BK170">
            <v>8256</v>
          </cell>
          <cell r="BL170">
            <v>2.2000000000000002</v>
          </cell>
          <cell r="BM170">
            <v>3784.0000000000005</v>
          </cell>
          <cell r="BN170">
            <v>1720</v>
          </cell>
          <cell r="BO170">
            <v>600</v>
          </cell>
          <cell r="BP170">
            <v>1125</v>
          </cell>
          <cell r="BQ170">
            <v>0</v>
          </cell>
          <cell r="BR170">
            <v>1720</v>
          </cell>
          <cell r="BS170">
            <v>1000</v>
          </cell>
          <cell r="BT170">
            <v>550</v>
          </cell>
          <cell r="BU170">
            <v>170</v>
          </cell>
          <cell r="BV170">
            <v>1720</v>
          </cell>
          <cell r="BW170">
            <v>135</v>
          </cell>
          <cell r="BX170">
            <v>335</v>
          </cell>
          <cell r="BY170">
            <v>685</v>
          </cell>
          <cell r="BZ170">
            <v>225</v>
          </cell>
          <cell r="CA170">
            <v>120</v>
          </cell>
          <cell r="CB170">
            <v>35</v>
          </cell>
          <cell r="CC170">
            <v>25</v>
          </cell>
          <cell r="CD170">
            <v>70</v>
          </cell>
          <cell r="CE170">
            <v>85</v>
          </cell>
          <cell r="CF170">
            <v>1725</v>
          </cell>
          <cell r="CG170">
            <v>125</v>
          </cell>
          <cell r="CH170">
            <v>60</v>
          </cell>
          <cell r="CI170">
            <v>50</v>
          </cell>
          <cell r="CJ170">
            <v>575</v>
          </cell>
          <cell r="CK170">
            <v>0</v>
          </cell>
          <cell r="CL170">
            <v>905</v>
          </cell>
          <cell r="CM170">
            <v>0</v>
          </cell>
          <cell r="CN170">
            <v>0</v>
          </cell>
          <cell r="CO170">
            <v>1720</v>
          </cell>
          <cell r="CP170">
            <v>655</v>
          </cell>
          <cell r="CQ170">
            <v>545</v>
          </cell>
          <cell r="CR170">
            <v>240</v>
          </cell>
          <cell r="CS170">
            <v>260</v>
          </cell>
          <cell r="CT170">
            <v>25</v>
          </cell>
          <cell r="CU170">
            <v>3740</v>
          </cell>
          <cell r="CV170">
            <v>2.2000000000000002</v>
          </cell>
          <cell r="CW170">
            <v>1720</v>
          </cell>
          <cell r="CX170">
            <v>980</v>
          </cell>
          <cell r="CY170">
            <v>15</v>
          </cell>
          <cell r="CZ170">
            <v>725</v>
          </cell>
        </row>
        <row r="171">
          <cell r="C171" t="str">
            <v>LaSalle</v>
          </cell>
          <cell r="D171">
            <v>63385</v>
          </cell>
          <cell r="E171">
            <v>23960</v>
          </cell>
          <cell r="F171">
            <v>26055</v>
          </cell>
          <cell r="G171">
            <v>1780</v>
          </cell>
          <cell r="H171">
            <v>6655</v>
          </cell>
          <cell r="I171">
            <v>4960</v>
          </cell>
          <cell r="J171">
            <v>63405</v>
          </cell>
          <cell r="K171">
            <v>56290</v>
          </cell>
          <cell r="L171">
            <v>7120</v>
          </cell>
          <cell r="M171">
            <v>20785</v>
          </cell>
          <cell r="N171">
            <v>10670</v>
          </cell>
          <cell r="O171">
            <v>5010</v>
          </cell>
          <cell r="P171">
            <v>3755</v>
          </cell>
          <cell r="Q171">
            <v>1330</v>
          </cell>
          <cell r="R171">
            <v>20790</v>
          </cell>
          <cell r="S171">
            <v>16230</v>
          </cell>
          <cell r="T171">
            <v>12680</v>
          </cell>
          <cell r="U171">
            <v>5555</v>
          </cell>
          <cell r="V171">
            <v>7120</v>
          </cell>
          <cell r="W171">
            <v>3085</v>
          </cell>
          <cell r="X171">
            <v>2885</v>
          </cell>
          <cell r="Y171">
            <v>1130</v>
          </cell>
          <cell r="Z171">
            <v>3545</v>
          </cell>
          <cell r="AA171">
            <v>2085</v>
          </cell>
          <cell r="AB171">
            <v>1460</v>
          </cell>
          <cell r="AC171">
            <v>745</v>
          </cell>
          <cell r="AD171">
            <v>590</v>
          </cell>
          <cell r="AE171">
            <v>135</v>
          </cell>
          <cell r="AF171">
            <v>4550</v>
          </cell>
          <cell r="AG171">
            <v>3805</v>
          </cell>
          <cell r="AH171">
            <v>2445</v>
          </cell>
          <cell r="AI171">
            <v>1045</v>
          </cell>
          <cell r="AJ171">
            <v>295</v>
          </cell>
          <cell r="AK171">
            <v>735</v>
          </cell>
          <cell r="AL171">
            <v>580</v>
          </cell>
          <cell r="AM171">
            <v>120</v>
          </cell>
          <cell r="AN171">
            <v>40</v>
          </cell>
          <cell r="AO171">
            <v>21445</v>
          </cell>
          <cell r="AP171">
            <v>4275</v>
          </cell>
          <cell r="AQ171">
            <v>7080</v>
          </cell>
          <cell r="AR171">
            <v>2260</v>
          </cell>
          <cell r="AS171">
            <v>4470</v>
          </cell>
          <cell r="AT171">
            <v>3350</v>
          </cell>
          <cell r="AU171">
            <v>1.0315055315055315</v>
          </cell>
          <cell r="AV171">
            <v>73860</v>
          </cell>
          <cell r="AW171">
            <v>15370</v>
          </cell>
          <cell r="AX171">
            <v>1545</v>
          </cell>
          <cell r="AY171">
            <v>2100</v>
          </cell>
          <cell r="AZ171">
            <v>11700</v>
          </cell>
          <cell r="BA171">
            <v>58480</v>
          </cell>
          <cell r="BB171">
            <v>2.8128908128908128</v>
          </cell>
          <cell r="BC171">
            <v>12780</v>
          </cell>
          <cell r="BD171">
            <v>5070</v>
          </cell>
          <cell r="BE171">
            <v>635</v>
          </cell>
          <cell r="BF171">
            <v>260</v>
          </cell>
          <cell r="BG171">
            <v>4185</v>
          </cell>
          <cell r="BH171">
            <v>7700</v>
          </cell>
          <cell r="BI171">
            <v>33230</v>
          </cell>
          <cell r="BJ171">
            <v>4.9116761962082451</v>
          </cell>
          <cell r="BK171">
            <v>163215</v>
          </cell>
          <cell r="BL171">
            <v>2.2351489617815226</v>
          </cell>
          <cell r="BM171">
            <v>74274</v>
          </cell>
          <cell r="BN171">
            <v>33230</v>
          </cell>
          <cell r="BO171">
            <v>13235</v>
          </cell>
          <cell r="BP171">
            <v>19980</v>
          </cell>
          <cell r="BQ171">
            <v>0</v>
          </cell>
          <cell r="BR171">
            <v>33225</v>
          </cell>
          <cell r="BS171">
            <v>20685</v>
          </cell>
          <cell r="BT171">
            <v>9845</v>
          </cell>
          <cell r="BU171">
            <v>2675</v>
          </cell>
          <cell r="BV171">
            <v>33220</v>
          </cell>
          <cell r="BW171">
            <v>1490</v>
          </cell>
          <cell r="BX171">
            <v>7530</v>
          </cell>
          <cell r="BY171">
            <v>11120</v>
          </cell>
          <cell r="BZ171">
            <v>6255</v>
          </cell>
          <cell r="CA171">
            <v>2160</v>
          </cell>
          <cell r="CB171">
            <v>1185</v>
          </cell>
          <cell r="CC171">
            <v>880</v>
          </cell>
          <cell r="CD171">
            <v>1230</v>
          </cell>
          <cell r="CE171">
            <v>1325</v>
          </cell>
          <cell r="CF171">
            <v>33230</v>
          </cell>
          <cell r="CG171">
            <v>1175</v>
          </cell>
          <cell r="CH171">
            <v>1505</v>
          </cell>
          <cell r="CI171">
            <v>670</v>
          </cell>
          <cell r="CJ171">
            <v>19605</v>
          </cell>
          <cell r="CK171">
            <v>920</v>
          </cell>
          <cell r="CL171">
            <v>9330</v>
          </cell>
          <cell r="CM171">
            <v>10</v>
          </cell>
          <cell r="CN171">
            <v>0</v>
          </cell>
          <cell r="CO171">
            <v>33220</v>
          </cell>
          <cell r="CP171">
            <v>11685</v>
          </cell>
          <cell r="CQ171">
            <v>10705</v>
          </cell>
          <cell r="CR171">
            <v>5165</v>
          </cell>
          <cell r="CS171">
            <v>5165</v>
          </cell>
          <cell r="CT171">
            <v>525</v>
          </cell>
          <cell r="CU171">
            <v>73850</v>
          </cell>
          <cell r="CV171">
            <v>2.2230583985550871</v>
          </cell>
          <cell r="CW171">
            <v>33230</v>
          </cell>
          <cell r="CX171">
            <v>19995</v>
          </cell>
          <cell r="CY171">
            <v>375</v>
          </cell>
          <cell r="CZ171">
            <v>12820</v>
          </cell>
        </row>
        <row r="174">
          <cell r="A174" t="str">
            <v>4620540.00</v>
          </cell>
          <cell r="B174" t="str">
            <v>0540.00</v>
          </cell>
          <cell r="C174" t="str">
            <v>L'Île-Bizard-Sainte-Geneviève</v>
          </cell>
          <cell r="D174">
            <v>2770</v>
          </cell>
          <cell r="E174">
            <v>1260</v>
          </cell>
          <cell r="F174">
            <v>790</v>
          </cell>
          <cell r="G174">
            <v>90</v>
          </cell>
          <cell r="H174">
            <v>340</v>
          </cell>
          <cell r="I174">
            <v>285</v>
          </cell>
          <cell r="J174">
            <v>2770</v>
          </cell>
          <cell r="K174">
            <v>2360</v>
          </cell>
          <cell r="L174">
            <v>410</v>
          </cell>
          <cell r="M174">
            <v>745</v>
          </cell>
          <cell r="N174">
            <v>350</v>
          </cell>
          <cell r="O174">
            <v>215</v>
          </cell>
          <cell r="P174">
            <v>105</v>
          </cell>
          <cell r="Q174">
            <v>70</v>
          </cell>
          <cell r="R174">
            <v>745</v>
          </cell>
          <cell r="S174">
            <v>575</v>
          </cell>
          <cell r="T174">
            <v>375</v>
          </cell>
          <cell r="U174">
            <v>135</v>
          </cell>
          <cell r="V174">
            <v>245</v>
          </cell>
          <cell r="W174">
            <v>115</v>
          </cell>
          <cell r="X174">
            <v>65</v>
          </cell>
          <cell r="Y174">
            <v>60</v>
          </cell>
          <cell r="Z174">
            <v>200</v>
          </cell>
          <cell r="AA174">
            <v>120</v>
          </cell>
          <cell r="AB174">
            <v>80</v>
          </cell>
          <cell r="AC174">
            <v>45</v>
          </cell>
          <cell r="AD174">
            <v>20</v>
          </cell>
          <cell r="AE174">
            <v>10</v>
          </cell>
          <cell r="AF174">
            <v>165</v>
          </cell>
          <cell r="AG174">
            <v>155</v>
          </cell>
          <cell r="AH174">
            <v>90</v>
          </cell>
          <cell r="AI174">
            <v>50</v>
          </cell>
          <cell r="AJ174">
            <v>15</v>
          </cell>
          <cell r="AK174">
            <v>10</v>
          </cell>
          <cell r="AL174">
            <v>10</v>
          </cell>
          <cell r="AM174">
            <v>0</v>
          </cell>
          <cell r="AN174">
            <v>0</v>
          </cell>
          <cell r="AO174">
            <v>815</v>
          </cell>
          <cell r="AP174">
            <v>170</v>
          </cell>
          <cell r="AQ174">
            <v>300</v>
          </cell>
          <cell r="AR174">
            <v>110</v>
          </cell>
          <cell r="AS174">
            <v>160</v>
          </cell>
          <cell r="AT174">
            <v>75</v>
          </cell>
          <cell r="AU174">
            <v>1.1000000000000001</v>
          </cell>
          <cell r="AV174">
            <v>3105</v>
          </cell>
          <cell r="AW174">
            <v>970</v>
          </cell>
          <cell r="AX174">
            <v>155</v>
          </cell>
          <cell r="AY174">
            <v>130</v>
          </cell>
          <cell r="AZ174">
            <v>675</v>
          </cell>
          <cell r="BA174">
            <v>2135</v>
          </cell>
          <cell r="BB174">
            <v>2.9</v>
          </cell>
          <cell r="BC174">
            <v>435</v>
          </cell>
          <cell r="BD174">
            <v>260</v>
          </cell>
          <cell r="BE174">
            <v>50</v>
          </cell>
          <cell r="BF174">
            <v>10</v>
          </cell>
          <cell r="BG174">
            <v>200</v>
          </cell>
          <cell r="BH174">
            <v>170</v>
          </cell>
          <cell r="BI174">
            <v>1540</v>
          </cell>
          <cell r="BJ174">
            <v>4.7</v>
          </cell>
          <cell r="BK174">
            <v>7238</v>
          </cell>
          <cell r="BL174">
            <v>2</v>
          </cell>
          <cell r="BM174">
            <v>3080</v>
          </cell>
          <cell r="BN174">
            <v>1540</v>
          </cell>
          <cell r="BO174">
            <v>605</v>
          </cell>
          <cell r="BP174">
            <v>935</v>
          </cell>
          <cell r="BQ174">
            <v>0</v>
          </cell>
          <cell r="BR174">
            <v>1540</v>
          </cell>
          <cell r="BS174">
            <v>935</v>
          </cell>
          <cell r="BT174">
            <v>425</v>
          </cell>
          <cell r="BU174">
            <v>180</v>
          </cell>
          <cell r="BV174">
            <v>1540</v>
          </cell>
          <cell r="BW174">
            <v>165</v>
          </cell>
          <cell r="BX174">
            <v>250</v>
          </cell>
          <cell r="BY174">
            <v>295</v>
          </cell>
          <cell r="BZ174">
            <v>210</v>
          </cell>
          <cell r="CA174">
            <v>125</v>
          </cell>
          <cell r="CB174">
            <v>200</v>
          </cell>
          <cell r="CC174">
            <v>120</v>
          </cell>
          <cell r="CD174">
            <v>65</v>
          </cell>
          <cell r="CE174">
            <v>105</v>
          </cell>
          <cell r="CF174">
            <v>1535</v>
          </cell>
          <cell r="CG174">
            <v>300</v>
          </cell>
          <cell r="CH174">
            <v>15</v>
          </cell>
          <cell r="CI174">
            <v>5</v>
          </cell>
          <cell r="CJ174">
            <v>90</v>
          </cell>
          <cell r="CK174">
            <v>0</v>
          </cell>
          <cell r="CL174">
            <v>1060</v>
          </cell>
          <cell r="CM174">
            <v>15</v>
          </cell>
          <cell r="CN174">
            <v>50</v>
          </cell>
          <cell r="CO174">
            <v>1540</v>
          </cell>
          <cell r="CP174">
            <v>685</v>
          </cell>
          <cell r="CQ174">
            <v>455</v>
          </cell>
          <cell r="CR174">
            <v>195</v>
          </cell>
          <cell r="CS174">
            <v>170</v>
          </cell>
          <cell r="CT174">
            <v>30</v>
          </cell>
          <cell r="CU174">
            <v>3125</v>
          </cell>
          <cell r="CV174">
            <v>2</v>
          </cell>
          <cell r="CW174">
            <v>1540</v>
          </cell>
          <cell r="CX174">
            <v>725</v>
          </cell>
          <cell r="CY174">
            <v>10</v>
          </cell>
          <cell r="CZ174">
            <v>810</v>
          </cell>
        </row>
        <row r="175">
          <cell r="A175" t="str">
            <v>4620550.02</v>
          </cell>
          <cell r="B175" t="str">
            <v>0550.02</v>
          </cell>
          <cell r="C175" t="str">
            <v>L'Île-Bizard-Sainte-Geneviève</v>
          </cell>
          <cell r="D175">
            <v>2315</v>
          </cell>
          <cell r="E175">
            <v>865</v>
          </cell>
          <cell r="F175">
            <v>1030</v>
          </cell>
          <cell r="G175">
            <v>50</v>
          </cell>
          <cell r="H175">
            <v>250</v>
          </cell>
          <cell r="I175">
            <v>120</v>
          </cell>
          <cell r="J175">
            <v>2315</v>
          </cell>
          <cell r="K175">
            <v>1940</v>
          </cell>
          <cell r="L175">
            <v>380</v>
          </cell>
          <cell r="M175">
            <v>820</v>
          </cell>
          <cell r="N175">
            <v>350</v>
          </cell>
          <cell r="O175">
            <v>235</v>
          </cell>
          <cell r="P175">
            <v>180</v>
          </cell>
          <cell r="Q175">
            <v>60</v>
          </cell>
          <cell r="R175">
            <v>820</v>
          </cell>
          <cell r="S175">
            <v>695</v>
          </cell>
          <cell r="T175">
            <v>500</v>
          </cell>
          <cell r="U175">
            <v>190</v>
          </cell>
          <cell r="V175">
            <v>310</v>
          </cell>
          <cell r="W175">
            <v>140</v>
          </cell>
          <cell r="X175">
            <v>130</v>
          </cell>
          <cell r="Y175">
            <v>40</v>
          </cell>
          <cell r="Z175">
            <v>195</v>
          </cell>
          <cell r="AA175">
            <v>95</v>
          </cell>
          <cell r="AB175">
            <v>95</v>
          </cell>
          <cell r="AC175">
            <v>30</v>
          </cell>
          <cell r="AD175">
            <v>50</v>
          </cell>
          <cell r="AE175">
            <v>20</v>
          </cell>
          <cell r="AF175">
            <v>125</v>
          </cell>
          <cell r="AG175">
            <v>80</v>
          </cell>
          <cell r="AH175">
            <v>60</v>
          </cell>
          <cell r="AI175">
            <v>20</v>
          </cell>
          <cell r="AJ175">
            <v>0</v>
          </cell>
          <cell r="AK175">
            <v>45</v>
          </cell>
          <cell r="AL175">
            <v>0</v>
          </cell>
          <cell r="AM175">
            <v>40</v>
          </cell>
          <cell r="AN175">
            <v>0</v>
          </cell>
          <cell r="AO175">
            <v>920</v>
          </cell>
          <cell r="AP175">
            <v>140</v>
          </cell>
          <cell r="AQ175">
            <v>365</v>
          </cell>
          <cell r="AR175">
            <v>130</v>
          </cell>
          <cell r="AS175">
            <v>200</v>
          </cell>
          <cell r="AT175">
            <v>80</v>
          </cell>
          <cell r="AU175">
            <v>1.1000000000000001</v>
          </cell>
          <cell r="AV175">
            <v>2800</v>
          </cell>
          <cell r="AW175">
            <v>360</v>
          </cell>
          <cell r="AX175">
            <v>70</v>
          </cell>
          <cell r="AY175">
            <v>60</v>
          </cell>
          <cell r="AZ175">
            <v>230</v>
          </cell>
          <cell r="BA175">
            <v>2435</v>
          </cell>
          <cell r="BB175">
            <v>3</v>
          </cell>
          <cell r="BC175">
            <v>335</v>
          </cell>
          <cell r="BD175">
            <v>115</v>
          </cell>
          <cell r="BE175">
            <v>35</v>
          </cell>
          <cell r="BF175">
            <v>10</v>
          </cell>
          <cell r="BG175">
            <v>70</v>
          </cell>
          <cell r="BH175">
            <v>220</v>
          </cell>
          <cell r="BI175">
            <v>1070</v>
          </cell>
          <cell r="BJ175">
            <v>7.2</v>
          </cell>
          <cell r="BK175">
            <v>7704</v>
          </cell>
          <cell r="BL175">
            <v>3</v>
          </cell>
          <cell r="BM175">
            <v>3210</v>
          </cell>
          <cell r="BN175">
            <v>1070</v>
          </cell>
          <cell r="BO175">
            <v>880</v>
          </cell>
          <cell r="BP175">
            <v>190</v>
          </cell>
          <cell r="BQ175">
            <v>0</v>
          </cell>
          <cell r="BR175">
            <v>1070</v>
          </cell>
          <cell r="BS175">
            <v>615</v>
          </cell>
          <cell r="BT175">
            <v>410</v>
          </cell>
          <cell r="BU175">
            <v>50</v>
          </cell>
          <cell r="BV175">
            <v>1070</v>
          </cell>
          <cell r="BW175">
            <v>65</v>
          </cell>
          <cell r="BX175">
            <v>140</v>
          </cell>
          <cell r="BY175">
            <v>105</v>
          </cell>
          <cell r="BZ175">
            <v>310</v>
          </cell>
          <cell r="CA175">
            <v>125</v>
          </cell>
          <cell r="CB175">
            <v>105</v>
          </cell>
          <cell r="CC175">
            <v>120</v>
          </cell>
          <cell r="CD175">
            <v>75</v>
          </cell>
          <cell r="CE175">
            <v>20</v>
          </cell>
          <cell r="CF175">
            <v>1070</v>
          </cell>
          <cell r="CG175">
            <v>795</v>
          </cell>
          <cell r="CH175">
            <v>5</v>
          </cell>
          <cell r="CI175">
            <v>0</v>
          </cell>
          <cell r="CJ175">
            <v>75</v>
          </cell>
          <cell r="CK175">
            <v>0</v>
          </cell>
          <cell r="CL175">
            <v>105</v>
          </cell>
          <cell r="CM175">
            <v>0</v>
          </cell>
          <cell r="CN175">
            <v>90</v>
          </cell>
          <cell r="CO175">
            <v>1070</v>
          </cell>
          <cell r="CP175">
            <v>230</v>
          </cell>
          <cell r="CQ175">
            <v>375</v>
          </cell>
          <cell r="CR175">
            <v>190</v>
          </cell>
          <cell r="CS175">
            <v>255</v>
          </cell>
          <cell r="CT175">
            <v>25</v>
          </cell>
          <cell r="CU175">
            <v>2780</v>
          </cell>
          <cell r="CV175">
            <v>2.6</v>
          </cell>
          <cell r="CW175">
            <v>1070</v>
          </cell>
          <cell r="CX175">
            <v>805</v>
          </cell>
          <cell r="CY175">
            <v>10</v>
          </cell>
          <cell r="CZ175">
            <v>255</v>
          </cell>
        </row>
        <row r="176">
          <cell r="A176" t="str">
            <v>4620550.03</v>
          </cell>
          <cell r="B176" t="str">
            <v>0550.03</v>
          </cell>
          <cell r="C176" t="str">
            <v>L'Île-Bizard-Sainte-Geneviève</v>
          </cell>
          <cell r="D176">
            <v>4870</v>
          </cell>
          <cell r="E176">
            <v>1590</v>
          </cell>
          <cell r="F176">
            <v>2520</v>
          </cell>
          <cell r="G176">
            <v>85</v>
          </cell>
          <cell r="H176">
            <v>385</v>
          </cell>
          <cell r="I176">
            <v>285</v>
          </cell>
          <cell r="J176">
            <v>4875</v>
          </cell>
          <cell r="K176">
            <v>4225</v>
          </cell>
          <cell r="L176">
            <v>650</v>
          </cell>
          <cell r="M176">
            <v>1730</v>
          </cell>
          <cell r="N176">
            <v>540</v>
          </cell>
          <cell r="O176">
            <v>410</v>
          </cell>
          <cell r="P176">
            <v>555</v>
          </cell>
          <cell r="Q176">
            <v>215</v>
          </cell>
          <cell r="R176">
            <v>1730</v>
          </cell>
          <cell r="S176">
            <v>1565</v>
          </cell>
          <cell r="T176">
            <v>1240</v>
          </cell>
          <cell r="U176">
            <v>330</v>
          </cell>
          <cell r="V176">
            <v>910</v>
          </cell>
          <cell r="W176">
            <v>285</v>
          </cell>
          <cell r="X176">
            <v>445</v>
          </cell>
          <cell r="Y176">
            <v>180</v>
          </cell>
          <cell r="Z176">
            <v>325</v>
          </cell>
          <cell r="AA176">
            <v>120</v>
          </cell>
          <cell r="AB176">
            <v>210</v>
          </cell>
          <cell r="AC176">
            <v>70</v>
          </cell>
          <cell r="AD176">
            <v>100</v>
          </cell>
          <cell r="AE176">
            <v>40</v>
          </cell>
          <cell r="AF176">
            <v>165</v>
          </cell>
          <cell r="AG176">
            <v>140</v>
          </cell>
          <cell r="AH176">
            <v>85</v>
          </cell>
          <cell r="AI176">
            <v>45</v>
          </cell>
          <cell r="AJ176">
            <v>15</v>
          </cell>
          <cell r="AK176">
            <v>25</v>
          </cell>
          <cell r="AL176">
            <v>10</v>
          </cell>
          <cell r="AM176">
            <v>10</v>
          </cell>
          <cell r="AN176">
            <v>0</v>
          </cell>
          <cell r="AO176">
            <v>2410</v>
          </cell>
          <cell r="AP176">
            <v>440</v>
          </cell>
          <cell r="AQ176">
            <v>1010</v>
          </cell>
          <cell r="AR176">
            <v>290</v>
          </cell>
          <cell r="AS176">
            <v>485</v>
          </cell>
          <cell r="AT176">
            <v>190</v>
          </cell>
          <cell r="AU176">
            <v>1.4</v>
          </cell>
          <cell r="AV176">
            <v>6145</v>
          </cell>
          <cell r="AW176">
            <v>435</v>
          </cell>
          <cell r="AX176">
            <v>85</v>
          </cell>
          <cell r="AY176">
            <v>60</v>
          </cell>
          <cell r="AZ176">
            <v>290</v>
          </cell>
          <cell r="BA176">
            <v>5710</v>
          </cell>
          <cell r="BB176">
            <v>3.3</v>
          </cell>
          <cell r="BC176">
            <v>430</v>
          </cell>
          <cell r="BD176">
            <v>160</v>
          </cell>
          <cell r="BE176">
            <v>45</v>
          </cell>
          <cell r="BF176">
            <v>15</v>
          </cell>
          <cell r="BG176">
            <v>95</v>
          </cell>
          <cell r="BH176">
            <v>270</v>
          </cell>
          <cell r="BI176">
            <v>2020</v>
          </cell>
          <cell r="BJ176">
            <v>8</v>
          </cell>
          <cell r="BK176">
            <v>16160</v>
          </cell>
          <cell r="BL176">
            <v>3.2</v>
          </cell>
          <cell r="BM176">
            <v>6464</v>
          </cell>
          <cell r="BN176">
            <v>2025</v>
          </cell>
          <cell r="BO176">
            <v>1840</v>
          </cell>
          <cell r="BP176">
            <v>185</v>
          </cell>
          <cell r="BQ176">
            <v>0</v>
          </cell>
          <cell r="BR176">
            <v>2025</v>
          </cell>
          <cell r="BS176">
            <v>1370</v>
          </cell>
          <cell r="BT176">
            <v>565</v>
          </cell>
          <cell r="BU176">
            <v>85</v>
          </cell>
          <cell r="BV176">
            <v>2025</v>
          </cell>
          <cell r="BW176">
            <v>30</v>
          </cell>
          <cell r="BX176">
            <v>100</v>
          </cell>
          <cell r="BY176">
            <v>65</v>
          </cell>
          <cell r="BZ176">
            <v>425</v>
          </cell>
          <cell r="CA176">
            <v>290</v>
          </cell>
          <cell r="CB176">
            <v>460</v>
          </cell>
          <cell r="CC176">
            <v>295</v>
          </cell>
          <cell r="CD176">
            <v>220</v>
          </cell>
          <cell r="CE176">
            <v>130</v>
          </cell>
          <cell r="CF176">
            <v>2025</v>
          </cell>
          <cell r="CG176">
            <v>1805</v>
          </cell>
          <cell r="CH176">
            <v>40</v>
          </cell>
          <cell r="CI176">
            <v>50</v>
          </cell>
          <cell r="CJ176">
            <v>25</v>
          </cell>
          <cell r="CK176">
            <v>0</v>
          </cell>
          <cell r="CL176">
            <v>105</v>
          </cell>
          <cell r="CM176">
            <v>0</v>
          </cell>
          <cell r="CN176">
            <v>0</v>
          </cell>
          <cell r="CO176">
            <v>2025</v>
          </cell>
          <cell r="CP176">
            <v>285</v>
          </cell>
          <cell r="CQ176">
            <v>515</v>
          </cell>
          <cell r="CR176">
            <v>400</v>
          </cell>
          <cell r="CS176">
            <v>775</v>
          </cell>
          <cell r="CT176">
            <v>55</v>
          </cell>
          <cell r="CU176">
            <v>6150</v>
          </cell>
          <cell r="CV176">
            <v>3</v>
          </cell>
          <cell r="CW176">
            <v>2020</v>
          </cell>
          <cell r="CX176">
            <v>1705</v>
          </cell>
          <cell r="CY176">
            <v>10</v>
          </cell>
          <cell r="CZ176">
            <v>305</v>
          </cell>
        </row>
        <row r="177">
          <cell r="A177" t="str">
            <v>4620550.04</v>
          </cell>
          <cell r="B177" t="str">
            <v>0550.04</v>
          </cell>
          <cell r="C177" t="str">
            <v>L'Île-Bizard-Sainte-Geneviève</v>
          </cell>
          <cell r="D177">
            <v>4195</v>
          </cell>
          <cell r="E177">
            <v>1560</v>
          </cell>
          <cell r="F177">
            <v>2035</v>
          </cell>
          <cell r="G177">
            <v>75</v>
          </cell>
          <cell r="H177">
            <v>375</v>
          </cell>
          <cell r="I177">
            <v>150</v>
          </cell>
          <cell r="J177">
            <v>4195</v>
          </cell>
          <cell r="K177">
            <v>3655</v>
          </cell>
          <cell r="L177">
            <v>540</v>
          </cell>
          <cell r="M177">
            <v>1500</v>
          </cell>
          <cell r="N177">
            <v>550</v>
          </cell>
          <cell r="O177">
            <v>365</v>
          </cell>
          <cell r="P177">
            <v>410</v>
          </cell>
          <cell r="Q177">
            <v>185</v>
          </cell>
          <cell r="R177">
            <v>1500</v>
          </cell>
          <cell r="S177">
            <v>1290</v>
          </cell>
          <cell r="T177">
            <v>1015</v>
          </cell>
          <cell r="U177">
            <v>310</v>
          </cell>
          <cell r="V177">
            <v>705</v>
          </cell>
          <cell r="W177">
            <v>200</v>
          </cell>
          <cell r="X177">
            <v>360</v>
          </cell>
          <cell r="Y177">
            <v>150</v>
          </cell>
          <cell r="Z177">
            <v>280</v>
          </cell>
          <cell r="AA177">
            <v>115</v>
          </cell>
          <cell r="AB177">
            <v>165</v>
          </cell>
          <cell r="AC177">
            <v>85</v>
          </cell>
          <cell r="AD177">
            <v>45</v>
          </cell>
          <cell r="AE177">
            <v>35</v>
          </cell>
          <cell r="AF177">
            <v>205</v>
          </cell>
          <cell r="AG177">
            <v>160</v>
          </cell>
          <cell r="AH177">
            <v>100</v>
          </cell>
          <cell r="AI177">
            <v>60</v>
          </cell>
          <cell r="AJ177">
            <v>0</v>
          </cell>
          <cell r="AK177">
            <v>45</v>
          </cell>
          <cell r="AL177">
            <v>20</v>
          </cell>
          <cell r="AM177">
            <v>25</v>
          </cell>
          <cell r="AN177">
            <v>0</v>
          </cell>
          <cell r="AO177">
            <v>1960</v>
          </cell>
          <cell r="AP177">
            <v>290</v>
          </cell>
          <cell r="AQ177">
            <v>705</v>
          </cell>
          <cell r="AR177">
            <v>315</v>
          </cell>
          <cell r="AS177">
            <v>485</v>
          </cell>
          <cell r="AT177">
            <v>160</v>
          </cell>
          <cell r="AU177">
            <v>1.3</v>
          </cell>
          <cell r="AV177">
            <v>5170</v>
          </cell>
          <cell r="AW177">
            <v>410</v>
          </cell>
          <cell r="AX177">
            <v>75</v>
          </cell>
          <cell r="AY177">
            <v>50</v>
          </cell>
          <cell r="AZ177">
            <v>285</v>
          </cell>
          <cell r="BA177">
            <v>4760</v>
          </cell>
          <cell r="BB177">
            <v>3.2</v>
          </cell>
          <cell r="BC177">
            <v>350</v>
          </cell>
          <cell r="BD177">
            <v>90</v>
          </cell>
          <cell r="BE177">
            <v>45</v>
          </cell>
          <cell r="BF177">
            <v>0</v>
          </cell>
          <cell r="BG177">
            <v>50</v>
          </cell>
          <cell r="BH177">
            <v>260</v>
          </cell>
          <cell r="BI177">
            <v>1790</v>
          </cell>
          <cell r="BJ177">
            <v>7.4</v>
          </cell>
          <cell r="BK177">
            <v>13246</v>
          </cell>
          <cell r="BL177">
            <v>3.1</v>
          </cell>
          <cell r="BM177">
            <v>5549</v>
          </cell>
          <cell r="BN177">
            <v>1790</v>
          </cell>
          <cell r="BO177">
            <v>1470</v>
          </cell>
          <cell r="BP177">
            <v>320</v>
          </cell>
          <cell r="BQ177">
            <v>0</v>
          </cell>
          <cell r="BR177">
            <v>1795</v>
          </cell>
          <cell r="BS177">
            <v>1230</v>
          </cell>
          <cell r="BT177">
            <v>480</v>
          </cell>
          <cell r="BU177">
            <v>80</v>
          </cell>
          <cell r="BV177">
            <v>1790</v>
          </cell>
          <cell r="BW177">
            <v>45</v>
          </cell>
          <cell r="BX177">
            <v>75</v>
          </cell>
          <cell r="BY177">
            <v>45</v>
          </cell>
          <cell r="BZ177">
            <v>540</v>
          </cell>
          <cell r="CA177">
            <v>320</v>
          </cell>
          <cell r="CB177">
            <v>405</v>
          </cell>
          <cell r="CC177">
            <v>140</v>
          </cell>
          <cell r="CD177">
            <v>145</v>
          </cell>
          <cell r="CE177">
            <v>75</v>
          </cell>
          <cell r="CF177">
            <v>1795</v>
          </cell>
          <cell r="CG177">
            <v>1145</v>
          </cell>
          <cell r="CH177">
            <v>160</v>
          </cell>
          <cell r="CI177">
            <v>125</v>
          </cell>
          <cell r="CJ177">
            <v>50</v>
          </cell>
          <cell r="CK177">
            <v>0</v>
          </cell>
          <cell r="CL177">
            <v>310</v>
          </cell>
          <cell r="CM177">
            <v>0</v>
          </cell>
          <cell r="CN177">
            <v>0</v>
          </cell>
          <cell r="CO177">
            <v>1790</v>
          </cell>
          <cell r="CP177">
            <v>290</v>
          </cell>
          <cell r="CQ177">
            <v>520</v>
          </cell>
          <cell r="CR177">
            <v>350</v>
          </cell>
          <cell r="CS177">
            <v>585</v>
          </cell>
          <cell r="CT177">
            <v>45</v>
          </cell>
          <cell r="CU177">
            <v>5170</v>
          </cell>
          <cell r="CV177">
            <v>2.9</v>
          </cell>
          <cell r="CW177">
            <v>1790</v>
          </cell>
          <cell r="CX177">
            <v>1480</v>
          </cell>
          <cell r="CY177">
            <v>10</v>
          </cell>
          <cell r="CZ177">
            <v>300</v>
          </cell>
        </row>
        <row r="178">
          <cell r="C178" t="str">
            <v>L'Île-Bizard-Sainte-Geneviève</v>
          </cell>
          <cell r="D178">
            <v>14150</v>
          </cell>
          <cell r="E178">
            <v>5275</v>
          </cell>
          <cell r="F178">
            <v>6375</v>
          </cell>
          <cell r="G178">
            <v>300</v>
          </cell>
          <cell r="H178">
            <v>1350</v>
          </cell>
          <cell r="I178">
            <v>840</v>
          </cell>
          <cell r="J178">
            <v>14155</v>
          </cell>
          <cell r="K178">
            <v>12180</v>
          </cell>
          <cell r="L178">
            <v>1980</v>
          </cell>
          <cell r="M178">
            <v>4795</v>
          </cell>
          <cell r="N178">
            <v>1790</v>
          </cell>
          <cell r="O178">
            <v>1225</v>
          </cell>
          <cell r="P178">
            <v>1250</v>
          </cell>
          <cell r="Q178">
            <v>530</v>
          </cell>
          <cell r="R178">
            <v>4795</v>
          </cell>
          <cell r="S178">
            <v>4125</v>
          </cell>
          <cell r="T178">
            <v>3130</v>
          </cell>
          <cell r="U178">
            <v>965</v>
          </cell>
          <cell r="V178">
            <v>2170</v>
          </cell>
          <cell r="W178">
            <v>740</v>
          </cell>
          <cell r="X178">
            <v>1000</v>
          </cell>
          <cell r="Y178">
            <v>430</v>
          </cell>
          <cell r="Z178">
            <v>1000</v>
          </cell>
          <cell r="AA178">
            <v>450</v>
          </cell>
          <cell r="AB178">
            <v>550</v>
          </cell>
          <cell r="AC178">
            <v>230</v>
          </cell>
          <cell r="AD178">
            <v>215</v>
          </cell>
          <cell r="AE178">
            <v>105</v>
          </cell>
          <cell r="AF178">
            <v>660</v>
          </cell>
          <cell r="AG178">
            <v>535</v>
          </cell>
          <cell r="AH178">
            <v>335</v>
          </cell>
          <cell r="AI178">
            <v>175</v>
          </cell>
          <cell r="AJ178">
            <v>30</v>
          </cell>
          <cell r="AK178">
            <v>125</v>
          </cell>
          <cell r="AL178">
            <v>40</v>
          </cell>
          <cell r="AM178">
            <v>75</v>
          </cell>
          <cell r="AN178">
            <v>0</v>
          </cell>
          <cell r="AO178">
            <v>6105</v>
          </cell>
          <cell r="AP178">
            <v>1040</v>
          </cell>
          <cell r="AQ178">
            <v>2380</v>
          </cell>
          <cell r="AR178">
            <v>845</v>
          </cell>
          <cell r="AS178">
            <v>1330</v>
          </cell>
          <cell r="AT178">
            <v>505</v>
          </cell>
          <cell r="AU178">
            <v>1.2732012513034412</v>
          </cell>
          <cell r="AV178">
            <v>17220</v>
          </cell>
          <cell r="AW178">
            <v>2175</v>
          </cell>
          <cell r="AX178">
            <v>385</v>
          </cell>
          <cell r="AY178">
            <v>300</v>
          </cell>
          <cell r="AZ178">
            <v>1480</v>
          </cell>
          <cell r="BA178">
            <v>15040</v>
          </cell>
          <cell r="BB178">
            <v>3.1366006256517207</v>
          </cell>
          <cell r="BC178">
            <v>1550</v>
          </cell>
          <cell r="BD178">
            <v>625</v>
          </cell>
          <cell r="BE178">
            <v>175</v>
          </cell>
          <cell r="BF178">
            <v>35</v>
          </cell>
          <cell r="BG178">
            <v>415</v>
          </cell>
          <cell r="BH178">
            <v>920</v>
          </cell>
          <cell r="BI178">
            <v>6420</v>
          </cell>
          <cell r="BJ178">
            <v>6.9077881619937695</v>
          </cell>
          <cell r="BK178">
            <v>44348</v>
          </cell>
          <cell r="BL178">
            <v>2.8509345794392522</v>
          </cell>
          <cell r="BM178">
            <v>18303</v>
          </cell>
          <cell r="BN178">
            <v>6425</v>
          </cell>
          <cell r="BO178">
            <v>4795</v>
          </cell>
          <cell r="BP178">
            <v>1630</v>
          </cell>
          <cell r="BQ178">
            <v>0</v>
          </cell>
          <cell r="BR178">
            <v>6430</v>
          </cell>
          <cell r="BS178">
            <v>4150</v>
          </cell>
          <cell r="BT178">
            <v>1880</v>
          </cell>
          <cell r="BU178">
            <v>395</v>
          </cell>
          <cell r="BV178">
            <v>6425</v>
          </cell>
          <cell r="BW178">
            <v>305</v>
          </cell>
          <cell r="BX178">
            <v>565</v>
          </cell>
          <cell r="BY178">
            <v>510</v>
          </cell>
          <cell r="BZ178">
            <v>1485</v>
          </cell>
          <cell r="CA178">
            <v>860</v>
          </cell>
          <cell r="CB178">
            <v>1170</v>
          </cell>
          <cell r="CC178">
            <v>675</v>
          </cell>
          <cell r="CD178">
            <v>505</v>
          </cell>
          <cell r="CE178">
            <v>330</v>
          </cell>
          <cell r="CF178">
            <v>6425</v>
          </cell>
          <cell r="CG178">
            <v>4045</v>
          </cell>
          <cell r="CH178">
            <v>220</v>
          </cell>
          <cell r="CI178">
            <v>180</v>
          </cell>
          <cell r="CJ178">
            <v>240</v>
          </cell>
          <cell r="CK178">
            <v>0</v>
          </cell>
          <cell r="CL178">
            <v>1580</v>
          </cell>
          <cell r="CM178">
            <v>15</v>
          </cell>
          <cell r="CN178">
            <v>140</v>
          </cell>
          <cell r="CO178">
            <v>6425</v>
          </cell>
          <cell r="CP178">
            <v>1490</v>
          </cell>
          <cell r="CQ178">
            <v>1865</v>
          </cell>
          <cell r="CR178">
            <v>1135</v>
          </cell>
          <cell r="CS178">
            <v>1785</v>
          </cell>
          <cell r="CT178">
            <v>155</v>
          </cell>
          <cell r="CU178">
            <v>17225</v>
          </cell>
          <cell r="CV178">
            <v>2.6809338521400776</v>
          </cell>
          <cell r="CW178">
            <v>6420</v>
          </cell>
          <cell r="CX178">
            <v>4715</v>
          </cell>
          <cell r="CY178">
            <v>40</v>
          </cell>
          <cell r="CZ178">
            <v>1670</v>
          </cell>
        </row>
        <row r="181">
          <cell r="A181" t="str">
            <v>4620001.00</v>
          </cell>
          <cell r="B181" t="str">
            <v>0001.00</v>
          </cell>
          <cell r="C181" t="str">
            <v>Mercier-Hochelaga-Maisonneuve</v>
          </cell>
          <cell r="D181">
            <v>2180</v>
          </cell>
          <cell r="E181">
            <v>1085</v>
          </cell>
          <cell r="F181">
            <v>590</v>
          </cell>
          <cell r="G181">
            <v>60</v>
          </cell>
          <cell r="H181">
            <v>300</v>
          </cell>
          <cell r="I181">
            <v>155</v>
          </cell>
          <cell r="J181">
            <v>2180</v>
          </cell>
          <cell r="K181">
            <v>1745</v>
          </cell>
          <cell r="L181">
            <v>435</v>
          </cell>
          <cell r="M181">
            <v>710</v>
          </cell>
          <cell r="N181">
            <v>455</v>
          </cell>
          <cell r="O181">
            <v>130</v>
          </cell>
          <cell r="P181">
            <v>90</v>
          </cell>
          <cell r="Q181">
            <v>25</v>
          </cell>
          <cell r="R181">
            <v>710</v>
          </cell>
          <cell r="S181">
            <v>505</v>
          </cell>
          <cell r="T181">
            <v>290</v>
          </cell>
          <cell r="U181">
            <v>165</v>
          </cell>
          <cell r="V181">
            <v>120</v>
          </cell>
          <cell r="W181">
            <v>55</v>
          </cell>
          <cell r="X181">
            <v>55</v>
          </cell>
          <cell r="Y181">
            <v>10</v>
          </cell>
          <cell r="Z181">
            <v>220</v>
          </cell>
          <cell r="AA181">
            <v>140</v>
          </cell>
          <cell r="AB181">
            <v>85</v>
          </cell>
          <cell r="AC181">
            <v>35</v>
          </cell>
          <cell r="AD181">
            <v>25</v>
          </cell>
          <cell r="AE181">
            <v>20</v>
          </cell>
          <cell r="AF181">
            <v>200</v>
          </cell>
          <cell r="AG181">
            <v>165</v>
          </cell>
          <cell r="AH181">
            <v>120</v>
          </cell>
          <cell r="AI181">
            <v>40</v>
          </cell>
          <cell r="AJ181">
            <v>10</v>
          </cell>
          <cell r="AK181">
            <v>35</v>
          </cell>
          <cell r="AL181">
            <v>30</v>
          </cell>
          <cell r="AM181">
            <v>0</v>
          </cell>
          <cell r="AN181">
            <v>0</v>
          </cell>
          <cell r="AO181">
            <v>615</v>
          </cell>
          <cell r="AP181">
            <v>130</v>
          </cell>
          <cell r="AQ181">
            <v>185</v>
          </cell>
          <cell r="AR181">
            <v>80</v>
          </cell>
          <cell r="AS181">
            <v>115</v>
          </cell>
          <cell r="AT181">
            <v>105</v>
          </cell>
          <cell r="AU181">
            <v>0.9</v>
          </cell>
          <cell r="AV181">
            <v>2465</v>
          </cell>
          <cell r="AW181">
            <v>630</v>
          </cell>
          <cell r="AX181">
            <v>25</v>
          </cell>
          <cell r="AY181">
            <v>100</v>
          </cell>
          <cell r="AZ181">
            <v>495</v>
          </cell>
          <cell r="BA181">
            <v>1835</v>
          </cell>
          <cell r="BB181">
            <v>2.6</v>
          </cell>
          <cell r="BC181">
            <v>365</v>
          </cell>
          <cell r="BD181">
            <v>150</v>
          </cell>
          <cell r="BE181">
            <v>15</v>
          </cell>
          <cell r="BF181">
            <v>30</v>
          </cell>
          <cell r="BG181">
            <v>105</v>
          </cell>
          <cell r="BH181">
            <v>215</v>
          </cell>
          <cell r="BI181">
            <v>1245</v>
          </cell>
          <cell r="BJ181">
            <v>4.5999999999999996</v>
          </cell>
          <cell r="BK181">
            <v>5727</v>
          </cell>
          <cell r="BL181">
            <v>2.1</v>
          </cell>
          <cell r="BM181">
            <v>2614.5</v>
          </cell>
          <cell r="BN181">
            <v>1245</v>
          </cell>
          <cell r="BO181">
            <v>520</v>
          </cell>
          <cell r="BP181">
            <v>720</v>
          </cell>
          <cell r="BQ181">
            <v>0</v>
          </cell>
          <cell r="BR181">
            <v>1245</v>
          </cell>
          <cell r="BS181">
            <v>740</v>
          </cell>
          <cell r="BT181">
            <v>385</v>
          </cell>
          <cell r="BU181">
            <v>120</v>
          </cell>
          <cell r="BV181">
            <v>1245</v>
          </cell>
          <cell r="BW181">
            <v>195</v>
          </cell>
          <cell r="BX181">
            <v>400</v>
          </cell>
          <cell r="BY181">
            <v>295</v>
          </cell>
          <cell r="BZ181">
            <v>105</v>
          </cell>
          <cell r="CA181">
            <v>60</v>
          </cell>
          <cell r="CB181">
            <v>50</v>
          </cell>
          <cell r="CC181">
            <v>10</v>
          </cell>
          <cell r="CD181">
            <v>70</v>
          </cell>
          <cell r="CE181">
            <v>60</v>
          </cell>
          <cell r="CF181">
            <v>1245</v>
          </cell>
          <cell r="CG181">
            <v>40</v>
          </cell>
          <cell r="CH181">
            <v>15</v>
          </cell>
          <cell r="CI181">
            <v>15</v>
          </cell>
          <cell r="CJ181">
            <v>470</v>
          </cell>
          <cell r="CK181">
            <v>0</v>
          </cell>
          <cell r="CL181">
            <v>690</v>
          </cell>
          <cell r="CM181">
            <v>15</v>
          </cell>
          <cell r="CN181">
            <v>0</v>
          </cell>
          <cell r="CO181">
            <v>1245</v>
          </cell>
          <cell r="CP181">
            <v>495</v>
          </cell>
          <cell r="CQ181">
            <v>465</v>
          </cell>
          <cell r="CR181">
            <v>140</v>
          </cell>
          <cell r="CS181">
            <v>125</v>
          </cell>
          <cell r="CT181">
            <v>10</v>
          </cell>
          <cell r="CU181">
            <v>2460</v>
          </cell>
          <cell r="CV181">
            <v>2</v>
          </cell>
          <cell r="CW181">
            <v>1245</v>
          </cell>
          <cell r="CX181">
            <v>680</v>
          </cell>
          <cell r="CY181">
            <v>15</v>
          </cell>
          <cell r="CZ181">
            <v>550</v>
          </cell>
        </row>
        <row r="182">
          <cell r="A182" t="str">
            <v>4620002.00</v>
          </cell>
          <cell r="B182" t="str">
            <v>0002.00</v>
          </cell>
          <cell r="C182" t="str">
            <v>Mercier-Hochelaga-Maisonneuve</v>
          </cell>
          <cell r="D182">
            <v>2385</v>
          </cell>
          <cell r="E182">
            <v>1140</v>
          </cell>
          <cell r="F182">
            <v>670</v>
          </cell>
          <cell r="G182">
            <v>60</v>
          </cell>
          <cell r="H182">
            <v>315</v>
          </cell>
          <cell r="I182">
            <v>205</v>
          </cell>
          <cell r="J182">
            <v>2385</v>
          </cell>
          <cell r="K182">
            <v>1925</v>
          </cell>
          <cell r="L182">
            <v>465</v>
          </cell>
          <cell r="M182">
            <v>825</v>
          </cell>
          <cell r="N182">
            <v>470</v>
          </cell>
          <cell r="O182">
            <v>240</v>
          </cell>
          <cell r="P182">
            <v>105</v>
          </cell>
          <cell r="Q182">
            <v>15</v>
          </cell>
          <cell r="R182">
            <v>825</v>
          </cell>
          <cell r="S182">
            <v>560</v>
          </cell>
          <cell r="T182">
            <v>325</v>
          </cell>
          <cell r="U182">
            <v>210</v>
          </cell>
          <cell r="V182">
            <v>115</v>
          </cell>
          <cell r="W182">
            <v>70</v>
          </cell>
          <cell r="X182">
            <v>40</v>
          </cell>
          <cell r="Y182">
            <v>10</v>
          </cell>
          <cell r="Z182">
            <v>235</v>
          </cell>
          <cell r="AA182">
            <v>135</v>
          </cell>
          <cell r="AB182">
            <v>100</v>
          </cell>
          <cell r="AC182">
            <v>50</v>
          </cell>
          <cell r="AD182">
            <v>40</v>
          </cell>
          <cell r="AE182">
            <v>0</v>
          </cell>
          <cell r="AF182">
            <v>265</v>
          </cell>
          <cell r="AG182">
            <v>195</v>
          </cell>
          <cell r="AH182">
            <v>70</v>
          </cell>
          <cell r="AI182">
            <v>115</v>
          </cell>
          <cell r="AJ182">
            <v>10</v>
          </cell>
          <cell r="AK182">
            <v>70</v>
          </cell>
          <cell r="AL182">
            <v>50</v>
          </cell>
          <cell r="AM182">
            <v>10</v>
          </cell>
          <cell r="AN182">
            <v>15</v>
          </cell>
          <cell r="AO182">
            <v>750</v>
          </cell>
          <cell r="AP182">
            <v>130</v>
          </cell>
          <cell r="AQ182">
            <v>290</v>
          </cell>
          <cell r="AR182">
            <v>125</v>
          </cell>
          <cell r="AS182">
            <v>140</v>
          </cell>
          <cell r="AT182">
            <v>60</v>
          </cell>
          <cell r="AU182">
            <v>0.9</v>
          </cell>
          <cell r="AV182">
            <v>2810</v>
          </cell>
          <cell r="AW182">
            <v>675</v>
          </cell>
          <cell r="AX182">
            <v>70</v>
          </cell>
          <cell r="AY182">
            <v>95</v>
          </cell>
          <cell r="AZ182">
            <v>505</v>
          </cell>
          <cell r="BA182">
            <v>2135</v>
          </cell>
          <cell r="BB182">
            <v>2.6</v>
          </cell>
          <cell r="BC182">
            <v>465</v>
          </cell>
          <cell r="BD182">
            <v>205</v>
          </cell>
          <cell r="BE182">
            <v>15</v>
          </cell>
          <cell r="BF182">
            <v>15</v>
          </cell>
          <cell r="BG182">
            <v>170</v>
          </cell>
          <cell r="BH182">
            <v>265</v>
          </cell>
          <cell r="BI182">
            <v>1340</v>
          </cell>
          <cell r="BJ182">
            <v>4.9000000000000004</v>
          </cell>
          <cell r="BK182">
            <v>6566.0000000000009</v>
          </cell>
          <cell r="BL182">
            <v>2.1</v>
          </cell>
          <cell r="BM182">
            <v>2814</v>
          </cell>
          <cell r="BN182">
            <v>1345</v>
          </cell>
          <cell r="BO182">
            <v>555</v>
          </cell>
          <cell r="BP182">
            <v>785</v>
          </cell>
          <cell r="BQ182">
            <v>0</v>
          </cell>
          <cell r="BR182">
            <v>1345</v>
          </cell>
          <cell r="BS182">
            <v>895</v>
          </cell>
          <cell r="BT182">
            <v>345</v>
          </cell>
          <cell r="BU182">
            <v>100</v>
          </cell>
          <cell r="BV182">
            <v>1340</v>
          </cell>
          <cell r="BW182">
            <v>170</v>
          </cell>
          <cell r="BX182">
            <v>670</v>
          </cell>
          <cell r="BY182">
            <v>195</v>
          </cell>
          <cell r="BZ182">
            <v>90</v>
          </cell>
          <cell r="CA182">
            <v>70</v>
          </cell>
          <cell r="CB182">
            <v>35</v>
          </cell>
          <cell r="CC182">
            <v>55</v>
          </cell>
          <cell r="CD182">
            <v>0</v>
          </cell>
          <cell r="CE182">
            <v>55</v>
          </cell>
          <cell r="CF182">
            <v>1345</v>
          </cell>
          <cell r="CG182">
            <v>85</v>
          </cell>
          <cell r="CH182">
            <v>20</v>
          </cell>
          <cell r="CI182">
            <v>65</v>
          </cell>
          <cell r="CJ182">
            <v>395</v>
          </cell>
          <cell r="CK182">
            <v>65</v>
          </cell>
          <cell r="CL182">
            <v>690</v>
          </cell>
          <cell r="CM182">
            <v>20</v>
          </cell>
          <cell r="CN182">
            <v>0</v>
          </cell>
          <cell r="CO182">
            <v>1340</v>
          </cell>
          <cell r="CP182">
            <v>505</v>
          </cell>
          <cell r="CQ182">
            <v>455</v>
          </cell>
          <cell r="CR182">
            <v>220</v>
          </cell>
          <cell r="CS182">
            <v>145</v>
          </cell>
          <cell r="CT182">
            <v>15</v>
          </cell>
          <cell r="CU182">
            <v>2805</v>
          </cell>
          <cell r="CV182">
            <v>2.1</v>
          </cell>
          <cell r="CW182">
            <v>1345</v>
          </cell>
          <cell r="CX182">
            <v>800</v>
          </cell>
          <cell r="CY182">
            <v>15</v>
          </cell>
          <cell r="CZ182">
            <v>530</v>
          </cell>
        </row>
        <row r="183">
          <cell r="A183" t="str">
            <v>4620003.00</v>
          </cell>
          <cell r="B183" t="str">
            <v>0003.00</v>
          </cell>
          <cell r="C183" t="str">
            <v>Mercier-Hochelaga-Maisonneuve</v>
          </cell>
          <cell r="D183">
            <v>5470</v>
          </cell>
          <cell r="E183">
            <v>2495</v>
          </cell>
          <cell r="F183">
            <v>1800</v>
          </cell>
          <cell r="G183">
            <v>145</v>
          </cell>
          <cell r="H183">
            <v>650</v>
          </cell>
          <cell r="I183">
            <v>375</v>
          </cell>
          <cell r="J183">
            <v>5470</v>
          </cell>
          <cell r="K183">
            <v>4505</v>
          </cell>
          <cell r="L183">
            <v>965</v>
          </cell>
          <cell r="M183">
            <v>1805</v>
          </cell>
          <cell r="N183">
            <v>945</v>
          </cell>
          <cell r="O183">
            <v>500</v>
          </cell>
          <cell r="P183">
            <v>280</v>
          </cell>
          <cell r="Q183">
            <v>75</v>
          </cell>
          <cell r="R183">
            <v>1805</v>
          </cell>
          <cell r="S183">
            <v>1375</v>
          </cell>
          <cell r="T183">
            <v>890</v>
          </cell>
          <cell r="U183">
            <v>425</v>
          </cell>
          <cell r="V183">
            <v>465</v>
          </cell>
          <cell r="W183">
            <v>250</v>
          </cell>
          <cell r="X183">
            <v>180</v>
          </cell>
          <cell r="Y183">
            <v>35</v>
          </cell>
          <cell r="Z183">
            <v>485</v>
          </cell>
          <cell r="AA183">
            <v>270</v>
          </cell>
          <cell r="AB183">
            <v>215</v>
          </cell>
          <cell r="AC183">
            <v>100</v>
          </cell>
          <cell r="AD183">
            <v>80</v>
          </cell>
          <cell r="AE183">
            <v>35</v>
          </cell>
          <cell r="AF183">
            <v>425</v>
          </cell>
          <cell r="AG183">
            <v>375</v>
          </cell>
          <cell r="AH183">
            <v>230</v>
          </cell>
          <cell r="AI183">
            <v>130</v>
          </cell>
          <cell r="AJ183">
            <v>15</v>
          </cell>
          <cell r="AK183">
            <v>55</v>
          </cell>
          <cell r="AL183">
            <v>25</v>
          </cell>
          <cell r="AM183">
            <v>20</v>
          </cell>
          <cell r="AN183">
            <v>10</v>
          </cell>
          <cell r="AO183">
            <v>1745</v>
          </cell>
          <cell r="AP183">
            <v>320</v>
          </cell>
          <cell r="AQ183">
            <v>600</v>
          </cell>
          <cell r="AR183">
            <v>260</v>
          </cell>
          <cell r="AS183">
            <v>315</v>
          </cell>
          <cell r="AT183">
            <v>265</v>
          </cell>
          <cell r="AU183">
            <v>1</v>
          </cell>
          <cell r="AV183">
            <v>6340</v>
          </cell>
          <cell r="AW183">
            <v>1410</v>
          </cell>
          <cell r="AX183">
            <v>135</v>
          </cell>
          <cell r="AY183">
            <v>295</v>
          </cell>
          <cell r="AZ183">
            <v>980</v>
          </cell>
          <cell r="BA183">
            <v>4925</v>
          </cell>
          <cell r="BB183">
            <v>2.7</v>
          </cell>
          <cell r="BC183">
            <v>940</v>
          </cell>
          <cell r="BD183">
            <v>305</v>
          </cell>
          <cell r="BE183">
            <v>55</v>
          </cell>
          <cell r="BF183">
            <v>10</v>
          </cell>
          <cell r="BG183">
            <v>235</v>
          </cell>
          <cell r="BH183">
            <v>635</v>
          </cell>
          <cell r="BI183">
            <v>2880</v>
          </cell>
          <cell r="BJ183">
            <v>5</v>
          </cell>
          <cell r="BK183">
            <v>14400</v>
          </cell>
          <cell r="BL183">
            <v>2.2999999999999998</v>
          </cell>
          <cell r="BM183">
            <v>6623.9999999999991</v>
          </cell>
          <cell r="BN183">
            <v>2885</v>
          </cell>
          <cell r="BO183">
            <v>1230</v>
          </cell>
          <cell r="BP183">
            <v>1655</v>
          </cell>
          <cell r="BQ183">
            <v>0</v>
          </cell>
          <cell r="BR183">
            <v>2880</v>
          </cell>
          <cell r="BS183">
            <v>1805</v>
          </cell>
          <cell r="BT183">
            <v>860</v>
          </cell>
          <cell r="BU183">
            <v>220</v>
          </cell>
          <cell r="BV183">
            <v>2885</v>
          </cell>
          <cell r="BW183">
            <v>195</v>
          </cell>
          <cell r="BX183">
            <v>920</v>
          </cell>
          <cell r="BY183">
            <v>975</v>
          </cell>
          <cell r="BZ183">
            <v>300</v>
          </cell>
          <cell r="CA183">
            <v>210</v>
          </cell>
          <cell r="CB183">
            <v>125</v>
          </cell>
          <cell r="CC183">
            <v>125</v>
          </cell>
          <cell r="CD183">
            <v>30</v>
          </cell>
          <cell r="CE183">
            <v>0</v>
          </cell>
          <cell r="CF183">
            <v>2880</v>
          </cell>
          <cell r="CG183">
            <v>215</v>
          </cell>
          <cell r="CH183">
            <v>95</v>
          </cell>
          <cell r="CI183">
            <v>95</v>
          </cell>
          <cell r="CJ183">
            <v>795</v>
          </cell>
          <cell r="CK183">
            <v>15</v>
          </cell>
          <cell r="CL183">
            <v>1660</v>
          </cell>
          <cell r="CM183">
            <v>15</v>
          </cell>
          <cell r="CN183">
            <v>0</v>
          </cell>
          <cell r="CO183">
            <v>2885</v>
          </cell>
          <cell r="CP183">
            <v>980</v>
          </cell>
          <cell r="CQ183">
            <v>980</v>
          </cell>
          <cell r="CR183">
            <v>485</v>
          </cell>
          <cell r="CS183">
            <v>400</v>
          </cell>
          <cell r="CT183">
            <v>45</v>
          </cell>
          <cell r="CU183">
            <v>6340</v>
          </cell>
          <cell r="CV183">
            <v>2.2000000000000002</v>
          </cell>
          <cell r="CW183">
            <v>2880</v>
          </cell>
          <cell r="CX183">
            <v>1705</v>
          </cell>
          <cell r="CY183">
            <v>45</v>
          </cell>
          <cell r="CZ183">
            <v>1130</v>
          </cell>
        </row>
        <row r="184">
          <cell r="A184" t="str">
            <v>4620004.00</v>
          </cell>
          <cell r="B184" t="str">
            <v>0004.00</v>
          </cell>
          <cell r="C184" t="str">
            <v>Mercier-Hochelaga-Maisonneuve</v>
          </cell>
          <cell r="D184">
            <v>2850</v>
          </cell>
          <cell r="E184">
            <v>1335</v>
          </cell>
          <cell r="F184">
            <v>775</v>
          </cell>
          <cell r="G184">
            <v>85</v>
          </cell>
          <cell r="H184">
            <v>380</v>
          </cell>
          <cell r="I184">
            <v>275</v>
          </cell>
          <cell r="J184">
            <v>2850</v>
          </cell>
          <cell r="K184">
            <v>2335</v>
          </cell>
          <cell r="L184">
            <v>520</v>
          </cell>
          <cell r="M184">
            <v>870</v>
          </cell>
          <cell r="N184">
            <v>505</v>
          </cell>
          <cell r="O184">
            <v>225</v>
          </cell>
          <cell r="P184">
            <v>105</v>
          </cell>
          <cell r="Q184">
            <v>35</v>
          </cell>
          <cell r="R184">
            <v>870</v>
          </cell>
          <cell r="S184">
            <v>635</v>
          </cell>
          <cell r="T184">
            <v>375</v>
          </cell>
          <cell r="U184">
            <v>195</v>
          </cell>
          <cell r="V184">
            <v>180</v>
          </cell>
          <cell r="W184">
            <v>110</v>
          </cell>
          <cell r="X184">
            <v>65</v>
          </cell>
          <cell r="Y184">
            <v>10</v>
          </cell>
          <cell r="Z184">
            <v>265</v>
          </cell>
          <cell r="AA184">
            <v>145</v>
          </cell>
          <cell r="AB184">
            <v>115</v>
          </cell>
          <cell r="AC184">
            <v>55</v>
          </cell>
          <cell r="AD184">
            <v>40</v>
          </cell>
          <cell r="AE184">
            <v>20</v>
          </cell>
          <cell r="AF184">
            <v>235</v>
          </cell>
          <cell r="AG184">
            <v>190</v>
          </cell>
          <cell r="AH184">
            <v>135</v>
          </cell>
          <cell r="AI184">
            <v>55</v>
          </cell>
          <cell r="AJ184">
            <v>10</v>
          </cell>
          <cell r="AK184">
            <v>50</v>
          </cell>
          <cell r="AL184">
            <v>35</v>
          </cell>
          <cell r="AM184">
            <v>10</v>
          </cell>
          <cell r="AN184">
            <v>0</v>
          </cell>
          <cell r="AO184">
            <v>785</v>
          </cell>
          <cell r="AP184">
            <v>155</v>
          </cell>
          <cell r="AQ184">
            <v>215</v>
          </cell>
          <cell r="AR184">
            <v>100</v>
          </cell>
          <cell r="AS184">
            <v>155</v>
          </cell>
          <cell r="AT184">
            <v>155</v>
          </cell>
          <cell r="AU184">
            <v>0.9</v>
          </cell>
          <cell r="AV184">
            <v>3130</v>
          </cell>
          <cell r="AW184">
            <v>835</v>
          </cell>
          <cell r="AX184">
            <v>100</v>
          </cell>
          <cell r="AY184">
            <v>120</v>
          </cell>
          <cell r="AZ184">
            <v>620</v>
          </cell>
          <cell r="BA184">
            <v>2290</v>
          </cell>
          <cell r="BB184">
            <v>2.6</v>
          </cell>
          <cell r="BC184">
            <v>520</v>
          </cell>
          <cell r="BD184">
            <v>250</v>
          </cell>
          <cell r="BE184">
            <v>35</v>
          </cell>
          <cell r="BF184">
            <v>10</v>
          </cell>
          <cell r="BG184">
            <v>215</v>
          </cell>
          <cell r="BH184">
            <v>270</v>
          </cell>
          <cell r="BI184">
            <v>1555</v>
          </cell>
          <cell r="BJ184">
            <v>4.8</v>
          </cell>
          <cell r="BK184">
            <v>7464</v>
          </cell>
          <cell r="BL184">
            <v>2</v>
          </cell>
          <cell r="BM184">
            <v>3110</v>
          </cell>
          <cell r="BN184">
            <v>1560</v>
          </cell>
          <cell r="BO184">
            <v>620</v>
          </cell>
          <cell r="BP184">
            <v>940</v>
          </cell>
          <cell r="BQ184">
            <v>0</v>
          </cell>
          <cell r="BR184">
            <v>1560</v>
          </cell>
          <cell r="BS184">
            <v>980</v>
          </cell>
          <cell r="BT184">
            <v>475</v>
          </cell>
          <cell r="BU184">
            <v>105</v>
          </cell>
          <cell r="BV184">
            <v>1560</v>
          </cell>
          <cell r="BW184">
            <v>260</v>
          </cell>
          <cell r="BX184">
            <v>635</v>
          </cell>
          <cell r="BY184">
            <v>355</v>
          </cell>
          <cell r="BZ184">
            <v>95</v>
          </cell>
          <cell r="CA184">
            <v>45</v>
          </cell>
          <cell r="CB184">
            <v>55</v>
          </cell>
          <cell r="CC184">
            <v>30</v>
          </cell>
          <cell r="CD184">
            <v>50</v>
          </cell>
          <cell r="CE184">
            <v>40</v>
          </cell>
          <cell r="CF184">
            <v>1560</v>
          </cell>
          <cell r="CG184">
            <v>120</v>
          </cell>
          <cell r="CH184">
            <v>20</v>
          </cell>
          <cell r="CI184">
            <v>95</v>
          </cell>
          <cell r="CJ184">
            <v>340</v>
          </cell>
          <cell r="CK184">
            <v>0</v>
          </cell>
          <cell r="CL184">
            <v>915</v>
          </cell>
          <cell r="CM184">
            <v>70</v>
          </cell>
          <cell r="CN184">
            <v>0</v>
          </cell>
          <cell r="CO184">
            <v>1560</v>
          </cell>
          <cell r="CP184">
            <v>615</v>
          </cell>
          <cell r="CQ184">
            <v>550</v>
          </cell>
          <cell r="CR184">
            <v>225</v>
          </cell>
          <cell r="CS184">
            <v>150</v>
          </cell>
          <cell r="CT184">
            <v>15</v>
          </cell>
          <cell r="CU184">
            <v>3125</v>
          </cell>
          <cell r="CV184">
            <v>2</v>
          </cell>
          <cell r="CW184">
            <v>1560</v>
          </cell>
          <cell r="CX184">
            <v>830</v>
          </cell>
          <cell r="CY184">
            <v>20</v>
          </cell>
          <cell r="CZ184">
            <v>705</v>
          </cell>
        </row>
        <row r="185">
          <cell r="A185" t="str">
            <v>4620005.00</v>
          </cell>
          <cell r="B185" t="str">
            <v>0005.00</v>
          </cell>
          <cell r="C185" t="str">
            <v>Mercier-Hochelaga-Maisonneuve</v>
          </cell>
          <cell r="D185">
            <v>2800</v>
          </cell>
          <cell r="E185">
            <v>1380</v>
          </cell>
          <cell r="F185">
            <v>775</v>
          </cell>
          <cell r="G185">
            <v>80</v>
          </cell>
          <cell r="H185">
            <v>370</v>
          </cell>
          <cell r="I185">
            <v>200</v>
          </cell>
          <cell r="J185">
            <v>2800</v>
          </cell>
          <cell r="K185">
            <v>2245</v>
          </cell>
          <cell r="L185">
            <v>550</v>
          </cell>
          <cell r="M185">
            <v>815</v>
          </cell>
          <cell r="N185">
            <v>480</v>
          </cell>
          <cell r="O185">
            <v>205</v>
          </cell>
          <cell r="P185">
            <v>95</v>
          </cell>
          <cell r="Q185">
            <v>30</v>
          </cell>
          <cell r="R185">
            <v>815</v>
          </cell>
          <cell r="S185">
            <v>645</v>
          </cell>
          <cell r="T185">
            <v>375</v>
          </cell>
          <cell r="U185">
            <v>215</v>
          </cell>
          <cell r="V185">
            <v>160</v>
          </cell>
          <cell r="W185">
            <v>80</v>
          </cell>
          <cell r="X185">
            <v>55</v>
          </cell>
          <cell r="Y185">
            <v>20</v>
          </cell>
          <cell r="Z185">
            <v>270</v>
          </cell>
          <cell r="AA185">
            <v>160</v>
          </cell>
          <cell r="AB185">
            <v>110</v>
          </cell>
          <cell r="AC185">
            <v>65</v>
          </cell>
          <cell r="AD185">
            <v>30</v>
          </cell>
          <cell r="AE185">
            <v>10</v>
          </cell>
          <cell r="AF185">
            <v>170</v>
          </cell>
          <cell r="AG185">
            <v>115</v>
          </cell>
          <cell r="AH185">
            <v>55</v>
          </cell>
          <cell r="AI185">
            <v>60</v>
          </cell>
          <cell r="AJ185">
            <v>10</v>
          </cell>
          <cell r="AK185">
            <v>50</v>
          </cell>
          <cell r="AL185">
            <v>50</v>
          </cell>
          <cell r="AM185">
            <v>0</v>
          </cell>
          <cell r="AN185">
            <v>0</v>
          </cell>
          <cell r="AO185">
            <v>660</v>
          </cell>
          <cell r="AP185">
            <v>85</v>
          </cell>
          <cell r="AQ185">
            <v>315</v>
          </cell>
          <cell r="AR185">
            <v>120</v>
          </cell>
          <cell r="AS185">
            <v>105</v>
          </cell>
          <cell r="AT185">
            <v>35</v>
          </cell>
          <cell r="AU185">
            <v>0.8</v>
          </cell>
          <cell r="AV185">
            <v>3080</v>
          </cell>
          <cell r="AW185">
            <v>955</v>
          </cell>
          <cell r="AX185">
            <v>105</v>
          </cell>
          <cell r="AY185">
            <v>150</v>
          </cell>
          <cell r="AZ185">
            <v>700</v>
          </cell>
          <cell r="BA185">
            <v>2120</v>
          </cell>
          <cell r="BB185">
            <v>2.6</v>
          </cell>
          <cell r="BC185">
            <v>520</v>
          </cell>
          <cell r="BD185">
            <v>280</v>
          </cell>
          <cell r="BE185">
            <v>35</v>
          </cell>
          <cell r="BF185">
            <v>10</v>
          </cell>
          <cell r="BG185">
            <v>235</v>
          </cell>
          <cell r="BH185">
            <v>240</v>
          </cell>
          <cell r="BI185">
            <v>1595</v>
          </cell>
          <cell r="BJ185">
            <v>4.8</v>
          </cell>
          <cell r="BK185">
            <v>7656</v>
          </cell>
          <cell r="BL185">
            <v>2</v>
          </cell>
          <cell r="BM185">
            <v>3190</v>
          </cell>
          <cell r="BN185">
            <v>1595</v>
          </cell>
          <cell r="BO185">
            <v>535</v>
          </cell>
          <cell r="BP185">
            <v>1060</v>
          </cell>
          <cell r="BQ185">
            <v>0</v>
          </cell>
          <cell r="BR185">
            <v>1595</v>
          </cell>
          <cell r="BS185">
            <v>1025</v>
          </cell>
          <cell r="BT185">
            <v>430</v>
          </cell>
          <cell r="BU185">
            <v>140</v>
          </cell>
          <cell r="BV185">
            <v>1595</v>
          </cell>
          <cell r="BW185">
            <v>390</v>
          </cell>
          <cell r="BX185">
            <v>580</v>
          </cell>
          <cell r="BY185">
            <v>180</v>
          </cell>
          <cell r="BZ185">
            <v>120</v>
          </cell>
          <cell r="CA185">
            <v>85</v>
          </cell>
          <cell r="CB185">
            <v>90</v>
          </cell>
          <cell r="CC185">
            <v>85</v>
          </cell>
          <cell r="CD185">
            <v>15</v>
          </cell>
          <cell r="CE185">
            <v>45</v>
          </cell>
          <cell r="CF185">
            <v>1600</v>
          </cell>
          <cell r="CG185">
            <v>50</v>
          </cell>
          <cell r="CH185">
            <v>25</v>
          </cell>
          <cell r="CI185">
            <v>30</v>
          </cell>
          <cell r="CJ185">
            <v>480</v>
          </cell>
          <cell r="CK185">
            <v>0</v>
          </cell>
          <cell r="CL185">
            <v>985</v>
          </cell>
          <cell r="CM185">
            <v>30</v>
          </cell>
          <cell r="CN185">
            <v>0</v>
          </cell>
          <cell r="CO185">
            <v>1600</v>
          </cell>
          <cell r="CP185">
            <v>700</v>
          </cell>
          <cell r="CQ185">
            <v>515</v>
          </cell>
          <cell r="CR185">
            <v>240</v>
          </cell>
          <cell r="CS185">
            <v>135</v>
          </cell>
          <cell r="CT185">
            <v>10</v>
          </cell>
          <cell r="CU185">
            <v>3085</v>
          </cell>
          <cell r="CV185">
            <v>1.9</v>
          </cell>
          <cell r="CW185">
            <v>1600</v>
          </cell>
          <cell r="CX185">
            <v>805</v>
          </cell>
          <cell r="CY185">
            <v>0</v>
          </cell>
          <cell r="CZ185">
            <v>790</v>
          </cell>
        </row>
        <row r="186">
          <cell r="A186" t="str">
            <v>4620006.00</v>
          </cell>
          <cell r="B186" t="str">
            <v>0006.00</v>
          </cell>
          <cell r="C186" t="str">
            <v>Mercier-Hochelaga-Maisonneuve</v>
          </cell>
          <cell r="D186">
            <v>3740</v>
          </cell>
          <cell r="E186">
            <v>2000</v>
          </cell>
          <cell r="F186">
            <v>975</v>
          </cell>
          <cell r="G186">
            <v>115</v>
          </cell>
          <cell r="H186">
            <v>445</v>
          </cell>
          <cell r="I186">
            <v>210</v>
          </cell>
          <cell r="J186">
            <v>3735</v>
          </cell>
          <cell r="K186">
            <v>2950</v>
          </cell>
          <cell r="L186">
            <v>785</v>
          </cell>
          <cell r="M186">
            <v>1230</v>
          </cell>
          <cell r="N186">
            <v>620</v>
          </cell>
          <cell r="O186">
            <v>310</v>
          </cell>
          <cell r="P186">
            <v>205</v>
          </cell>
          <cell r="Q186">
            <v>95</v>
          </cell>
          <cell r="R186">
            <v>1230</v>
          </cell>
          <cell r="S186">
            <v>875</v>
          </cell>
          <cell r="T186">
            <v>485</v>
          </cell>
          <cell r="U186">
            <v>235</v>
          </cell>
          <cell r="V186">
            <v>250</v>
          </cell>
          <cell r="W186">
            <v>105</v>
          </cell>
          <cell r="X186">
            <v>80</v>
          </cell>
          <cell r="Y186">
            <v>65</v>
          </cell>
          <cell r="Z186">
            <v>390</v>
          </cell>
          <cell r="AA186">
            <v>165</v>
          </cell>
          <cell r="AB186">
            <v>225</v>
          </cell>
          <cell r="AC186">
            <v>100</v>
          </cell>
          <cell r="AD186">
            <v>100</v>
          </cell>
          <cell r="AE186">
            <v>20</v>
          </cell>
          <cell r="AF186">
            <v>360</v>
          </cell>
          <cell r="AG186">
            <v>255</v>
          </cell>
          <cell r="AH186">
            <v>160</v>
          </cell>
          <cell r="AI186">
            <v>65</v>
          </cell>
          <cell r="AJ186">
            <v>30</v>
          </cell>
          <cell r="AK186">
            <v>100</v>
          </cell>
          <cell r="AL186">
            <v>60</v>
          </cell>
          <cell r="AM186">
            <v>40</v>
          </cell>
          <cell r="AN186">
            <v>0</v>
          </cell>
          <cell r="AO186">
            <v>1380</v>
          </cell>
          <cell r="AP186">
            <v>320</v>
          </cell>
          <cell r="AQ186">
            <v>510</v>
          </cell>
          <cell r="AR186">
            <v>210</v>
          </cell>
          <cell r="AS186">
            <v>200</v>
          </cell>
          <cell r="AT186">
            <v>150</v>
          </cell>
          <cell r="AU186">
            <v>1.1000000000000001</v>
          </cell>
          <cell r="AV186">
            <v>4490</v>
          </cell>
          <cell r="AW186">
            <v>1000</v>
          </cell>
          <cell r="AX186">
            <v>105</v>
          </cell>
          <cell r="AY186">
            <v>245</v>
          </cell>
          <cell r="AZ186">
            <v>655</v>
          </cell>
          <cell r="BA186">
            <v>3485</v>
          </cell>
          <cell r="BB186">
            <v>2.8</v>
          </cell>
          <cell r="BC186">
            <v>460</v>
          </cell>
          <cell r="BD186">
            <v>215</v>
          </cell>
          <cell r="BE186">
            <v>0</v>
          </cell>
          <cell r="BF186">
            <v>10</v>
          </cell>
          <cell r="BG186">
            <v>210</v>
          </cell>
          <cell r="BH186">
            <v>240</v>
          </cell>
          <cell r="BI186">
            <v>2010</v>
          </cell>
          <cell r="BJ186">
            <v>4.9000000000000004</v>
          </cell>
          <cell r="BK186">
            <v>9849</v>
          </cell>
          <cell r="BL186">
            <v>2.4</v>
          </cell>
          <cell r="BM186">
            <v>4824</v>
          </cell>
          <cell r="BN186">
            <v>2010</v>
          </cell>
          <cell r="BO186">
            <v>485</v>
          </cell>
          <cell r="BP186">
            <v>1525</v>
          </cell>
          <cell r="BQ186">
            <v>0</v>
          </cell>
          <cell r="BR186">
            <v>2010</v>
          </cell>
          <cell r="BS186">
            <v>1145</v>
          </cell>
          <cell r="BT186">
            <v>665</v>
          </cell>
          <cell r="BU186">
            <v>200</v>
          </cell>
          <cell r="BV186">
            <v>2010</v>
          </cell>
          <cell r="BW186">
            <v>70</v>
          </cell>
          <cell r="BX186">
            <v>580</v>
          </cell>
          <cell r="BY186">
            <v>880</v>
          </cell>
          <cell r="BZ186">
            <v>290</v>
          </cell>
          <cell r="CA186">
            <v>45</v>
          </cell>
          <cell r="CB186">
            <v>40</v>
          </cell>
          <cell r="CC186">
            <v>0</v>
          </cell>
          <cell r="CD186">
            <v>75</v>
          </cell>
          <cell r="CE186">
            <v>20</v>
          </cell>
          <cell r="CF186">
            <v>2015</v>
          </cell>
          <cell r="CG186">
            <v>65</v>
          </cell>
          <cell r="CH186">
            <v>30</v>
          </cell>
          <cell r="CI186">
            <v>100</v>
          </cell>
          <cell r="CJ186">
            <v>370</v>
          </cell>
          <cell r="CK186">
            <v>5</v>
          </cell>
          <cell r="CL186">
            <v>1440</v>
          </cell>
          <cell r="CM186">
            <v>0</v>
          </cell>
          <cell r="CN186">
            <v>5</v>
          </cell>
          <cell r="CO186">
            <v>2010</v>
          </cell>
          <cell r="CP186">
            <v>655</v>
          </cell>
          <cell r="CQ186">
            <v>695</v>
          </cell>
          <cell r="CR186">
            <v>330</v>
          </cell>
          <cell r="CS186">
            <v>315</v>
          </cell>
          <cell r="CT186">
            <v>20</v>
          </cell>
          <cell r="CU186">
            <v>4500</v>
          </cell>
          <cell r="CV186">
            <v>2.2000000000000002</v>
          </cell>
          <cell r="CW186">
            <v>2010</v>
          </cell>
          <cell r="CX186">
            <v>1215</v>
          </cell>
          <cell r="CY186">
            <v>10</v>
          </cell>
          <cell r="CZ186">
            <v>785</v>
          </cell>
        </row>
        <row r="187">
          <cell r="A187" t="str">
            <v>4620007.00</v>
          </cell>
          <cell r="B187" t="str">
            <v>0007.00</v>
          </cell>
          <cell r="C187" t="str">
            <v>Mercier-Hochelaga-Maisonneuve</v>
          </cell>
          <cell r="D187">
            <v>4990</v>
          </cell>
          <cell r="E187">
            <v>2265</v>
          </cell>
          <cell r="F187">
            <v>1570</v>
          </cell>
          <cell r="G187">
            <v>145</v>
          </cell>
          <cell r="H187">
            <v>640</v>
          </cell>
          <cell r="I187">
            <v>365</v>
          </cell>
          <cell r="J187">
            <v>4990</v>
          </cell>
          <cell r="K187">
            <v>4015</v>
          </cell>
          <cell r="L187">
            <v>975</v>
          </cell>
          <cell r="M187">
            <v>1625</v>
          </cell>
          <cell r="N187">
            <v>980</v>
          </cell>
          <cell r="O187">
            <v>380</v>
          </cell>
          <cell r="P187">
            <v>185</v>
          </cell>
          <cell r="Q187">
            <v>75</v>
          </cell>
          <cell r="R187">
            <v>1625</v>
          </cell>
          <cell r="S187">
            <v>1255</v>
          </cell>
          <cell r="T187">
            <v>760</v>
          </cell>
          <cell r="U187">
            <v>410</v>
          </cell>
          <cell r="V187">
            <v>350</v>
          </cell>
          <cell r="W187">
            <v>200</v>
          </cell>
          <cell r="X187">
            <v>110</v>
          </cell>
          <cell r="Y187">
            <v>35</v>
          </cell>
          <cell r="Z187">
            <v>490</v>
          </cell>
          <cell r="AA187">
            <v>300</v>
          </cell>
          <cell r="AB187">
            <v>190</v>
          </cell>
          <cell r="AC187">
            <v>90</v>
          </cell>
          <cell r="AD187">
            <v>70</v>
          </cell>
          <cell r="AE187">
            <v>30</v>
          </cell>
          <cell r="AF187">
            <v>370</v>
          </cell>
          <cell r="AG187">
            <v>285</v>
          </cell>
          <cell r="AH187">
            <v>195</v>
          </cell>
          <cell r="AI187">
            <v>75</v>
          </cell>
          <cell r="AJ187">
            <v>15</v>
          </cell>
          <cell r="AK187">
            <v>85</v>
          </cell>
          <cell r="AL187">
            <v>70</v>
          </cell>
          <cell r="AM187">
            <v>15</v>
          </cell>
          <cell r="AN187">
            <v>0</v>
          </cell>
          <cell r="AO187">
            <v>1375</v>
          </cell>
          <cell r="AP187">
            <v>245</v>
          </cell>
          <cell r="AQ187">
            <v>480</v>
          </cell>
          <cell r="AR187">
            <v>180</v>
          </cell>
          <cell r="AS187">
            <v>255</v>
          </cell>
          <cell r="AT187">
            <v>225</v>
          </cell>
          <cell r="AU187">
            <v>0.8</v>
          </cell>
          <cell r="AV187">
            <v>5640</v>
          </cell>
          <cell r="AW187">
            <v>1385</v>
          </cell>
          <cell r="AX187">
            <v>100</v>
          </cell>
          <cell r="AY187">
            <v>230</v>
          </cell>
          <cell r="AZ187">
            <v>1055</v>
          </cell>
          <cell r="BA187">
            <v>4260</v>
          </cell>
          <cell r="BB187">
            <v>2.6</v>
          </cell>
          <cell r="BC187">
            <v>1005</v>
          </cell>
          <cell r="BD187">
            <v>420</v>
          </cell>
          <cell r="BE187">
            <v>70</v>
          </cell>
          <cell r="BF187">
            <v>10</v>
          </cell>
          <cell r="BG187">
            <v>335</v>
          </cell>
          <cell r="BH187">
            <v>585</v>
          </cell>
          <cell r="BI187">
            <v>2805</v>
          </cell>
          <cell r="BJ187">
            <v>5</v>
          </cell>
          <cell r="BK187">
            <v>14025</v>
          </cell>
          <cell r="BL187">
            <v>2.1</v>
          </cell>
          <cell r="BM187">
            <v>5890.5</v>
          </cell>
          <cell r="BN187">
            <v>2800</v>
          </cell>
          <cell r="BO187">
            <v>1420</v>
          </cell>
          <cell r="BP187">
            <v>1380</v>
          </cell>
          <cell r="BQ187">
            <v>0</v>
          </cell>
          <cell r="BR187">
            <v>2805</v>
          </cell>
          <cell r="BS187">
            <v>1695</v>
          </cell>
          <cell r="BT187">
            <v>855</v>
          </cell>
          <cell r="BU187">
            <v>250</v>
          </cell>
          <cell r="BV187">
            <v>2800</v>
          </cell>
          <cell r="BW187">
            <v>180</v>
          </cell>
          <cell r="BX187">
            <v>1320</v>
          </cell>
          <cell r="BY187">
            <v>485</v>
          </cell>
          <cell r="BZ187">
            <v>225</v>
          </cell>
          <cell r="CA187">
            <v>405</v>
          </cell>
          <cell r="CB187">
            <v>105</v>
          </cell>
          <cell r="CC187">
            <v>60</v>
          </cell>
          <cell r="CD187">
            <v>0</v>
          </cell>
          <cell r="CE187">
            <v>20</v>
          </cell>
          <cell r="CF187">
            <v>2805</v>
          </cell>
          <cell r="CG187">
            <v>690</v>
          </cell>
          <cell r="CH187">
            <v>50</v>
          </cell>
          <cell r="CI187">
            <v>15</v>
          </cell>
          <cell r="CJ187">
            <v>440</v>
          </cell>
          <cell r="CK187">
            <v>105</v>
          </cell>
          <cell r="CL187">
            <v>1470</v>
          </cell>
          <cell r="CM187">
            <v>35</v>
          </cell>
          <cell r="CN187">
            <v>0</v>
          </cell>
          <cell r="CO187">
            <v>2805</v>
          </cell>
          <cell r="CP187">
            <v>1060</v>
          </cell>
          <cell r="CQ187">
            <v>1055</v>
          </cell>
          <cell r="CR187">
            <v>400</v>
          </cell>
          <cell r="CS187">
            <v>270</v>
          </cell>
          <cell r="CT187">
            <v>25</v>
          </cell>
          <cell r="CU187">
            <v>5650</v>
          </cell>
          <cell r="CV187">
            <v>2</v>
          </cell>
          <cell r="CW187">
            <v>2800</v>
          </cell>
          <cell r="CX187">
            <v>1600</v>
          </cell>
          <cell r="CY187">
            <v>15</v>
          </cell>
          <cell r="CZ187">
            <v>1185</v>
          </cell>
        </row>
        <row r="188">
          <cell r="A188" t="str">
            <v>4620008.00</v>
          </cell>
          <cell r="B188" t="str">
            <v>0008.00</v>
          </cell>
          <cell r="C188" t="str">
            <v>Mercier-Hochelaga-Maisonneuve</v>
          </cell>
          <cell r="D188">
            <v>2555</v>
          </cell>
          <cell r="E188">
            <v>1330</v>
          </cell>
          <cell r="F188">
            <v>655</v>
          </cell>
          <cell r="G188">
            <v>70</v>
          </cell>
          <cell r="H188">
            <v>335</v>
          </cell>
          <cell r="I188">
            <v>165</v>
          </cell>
          <cell r="J188">
            <v>2555</v>
          </cell>
          <cell r="K188">
            <v>1945</v>
          </cell>
          <cell r="L188">
            <v>610</v>
          </cell>
          <cell r="M188">
            <v>795</v>
          </cell>
          <cell r="N188">
            <v>430</v>
          </cell>
          <cell r="O188">
            <v>170</v>
          </cell>
          <cell r="P188">
            <v>130</v>
          </cell>
          <cell r="Q188">
            <v>60</v>
          </cell>
          <cell r="R188">
            <v>795</v>
          </cell>
          <cell r="S188">
            <v>630</v>
          </cell>
          <cell r="T188">
            <v>325</v>
          </cell>
          <cell r="U188">
            <v>165</v>
          </cell>
          <cell r="V188">
            <v>155</v>
          </cell>
          <cell r="W188">
            <v>80</v>
          </cell>
          <cell r="X188">
            <v>55</v>
          </cell>
          <cell r="Y188">
            <v>15</v>
          </cell>
          <cell r="Z188">
            <v>310</v>
          </cell>
          <cell r="AA188">
            <v>160</v>
          </cell>
          <cell r="AB188">
            <v>155</v>
          </cell>
          <cell r="AC188">
            <v>60</v>
          </cell>
          <cell r="AD188">
            <v>65</v>
          </cell>
          <cell r="AE188">
            <v>30</v>
          </cell>
          <cell r="AF188">
            <v>160</v>
          </cell>
          <cell r="AG188">
            <v>130</v>
          </cell>
          <cell r="AH188">
            <v>75</v>
          </cell>
          <cell r="AI188">
            <v>25</v>
          </cell>
          <cell r="AJ188">
            <v>30</v>
          </cell>
          <cell r="AK188">
            <v>30</v>
          </cell>
          <cell r="AL188">
            <v>30</v>
          </cell>
          <cell r="AM188">
            <v>10</v>
          </cell>
          <cell r="AN188">
            <v>0</v>
          </cell>
          <cell r="AO188">
            <v>790</v>
          </cell>
          <cell r="AP188">
            <v>125</v>
          </cell>
          <cell r="AQ188">
            <v>290</v>
          </cell>
          <cell r="AR188">
            <v>160</v>
          </cell>
          <cell r="AS188">
            <v>145</v>
          </cell>
          <cell r="AT188">
            <v>60</v>
          </cell>
          <cell r="AU188">
            <v>1</v>
          </cell>
          <cell r="AV188">
            <v>2950</v>
          </cell>
          <cell r="AW188">
            <v>735</v>
          </cell>
          <cell r="AX188">
            <v>40</v>
          </cell>
          <cell r="AY188">
            <v>125</v>
          </cell>
          <cell r="AZ188">
            <v>570</v>
          </cell>
          <cell r="BA188">
            <v>2215</v>
          </cell>
          <cell r="BB188">
            <v>2.8</v>
          </cell>
          <cell r="BC188">
            <v>410</v>
          </cell>
          <cell r="BD188">
            <v>200</v>
          </cell>
          <cell r="BE188">
            <v>10</v>
          </cell>
          <cell r="BF188">
            <v>0</v>
          </cell>
          <cell r="BG188">
            <v>180</v>
          </cell>
          <cell r="BH188">
            <v>210</v>
          </cell>
          <cell r="BI188">
            <v>1420</v>
          </cell>
          <cell r="BJ188">
            <v>5.2</v>
          </cell>
          <cell r="BK188">
            <v>7384</v>
          </cell>
          <cell r="BL188">
            <v>2.2000000000000002</v>
          </cell>
          <cell r="BM188">
            <v>3124.0000000000005</v>
          </cell>
          <cell r="BN188">
            <v>1420</v>
          </cell>
          <cell r="BO188">
            <v>750</v>
          </cell>
          <cell r="BP188">
            <v>675</v>
          </cell>
          <cell r="BQ188">
            <v>0</v>
          </cell>
          <cell r="BR188">
            <v>1425</v>
          </cell>
          <cell r="BS188">
            <v>920</v>
          </cell>
          <cell r="BT188">
            <v>385</v>
          </cell>
          <cell r="BU188">
            <v>115</v>
          </cell>
          <cell r="BV188">
            <v>1420</v>
          </cell>
          <cell r="BW188">
            <v>310</v>
          </cell>
          <cell r="BX188">
            <v>645</v>
          </cell>
          <cell r="BY188">
            <v>195</v>
          </cell>
          <cell r="BZ188">
            <v>60</v>
          </cell>
          <cell r="CA188">
            <v>80</v>
          </cell>
          <cell r="CB188">
            <v>100</v>
          </cell>
          <cell r="CC188">
            <v>25</v>
          </cell>
          <cell r="CD188">
            <v>0</v>
          </cell>
          <cell r="CE188">
            <v>10</v>
          </cell>
          <cell r="CF188">
            <v>1425</v>
          </cell>
          <cell r="CG188">
            <v>140</v>
          </cell>
          <cell r="CH188">
            <v>190</v>
          </cell>
          <cell r="CI188">
            <v>10</v>
          </cell>
          <cell r="CJ188">
            <v>380</v>
          </cell>
          <cell r="CK188">
            <v>35</v>
          </cell>
          <cell r="CL188">
            <v>655</v>
          </cell>
          <cell r="CM188">
            <v>5</v>
          </cell>
          <cell r="CN188">
            <v>0</v>
          </cell>
          <cell r="CO188">
            <v>1425</v>
          </cell>
          <cell r="CP188">
            <v>570</v>
          </cell>
          <cell r="CQ188">
            <v>460</v>
          </cell>
          <cell r="CR188">
            <v>200</v>
          </cell>
          <cell r="CS188">
            <v>185</v>
          </cell>
          <cell r="CT188">
            <v>15</v>
          </cell>
          <cell r="CU188">
            <v>2950</v>
          </cell>
          <cell r="CV188">
            <v>2.1</v>
          </cell>
          <cell r="CW188">
            <v>1425</v>
          </cell>
          <cell r="CX188">
            <v>790</v>
          </cell>
          <cell r="CY188">
            <v>0</v>
          </cell>
          <cell r="CZ188">
            <v>630</v>
          </cell>
        </row>
        <row r="189">
          <cell r="A189" t="str">
            <v>4620009.00</v>
          </cell>
          <cell r="B189" t="str">
            <v>0009.00</v>
          </cell>
          <cell r="C189" t="str">
            <v>Mercier-Hochelaga-Maisonneuve</v>
          </cell>
          <cell r="D189">
            <v>3080</v>
          </cell>
          <cell r="E189">
            <v>1590</v>
          </cell>
          <cell r="F189">
            <v>870</v>
          </cell>
          <cell r="G189">
            <v>80</v>
          </cell>
          <cell r="H189">
            <v>365</v>
          </cell>
          <cell r="I189">
            <v>180</v>
          </cell>
          <cell r="J189">
            <v>3080</v>
          </cell>
          <cell r="K189">
            <v>2490</v>
          </cell>
          <cell r="L189">
            <v>585</v>
          </cell>
          <cell r="M189">
            <v>920</v>
          </cell>
          <cell r="N189">
            <v>520</v>
          </cell>
          <cell r="O189">
            <v>215</v>
          </cell>
          <cell r="P189">
            <v>150</v>
          </cell>
          <cell r="Q189">
            <v>35</v>
          </cell>
          <cell r="R189">
            <v>920</v>
          </cell>
          <cell r="S189">
            <v>715</v>
          </cell>
          <cell r="T189">
            <v>445</v>
          </cell>
          <cell r="U189">
            <v>245</v>
          </cell>
          <cell r="V189">
            <v>200</v>
          </cell>
          <cell r="W189">
            <v>105</v>
          </cell>
          <cell r="X189">
            <v>70</v>
          </cell>
          <cell r="Y189">
            <v>20</v>
          </cell>
          <cell r="Z189">
            <v>265</v>
          </cell>
          <cell r="AA189">
            <v>145</v>
          </cell>
          <cell r="AB189">
            <v>120</v>
          </cell>
          <cell r="AC189">
            <v>60</v>
          </cell>
          <cell r="AD189">
            <v>40</v>
          </cell>
          <cell r="AE189">
            <v>15</v>
          </cell>
          <cell r="AF189">
            <v>205</v>
          </cell>
          <cell r="AG189">
            <v>175</v>
          </cell>
          <cell r="AH189">
            <v>100</v>
          </cell>
          <cell r="AI189">
            <v>40</v>
          </cell>
          <cell r="AJ189">
            <v>35</v>
          </cell>
          <cell r="AK189">
            <v>30</v>
          </cell>
          <cell r="AL189">
            <v>25</v>
          </cell>
          <cell r="AM189">
            <v>0</v>
          </cell>
          <cell r="AN189">
            <v>0</v>
          </cell>
          <cell r="AO189">
            <v>850</v>
          </cell>
          <cell r="AP189">
            <v>170</v>
          </cell>
          <cell r="AQ189">
            <v>280</v>
          </cell>
          <cell r="AR189">
            <v>110</v>
          </cell>
          <cell r="AS189">
            <v>175</v>
          </cell>
          <cell r="AT189">
            <v>115</v>
          </cell>
          <cell r="AU189">
            <v>0.9</v>
          </cell>
          <cell r="AV189">
            <v>3510</v>
          </cell>
          <cell r="AW189">
            <v>1025</v>
          </cell>
          <cell r="AX189">
            <v>125</v>
          </cell>
          <cell r="AY189">
            <v>320</v>
          </cell>
          <cell r="AZ189">
            <v>580</v>
          </cell>
          <cell r="BA189">
            <v>2485</v>
          </cell>
          <cell r="BB189">
            <v>2.7</v>
          </cell>
          <cell r="BC189">
            <v>450</v>
          </cell>
          <cell r="BD189">
            <v>180</v>
          </cell>
          <cell r="BE189">
            <v>35</v>
          </cell>
          <cell r="BF189">
            <v>15</v>
          </cell>
          <cell r="BG189">
            <v>130</v>
          </cell>
          <cell r="BH189">
            <v>270</v>
          </cell>
          <cell r="BI189">
            <v>1640</v>
          </cell>
          <cell r="BJ189">
            <v>5</v>
          </cell>
          <cell r="BK189">
            <v>8200</v>
          </cell>
          <cell r="BL189">
            <v>2.2000000000000002</v>
          </cell>
          <cell r="BM189">
            <v>3608.0000000000005</v>
          </cell>
          <cell r="BN189">
            <v>1645</v>
          </cell>
          <cell r="BO189">
            <v>660</v>
          </cell>
          <cell r="BP189">
            <v>980</v>
          </cell>
          <cell r="BQ189">
            <v>0</v>
          </cell>
          <cell r="BR189">
            <v>1640</v>
          </cell>
          <cell r="BS189">
            <v>945</v>
          </cell>
          <cell r="BT189">
            <v>510</v>
          </cell>
          <cell r="BU189">
            <v>185</v>
          </cell>
          <cell r="BV189">
            <v>1640</v>
          </cell>
          <cell r="BW189">
            <v>290</v>
          </cell>
          <cell r="BX189">
            <v>720</v>
          </cell>
          <cell r="BY189">
            <v>430</v>
          </cell>
          <cell r="BZ189">
            <v>120</v>
          </cell>
          <cell r="CA189">
            <v>30</v>
          </cell>
          <cell r="CB189">
            <v>40</v>
          </cell>
          <cell r="CC189">
            <v>10</v>
          </cell>
          <cell r="CD189">
            <v>0</v>
          </cell>
          <cell r="CE189">
            <v>10</v>
          </cell>
          <cell r="CF189">
            <v>1645</v>
          </cell>
          <cell r="CG189">
            <v>195</v>
          </cell>
          <cell r="CH189">
            <v>15</v>
          </cell>
          <cell r="CI189">
            <v>30</v>
          </cell>
          <cell r="CJ189">
            <v>470</v>
          </cell>
          <cell r="CK189">
            <v>10</v>
          </cell>
          <cell r="CL189">
            <v>915</v>
          </cell>
          <cell r="CM189">
            <v>10</v>
          </cell>
          <cell r="CN189">
            <v>0</v>
          </cell>
          <cell r="CO189">
            <v>1645</v>
          </cell>
          <cell r="CP189">
            <v>580</v>
          </cell>
          <cell r="CQ189">
            <v>575</v>
          </cell>
          <cell r="CR189">
            <v>275</v>
          </cell>
          <cell r="CS189">
            <v>190</v>
          </cell>
          <cell r="CT189">
            <v>20</v>
          </cell>
          <cell r="CU189">
            <v>3510</v>
          </cell>
          <cell r="CV189">
            <v>2.1</v>
          </cell>
          <cell r="CW189">
            <v>1640</v>
          </cell>
          <cell r="CX189">
            <v>895</v>
          </cell>
          <cell r="CY189">
            <v>10</v>
          </cell>
          <cell r="CZ189">
            <v>735</v>
          </cell>
        </row>
        <row r="190">
          <cell r="A190" t="str">
            <v>4620010.00</v>
          </cell>
          <cell r="B190" t="str">
            <v>0010.00</v>
          </cell>
          <cell r="C190" t="str">
            <v>Mercier-Hochelaga-Maisonneuve</v>
          </cell>
          <cell r="D190">
            <v>1185</v>
          </cell>
          <cell r="E190">
            <v>590</v>
          </cell>
          <cell r="F190">
            <v>340</v>
          </cell>
          <cell r="G190">
            <v>30</v>
          </cell>
          <cell r="H190">
            <v>140</v>
          </cell>
          <cell r="I190">
            <v>85</v>
          </cell>
          <cell r="J190">
            <v>1185</v>
          </cell>
          <cell r="K190">
            <v>945</v>
          </cell>
          <cell r="L190">
            <v>240</v>
          </cell>
          <cell r="M190">
            <v>370</v>
          </cell>
          <cell r="N190">
            <v>215</v>
          </cell>
          <cell r="O190">
            <v>95</v>
          </cell>
          <cell r="P190">
            <v>35</v>
          </cell>
          <cell r="Q190">
            <v>25</v>
          </cell>
          <cell r="R190">
            <v>370</v>
          </cell>
          <cell r="S190">
            <v>295</v>
          </cell>
          <cell r="T190">
            <v>155</v>
          </cell>
          <cell r="U190">
            <v>85</v>
          </cell>
          <cell r="V190">
            <v>70</v>
          </cell>
          <cell r="W190">
            <v>45</v>
          </cell>
          <cell r="X190">
            <v>15</v>
          </cell>
          <cell r="Y190">
            <v>10</v>
          </cell>
          <cell r="Z190">
            <v>140</v>
          </cell>
          <cell r="AA190">
            <v>90</v>
          </cell>
          <cell r="AB190">
            <v>50</v>
          </cell>
          <cell r="AC190">
            <v>20</v>
          </cell>
          <cell r="AD190">
            <v>20</v>
          </cell>
          <cell r="AE190">
            <v>0</v>
          </cell>
          <cell r="AF190">
            <v>75</v>
          </cell>
          <cell r="AG190">
            <v>70</v>
          </cell>
          <cell r="AH190">
            <v>35</v>
          </cell>
          <cell r="AI190">
            <v>25</v>
          </cell>
          <cell r="AJ190">
            <v>10</v>
          </cell>
          <cell r="AK190">
            <v>0</v>
          </cell>
          <cell r="AL190">
            <v>0</v>
          </cell>
          <cell r="AM190">
            <v>0</v>
          </cell>
          <cell r="AN190">
            <v>0</v>
          </cell>
          <cell r="AO190">
            <v>315</v>
          </cell>
          <cell r="AP190">
            <v>60</v>
          </cell>
          <cell r="AQ190">
            <v>125</v>
          </cell>
          <cell r="AR190">
            <v>30</v>
          </cell>
          <cell r="AS190">
            <v>55</v>
          </cell>
          <cell r="AT190">
            <v>40</v>
          </cell>
          <cell r="AU190">
            <v>0.8</v>
          </cell>
          <cell r="AV190">
            <v>1280</v>
          </cell>
          <cell r="AW190">
            <v>300</v>
          </cell>
          <cell r="AX190">
            <v>0</v>
          </cell>
          <cell r="AY190">
            <v>40</v>
          </cell>
          <cell r="AZ190">
            <v>260</v>
          </cell>
          <cell r="BA190">
            <v>980</v>
          </cell>
          <cell r="BB190">
            <v>2.6</v>
          </cell>
          <cell r="BC190">
            <v>195</v>
          </cell>
          <cell r="BD190">
            <v>60</v>
          </cell>
          <cell r="BE190">
            <v>0</v>
          </cell>
          <cell r="BF190">
            <v>10</v>
          </cell>
          <cell r="BG190">
            <v>55</v>
          </cell>
          <cell r="BH190">
            <v>140</v>
          </cell>
          <cell r="BI190">
            <v>645</v>
          </cell>
          <cell r="BJ190">
            <v>5</v>
          </cell>
          <cell r="BK190">
            <v>3225</v>
          </cell>
          <cell r="BL190">
            <v>2.1</v>
          </cell>
          <cell r="BM190">
            <v>1354.5</v>
          </cell>
          <cell r="BN190">
            <v>640</v>
          </cell>
          <cell r="BO190">
            <v>280</v>
          </cell>
          <cell r="BP190">
            <v>360</v>
          </cell>
          <cell r="BQ190">
            <v>0</v>
          </cell>
          <cell r="BR190">
            <v>640</v>
          </cell>
          <cell r="BS190">
            <v>390</v>
          </cell>
          <cell r="BT190">
            <v>195</v>
          </cell>
          <cell r="BU190">
            <v>55</v>
          </cell>
          <cell r="BV190">
            <v>640</v>
          </cell>
          <cell r="BW190">
            <v>145</v>
          </cell>
          <cell r="BX190">
            <v>315</v>
          </cell>
          <cell r="BY190">
            <v>100</v>
          </cell>
          <cell r="BZ190">
            <v>35</v>
          </cell>
          <cell r="CA190">
            <v>15</v>
          </cell>
          <cell r="CB190">
            <v>20</v>
          </cell>
          <cell r="CC190">
            <v>0</v>
          </cell>
          <cell r="CD190">
            <v>0</v>
          </cell>
          <cell r="CE190">
            <v>0</v>
          </cell>
          <cell r="CF190">
            <v>645</v>
          </cell>
          <cell r="CG190">
            <v>30</v>
          </cell>
          <cell r="CH190">
            <v>5</v>
          </cell>
          <cell r="CI190">
            <v>30</v>
          </cell>
          <cell r="CJ190">
            <v>300</v>
          </cell>
          <cell r="CK190">
            <v>0</v>
          </cell>
          <cell r="CL190">
            <v>265</v>
          </cell>
          <cell r="CM190">
            <v>10</v>
          </cell>
          <cell r="CN190">
            <v>0</v>
          </cell>
          <cell r="CO190">
            <v>640</v>
          </cell>
          <cell r="CP190">
            <v>260</v>
          </cell>
          <cell r="CQ190">
            <v>215</v>
          </cell>
          <cell r="CR190">
            <v>100</v>
          </cell>
          <cell r="CS190">
            <v>65</v>
          </cell>
          <cell r="CT190">
            <v>5</v>
          </cell>
          <cell r="CU190">
            <v>1280</v>
          </cell>
          <cell r="CV190">
            <v>2</v>
          </cell>
          <cell r="CW190">
            <v>640</v>
          </cell>
          <cell r="CX190">
            <v>360</v>
          </cell>
          <cell r="CY190">
            <v>10</v>
          </cell>
          <cell r="CZ190">
            <v>280</v>
          </cell>
        </row>
        <row r="191">
          <cell r="A191" t="str">
            <v>4620011.00</v>
          </cell>
          <cell r="B191" t="str">
            <v>0011.00</v>
          </cell>
          <cell r="C191" t="str">
            <v>Mercier-Hochelaga-Maisonneuve</v>
          </cell>
          <cell r="D191">
            <v>4570</v>
          </cell>
          <cell r="E191">
            <v>2230</v>
          </cell>
          <cell r="F191">
            <v>1240</v>
          </cell>
          <cell r="G191">
            <v>115</v>
          </cell>
          <cell r="H191">
            <v>515</v>
          </cell>
          <cell r="I191">
            <v>470</v>
          </cell>
          <cell r="J191">
            <v>4575</v>
          </cell>
          <cell r="K191">
            <v>3825</v>
          </cell>
          <cell r="L191">
            <v>745</v>
          </cell>
          <cell r="M191">
            <v>1195</v>
          </cell>
          <cell r="N191">
            <v>675</v>
          </cell>
          <cell r="O191">
            <v>280</v>
          </cell>
          <cell r="P191">
            <v>190</v>
          </cell>
          <cell r="Q191">
            <v>50</v>
          </cell>
          <cell r="R191">
            <v>1200</v>
          </cell>
          <cell r="S191">
            <v>975</v>
          </cell>
          <cell r="T191">
            <v>600</v>
          </cell>
          <cell r="U191">
            <v>305</v>
          </cell>
          <cell r="V191">
            <v>300</v>
          </cell>
          <cell r="W191">
            <v>160</v>
          </cell>
          <cell r="X191">
            <v>105</v>
          </cell>
          <cell r="Y191">
            <v>35</v>
          </cell>
          <cell r="Z191">
            <v>375</v>
          </cell>
          <cell r="AA191">
            <v>210</v>
          </cell>
          <cell r="AB191">
            <v>160</v>
          </cell>
          <cell r="AC191">
            <v>80</v>
          </cell>
          <cell r="AD191">
            <v>70</v>
          </cell>
          <cell r="AE191">
            <v>15</v>
          </cell>
          <cell r="AF191">
            <v>220</v>
          </cell>
          <cell r="AG191">
            <v>170</v>
          </cell>
          <cell r="AH191">
            <v>110</v>
          </cell>
          <cell r="AI191">
            <v>45</v>
          </cell>
          <cell r="AJ191">
            <v>10</v>
          </cell>
          <cell r="AK191">
            <v>45</v>
          </cell>
          <cell r="AL191">
            <v>50</v>
          </cell>
          <cell r="AM191">
            <v>0</v>
          </cell>
          <cell r="AN191">
            <v>0</v>
          </cell>
          <cell r="AO191">
            <v>1060</v>
          </cell>
          <cell r="AP191">
            <v>195</v>
          </cell>
          <cell r="AQ191">
            <v>385</v>
          </cell>
          <cell r="AR191">
            <v>115</v>
          </cell>
          <cell r="AS191">
            <v>205</v>
          </cell>
          <cell r="AT191">
            <v>160</v>
          </cell>
          <cell r="AU191">
            <v>0.9</v>
          </cell>
          <cell r="AV191">
            <v>4370</v>
          </cell>
          <cell r="AW191">
            <v>1140</v>
          </cell>
          <cell r="AX191">
            <v>80</v>
          </cell>
          <cell r="AY191">
            <v>190</v>
          </cell>
          <cell r="AZ191">
            <v>865</v>
          </cell>
          <cell r="BA191">
            <v>3235</v>
          </cell>
          <cell r="BB191">
            <v>2.7</v>
          </cell>
          <cell r="BC191">
            <v>830</v>
          </cell>
          <cell r="BD191">
            <v>365</v>
          </cell>
          <cell r="BE191">
            <v>10</v>
          </cell>
          <cell r="BF191">
            <v>30</v>
          </cell>
          <cell r="BG191">
            <v>325</v>
          </cell>
          <cell r="BH191">
            <v>460</v>
          </cell>
          <cell r="BI191">
            <v>2175</v>
          </cell>
          <cell r="BJ191">
            <v>4.9000000000000004</v>
          </cell>
          <cell r="BK191">
            <v>10657.5</v>
          </cell>
          <cell r="BL191">
            <v>2.1</v>
          </cell>
          <cell r="BM191">
            <v>4567.5</v>
          </cell>
          <cell r="BN191">
            <v>2170</v>
          </cell>
          <cell r="BO191">
            <v>1000</v>
          </cell>
          <cell r="BP191">
            <v>1170</v>
          </cell>
          <cell r="BQ191">
            <v>0</v>
          </cell>
          <cell r="BR191">
            <v>2170</v>
          </cell>
          <cell r="BS191">
            <v>1565</v>
          </cell>
          <cell r="BT191">
            <v>515</v>
          </cell>
          <cell r="BU191">
            <v>95</v>
          </cell>
          <cell r="BV191">
            <v>2170</v>
          </cell>
          <cell r="BW191">
            <v>105</v>
          </cell>
          <cell r="BX191">
            <v>920</v>
          </cell>
          <cell r="BY191">
            <v>535</v>
          </cell>
          <cell r="BZ191">
            <v>140</v>
          </cell>
          <cell r="CA191">
            <v>95</v>
          </cell>
          <cell r="CB191">
            <v>45</v>
          </cell>
          <cell r="CC191">
            <v>10</v>
          </cell>
          <cell r="CD191">
            <v>70</v>
          </cell>
          <cell r="CE191">
            <v>250</v>
          </cell>
          <cell r="CF191">
            <v>2170</v>
          </cell>
          <cell r="CG191">
            <v>305</v>
          </cell>
          <cell r="CH191">
            <v>50</v>
          </cell>
          <cell r="CI191">
            <v>170</v>
          </cell>
          <cell r="CJ191">
            <v>395</v>
          </cell>
          <cell r="CK191">
            <v>95</v>
          </cell>
          <cell r="CL191">
            <v>1155</v>
          </cell>
          <cell r="CM191">
            <v>0</v>
          </cell>
          <cell r="CN191">
            <v>0</v>
          </cell>
          <cell r="CO191">
            <v>2170</v>
          </cell>
          <cell r="CP191">
            <v>865</v>
          </cell>
          <cell r="CQ191">
            <v>765</v>
          </cell>
          <cell r="CR191">
            <v>300</v>
          </cell>
          <cell r="CS191">
            <v>220</v>
          </cell>
          <cell r="CT191">
            <v>25</v>
          </cell>
          <cell r="CU191">
            <v>4370</v>
          </cell>
          <cell r="CV191">
            <v>2</v>
          </cell>
          <cell r="CW191">
            <v>2175</v>
          </cell>
          <cell r="CX191">
            <v>1185</v>
          </cell>
          <cell r="CY191">
            <v>0</v>
          </cell>
          <cell r="CZ191">
            <v>980</v>
          </cell>
        </row>
        <row r="192">
          <cell r="A192" t="str">
            <v>4620012.01</v>
          </cell>
          <cell r="B192" t="str">
            <v>0012.01</v>
          </cell>
          <cell r="C192" t="str">
            <v>Mercier-Hochelaga-Maisonneuve</v>
          </cell>
          <cell r="D192">
            <v>2165</v>
          </cell>
          <cell r="E192">
            <v>1040</v>
          </cell>
          <cell r="F192">
            <v>575</v>
          </cell>
          <cell r="G192">
            <v>60</v>
          </cell>
          <cell r="H192">
            <v>315</v>
          </cell>
          <cell r="I192">
            <v>180</v>
          </cell>
          <cell r="J192">
            <v>2165</v>
          </cell>
          <cell r="K192">
            <v>1840</v>
          </cell>
          <cell r="L192">
            <v>320</v>
          </cell>
          <cell r="M192">
            <v>685</v>
          </cell>
          <cell r="N192">
            <v>440</v>
          </cell>
          <cell r="O192">
            <v>135</v>
          </cell>
          <cell r="P192">
            <v>85</v>
          </cell>
          <cell r="Q192">
            <v>25</v>
          </cell>
          <cell r="R192">
            <v>680</v>
          </cell>
          <cell r="S192">
            <v>440</v>
          </cell>
          <cell r="T192">
            <v>280</v>
          </cell>
          <cell r="U192">
            <v>120</v>
          </cell>
          <cell r="V192">
            <v>160</v>
          </cell>
          <cell r="W192">
            <v>65</v>
          </cell>
          <cell r="X192">
            <v>70</v>
          </cell>
          <cell r="Y192">
            <v>25</v>
          </cell>
          <cell r="Z192">
            <v>165</v>
          </cell>
          <cell r="AA192">
            <v>135</v>
          </cell>
          <cell r="AB192">
            <v>25</v>
          </cell>
          <cell r="AC192">
            <v>20</v>
          </cell>
          <cell r="AD192">
            <v>0</v>
          </cell>
          <cell r="AE192">
            <v>0</v>
          </cell>
          <cell r="AF192">
            <v>240</v>
          </cell>
          <cell r="AG192">
            <v>200</v>
          </cell>
          <cell r="AH192">
            <v>160</v>
          </cell>
          <cell r="AI192">
            <v>25</v>
          </cell>
          <cell r="AJ192">
            <v>15</v>
          </cell>
          <cell r="AK192">
            <v>40</v>
          </cell>
          <cell r="AL192">
            <v>20</v>
          </cell>
          <cell r="AM192">
            <v>20</v>
          </cell>
          <cell r="AN192">
            <v>0</v>
          </cell>
          <cell r="AO192">
            <v>615</v>
          </cell>
          <cell r="AP192">
            <v>115</v>
          </cell>
          <cell r="AQ192">
            <v>215</v>
          </cell>
          <cell r="AR192">
            <v>50</v>
          </cell>
          <cell r="AS192">
            <v>135</v>
          </cell>
          <cell r="AT192">
            <v>100</v>
          </cell>
          <cell r="AU192">
            <v>0.9</v>
          </cell>
          <cell r="AV192">
            <v>2490</v>
          </cell>
          <cell r="AW192">
            <v>745</v>
          </cell>
          <cell r="AX192">
            <v>25</v>
          </cell>
          <cell r="AY192">
            <v>120</v>
          </cell>
          <cell r="AZ192">
            <v>600</v>
          </cell>
          <cell r="BA192">
            <v>1740</v>
          </cell>
          <cell r="BB192">
            <v>2.6</v>
          </cell>
          <cell r="BC192">
            <v>445</v>
          </cell>
          <cell r="BD192">
            <v>265</v>
          </cell>
          <cell r="BE192">
            <v>10</v>
          </cell>
          <cell r="BF192">
            <v>10</v>
          </cell>
          <cell r="BG192">
            <v>245</v>
          </cell>
          <cell r="BH192">
            <v>180</v>
          </cell>
          <cell r="BI192">
            <v>1305</v>
          </cell>
          <cell r="BJ192">
            <v>4.0999999999999996</v>
          </cell>
          <cell r="BK192">
            <v>5350.4999999999991</v>
          </cell>
          <cell r="BL192">
            <v>1.8</v>
          </cell>
          <cell r="BM192">
            <v>2349</v>
          </cell>
          <cell r="BN192">
            <v>1305</v>
          </cell>
          <cell r="BO192">
            <v>120</v>
          </cell>
          <cell r="BP192">
            <v>1185</v>
          </cell>
          <cell r="BQ192">
            <v>0</v>
          </cell>
          <cell r="BR192">
            <v>1305</v>
          </cell>
          <cell r="BS192">
            <v>975</v>
          </cell>
          <cell r="BT192">
            <v>265</v>
          </cell>
          <cell r="BU192">
            <v>65</v>
          </cell>
          <cell r="BV192">
            <v>1305</v>
          </cell>
          <cell r="BW192">
            <v>105</v>
          </cell>
          <cell r="BX192">
            <v>555</v>
          </cell>
          <cell r="BY192">
            <v>450</v>
          </cell>
          <cell r="BZ192">
            <v>160</v>
          </cell>
          <cell r="CA192">
            <v>25</v>
          </cell>
          <cell r="CB192">
            <v>0</v>
          </cell>
          <cell r="CC192">
            <v>0</v>
          </cell>
          <cell r="CD192">
            <v>0</v>
          </cell>
          <cell r="CE192">
            <v>0</v>
          </cell>
          <cell r="CF192">
            <v>1305</v>
          </cell>
          <cell r="CG192">
            <v>5</v>
          </cell>
          <cell r="CH192">
            <v>0</v>
          </cell>
          <cell r="CI192">
            <v>0</v>
          </cell>
          <cell r="CJ192">
            <v>140</v>
          </cell>
          <cell r="CK192">
            <v>10</v>
          </cell>
          <cell r="CL192">
            <v>1155</v>
          </cell>
          <cell r="CM192">
            <v>0</v>
          </cell>
          <cell r="CN192">
            <v>0</v>
          </cell>
          <cell r="CO192">
            <v>1305</v>
          </cell>
          <cell r="CP192">
            <v>600</v>
          </cell>
          <cell r="CQ192">
            <v>435</v>
          </cell>
          <cell r="CR192">
            <v>135</v>
          </cell>
          <cell r="CS192">
            <v>130</v>
          </cell>
          <cell r="CT192">
            <v>10</v>
          </cell>
          <cell r="CU192">
            <v>2485</v>
          </cell>
          <cell r="CV192">
            <v>1.9</v>
          </cell>
          <cell r="CW192">
            <v>1305</v>
          </cell>
          <cell r="CX192">
            <v>645</v>
          </cell>
          <cell r="CY192">
            <v>15</v>
          </cell>
          <cell r="CZ192">
            <v>640</v>
          </cell>
        </row>
        <row r="193">
          <cell r="A193" t="str">
            <v>4620012.02</v>
          </cell>
          <cell r="B193" t="str">
            <v>0012.02</v>
          </cell>
          <cell r="C193" t="str">
            <v>Mercier-Hochelaga-Maisonneuve</v>
          </cell>
          <cell r="D193">
            <v>3550</v>
          </cell>
          <cell r="E193">
            <v>1690</v>
          </cell>
          <cell r="F193">
            <v>1020</v>
          </cell>
          <cell r="G193">
            <v>105</v>
          </cell>
          <cell r="H193">
            <v>445</v>
          </cell>
          <cell r="I193">
            <v>285</v>
          </cell>
          <cell r="J193">
            <v>3550</v>
          </cell>
          <cell r="K193">
            <v>3065</v>
          </cell>
          <cell r="L193">
            <v>490</v>
          </cell>
          <cell r="M193">
            <v>935</v>
          </cell>
          <cell r="N193">
            <v>550</v>
          </cell>
          <cell r="O193">
            <v>225</v>
          </cell>
          <cell r="P193">
            <v>110</v>
          </cell>
          <cell r="Q193">
            <v>50</v>
          </cell>
          <cell r="R193">
            <v>935</v>
          </cell>
          <cell r="S193">
            <v>735</v>
          </cell>
          <cell r="T193">
            <v>485</v>
          </cell>
          <cell r="U193">
            <v>240</v>
          </cell>
          <cell r="V193">
            <v>250</v>
          </cell>
          <cell r="W193">
            <v>130</v>
          </cell>
          <cell r="X193">
            <v>70</v>
          </cell>
          <cell r="Y193">
            <v>50</v>
          </cell>
          <cell r="Z193">
            <v>245</v>
          </cell>
          <cell r="AA193">
            <v>175</v>
          </cell>
          <cell r="AB193">
            <v>65</v>
          </cell>
          <cell r="AC193">
            <v>35</v>
          </cell>
          <cell r="AD193">
            <v>35</v>
          </cell>
          <cell r="AE193">
            <v>0</v>
          </cell>
          <cell r="AF193">
            <v>205</v>
          </cell>
          <cell r="AG193">
            <v>160</v>
          </cell>
          <cell r="AH193">
            <v>105</v>
          </cell>
          <cell r="AI193">
            <v>45</v>
          </cell>
          <cell r="AJ193">
            <v>0</v>
          </cell>
          <cell r="AK193">
            <v>45</v>
          </cell>
          <cell r="AL193">
            <v>30</v>
          </cell>
          <cell r="AM193">
            <v>15</v>
          </cell>
          <cell r="AN193">
            <v>0</v>
          </cell>
          <cell r="AO193">
            <v>820</v>
          </cell>
          <cell r="AP193">
            <v>185</v>
          </cell>
          <cell r="AQ193">
            <v>285</v>
          </cell>
          <cell r="AR193">
            <v>100</v>
          </cell>
          <cell r="AS193">
            <v>150</v>
          </cell>
          <cell r="AT193">
            <v>100</v>
          </cell>
          <cell r="AU193">
            <v>0.9</v>
          </cell>
          <cell r="AV193">
            <v>3880</v>
          </cell>
          <cell r="AW193">
            <v>1390</v>
          </cell>
          <cell r="AX193">
            <v>105</v>
          </cell>
          <cell r="AY193">
            <v>335</v>
          </cell>
          <cell r="AZ193">
            <v>950</v>
          </cell>
          <cell r="BA193">
            <v>2485</v>
          </cell>
          <cell r="BB193">
            <v>2.7</v>
          </cell>
          <cell r="BC193">
            <v>655</v>
          </cell>
          <cell r="BD193">
            <v>360</v>
          </cell>
          <cell r="BE193">
            <v>40</v>
          </cell>
          <cell r="BF193">
            <v>45</v>
          </cell>
          <cell r="BG193">
            <v>270</v>
          </cell>
          <cell r="BH193">
            <v>295</v>
          </cell>
          <cell r="BI193">
            <v>2050</v>
          </cell>
          <cell r="BJ193">
            <v>4.2</v>
          </cell>
          <cell r="BK193">
            <v>8610</v>
          </cell>
          <cell r="BL193">
            <v>1.8</v>
          </cell>
          <cell r="BM193">
            <v>3690</v>
          </cell>
          <cell r="BN193">
            <v>2055</v>
          </cell>
          <cell r="BO193">
            <v>260</v>
          </cell>
          <cell r="BP193">
            <v>1795</v>
          </cell>
          <cell r="BQ193">
            <v>0</v>
          </cell>
          <cell r="BR193">
            <v>2050</v>
          </cell>
          <cell r="BS193">
            <v>1390</v>
          </cell>
          <cell r="BT193">
            <v>545</v>
          </cell>
          <cell r="BU193">
            <v>120</v>
          </cell>
          <cell r="BV193">
            <v>2050</v>
          </cell>
          <cell r="BW193">
            <v>95</v>
          </cell>
          <cell r="BX193">
            <v>615</v>
          </cell>
          <cell r="BY193">
            <v>805</v>
          </cell>
          <cell r="BZ193">
            <v>325</v>
          </cell>
          <cell r="CA193">
            <v>135</v>
          </cell>
          <cell r="CB193">
            <v>35</v>
          </cell>
          <cell r="CC193">
            <v>30</v>
          </cell>
          <cell r="CD193">
            <v>0</v>
          </cell>
          <cell r="CE193">
            <v>10</v>
          </cell>
          <cell r="CF193">
            <v>2055</v>
          </cell>
          <cell r="CG193">
            <v>0</v>
          </cell>
          <cell r="CH193">
            <v>0</v>
          </cell>
          <cell r="CI193">
            <v>5</v>
          </cell>
          <cell r="CJ193">
            <v>155</v>
          </cell>
          <cell r="CK193">
            <v>175</v>
          </cell>
          <cell r="CL193">
            <v>1715</v>
          </cell>
          <cell r="CM193">
            <v>5</v>
          </cell>
          <cell r="CN193">
            <v>0</v>
          </cell>
          <cell r="CO193">
            <v>2055</v>
          </cell>
          <cell r="CP193">
            <v>950</v>
          </cell>
          <cell r="CQ193">
            <v>645</v>
          </cell>
          <cell r="CR193">
            <v>270</v>
          </cell>
          <cell r="CS193">
            <v>180</v>
          </cell>
          <cell r="CT193">
            <v>15</v>
          </cell>
          <cell r="CU193">
            <v>3880</v>
          </cell>
          <cell r="CV193">
            <v>1.9</v>
          </cell>
          <cell r="CW193">
            <v>2055</v>
          </cell>
          <cell r="CX193">
            <v>925</v>
          </cell>
          <cell r="CY193">
            <v>10</v>
          </cell>
          <cell r="CZ193">
            <v>1125</v>
          </cell>
        </row>
        <row r="194">
          <cell r="A194" t="str">
            <v>4620013.00</v>
          </cell>
          <cell r="B194" t="str">
            <v>0013.00</v>
          </cell>
          <cell r="C194" t="str">
            <v>Mercier-Hochelaga-Maisonneuve</v>
          </cell>
          <cell r="D194">
            <v>3935</v>
          </cell>
          <cell r="E194">
            <v>1970</v>
          </cell>
          <cell r="F194">
            <v>1080</v>
          </cell>
          <cell r="G194">
            <v>90</v>
          </cell>
          <cell r="H194">
            <v>515</v>
          </cell>
          <cell r="I194">
            <v>280</v>
          </cell>
          <cell r="J194">
            <v>3940</v>
          </cell>
          <cell r="K194">
            <v>3255</v>
          </cell>
          <cell r="L194">
            <v>685</v>
          </cell>
          <cell r="M194">
            <v>1125</v>
          </cell>
          <cell r="N194">
            <v>685</v>
          </cell>
          <cell r="O194">
            <v>285</v>
          </cell>
          <cell r="P194">
            <v>115</v>
          </cell>
          <cell r="Q194">
            <v>35</v>
          </cell>
          <cell r="R194">
            <v>1120</v>
          </cell>
          <cell r="S194">
            <v>870</v>
          </cell>
          <cell r="T194">
            <v>525</v>
          </cell>
          <cell r="U194">
            <v>290</v>
          </cell>
          <cell r="V194">
            <v>235</v>
          </cell>
          <cell r="W194">
            <v>130</v>
          </cell>
          <cell r="X194">
            <v>80</v>
          </cell>
          <cell r="Y194">
            <v>25</v>
          </cell>
          <cell r="Z194">
            <v>345</v>
          </cell>
          <cell r="AA194">
            <v>210</v>
          </cell>
          <cell r="AB194">
            <v>135</v>
          </cell>
          <cell r="AC194">
            <v>100</v>
          </cell>
          <cell r="AD194">
            <v>20</v>
          </cell>
          <cell r="AE194">
            <v>10</v>
          </cell>
          <cell r="AF194">
            <v>255</v>
          </cell>
          <cell r="AG194">
            <v>205</v>
          </cell>
          <cell r="AH194">
            <v>150</v>
          </cell>
          <cell r="AI194">
            <v>45</v>
          </cell>
          <cell r="AJ194">
            <v>10</v>
          </cell>
          <cell r="AK194">
            <v>45</v>
          </cell>
          <cell r="AL194">
            <v>35</v>
          </cell>
          <cell r="AM194">
            <v>10</v>
          </cell>
          <cell r="AN194">
            <v>0</v>
          </cell>
          <cell r="AO194">
            <v>890</v>
          </cell>
          <cell r="AP194">
            <v>210</v>
          </cell>
          <cell r="AQ194">
            <v>270</v>
          </cell>
          <cell r="AR194">
            <v>75</v>
          </cell>
          <cell r="AS194">
            <v>200</v>
          </cell>
          <cell r="AT194">
            <v>130</v>
          </cell>
          <cell r="AU194">
            <v>0.8</v>
          </cell>
          <cell r="AV194">
            <v>4355</v>
          </cell>
          <cell r="AW194">
            <v>1475</v>
          </cell>
          <cell r="AX194">
            <v>55</v>
          </cell>
          <cell r="AY194">
            <v>285</v>
          </cell>
          <cell r="AZ194">
            <v>1130</v>
          </cell>
          <cell r="BA194">
            <v>2885</v>
          </cell>
          <cell r="BB194">
            <v>2.6</v>
          </cell>
          <cell r="BC194">
            <v>765</v>
          </cell>
          <cell r="BD194">
            <v>340</v>
          </cell>
          <cell r="BE194">
            <v>40</v>
          </cell>
          <cell r="BF194">
            <v>30</v>
          </cell>
          <cell r="BG194">
            <v>270</v>
          </cell>
          <cell r="BH194">
            <v>425</v>
          </cell>
          <cell r="BI194">
            <v>2365</v>
          </cell>
          <cell r="BJ194">
            <v>4.4000000000000004</v>
          </cell>
          <cell r="BK194">
            <v>10406</v>
          </cell>
          <cell r="BL194">
            <v>1.8</v>
          </cell>
          <cell r="BM194">
            <v>4257</v>
          </cell>
          <cell r="BN194">
            <v>2365</v>
          </cell>
          <cell r="BO194">
            <v>850</v>
          </cell>
          <cell r="BP194">
            <v>1510</v>
          </cell>
          <cell r="BQ194">
            <v>0</v>
          </cell>
          <cell r="BR194">
            <v>2365</v>
          </cell>
          <cell r="BS194">
            <v>1465</v>
          </cell>
          <cell r="BT194">
            <v>720</v>
          </cell>
          <cell r="BU194">
            <v>175</v>
          </cell>
          <cell r="BV194">
            <v>2365</v>
          </cell>
          <cell r="BW194">
            <v>470</v>
          </cell>
          <cell r="BX194">
            <v>1095</v>
          </cell>
          <cell r="BY194">
            <v>320</v>
          </cell>
          <cell r="BZ194">
            <v>205</v>
          </cell>
          <cell r="CA194">
            <v>85</v>
          </cell>
          <cell r="CB194">
            <v>55</v>
          </cell>
          <cell r="CC194">
            <v>45</v>
          </cell>
          <cell r="CD194">
            <v>20</v>
          </cell>
          <cell r="CE194">
            <v>65</v>
          </cell>
          <cell r="CF194">
            <v>2365</v>
          </cell>
          <cell r="CG194">
            <v>120</v>
          </cell>
          <cell r="CH194">
            <v>35</v>
          </cell>
          <cell r="CI194">
            <v>50</v>
          </cell>
          <cell r="CJ194">
            <v>780</v>
          </cell>
          <cell r="CK194">
            <v>0</v>
          </cell>
          <cell r="CL194">
            <v>1360</v>
          </cell>
          <cell r="CM194">
            <v>15</v>
          </cell>
          <cell r="CN194">
            <v>0</v>
          </cell>
          <cell r="CO194">
            <v>2365</v>
          </cell>
          <cell r="CP194">
            <v>1130</v>
          </cell>
          <cell r="CQ194">
            <v>760</v>
          </cell>
          <cell r="CR194">
            <v>275</v>
          </cell>
          <cell r="CS194">
            <v>190</v>
          </cell>
          <cell r="CT194">
            <v>15</v>
          </cell>
          <cell r="CU194">
            <v>4355</v>
          </cell>
          <cell r="CV194">
            <v>1.8</v>
          </cell>
          <cell r="CW194">
            <v>2365</v>
          </cell>
          <cell r="CX194">
            <v>1065</v>
          </cell>
          <cell r="CY194">
            <v>30</v>
          </cell>
          <cell r="CZ194">
            <v>1265</v>
          </cell>
        </row>
        <row r="195">
          <cell r="A195" t="str">
            <v>4620014.01</v>
          </cell>
          <cell r="B195" t="str">
            <v>0014.01</v>
          </cell>
          <cell r="C195" t="str">
            <v>Mercier-Hochelaga-Maisonneuve</v>
          </cell>
          <cell r="D195">
            <v>5405</v>
          </cell>
          <cell r="E195">
            <v>3160</v>
          </cell>
          <cell r="F195">
            <v>1185</v>
          </cell>
          <cell r="G195">
            <v>145</v>
          </cell>
          <cell r="H195">
            <v>635</v>
          </cell>
          <cell r="I195">
            <v>285</v>
          </cell>
          <cell r="J195">
            <v>5405</v>
          </cell>
          <cell r="K195">
            <v>4465</v>
          </cell>
          <cell r="L195">
            <v>940</v>
          </cell>
          <cell r="M195">
            <v>1445</v>
          </cell>
          <cell r="N195">
            <v>880</v>
          </cell>
          <cell r="O195">
            <v>270</v>
          </cell>
          <cell r="P195">
            <v>180</v>
          </cell>
          <cell r="Q195">
            <v>105</v>
          </cell>
          <cell r="R195">
            <v>1440</v>
          </cell>
          <cell r="S195">
            <v>1030</v>
          </cell>
          <cell r="T195">
            <v>560</v>
          </cell>
          <cell r="U195">
            <v>290</v>
          </cell>
          <cell r="V195">
            <v>265</v>
          </cell>
          <cell r="W195">
            <v>85</v>
          </cell>
          <cell r="X195">
            <v>100</v>
          </cell>
          <cell r="Y195">
            <v>80</v>
          </cell>
          <cell r="Z195">
            <v>470</v>
          </cell>
          <cell r="AA195">
            <v>315</v>
          </cell>
          <cell r="AB195">
            <v>155</v>
          </cell>
          <cell r="AC195">
            <v>90</v>
          </cell>
          <cell r="AD195">
            <v>50</v>
          </cell>
          <cell r="AE195">
            <v>15</v>
          </cell>
          <cell r="AF195">
            <v>410</v>
          </cell>
          <cell r="AG195">
            <v>360</v>
          </cell>
          <cell r="AH195">
            <v>235</v>
          </cell>
          <cell r="AI195">
            <v>90</v>
          </cell>
          <cell r="AJ195">
            <v>30</v>
          </cell>
          <cell r="AK195">
            <v>50</v>
          </cell>
          <cell r="AL195">
            <v>40</v>
          </cell>
          <cell r="AM195">
            <v>10</v>
          </cell>
          <cell r="AN195">
            <v>10</v>
          </cell>
          <cell r="AO195">
            <v>1395</v>
          </cell>
          <cell r="AP195">
            <v>315</v>
          </cell>
          <cell r="AQ195">
            <v>455</v>
          </cell>
          <cell r="AR195">
            <v>160</v>
          </cell>
          <cell r="AS195">
            <v>285</v>
          </cell>
          <cell r="AT195">
            <v>180</v>
          </cell>
          <cell r="AU195">
            <v>1</v>
          </cell>
          <cell r="AV195">
            <v>5990</v>
          </cell>
          <cell r="AW195">
            <v>2120</v>
          </cell>
          <cell r="AX195">
            <v>160</v>
          </cell>
          <cell r="AY195">
            <v>450</v>
          </cell>
          <cell r="AZ195">
            <v>1505</v>
          </cell>
          <cell r="BA195">
            <v>3870</v>
          </cell>
          <cell r="BB195">
            <v>2.7</v>
          </cell>
          <cell r="BC195">
            <v>620</v>
          </cell>
          <cell r="BD195">
            <v>305</v>
          </cell>
          <cell r="BE195">
            <v>40</v>
          </cell>
          <cell r="BF195">
            <v>30</v>
          </cell>
          <cell r="BG195">
            <v>235</v>
          </cell>
          <cell r="BH195">
            <v>320</v>
          </cell>
          <cell r="BI195">
            <v>3180</v>
          </cell>
          <cell r="BJ195">
            <v>4.2</v>
          </cell>
          <cell r="BK195">
            <v>13356</v>
          </cell>
          <cell r="BL195">
            <v>1.7</v>
          </cell>
          <cell r="BM195">
            <v>5406</v>
          </cell>
          <cell r="BN195">
            <v>3175</v>
          </cell>
          <cell r="BO195">
            <v>965</v>
          </cell>
          <cell r="BP195">
            <v>2215</v>
          </cell>
          <cell r="BQ195">
            <v>0</v>
          </cell>
          <cell r="BR195">
            <v>3175</v>
          </cell>
          <cell r="BS195">
            <v>1905</v>
          </cell>
          <cell r="BT195">
            <v>1000</v>
          </cell>
          <cell r="BU195">
            <v>275</v>
          </cell>
          <cell r="BV195">
            <v>3175</v>
          </cell>
          <cell r="BW195">
            <v>575</v>
          </cell>
          <cell r="BX195">
            <v>865</v>
          </cell>
          <cell r="BY195">
            <v>645</v>
          </cell>
          <cell r="BZ195">
            <v>265</v>
          </cell>
          <cell r="CA195">
            <v>105</v>
          </cell>
          <cell r="CB195">
            <v>200</v>
          </cell>
          <cell r="CC195">
            <v>175</v>
          </cell>
          <cell r="CD195">
            <v>195</v>
          </cell>
          <cell r="CE195">
            <v>140</v>
          </cell>
          <cell r="CF195">
            <v>3175</v>
          </cell>
          <cell r="CG195">
            <v>150</v>
          </cell>
          <cell r="CH195">
            <v>5</v>
          </cell>
          <cell r="CI195">
            <v>70</v>
          </cell>
          <cell r="CJ195">
            <v>265</v>
          </cell>
          <cell r="CK195">
            <v>5</v>
          </cell>
          <cell r="CL195">
            <v>2675</v>
          </cell>
          <cell r="CM195">
            <v>5</v>
          </cell>
          <cell r="CN195">
            <v>0</v>
          </cell>
          <cell r="CO195">
            <v>3175</v>
          </cell>
          <cell r="CP195">
            <v>1500</v>
          </cell>
          <cell r="CQ195">
            <v>1030</v>
          </cell>
          <cell r="CR195">
            <v>335</v>
          </cell>
          <cell r="CS195">
            <v>270</v>
          </cell>
          <cell r="CT195">
            <v>40</v>
          </cell>
          <cell r="CU195">
            <v>5985</v>
          </cell>
          <cell r="CV195">
            <v>1.9</v>
          </cell>
          <cell r="CW195">
            <v>3175</v>
          </cell>
          <cell r="CX195">
            <v>1420</v>
          </cell>
          <cell r="CY195">
            <v>10</v>
          </cell>
          <cell r="CZ195">
            <v>1745</v>
          </cell>
        </row>
        <row r="196">
          <cell r="A196" t="str">
            <v>4620015.00</v>
          </cell>
          <cell r="B196" t="str">
            <v>0015.00</v>
          </cell>
          <cell r="C196" t="str">
            <v>Mercier-Hochelaga-Maisonneuve</v>
          </cell>
          <cell r="D196">
            <v>3025</v>
          </cell>
          <cell r="E196">
            <v>1995</v>
          </cell>
          <cell r="F196">
            <v>440</v>
          </cell>
          <cell r="G196">
            <v>85</v>
          </cell>
          <cell r="H196">
            <v>345</v>
          </cell>
          <cell r="I196">
            <v>155</v>
          </cell>
          <cell r="J196">
            <v>3025</v>
          </cell>
          <cell r="K196">
            <v>2425</v>
          </cell>
          <cell r="L196">
            <v>605</v>
          </cell>
          <cell r="M196">
            <v>755</v>
          </cell>
          <cell r="N196">
            <v>455</v>
          </cell>
          <cell r="O196">
            <v>135</v>
          </cell>
          <cell r="P196">
            <v>110</v>
          </cell>
          <cell r="Q196">
            <v>60</v>
          </cell>
          <cell r="R196">
            <v>755</v>
          </cell>
          <cell r="S196">
            <v>510</v>
          </cell>
          <cell r="T196">
            <v>210</v>
          </cell>
          <cell r="U196">
            <v>60</v>
          </cell>
          <cell r="V196">
            <v>150</v>
          </cell>
          <cell r="W196">
            <v>50</v>
          </cell>
          <cell r="X196">
            <v>50</v>
          </cell>
          <cell r="Y196">
            <v>55</v>
          </cell>
          <cell r="Z196">
            <v>295</v>
          </cell>
          <cell r="AA196">
            <v>210</v>
          </cell>
          <cell r="AB196">
            <v>90</v>
          </cell>
          <cell r="AC196">
            <v>45</v>
          </cell>
          <cell r="AD196">
            <v>35</v>
          </cell>
          <cell r="AE196">
            <v>0</v>
          </cell>
          <cell r="AF196">
            <v>245</v>
          </cell>
          <cell r="AG196">
            <v>225</v>
          </cell>
          <cell r="AH196">
            <v>165</v>
          </cell>
          <cell r="AI196">
            <v>35</v>
          </cell>
          <cell r="AJ196">
            <v>25</v>
          </cell>
          <cell r="AK196">
            <v>15</v>
          </cell>
          <cell r="AL196">
            <v>15</v>
          </cell>
          <cell r="AM196">
            <v>0</v>
          </cell>
          <cell r="AN196">
            <v>0</v>
          </cell>
          <cell r="AO196">
            <v>785</v>
          </cell>
          <cell r="AP196">
            <v>210</v>
          </cell>
          <cell r="AQ196">
            <v>250</v>
          </cell>
          <cell r="AR196">
            <v>110</v>
          </cell>
          <cell r="AS196">
            <v>125</v>
          </cell>
          <cell r="AT196">
            <v>80</v>
          </cell>
          <cell r="AU196">
            <v>1</v>
          </cell>
          <cell r="AV196">
            <v>3405</v>
          </cell>
          <cell r="AW196">
            <v>1355</v>
          </cell>
          <cell r="AX196">
            <v>105</v>
          </cell>
          <cell r="AY196">
            <v>380</v>
          </cell>
          <cell r="AZ196">
            <v>870</v>
          </cell>
          <cell r="BA196">
            <v>2050</v>
          </cell>
          <cell r="BB196">
            <v>2.7</v>
          </cell>
          <cell r="BC196">
            <v>260</v>
          </cell>
          <cell r="BD196">
            <v>165</v>
          </cell>
          <cell r="BE196">
            <v>20</v>
          </cell>
          <cell r="BF196">
            <v>15</v>
          </cell>
          <cell r="BG196">
            <v>135</v>
          </cell>
          <cell r="BH196">
            <v>100</v>
          </cell>
          <cell r="BI196">
            <v>1790</v>
          </cell>
          <cell r="BJ196">
            <v>4.3</v>
          </cell>
          <cell r="BK196">
            <v>7697</v>
          </cell>
          <cell r="BL196">
            <v>1.7</v>
          </cell>
          <cell r="BM196">
            <v>3043</v>
          </cell>
          <cell r="BN196">
            <v>1790</v>
          </cell>
          <cell r="BO196">
            <v>195</v>
          </cell>
          <cell r="BP196">
            <v>1595</v>
          </cell>
          <cell r="BQ196">
            <v>0</v>
          </cell>
          <cell r="BR196">
            <v>1795</v>
          </cell>
          <cell r="BS196">
            <v>1070</v>
          </cell>
          <cell r="BT196">
            <v>470</v>
          </cell>
          <cell r="BU196">
            <v>250</v>
          </cell>
          <cell r="BV196">
            <v>1790</v>
          </cell>
          <cell r="BW196">
            <v>810</v>
          </cell>
          <cell r="BX196">
            <v>345</v>
          </cell>
          <cell r="BY196">
            <v>125</v>
          </cell>
          <cell r="BZ196">
            <v>160</v>
          </cell>
          <cell r="CA196">
            <v>80</v>
          </cell>
          <cell r="CB196">
            <v>10</v>
          </cell>
          <cell r="CC196">
            <v>80</v>
          </cell>
          <cell r="CD196">
            <v>35</v>
          </cell>
          <cell r="CE196">
            <v>145</v>
          </cell>
          <cell r="CF196">
            <v>1795</v>
          </cell>
          <cell r="CG196">
            <v>5</v>
          </cell>
          <cell r="CH196">
            <v>5</v>
          </cell>
          <cell r="CI196">
            <v>0</v>
          </cell>
          <cell r="CJ196">
            <v>140</v>
          </cell>
          <cell r="CK196">
            <v>95</v>
          </cell>
          <cell r="CL196">
            <v>1545</v>
          </cell>
          <cell r="CM196">
            <v>0</v>
          </cell>
          <cell r="CN196">
            <v>0</v>
          </cell>
          <cell r="CO196">
            <v>1795</v>
          </cell>
          <cell r="CP196">
            <v>865</v>
          </cell>
          <cell r="CQ196">
            <v>515</v>
          </cell>
          <cell r="CR196">
            <v>240</v>
          </cell>
          <cell r="CS196">
            <v>155</v>
          </cell>
          <cell r="CT196">
            <v>20</v>
          </cell>
          <cell r="CU196">
            <v>3405</v>
          </cell>
          <cell r="CV196">
            <v>1.9</v>
          </cell>
          <cell r="CW196">
            <v>1790</v>
          </cell>
          <cell r="CX196">
            <v>750</v>
          </cell>
          <cell r="CY196">
            <v>0</v>
          </cell>
          <cell r="CZ196">
            <v>1045</v>
          </cell>
        </row>
        <row r="197">
          <cell r="A197" t="str">
            <v>4620016.00</v>
          </cell>
          <cell r="B197" t="str">
            <v>0016.00</v>
          </cell>
          <cell r="C197" t="str">
            <v>Mercier-Hochelaga-Maisonneuve</v>
          </cell>
          <cell r="D197">
            <v>2245</v>
          </cell>
          <cell r="E197">
            <v>1495</v>
          </cell>
          <cell r="F197">
            <v>310</v>
          </cell>
          <cell r="G197">
            <v>65</v>
          </cell>
          <cell r="H197">
            <v>250</v>
          </cell>
          <cell r="I197">
            <v>130</v>
          </cell>
          <cell r="J197">
            <v>2245</v>
          </cell>
          <cell r="K197">
            <v>1800</v>
          </cell>
          <cell r="L197">
            <v>445</v>
          </cell>
          <cell r="M197">
            <v>530</v>
          </cell>
          <cell r="N197">
            <v>295</v>
          </cell>
          <cell r="O197">
            <v>130</v>
          </cell>
          <cell r="P197">
            <v>85</v>
          </cell>
          <cell r="Q197">
            <v>25</v>
          </cell>
          <cell r="R197">
            <v>530</v>
          </cell>
          <cell r="S197">
            <v>360</v>
          </cell>
          <cell r="T197">
            <v>135</v>
          </cell>
          <cell r="U197">
            <v>70</v>
          </cell>
          <cell r="V197">
            <v>70</v>
          </cell>
          <cell r="W197">
            <v>50</v>
          </cell>
          <cell r="X197">
            <v>0</v>
          </cell>
          <cell r="Y197">
            <v>10</v>
          </cell>
          <cell r="Z197">
            <v>230</v>
          </cell>
          <cell r="AA197">
            <v>130</v>
          </cell>
          <cell r="AB197">
            <v>100</v>
          </cell>
          <cell r="AC197">
            <v>45</v>
          </cell>
          <cell r="AD197">
            <v>50</v>
          </cell>
          <cell r="AE197">
            <v>0</v>
          </cell>
          <cell r="AF197">
            <v>170</v>
          </cell>
          <cell r="AG197">
            <v>130</v>
          </cell>
          <cell r="AH197">
            <v>70</v>
          </cell>
          <cell r="AI197">
            <v>25</v>
          </cell>
          <cell r="AJ197">
            <v>35</v>
          </cell>
          <cell r="AK197">
            <v>40</v>
          </cell>
          <cell r="AL197">
            <v>20</v>
          </cell>
          <cell r="AM197">
            <v>10</v>
          </cell>
          <cell r="AN197">
            <v>0</v>
          </cell>
          <cell r="AO197">
            <v>560</v>
          </cell>
          <cell r="AP197">
            <v>175</v>
          </cell>
          <cell r="AQ197">
            <v>165</v>
          </cell>
          <cell r="AR197">
            <v>65</v>
          </cell>
          <cell r="AS197">
            <v>75</v>
          </cell>
          <cell r="AT197">
            <v>75</v>
          </cell>
          <cell r="AU197">
            <v>1.1000000000000001</v>
          </cell>
          <cell r="AV197">
            <v>2255</v>
          </cell>
          <cell r="AW197">
            <v>805</v>
          </cell>
          <cell r="AX197">
            <v>70</v>
          </cell>
          <cell r="AY197">
            <v>220</v>
          </cell>
          <cell r="AZ197">
            <v>515</v>
          </cell>
          <cell r="BA197">
            <v>1450</v>
          </cell>
          <cell r="BB197">
            <v>2.7</v>
          </cell>
          <cell r="BC197">
            <v>150</v>
          </cell>
          <cell r="BD197">
            <v>80</v>
          </cell>
          <cell r="BE197">
            <v>0</v>
          </cell>
          <cell r="BF197">
            <v>0</v>
          </cell>
          <cell r="BG197">
            <v>75</v>
          </cell>
          <cell r="BH197">
            <v>70</v>
          </cell>
          <cell r="BI197">
            <v>1160</v>
          </cell>
          <cell r="BJ197">
            <v>4.5999999999999996</v>
          </cell>
          <cell r="BK197">
            <v>5336</v>
          </cell>
          <cell r="BL197">
            <v>1.7</v>
          </cell>
          <cell r="BM197">
            <v>1972</v>
          </cell>
          <cell r="BN197">
            <v>1165</v>
          </cell>
          <cell r="BO197">
            <v>190</v>
          </cell>
          <cell r="BP197">
            <v>970</v>
          </cell>
          <cell r="BQ197">
            <v>0</v>
          </cell>
          <cell r="BR197">
            <v>1160</v>
          </cell>
          <cell r="BS197">
            <v>515</v>
          </cell>
          <cell r="BT197">
            <v>415</v>
          </cell>
          <cell r="BU197">
            <v>230</v>
          </cell>
          <cell r="BV197">
            <v>1160</v>
          </cell>
          <cell r="BW197">
            <v>685</v>
          </cell>
          <cell r="BX197">
            <v>255</v>
          </cell>
          <cell r="BY197">
            <v>90</v>
          </cell>
          <cell r="BZ197">
            <v>45</v>
          </cell>
          <cell r="CA197">
            <v>30</v>
          </cell>
          <cell r="CB197">
            <v>15</v>
          </cell>
          <cell r="CC197">
            <v>0</v>
          </cell>
          <cell r="CD197">
            <v>25</v>
          </cell>
          <cell r="CE197">
            <v>10</v>
          </cell>
          <cell r="CF197">
            <v>1165</v>
          </cell>
          <cell r="CG197">
            <v>5</v>
          </cell>
          <cell r="CH197">
            <v>0</v>
          </cell>
          <cell r="CI197">
            <v>0</v>
          </cell>
          <cell r="CJ197">
            <v>60</v>
          </cell>
          <cell r="CK197">
            <v>15</v>
          </cell>
          <cell r="CL197">
            <v>1090</v>
          </cell>
          <cell r="CM197">
            <v>0</v>
          </cell>
          <cell r="CN197">
            <v>0</v>
          </cell>
          <cell r="CO197">
            <v>1165</v>
          </cell>
          <cell r="CP197">
            <v>520</v>
          </cell>
          <cell r="CQ197">
            <v>385</v>
          </cell>
          <cell r="CR197">
            <v>135</v>
          </cell>
          <cell r="CS197">
            <v>110</v>
          </cell>
          <cell r="CT197">
            <v>15</v>
          </cell>
          <cell r="CU197">
            <v>2255</v>
          </cell>
          <cell r="CV197">
            <v>1.9</v>
          </cell>
          <cell r="CW197">
            <v>1165</v>
          </cell>
          <cell r="CX197">
            <v>515</v>
          </cell>
          <cell r="CY197">
            <v>0</v>
          </cell>
          <cell r="CZ197">
            <v>640</v>
          </cell>
        </row>
        <row r="198">
          <cell r="A198" t="str">
            <v>4620017.00</v>
          </cell>
          <cell r="B198" t="str">
            <v>0017.00</v>
          </cell>
          <cell r="C198" t="str">
            <v>Mercier-Hochelaga-Maisonneuve</v>
          </cell>
          <cell r="D198">
            <v>1635</v>
          </cell>
          <cell r="E198">
            <v>1065</v>
          </cell>
          <cell r="F198">
            <v>260</v>
          </cell>
          <cell r="G198">
            <v>40</v>
          </cell>
          <cell r="H198">
            <v>180</v>
          </cell>
          <cell r="I198">
            <v>95</v>
          </cell>
          <cell r="J198">
            <v>1630</v>
          </cell>
          <cell r="K198">
            <v>1285</v>
          </cell>
          <cell r="L198">
            <v>345</v>
          </cell>
          <cell r="M198">
            <v>405</v>
          </cell>
          <cell r="N198">
            <v>245</v>
          </cell>
          <cell r="O198">
            <v>90</v>
          </cell>
          <cell r="P198">
            <v>35</v>
          </cell>
          <cell r="Q198">
            <v>30</v>
          </cell>
          <cell r="R198">
            <v>405</v>
          </cell>
          <cell r="S198">
            <v>275</v>
          </cell>
          <cell r="T198">
            <v>115</v>
          </cell>
          <cell r="U198">
            <v>65</v>
          </cell>
          <cell r="V198">
            <v>50</v>
          </cell>
          <cell r="W198">
            <v>25</v>
          </cell>
          <cell r="X198">
            <v>10</v>
          </cell>
          <cell r="Y198">
            <v>20</v>
          </cell>
          <cell r="Z198">
            <v>155</v>
          </cell>
          <cell r="AA198">
            <v>100</v>
          </cell>
          <cell r="AB198">
            <v>60</v>
          </cell>
          <cell r="AC198">
            <v>45</v>
          </cell>
          <cell r="AD198">
            <v>15</v>
          </cell>
          <cell r="AE198">
            <v>0</v>
          </cell>
          <cell r="AF198">
            <v>135</v>
          </cell>
          <cell r="AG198">
            <v>115</v>
          </cell>
          <cell r="AH198">
            <v>70</v>
          </cell>
          <cell r="AI198">
            <v>20</v>
          </cell>
          <cell r="AJ198">
            <v>25</v>
          </cell>
          <cell r="AK198">
            <v>10</v>
          </cell>
          <cell r="AL198">
            <v>0</v>
          </cell>
          <cell r="AM198">
            <v>10</v>
          </cell>
          <cell r="AN198">
            <v>0</v>
          </cell>
          <cell r="AO198">
            <v>395</v>
          </cell>
          <cell r="AP198">
            <v>100</v>
          </cell>
          <cell r="AQ198">
            <v>200</v>
          </cell>
          <cell r="AR198">
            <v>30</v>
          </cell>
          <cell r="AS198">
            <v>40</v>
          </cell>
          <cell r="AT198">
            <v>20</v>
          </cell>
          <cell r="AU198">
            <v>1</v>
          </cell>
          <cell r="AV198">
            <v>1880</v>
          </cell>
          <cell r="AW198">
            <v>805</v>
          </cell>
          <cell r="AX198">
            <v>35</v>
          </cell>
          <cell r="AY198">
            <v>215</v>
          </cell>
          <cell r="AZ198">
            <v>555</v>
          </cell>
          <cell r="BA198">
            <v>1080</v>
          </cell>
          <cell r="BB198">
            <v>2.7</v>
          </cell>
          <cell r="BC198">
            <v>205</v>
          </cell>
          <cell r="BD198">
            <v>125</v>
          </cell>
          <cell r="BE198">
            <v>0</v>
          </cell>
          <cell r="BF198">
            <v>10</v>
          </cell>
          <cell r="BG198">
            <v>110</v>
          </cell>
          <cell r="BH198">
            <v>75</v>
          </cell>
          <cell r="BI198">
            <v>1035</v>
          </cell>
          <cell r="BJ198">
            <v>4.5999999999999996</v>
          </cell>
          <cell r="BK198">
            <v>4761</v>
          </cell>
          <cell r="BL198">
            <v>1.7</v>
          </cell>
          <cell r="BM198">
            <v>1759.5</v>
          </cell>
          <cell r="BN198">
            <v>1035</v>
          </cell>
          <cell r="BO198">
            <v>250</v>
          </cell>
          <cell r="BP198">
            <v>785</v>
          </cell>
          <cell r="BQ198">
            <v>0</v>
          </cell>
          <cell r="BR198">
            <v>1035</v>
          </cell>
          <cell r="BS198">
            <v>565</v>
          </cell>
          <cell r="BT198">
            <v>370</v>
          </cell>
          <cell r="BU198">
            <v>95</v>
          </cell>
          <cell r="BV198">
            <v>1035</v>
          </cell>
          <cell r="BW198">
            <v>510</v>
          </cell>
          <cell r="BX198">
            <v>220</v>
          </cell>
          <cell r="BY198">
            <v>40</v>
          </cell>
          <cell r="BZ198">
            <v>40</v>
          </cell>
          <cell r="CA198">
            <v>70</v>
          </cell>
          <cell r="CB198">
            <v>20</v>
          </cell>
          <cell r="CC198">
            <v>25</v>
          </cell>
          <cell r="CD198">
            <v>10</v>
          </cell>
          <cell r="CE198">
            <v>95</v>
          </cell>
          <cell r="CF198">
            <v>1035</v>
          </cell>
          <cell r="CG198">
            <v>0</v>
          </cell>
          <cell r="CH198">
            <v>0</v>
          </cell>
          <cell r="CI198">
            <v>0</v>
          </cell>
          <cell r="CJ198">
            <v>25</v>
          </cell>
          <cell r="CK198">
            <v>0</v>
          </cell>
          <cell r="CL198">
            <v>1010</v>
          </cell>
          <cell r="CM198">
            <v>0</v>
          </cell>
          <cell r="CN198">
            <v>0</v>
          </cell>
          <cell r="CO198">
            <v>1035</v>
          </cell>
          <cell r="CP198">
            <v>505</v>
          </cell>
          <cell r="CQ198">
            <v>325</v>
          </cell>
          <cell r="CR198">
            <v>130</v>
          </cell>
          <cell r="CS198">
            <v>70</v>
          </cell>
          <cell r="CT198">
            <v>5</v>
          </cell>
          <cell r="CU198">
            <v>1885</v>
          </cell>
          <cell r="CV198">
            <v>1.8</v>
          </cell>
          <cell r="CW198">
            <v>1035</v>
          </cell>
          <cell r="CX198">
            <v>380</v>
          </cell>
          <cell r="CY198">
            <v>15</v>
          </cell>
          <cell r="CZ198">
            <v>640</v>
          </cell>
        </row>
        <row r="199">
          <cell r="A199" t="str">
            <v>4620018.00</v>
          </cell>
          <cell r="B199" t="str">
            <v>0018.00</v>
          </cell>
          <cell r="C199" t="str">
            <v>Mercier-Hochelaga-Maisonneuve</v>
          </cell>
          <cell r="D199">
            <v>1880</v>
          </cell>
          <cell r="E199">
            <v>1280</v>
          </cell>
          <cell r="F199">
            <v>240</v>
          </cell>
          <cell r="G199">
            <v>45</v>
          </cell>
          <cell r="H199">
            <v>230</v>
          </cell>
          <cell r="I199">
            <v>80</v>
          </cell>
          <cell r="J199">
            <v>1880</v>
          </cell>
          <cell r="K199">
            <v>1480</v>
          </cell>
          <cell r="L199">
            <v>395</v>
          </cell>
          <cell r="M199">
            <v>465</v>
          </cell>
          <cell r="N199">
            <v>305</v>
          </cell>
          <cell r="O199">
            <v>115</v>
          </cell>
          <cell r="P199">
            <v>45</v>
          </cell>
          <cell r="Q199">
            <v>0</v>
          </cell>
          <cell r="R199">
            <v>465</v>
          </cell>
          <cell r="S199">
            <v>300</v>
          </cell>
          <cell r="T199">
            <v>105</v>
          </cell>
          <cell r="U199">
            <v>60</v>
          </cell>
          <cell r="V199">
            <v>45</v>
          </cell>
          <cell r="W199">
            <v>20</v>
          </cell>
          <cell r="X199">
            <v>25</v>
          </cell>
          <cell r="Y199">
            <v>0</v>
          </cell>
          <cell r="Z199">
            <v>195</v>
          </cell>
          <cell r="AA199">
            <v>150</v>
          </cell>
          <cell r="AB199">
            <v>40</v>
          </cell>
          <cell r="AC199">
            <v>30</v>
          </cell>
          <cell r="AD199">
            <v>15</v>
          </cell>
          <cell r="AE199">
            <v>0</v>
          </cell>
          <cell r="AF199">
            <v>165</v>
          </cell>
          <cell r="AG199">
            <v>155</v>
          </cell>
          <cell r="AH199">
            <v>85</v>
          </cell>
          <cell r="AI199">
            <v>60</v>
          </cell>
          <cell r="AJ199">
            <v>10</v>
          </cell>
          <cell r="AK199">
            <v>0</v>
          </cell>
          <cell r="AL199">
            <v>0</v>
          </cell>
          <cell r="AM199">
            <v>10</v>
          </cell>
          <cell r="AN199">
            <v>0</v>
          </cell>
          <cell r="AO199">
            <v>370</v>
          </cell>
          <cell r="AP199">
            <v>90</v>
          </cell>
          <cell r="AQ199">
            <v>120</v>
          </cell>
          <cell r="AR199">
            <v>45</v>
          </cell>
          <cell r="AS199">
            <v>70</v>
          </cell>
          <cell r="AT199">
            <v>45</v>
          </cell>
          <cell r="AU199">
            <v>0.8</v>
          </cell>
          <cell r="AV199">
            <v>2100</v>
          </cell>
          <cell r="AW199">
            <v>960</v>
          </cell>
          <cell r="AX199">
            <v>80</v>
          </cell>
          <cell r="AY199">
            <v>380</v>
          </cell>
          <cell r="AZ199">
            <v>500</v>
          </cell>
          <cell r="BA199">
            <v>1135</v>
          </cell>
          <cell r="BB199">
            <v>2.4</v>
          </cell>
          <cell r="BC199">
            <v>175</v>
          </cell>
          <cell r="BD199">
            <v>100</v>
          </cell>
          <cell r="BE199">
            <v>10</v>
          </cell>
          <cell r="BF199">
            <v>25</v>
          </cell>
          <cell r="BG199">
            <v>70</v>
          </cell>
          <cell r="BH199">
            <v>75</v>
          </cell>
          <cell r="BI199">
            <v>1140</v>
          </cell>
          <cell r="BJ199">
            <v>4.3</v>
          </cell>
          <cell r="BK199">
            <v>4902</v>
          </cell>
          <cell r="BL199">
            <v>1.6</v>
          </cell>
          <cell r="BM199">
            <v>1824</v>
          </cell>
          <cell r="BN199">
            <v>1140</v>
          </cell>
          <cell r="BO199">
            <v>150</v>
          </cell>
          <cell r="BP199">
            <v>990</v>
          </cell>
          <cell r="BQ199">
            <v>0</v>
          </cell>
          <cell r="BR199">
            <v>1140</v>
          </cell>
          <cell r="BS199">
            <v>525</v>
          </cell>
          <cell r="BT199">
            <v>380</v>
          </cell>
          <cell r="BU199">
            <v>235</v>
          </cell>
          <cell r="BV199">
            <v>1140</v>
          </cell>
          <cell r="BW199">
            <v>600</v>
          </cell>
          <cell r="BX199">
            <v>330</v>
          </cell>
          <cell r="BY199">
            <v>125</v>
          </cell>
          <cell r="BZ199">
            <v>30</v>
          </cell>
          <cell r="CA199">
            <v>25</v>
          </cell>
          <cell r="CB199">
            <v>10</v>
          </cell>
          <cell r="CC199">
            <v>10</v>
          </cell>
          <cell r="CD199">
            <v>0</v>
          </cell>
          <cell r="CE199">
            <v>0</v>
          </cell>
          <cell r="CF199">
            <v>1140</v>
          </cell>
          <cell r="CG199">
            <v>5</v>
          </cell>
          <cell r="CH199">
            <v>0</v>
          </cell>
          <cell r="CI199">
            <v>0</v>
          </cell>
          <cell r="CJ199">
            <v>35</v>
          </cell>
          <cell r="CK199">
            <v>30</v>
          </cell>
          <cell r="CL199">
            <v>1070</v>
          </cell>
          <cell r="CM199">
            <v>0</v>
          </cell>
          <cell r="CN199">
            <v>5</v>
          </cell>
          <cell r="CO199">
            <v>1145</v>
          </cell>
          <cell r="CP199">
            <v>550</v>
          </cell>
          <cell r="CQ199">
            <v>360</v>
          </cell>
          <cell r="CR199">
            <v>140</v>
          </cell>
          <cell r="CS199">
            <v>80</v>
          </cell>
          <cell r="CT199">
            <v>10</v>
          </cell>
          <cell r="CU199">
            <v>2095</v>
          </cell>
          <cell r="CV199">
            <v>1.8</v>
          </cell>
          <cell r="CW199">
            <v>1140</v>
          </cell>
          <cell r="CX199">
            <v>465</v>
          </cell>
          <cell r="CY199">
            <v>0</v>
          </cell>
          <cell r="CZ199">
            <v>675</v>
          </cell>
        </row>
        <row r="200">
          <cell r="A200" t="str">
            <v>4620019.00</v>
          </cell>
          <cell r="B200" t="str">
            <v>0019.00</v>
          </cell>
          <cell r="C200" t="str">
            <v>Mercier-Hochelaga-Maisonneuve</v>
          </cell>
          <cell r="D200">
            <v>2095</v>
          </cell>
          <cell r="E200">
            <v>1340</v>
          </cell>
          <cell r="F200">
            <v>290</v>
          </cell>
          <cell r="G200">
            <v>65</v>
          </cell>
          <cell r="H200">
            <v>230</v>
          </cell>
          <cell r="I200">
            <v>170</v>
          </cell>
          <cell r="J200">
            <v>2095</v>
          </cell>
          <cell r="K200">
            <v>1680</v>
          </cell>
          <cell r="L200">
            <v>415</v>
          </cell>
          <cell r="M200">
            <v>505</v>
          </cell>
          <cell r="N200">
            <v>340</v>
          </cell>
          <cell r="O200">
            <v>100</v>
          </cell>
          <cell r="P200">
            <v>35</v>
          </cell>
          <cell r="Q200">
            <v>25</v>
          </cell>
          <cell r="R200">
            <v>505</v>
          </cell>
          <cell r="S200">
            <v>350</v>
          </cell>
          <cell r="T200">
            <v>135</v>
          </cell>
          <cell r="U200">
            <v>90</v>
          </cell>
          <cell r="V200">
            <v>50</v>
          </cell>
          <cell r="W200">
            <v>35</v>
          </cell>
          <cell r="X200">
            <v>10</v>
          </cell>
          <cell r="Y200">
            <v>0</v>
          </cell>
          <cell r="Z200">
            <v>210</v>
          </cell>
          <cell r="AA200">
            <v>170</v>
          </cell>
          <cell r="AB200">
            <v>40</v>
          </cell>
          <cell r="AC200">
            <v>15</v>
          </cell>
          <cell r="AD200">
            <v>10</v>
          </cell>
          <cell r="AE200">
            <v>10</v>
          </cell>
          <cell r="AF200">
            <v>155</v>
          </cell>
          <cell r="AG200">
            <v>135</v>
          </cell>
          <cell r="AH200">
            <v>80</v>
          </cell>
          <cell r="AI200">
            <v>25</v>
          </cell>
          <cell r="AJ200">
            <v>25</v>
          </cell>
          <cell r="AK200">
            <v>20</v>
          </cell>
          <cell r="AL200">
            <v>0</v>
          </cell>
          <cell r="AM200">
            <v>20</v>
          </cell>
          <cell r="AN200">
            <v>0</v>
          </cell>
          <cell r="AO200">
            <v>420</v>
          </cell>
          <cell r="AP200">
            <v>115</v>
          </cell>
          <cell r="AQ200">
            <v>145</v>
          </cell>
          <cell r="AR200">
            <v>60</v>
          </cell>
          <cell r="AS200">
            <v>35</v>
          </cell>
          <cell r="AT200">
            <v>65</v>
          </cell>
          <cell r="AU200">
            <v>0.8</v>
          </cell>
          <cell r="AV200">
            <v>2305</v>
          </cell>
          <cell r="AW200">
            <v>1030</v>
          </cell>
          <cell r="AX200">
            <v>50</v>
          </cell>
          <cell r="AY200">
            <v>335</v>
          </cell>
          <cell r="AZ200">
            <v>645</v>
          </cell>
          <cell r="BA200">
            <v>1280</v>
          </cell>
          <cell r="BB200">
            <v>2.5</v>
          </cell>
          <cell r="BC200">
            <v>310</v>
          </cell>
          <cell r="BD200">
            <v>240</v>
          </cell>
          <cell r="BE200">
            <v>10</v>
          </cell>
          <cell r="BF200">
            <v>15</v>
          </cell>
          <cell r="BG200">
            <v>215</v>
          </cell>
          <cell r="BH200">
            <v>65</v>
          </cell>
          <cell r="BI200">
            <v>1270</v>
          </cell>
          <cell r="BJ200">
            <v>4.2</v>
          </cell>
          <cell r="BK200">
            <v>5334</v>
          </cell>
          <cell r="BL200">
            <v>1.7</v>
          </cell>
          <cell r="BM200">
            <v>2159</v>
          </cell>
          <cell r="BN200">
            <v>1270</v>
          </cell>
          <cell r="BO200">
            <v>230</v>
          </cell>
          <cell r="BP200">
            <v>1040</v>
          </cell>
          <cell r="BQ200">
            <v>0</v>
          </cell>
          <cell r="BR200">
            <v>1270</v>
          </cell>
          <cell r="BS200">
            <v>690</v>
          </cell>
          <cell r="BT200">
            <v>420</v>
          </cell>
          <cell r="BU200">
            <v>160</v>
          </cell>
          <cell r="BV200">
            <v>1270</v>
          </cell>
          <cell r="BW200">
            <v>540</v>
          </cell>
          <cell r="BX200">
            <v>220</v>
          </cell>
          <cell r="BY200">
            <v>75</v>
          </cell>
          <cell r="BZ200">
            <v>125</v>
          </cell>
          <cell r="CA200">
            <v>120</v>
          </cell>
          <cell r="CB200">
            <v>50</v>
          </cell>
          <cell r="CC200">
            <v>45</v>
          </cell>
          <cell r="CD200">
            <v>25</v>
          </cell>
          <cell r="CE200">
            <v>65</v>
          </cell>
          <cell r="CF200">
            <v>1270</v>
          </cell>
          <cell r="CG200">
            <v>10</v>
          </cell>
          <cell r="CH200">
            <v>0</v>
          </cell>
          <cell r="CI200">
            <v>10</v>
          </cell>
          <cell r="CJ200">
            <v>90</v>
          </cell>
          <cell r="CK200">
            <v>130</v>
          </cell>
          <cell r="CL200">
            <v>1020</v>
          </cell>
          <cell r="CM200">
            <v>10</v>
          </cell>
          <cell r="CN200">
            <v>0</v>
          </cell>
          <cell r="CO200">
            <v>1270</v>
          </cell>
          <cell r="CP200">
            <v>645</v>
          </cell>
          <cell r="CQ200">
            <v>395</v>
          </cell>
          <cell r="CR200">
            <v>120</v>
          </cell>
          <cell r="CS200">
            <v>95</v>
          </cell>
          <cell r="CT200">
            <v>15</v>
          </cell>
          <cell r="CU200">
            <v>2305</v>
          </cell>
          <cell r="CV200">
            <v>1.8</v>
          </cell>
          <cell r="CW200">
            <v>1270</v>
          </cell>
          <cell r="CX200">
            <v>455</v>
          </cell>
          <cell r="CY200">
            <v>20</v>
          </cell>
          <cell r="CZ200">
            <v>790</v>
          </cell>
        </row>
        <row r="201">
          <cell r="A201" t="str">
            <v>4620021.00</v>
          </cell>
          <cell r="B201" t="str">
            <v>0021.00</v>
          </cell>
          <cell r="C201" t="str">
            <v>Mercier-Hochelaga-Maisonneuve</v>
          </cell>
          <cell r="D201">
            <v>2765</v>
          </cell>
          <cell r="E201">
            <v>1850</v>
          </cell>
          <cell r="F201">
            <v>355</v>
          </cell>
          <cell r="G201">
            <v>85</v>
          </cell>
          <cell r="H201">
            <v>360</v>
          </cell>
          <cell r="I201">
            <v>110</v>
          </cell>
          <cell r="J201">
            <v>2765</v>
          </cell>
          <cell r="K201">
            <v>2215</v>
          </cell>
          <cell r="L201">
            <v>555</v>
          </cell>
          <cell r="M201">
            <v>665</v>
          </cell>
          <cell r="N201">
            <v>330</v>
          </cell>
          <cell r="O201">
            <v>175</v>
          </cell>
          <cell r="P201">
            <v>95</v>
          </cell>
          <cell r="Q201">
            <v>60</v>
          </cell>
          <cell r="R201">
            <v>665</v>
          </cell>
          <cell r="S201">
            <v>455</v>
          </cell>
          <cell r="T201">
            <v>170</v>
          </cell>
          <cell r="U201">
            <v>75</v>
          </cell>
          <cell r="V201">
            <v>100</v>
          </cell>
          <cell r="W201">
            <v>40</v>
          </cell>
          <cell r="X201">
            <v>35</v>
          </cell>
          <cell r="Y201">
            <v>25</v>
          </cell>
          <cell r="Z201">
            <v>280</v>
          </cell>
          <cell r="AA201">
            <v>145</v>
          </cell>
          <cell r="AB201">
            <v>135</v>
          </cell>
          <cell r="AC201">
            <v>65</v>
          </cell>
          <cell r="AD201">
            <v>45</v>
          </cell>
          <cell r="AE201">
            <v>20</v>
          </cell>
          <cell r="AF201">
            <v>210</v>
          </cell>
          <cell r="AG201">
            <v>195</v>
          </cell>
          <cell r="AH201">
            <v>100</v>
          </cell>
          <cell r="AI201">
            <v>65</v>
          </cell>
          <cell r="AJ201">
            <v>30</v>
          </cell>
          <cell r="AK201">
            <v>15</v>
          </cell>
          <cell r="AL201">
            <v>10</v>
          </cell>
          <cell r="AM201">
            <v>0</v>
          </cell>
          <cell r="AN201">
            <v>0</v>
          </cell>
          <cell r="AO201">
            <v>805</v>
          </cell>
          <cell r="AP201">
            <v>170</v>
          </cell>
          <cell r="AQ201">
            <v>300</v>
          </cell>
          <cell r="AR201">
            <v>125</v>
          </cell>
          <cell r="AS201">
            <v>120</v>
          </cell>
          <cell r="AT201">
            <v>90</v>
          </cell>
          <cell r="AU201">
            <v>1.2</v>
          </cell>
          <cell r="AV201">
            <v>3190</v>
          </cell>
          <cell r="AW201">
            <v>1265</v>
          </cell>
          <cell r="AX201">
            <v>100</v>
          </cell>
          <cell r="AY201">
            <v>475</v>
          </cell>
          <cell r="AZ201">
            <v>690</v>
          </cell>
          <cell r="BA201">
            <v>1925</v>
          </cell>
          <cell r="BB201">
            <v>2.9</v>
          </cell>
          <cell r="BC201">
            <v>295</v>
          </cell>
          <cell r="BD201">
            <v>195</v>
          </cell>
          <cell r="BE201">
            <v>10</v>
          </cell>
          <cell r="BF201">
            <v>65</v>
          </cell>
          <cell r="BG201">
            <v>120</v>
          </cell>
          <cell r="BH201">
            <v>100</v>
          </cell>
          <cell r="BI201">
            <v>1565</v>
          </cell>
          <cell r="BJ201">
            <v>4.5</v>
          </cell>
          <cell r="BK201">
            <v>7042.5</v>
          </cell>
          <cell r="BL201">
            <v>1.9</v>
          </cell>
          <cell r="BM201">
            <v>2973.5</v>
          </cell>
          <cell r="BN201">
            <v>1570</v>
          </cell>
          <cell r="BO201">
            <v>190</v>
          </cell>
          <cell r="BP201">
            <v>1375</v>
          </cell>
          <cell r="BQ201">
            <v>0</v>
          </cell>
          <cell r="BR201">
            <v>1565</v>
          </cell>
          <cell r="BS201">
            <v>865</v>
          </cell>
          <cell r="BT201">
            <v>455</v>
          </cell>
          <cell r="BU201">
            <v>250</v>
          </cell>
          <cell r="BV201">
            <v>1565</v>
          </cell>
          <cell r="BW201">
            <v>885</v>
          </cell>
          <cell r="BX201">
            <v>285</v>
          </cell>
          <cell r="BY201">
            <v>155</v>
          </cell>
          <cell r="BZ201">
            <v>125</v>
          </cell>
          <cell r="CA201">
            <v>35</v>
          </cell>
          <cell r="CB201">
            <v>60</v>
          </cell>
          <cell r="CC201">
            <v>0</v>
          </cell>
          <cell r="CD201">
            <v>10</v>
          </cell>
          <cell r="CE201">
            <v>15</v>
          </cell>
          <cell r="CF201">
            <v>1570</v>
          </cell>
          <cell r="CG201">
            <v>5</v>
          </cell>
          <cell r="CH201">
            <v>0</v>
          </cell>
          <cell r="CI201">
            <v>0</v>
          </cell>
          <cell r="CJ201">
            <v>15</v>
          </cell>
          <cell r="CK201">
            <v>160</v>
          </cell>
          <cell r="CL201">
            <v>1385</v>
          </cell>
          <cell r="CM201">
            <v>0</v>
          </cell>
          <cell r="CN201">
            <v>0</v>
          </cell>
          <cell r="CO201">
            <v>1570</v>
          </cell>
          <cell r="CP201">
            <v>685</v>
          </cell>
          <cell r="CQ201">
            <v>480</v>
          </cell>
          <cell r="CR201">
            <v>205</v>
          </cell>
          <cell r="CS201">
            <v>160</v>
          </cell>
          <cell r="CT201">
            <v>30</v>
          </cell>
          <cell r="CU201">
            <v>3190</v>
          </cell>
          <cell r="CV201">
            <v>2</v>
          </cell>
          <cell r="CW201">
            <v>1565</v>
          </cell>
          <cell r="CX201">
            <v>665</v>
          </cell>
          <cell r="CY201">
            <v>0</v>
          </cell>
          <cell r="CZ201">
            <v>905</v>
          </cell>
        </row>
        <row r="202">
          <cell r="A202" t="str">
            <v>4620022.00</v>
          </cell>
          <cell r="B202" t="str">
            <v>0022.00</v>
          </cell>
          <cell r="C202" t="str">
            <v>Mercier-Hochelaga-Maisonneuve</v>
          </cell>
          <cell r="D202">
            <v>1400</v>
          </cell>
          <cell r="E202">
            <v>930</v>
          </cell>
          <cell r="F202">
            <v>185</v>
          </cell>
          <cell r="G202">
            <v>45</v>
          </cell>
          <cell r="H202">
            <v>170</v>
          </cell>
          <cell r="I202">
            <v>75</v>
          </cell>
          <cell r="J202">
            <v>1400</v>
          </cell>
          <cell r="K202">
            <v>1140</v>
          </cell>
          <cell r="L202">
            <v>260</v>
          </cell>
          <cell r="M202">
            <v>345</v>
          </cell>
          <cell r="N202">
            <v>180</v>
          </cell>
          <cell r="O202">
            <v>85</v>
          </cell>
          <cell r="P202">
            <v>65</v>
          </cell>
          <cell r="Q202">
            <v>20</v>
          </cell>
          <cell r="R202">
            <v>345</v>
          </cell>
          <cell r="S202">
            <v>230</v>
          </cell>
          <cell r="T202">
            <v>90</v>
          </cell>
          <cell r="U202">
            <v>40</v>
          </cell>
          <cell r="V202">
            <v>55</v>
          </cell>
          <cell r="W202">
            <v>25</v>
          </cell>
          <cell r="X202">
            <v>25</v>
          </cell>
          <cell r="Y202">
            <v>0</v>
          </cell>
          <cell r="Z202">
            <v>135</v>
          </cell>
          <cell r="AA202">
            <v>65</v>
          </cell>
          <cell r="AB202">
            <v>75</v>
          </cell>
          <cell r="AC202">
            <v>35</v>
          </cell>
          <cell r="AD202">
            <v>15</v>
          </cell>
          <cell r="AE202">
            <v>20</v>
          </cell>
          <cell r="AF202">
            <v>115</v>
          </cell>
          <cell r="AG202">
            <v>80</v>
          </cell>
          <cell r="AH202">
            <v>45</v>
          </cell>
          <cell r="AI202">
            <v>20</v>
          </cell>
          <cell r="AJ202">
            <v>20</v>
          </cell>
          <cell r="AK202">
            <v>35</v>
          </cell>
          <cell r="AL202">
            <v>35</v>
          </cell>
          <cell r="AM202">
            <v>0</v>
          </cell>
          <cell r="AN202">
            <v>0</v>
          </cell>
          <cell r="AO202">
            <v>390</v>
          </cell>
          <cell r="AP202">
            <v>105</v>
          </cell>
          <cell r="AQ202">
            <v>125</v>
          </cell>
          <cell r="AR202">
            <v>75</v>
          </cell>
          <cell r="AS202">
            <v>40</v>
          </cell>
          <cell r="AT202">
            <v>55</v>
          </cell>
          <cell r="AU202">
            <v>1.1000000000000001</v>
          </cell>
          <cell r="AV202">
            <v>1575</v>
          </cell>
          <cell r="AW202">
            <v>605</v>
          </cell>
          <cell r="AX202">
            <v>25</v>
          </cell>
          <cell r="AY202">
            <v>215</v>
          </cell>
          <cell r="AZ202">
            <v>370</v>
          </cell>
          <cell r="BA202">
            <v>965</v>
          </cell>
          <cell r="BB202">
            <v>2.8</v>
          </cell>
          <cell r="BC202">
            <v>135</v>
          </cell>
          <cell r="BD202">
            <v>85</v>
          </cell>
          <cell r="BE202">
            <v>0</v>
          </cell>
          <cell r="BF202">
            <v>20</v>
          </cell>
          <cell r="BG202">
            <v>65</v>
          </cell>
          <cell r="BH202">
            <v>55</v>
          </cell>
          <cell r="BI202">
            <v>790</v>
          </cell>
          <cell r="BJ202">
            <v>4.5</v>
          </cell>
          <cell r="BK202">
            <v>3555</v>
          </cell>
          <cell r="BL202">
            <v>1.9</v>
          </cell>
          <cell r="BM202">
            <v>1501</v>
          </cell>
          <cell r="BN202">
            <v>790</v>
          </cell>
          <cell r="BO202">
            <v>130</v>
          </cell>
          <cell r="BP202">
            <v>660</v>
          </cell>
          <cell r="BQ202">
            <v>0</v>
          </cell>
          <cell r="BR202">
            <v>790</v>
          </cell>
          <cell r="BS202">
            <v>470</v>
          </cell>
          <cell r="BT202">
            <v>235</v>
          </cell>
          <cell r="BU202">
            <v>85</v>
          </cell>
          <cell r="BV202">
            <v>790</v>
          </cell>
          <cell r="BW202">
            <v>440</v>
          </cell>
          <cell r="BX202">
            <v>105</v>
          </cell>
          <cell r="BY202">
            <v>40</v>
          </cell>
          <cell r="BZ202">
            <v>60</v>
          </cell>
          <cell r="CA202">
            <v>55</v>
          </cell>
          <cell r="CB202">
            <v>45</v>
          </cell>
          <cell r="CC202">
            <v>0</v>
          </cell>
          <cell r="CD202">
            <v>25</v>
          </cell>
          <cell r="CE202">
            <v>20</v>
          </cell>
          <cell r="CF202">
            <v>790</v>
          </cell>
          <cell r="CG202">
            <v>0</v>
          </cell>
          <cell r="CH202">
            <v>0</v>
          </cell>
          <cell r="CI202">
            <v>5</v>
          </cell>
          <cell r="CJ202">
            <v>60</v>
          </cell>
          <cell r="CK202">
            <v>0</v>
          </cell>
          <cell r="CL202">
            <v>730</v>
          </cell>
          <cell r="CM202">
            <v>0</v>
          </cell>
          <cell r="CN202">
            <v>0</v>
          </cell>
          <cell r="CO202">
            <v>795</v>
          </cell>
          <cell r="CP202">
            <v>350</v>
          </cell>
          <cell r="CQ202">
            <v>255</v>
          </cell>
          <cell r="CR202">
            <v>85</v>
          </cell>
          <cell r="CS202">
            <v>90</v>
          </cell>
          <cell r="CT202">
            <v>15</v>
          </cell>
          <cell r="CU202">
            <v>1570</v>
          </cell>
          <cell r="CV202">
            <v>2</v>
          </cell>
          <cell r="CW202">
            <v>795</v>
          </cell>
          <cell r="CX202">
            <v>325</v>
          </cell>
          <cell r="CY202">
            <v>10</v>
          </cell>
          <cell r="CZ202">
            <v>455</v>
          </cell>
        </row>
        <row r="203">
          <cell r="A203" t="str">
            <v>4620023.00</v>
          </cell>
          <cell r="B203" t="str">
            <v>0023.00</v>
          </cell>
          <cell r="C203" t="str">
            <v>Mercier-Hochelaga-Maisonneuve</v>
          </cell>
          <cell r="D203">
            <v>1085</v>
          </cell>
          <cell r="E203">
            <v>750</v>
          </cell>
          <cell r="F203">
            <v>140</v>
          </cell>
          <cell r="G203">
            <v>30</v>
          </cell>
          <cell r="H203">
            <v>125</v>
          </cell>
          <cell r="I203">
            <v>40</v>
          </cell>
          <cell r="J203">
            <v>1085</v>
          </cell>
          <cell r="K203">
            <v>880</v>
          </cell>
          <cell r="L203">
            <v>210</v>
          </cell>
          <cell r="M203">
            <v>250</v>
          </cell>
          <cell r="N203">
            <v>135</v>
          </cell>
          <cell r="O203">
            <v>80</v>
          </cell>
          <cell r="P203">
            <v>15</v>
          </cell>
          <cell r="Q203">
            <v>25</v>
          </cell>
          <cell r="R203">
            <v>250</v>
          </cell>
          <cell r="S203">
            <v>195</v>
          </cell>
          <cell r="T203">
            <v>80</v>
          </cell>
          <cell r="U203">
            <v>40</v>
          </cell>
          <cell r="V203">
            <v>40</v>
          </cell>
          <cell r="W203">
            <v>25</v>
          </cell>
          <cell r="X203">
            <v>10</v>
          </cell>
          <cell r="Y203">
            <v>10</v>
          </cell>
          <cell r="Z203">
            <v>110</v>
          </cell>
          <cell r="AA203">
            <v>65</v>
          </cell>
          <cell r="AB203">
            <v>50</v>
          </cell>
          <cell r="AC203">
            <v>35</v>
          </cell>
          <cell r="AD203">
            <v>0</v>
          </cell>
          <cell r="AE203">
            <v>10</v>
          </cell>
          <cell r="AF203">
            <v>55</v>
          </cell>
          <cell r="AG203">
            <v>40</v>
          </cell>
          <cell r="AH203">
            <v>30</v>
          </cell>
          <cell r="AI203">
            <v>0</v>
          </cell>
          <cell r="AJ203">
            <v>0</v>
          </cell>
          <cell r="AK203">
            <v>10</v>
          </cell>
          <cell r="AL203">
            <v>10</v>
          </cell>
          <cell r="AM203">
            <v>0</v>
          </cell>
          <cell r="AN203">
            <v>0</v>
          </cell>
          <cell r="AO203">
            <v>245</v>
          </cell>
          <cell r="AP203">
            <v>75</v>
          </cell>
          <cell r="AQ203">
            <v>95</v>
          </cell>
          <cell r="AR203">
            <v>45</v>
          </cell>
          <cell r="AS203">
            <v>25</v>
          </cell>
          <cell r="AT203">
            <v>0</v>
          </cell>
          <cell r="AU203">
            <v>1</v>
          </cell>
          <cell r="AV203">
            <v>1230</v>
          </cell>
          <cell r="AW203">
            <v>545</v>
          </cell>
          <cell r="AX203">
            <v>55</v>
          </cell>
          <cell r="AY203">
            <v>185</v>
          </cell>
          <cell r="AZ203">
            <v>295</v>
          </cell>
          <cell r="BA203">
            <v>690</v>
          </cell>
          <cell r="BB203">
            <v>2.8</v>
          </cell>
          <cell r="BC203">
            <v>75</v>
          </cell>
          <cell r="BD203">
            <v>50</v>
          </cell>
          <cell r="BE203">
            <v>0</v>
          </cell>
          <cell r="BF203">
            <v>10</v>
          </cell>
          <cell r="BG203">
            <v>45</v>
          </cell>
          <cell r="BH203">
            <v>25</v>
          </cell>
          <cell r="BI203">
            <v>645</v>
          </cell>
          <cell r="BJ203">
            <v>4.2</v>
          </cell>
          <cell r="BK203">
            <v>2709</v>
          </cell>
          <cell r="BL203">
            <v>1.7</v>
          </cell>
          <cell r="BM203">
            <v>1096.5</v>
          </cell>
          <cell r="BN203">
            <v>645</v>
          </cell>
          <cell r="BO203">
            <v>120</v>
          </cell>
          <cell r="BP203">
            <v>525</v>
          </cell>
          <cell r="BQ203">
            <v>0</v>
          </cell>
          <cell r="BR203">
            <v>645</v>
          </cell>
          <cell r="BS203">
            <v>365</v>
          </cell>
          <cell r="BT203">
            <v>155</v>
          </cell>
          <cell r="BU203">
            <v>125</v>
          </cell>
          <cell r="BV203">
            <v>645</v>
          </cell>
          <cell r="BW203">
            <v>335</v>
          </cell>
          <cell r="BX203">
            <v>20</v>
          </cell>
          <cell r="BY203">
            <v>30</v>
          </cell>
          <cell r="BZ203">
            <v>55</v>
          </cell>
          <cell r="CA203">
            <v>20</v>
          </cell>
          <cell r="CB203">
            <v>90</v>
          </cell>
          <cell r="CC203">
            <v>25</v>
          </cell>
          <cell r="CD203">
            <v>10</v>
          </cell>
          <cell r="CE203">
            <v>55</v>
          </cell>
          <cell r="CF203">
            <v>645</v>
          </cell>
          <cell r="CG203">
            <v>0</v>
          </cell>
          <cell r="CH203">
            <v>0</v>
          </cell>
          <cell r="CI203">
            <v>10</v>
          </cell>
          <cell r="CJ203">
            <v>55</v>
          </cell>
          <cell r="CK203">
            <v>0</v>
          </cell>
          <cell r="CL203">
            <v>580</v>
          </cell>
          <cell r="CM203">
            <v>5</v>
          </cell>
          <cell r="CN203">
            <v>0</v>
          </cell>
          <cell r="CO203">
            <v>645</v>
          </cell>
          <cell r="CP203">
            <v>305</v>
          </cell>
          <cell r="CQ203">
            <v>205</v>
          </cell>
          <cell r="CR203">
            <v>75</v>
          </cell>
          <cell r="CS203">
            <v>45</v>
          </cell>
          <cell r="CT203">
            <v>15</v>
          </cell>
          <cell r="CU203">
            <v>1230</v>
          </cell>
          <cell r="CV203">
            <v>1.9</v>
          </cell>
          <cell r="CW203">
            <v>645</v>
          </cell>
          <cell r="CX203">
            <v>235</v>
          </cell>
          <cell r="CY203">
            <v>0</v>
          </cell>
          <cell r="CZ203">
            <v>400</v>
          </cell>
        </row>
        <row r="204">
          <cell r="A204" t="str">
            <v>4620024.00</v>
          </cell>
          <cell r="B204" t="str">
            <v>0024.00</v>
          </cell>
          <cell r="C204" t="str">
            <v>Mercier-Hochelaga-Maisonneuve</v>
          </cell>
          <cell r="D204">
            <v>2225</v>
          </cell>
          <cell r="E204">
            <v>1520</v>
          </cell>
          <cell r="F204">
            <v>280</v>
          </cell>
          <cell r="G204">
            <v>45</v>
          </cell>
          <cell r="H204">
            <v>235</v>
          </cell>
          <cell r="I204">
            <v>140</v>
          </cell>
          <cell r="J204">
            <v>2220</v>
          </cell>
          <cell r="K204">
            <v>1755</v>
          </cell>
          <cell r="L204">
            <v>465</v>
          </cell>
          <cell r="M204">
            <v>560</v>
          </cell>
          <cell r="N204">
            <v>360</v>
          </cell>
          <cell r="O204">
            <v>125</v>
          </cell>
          <cell r="P204">
            <v>40</v>
          </cell>
          <cell r="Q204">
            <v>45</v>
          </cell>
          <cell r="R204">
            <v>560</v>
          </cell>
          <cell r="S204">
            <v>365</v>
          </cell>
          <cell r="T204">
            <v>130</v>
          </cell>
          <cell r="U204">
            <v>60</v>
          </cell>
          <cell r="V204">
            <v>70</v>
          </cell>
          <cell r="W204">
            <v>30</v>
          </cell>
          <cell r="X204">
            <v>20</v>
          </cell>
          <cell r="Y204">
            <v>20</v>
          </cell>
          <cell r="Z204">
            <v>235</v>
          </cell>
          <cell r="AA204">
            <v>150</v>
          </cell>
          <cell r="AB204">
            <v>85</v>
          </cell>
          <cell r="AC204">
            <v>60</v>
          </cell>
          <cell r="AD204">
            <v>10</v>
          </cell>
          <cell r="AE204">
            <v>15</v>
          </cell>
          <cell r="AF204">
            <v>195</v>
          </cell>
          <cell r="AG204">
            <v>140</v>
          </cell>
          <cell r="AH204">
            <v>100</v>
          </cell>
          <cell r="AI204">
            <v>25</v>
          </cell>
          <cell r="AJ204">
            <v>10</v>
          </cell>
          <cell r="AK204">
            <v>55</v>
          </cell>
          <cell r="AL204">
            <v>45</v>
          </cell>
          <cell r="AM204">
            <v>10</v>
          </cell>
          <cell r="AN204">
            <v>0</v>
          </cell>
          <cell r="AO204">
            <v>525</v>
          </cell>
          <cell r="AP204">
            <v>105</v>
          </cell>
          <cell r="AQ204">
            <v>230</v>
          </cell>
          <cell r="AR204">
            <v>50</v>
          </cell>
          <cell r="AS204">
            <v>45</v>
          </cell>
          <cell r="AT204">
            <v>95</v>
          </cell>
          <cell r="AU204">
            <v>0.9</v>
          </cell>
          <cell r="AV204">
            <v>2550</v>
          </cell>
          <cell r="AW204">
            <v>1095</v>
          </cell>
          <cell r="AX204">
            <v>105</v>
          </cell>
          <cell r="AY204">
            <v>375</v>
          </cell>
          <cell r="AZ204">
            <v>610</v>
          </cell>
          <cell r="BA204">
            <v>1460</v>
          </cell>
          <cell r="BB204">
            <v>2.6</v>
          </cell>
          <cell r="BC204">
            <v>305</v>
          </cell>
          <cell r="BD204">
            <v>195</v>
          </cell>
          <cell r="BE204">
            <v>10</v>
          </cell>
          <cell r="BF204">
            <v>50</v>
          </cell>
          <cell r="BG204">
            <v>135</v>
          </cell>
          <cell r="BH204">
            <v>110</v>
          </cell>
          <cell r="BI204">
            <v>1355</v>
          </cell>
          <cell r="BJ204">
            <v>4.2</v>
          </cell>
          <cell r="BK204">
            <v>5691</v>
          </cell>
          <cell r="BL204">
            <v>1.7</v>
          </cell>
          <cell r="BM204">
            <v>2303.5</v>
          </cell>
          <cell r="BN204">
            <v>1355</v>
          </cell>
          <cell r="BO204">
            <v>210</v>
          </cell>
          <cell r="BP204">
            <v>1150</v>
          </cell>
          <cell r="BQ204">
            <v>0</v>
          </cell>
          <cell r="BR204">
            <v>1355</v>
          </cell>
          <cell r="BS204">
            <v>735</v>
          </cell>
          <cell r="BT204">
            <v>445</v>
          </cell>
          <cell r="BU204">
            <v>175</v>
          </cell>
          <cell r="BV204">
            <v>1355</v>
          </cell>
          <cell r="BW204">
            <v>530</v>
          </cell>
          <cell r="BX204">
            <v>280</v>
          </cell>
          <cell r="BY204">
            <v>95</v>
          </cell>
          <cell r="BZ204">
            <v>115</v>
          </cell>
          <cell r="CA204">
            <v>135</v>
          </cell>
          <cell r="CB204">
            <v>115</v>
          </cell>
          <cell r="CC204">
            <v>15</v>
          </cell>
          <cell r="CD204">
            <v>25</v>
          </cell>
          <cell r="CE204">
            <v>40</v>
          </cell>
          <cell r="CF204">
            <v>1355</v>
          </cell>
          <cell r="CG204">
            <v>5</v>
          </cell>
          <cell r="CH204">
            <v>0</v>
          </cell>
          <cell r="CI204">
            <v>0</v>
          </cell>
          <cell r="CJ204">
            <v>40</v>
          </cell>
          <cell r="CK204">
            <v>70</v>
          </cell>
          <cell r="CL204">
            <v>1235</v>
          </cell>
          <cell r="CM204">
            <v>0</v>
          </cell>
          <cell r="CN204">
            <v>0</v>
          </cell>
          <cell r="CO204">
            <v>1360</v>
          </cell>
          <cell r="CP204">
            <v>625</v>
          </cell>
          <cell r="CQ204">
            <v>445</v>
          </cell>
          <cell r="CR204">
            <v>155</v>
          </cell>
          <cell r="CS204">
            <v>110</v>
          </cell>
          <cell r="CT204">
            <v>10</v>
          </cell>
          <cell r="CU204">
            <v>2550</v>
          </cell>
          <cell r="CV204">
            <v>1.9</v>
          </cell>
          <cell r="CW204">
            <v>1355</v>
          </cell>
          <cell r="CX204">
            <v>555</v>
          </cell>
          <cell r="CY204">
            <v>0</v>
          </cell>
          <cell r="CZ204">
            <v>795</v>
          </cell>
        </row>
        <row r="205">
          <cell r="A205" t="str">
            <v>4620025.00</v>
          </cell>
          <cell r="B205" t="str">
            <v>0025.00</v>
          </cell>
          <cell r="C205" t="str">
            <v>Mercier-Hochelaga-Maisonneuve</v>
          </cell>
          <cell r="D205">
            <v>2470</v>
          </cell>
          <cell r="E205">
            <v>1630</v>
          </cell>
          <cell r="F205">
            <v>385</v>
          </cell>
          <cell r="G205">
            <v>75</v>
          </cell>
          <cell r="H205">
            <v>245</v>
          </cell>
          <cell r="I205">
            <v>140</v>
          </cell>
          <cell r="J205">
            <v>2475</v>
          </cell>
          <cell r="K205">
            <v>1985</v>
          </cell>
          <cell r="L205">
            <v>485</v>
          </cell>
          <cell r="M205">
            <v>685</v>
          </cell>
          <cell r="N205">
            <v>415</v>
          </cell>
          <cell r="O205">
            <v>145</v>
          </cell>
          <cell r="P205">
            <v>85</v>
          </cell>
          <cell r="Q205">
            <v>40</v>
          </cell>
          <cell r="R205">
            <v>685</v>
          </cell>
          <cell r="S205">
            <v>400</v>
          </cell>
          <cell r="T205">
            <v>160</v>
          </cell>
          <cell r="U205">
            <v>85</v>
          </cell>
          <cell r="V205">
            <v>80</v>
          </cell>
          <cell r="W205">
            <v>45</v>
          </cell>
          <cell r="X205">
            <v>20</v>
          </cell>
          <cell r="Y205">
            <v>15</v>
          </cell>
          <cell r="Z205">
            <v>240</v>
          </cell>
          <cell r="AA205">
            <v>135</v>
          </cell>
          <cell r="AB205">
            <v>100</v>
          </cell>
          <cell r="AC205">
            <v>40</v>
          </cell>
          <cell r="AD205">
            <v>55</v>
          </cell>
          <cell r="AE205">
            <v>0</v>
          </cell>
          <cell r="AF205">
            <v>285</v>
          </cell>
          <cell r="AG205">
            <v>240</v>
          </cell>
          <cell r="AH205">
            <v>150</v>
          </cell>
          <cell r="AI205">
            <v>60</v>
          </cell>
          <cell r="AJ205">
            <v>20</v>
          </cell>
          <cell r="AK205">
            <v>45</v>
          </cell>
          <cell r="AL205">
            <v>50</v>
          </cell>
          <cell r="AM205">
            <v>0</v>
          </cell>
          <cell r="AN205">
            <v>0</v>
          </cell>
          <cell r="AO205">
            <v>730</v>
          </cell>
          <cell r="AP205">
            <v>145</v>
          </cell>
          <cell r="AQ205">
            <v>240</v>
          </cell>
          <cell r="AR205">
            <v>125</v>
          </cell>
          <cell r="AS205">
            <v>110</v>
          </cell>
          <cell r="AT205">
            <v>110</v>
          </cell>
          <cell r="AU205">
            <v>1.1000000000000001</v>
          </cell>
          <cell r="AV205">
            <v>2685</v>
          </cell>
          <cell r="AW205">
            <v>875</v>
          </cell>
          <cell r="AX205">
            <v>55</v>
          </cell>
          <cell r="AY205">
            <v>280</v>
          </cell>
          <cell r="AZ205">
            <v>545</v>
          </cell>
          <cell r="BA205">
            <v>1815</v>
          </cell>
          <cell r="BB205">
            <v>2.6</v>
          </cell>
          <cell r="BC205">
            <v>210</v>
          </cell>
          <cell r="BD205">
            <v>100</v>
          </cell>
          <cell r="BE205">
            <v>10</v>
          </cell>
          <cell r="BF205">
            <v>20</v>
          </cell>
          <cell r="BG205">
            <v>70</v>
          </cell>
          <cell r="BH205">
            <v>105</v>
          </cell>
          <cell r="BI205">
            <v>1325</v>
          </cell>
          <cell r="BJ205">
            <v>4.5999999999999996</v>
          </cell>
          <cell r="BK205">
            <v>6094.9999999999991</v>
          </cell>
          <cell r="BL205">
            <v>2</v>
          </cell>
          <cell r="BM205">
            <v>2650</v>
          </cell>
          <cell r="BN205">
            <v>1325</v>
          </cell>
          <cell r="BO205">
            <v>260</v>
          </cell>
          <cell r="BP205">
            <v>1070</v>
          </cell>
          <cell r="BQ205">
            <v>0</v>
          </cell>
          <cell r="BR205">
            <v>1325</v>
          </cell>
          <cell r="BS205">
            <v>645</v>
          </cell>
          <cell r="BT205">
            <v>480</v>
          </cell>
          <cell r="BU205">
            <v>200</v>
          </cell>
          <cell r="BV205">
            <v>1325</v>
          </cell>
          <cell r="BW205">
            <v>670</v>
          </cell>
          <cell r="BX205">
            <v>225</v>
          </cell>
          <cell r="BY205">
            <v>120</v>
          </cell>
          <cell r="BZ205">
            <v>80</v>
          </cell>
          <cell r="CA205">
            <v>60</v>
          </cell>
          <cell r="CB205">
            <v>50</v>
          </cell>
          <cell r="CC205">
            <v>10</v>
          </cell>
          <cell r="CD205">
            <v>0</v>
          </cell>
          <cell r="CE205">
            <v>95</v>
          </cell>
          <cell r="CF205">
            <v>1325</v>
          </cell>
          <cell r="CG205">
            <v>10</v>
          </cell>
          <cell r="CH205">
            <v>0</v>
          </cell>
          <cell r="CI205">
            <v>10</v>
          </cell>
          <cell r="CJ205">
            <v>60</v>
          </cell>
          <cell r="CK205">
            <v>0</v>
          </cell>
          <cell r="CL205">
            <v>1250</v>
          </cell>
          <cell r="CM205">
            <v>5</v>
          </cell>
          <cell r="CN205">
            <v>0</v>
          </cell>
          <cell r="CO205">
            <v>1330</v>
          </cell>
          <cell r="CP205">
            <v>540</v>
          </cell>
          <cell r="CQ205">
            <v>435</v>
          </cell>
          <cell r="CR205">
            <v>190</v>
          </cell>
          <cell r="CS205">
            <v>140</v>
          </cell>
          <cell r="CT205">
            <v>15</v>
          </cell>
          <cell r="CU205">
            <v>2690</v>
          </cell>
          <cell r="CV205">
            <v>2</v>
          </cell>
          <cell r="CW205">
            <v>1325</v>
          </cell>
          <cell r="CX205">
            <v>675</v>
          </cell>
          <cell r="CY205">
            <v>0</v>
          </cell>
          <cell r="CZ205">
            <v>645</v>
          </cell>
        </row>
        <row r="206">
          <cell r="A206" t="str">
            <v>4620026.00</v>
          </cell>
          <cell r="B206" t="str">
            <v>0026.00</v>
          </cell>
          <cell r="C206" t="str">
            <v>Mercier-Hochelaga-Maisonneuve</v>
          </cell>
          <cell r="D206">
            <v>1895</v>
          </cell>
          <cell r="E206">
            <v>1210</v>
          </cell>
          <cell r="F206">
            <v>290</v>
          </cell>
          <cell r="G206">
            <v>50</v>
          </cell>
          <cell r="H206">
            <v>205</v>
          </cell>
          <cell r="I206">
            <v>135</v>
          </cell>
          <cell r="J206">
            <v>1890</v>
          </cell>
          <cell r="K206">
            <v>1510</v>
          </cell>
          <cell r="L206">
            <v>385</v>
          </cell>
          <cell r="M206">
            <v>540</v>
          </cell>
          <cell r="N206">
            <v>370</v>
          </cell>
          <cell r="O206">
            <v>75</v>
          </cell>
          <cell r="P206">
            <v>65</v>
          </cell>
          <cell r="Q206">
            <v>20</v>
          </cell>
          <cell r="R206">
            <v>535</v>
          </cell>
          <cell r="S206">
            <v>365</v>
          </cell>
          <cell r="T206">
            <v>140</v>
          </cell>
          <cell r="U206">
            <v>70</v>
          </cell>
          <cell r="V206">
            <v>65</v>
          </cell>
          <cell r="W206">
            <v>30</v>
          </cell>
          <cell r="X206">
            <v>20</v>
          </cell>
          <cell r="Y206">
            <v>15</v>
          </cell>
          <cell r="Z206">
            <v>225</v>
          </cell>
          <cell r="AA206">
            <v>170</v>
          </cell>
          <cell r="AB206">
            <v>50</v>
          </cell>
          <cell r="AC206">
            <v>30</v>
          </cell>
          <cell r="AD206">
            <v>20</v>
          </cell>
          <cell r="AE206">
            <v>10</v>
          </cell>
          <cell r="AF206">
            <v>175</v>
          </cell>
          <cell r="AG206">
            <v>150</v>
          </cell>
          <cell r="AH206">
            <v>105</v>
          </cell>
          <cell r="AI206">
            <v>10</v>
          </cell>
          <cell r="AJ206">
            <v>30</v>
          </cell>
          <cell r="AK206">
            <v>20</v>
          </cell>
          <cell r="AL206">
            <v>15</v>
          </cell>
          <cell r="AM206">
            <v>10</v>
          </cell>
          <cell r="AN206">
            <v>0</v>
          </cell>
          <cell r="AO206">
            <v>455</v>
          </cell>
          <cell r="AP206">
            <v>130</v>
          </cell>
          <cell r="AQ206">
            <v>130</v>
          </cell>
          <cell r="AR206">
            <v>50</v>
          </cell>
          <cell r="AS206">
            <v>90</v>
          </cell>
          <cell r="AT206">
            <v>55</v>
          </cell>
          <cell r="AU206">
            <v>0.9</v>
          </cell>
          <cell r="AV206">
            <v>2175</v>
          </cell>
          <cell r="AW206">
            <v>815</v>
          </cell>
          <cell r="AX206">
            <v>85</v>
          </cell>
          <cell r="AY206">
            <v>180</v>
          </cell>
          <cell r="AZ206">
            <v>555</v>
          </cell>
          <cell r="BA206">
            <v>1355</v>
          </cell>
          <cell r="BB206">
            <v>2.5</v>
          </cell>
          <cell r="BC206">
            <v>250</v>
          </cell>
          <cell r="BD206">
            <v>135</v>
          </cell>
          <cell r="BE206">
            <v>10</v>
          </cell>
          <cell r="BF206">
            <v>10</v>
          </cell>
          <cell r="BG206">
            <v>115</v>
          </cell>
          <cell r="BH206">
            <v>115</v>
          </cell>
          <cell r="BI206">
            <v>1175</v>
          </cell>
          <cell r="BJ206">
            <v>4.0999999999999996</v>
          </cell>
          <cell r="BK206">
            <v>4817.5</v>
          </cell>
          <cell r="BL206">
            <v>1.6</v>
          </cell>
          <cell r="BM206">
            <v>1880</v>
          </cell>
          <cell r="BN206">
            <v>1180</v>
          </cell>
          <cell r="BO206">
            <v>190</v>
          </cell>
          <cell r="BP206">
            <v>990</v>
          </cell>
          <cell r="BQ206">
            <v>0</v>
          </cell>
          <cell r="BR206">
            <v>1180</v>
          </cell>
          <cell r="BS206">
            <v>650</v>
          </cell>
          <cell r="BT206">
            <v>310</v>
          </cell>
          <cell r="BU206">
            <v>215</v>
          </cell>
          <cell r="BV206">
            <v>1180</v>
          </cell>
          <cell r="BW206">
            <v>585</v>
          </cell>
          <cell r="BX206">
            <v>175</v>
          </cell>
          <cell r="BY206">
            <v>135</v>
          </cell>
          <cell r="BZ206">
            <v>35</v>
          </cell>
          <cell r="CA206">
            <v>55</v>
          </cell>
          <cell r="CB206">
            <v>45</v>
          </cell>
          <cell r="CC206">
            <v>30</v>
          </cell>
          <cell r="CD206">
            <v>15</v>
          </cell>
          <cell r="CE206">
            <v>100</v>
          </cell>
          <cell r="CF206">
            <v>1180</v>
          </cell>
          <cell r="CG206">
            <v>5</v>
          </cell>
          <cell r="CH206">
            <v>0</v>
          </cell>
          <cell r="CI206">
            <v>10</v>
          </cell>
          <cell r="CJ206">
            <v>50</v>
          </cell>
          <cell r="CK206">
            <v>60</v>
          </cell>
          <cell r="CL206">
            <v>1060</v>
          </cell>
          <cell r="CM206">
            <v>0</v>
          </cell>
          <cell r="CN206">
            <v>0</v>
          </cell>
          <cell r="CO206">
            <v>1175</v>
          </cell>
          <cell r="CP206">
            <v>590</v>
          </cell>
          <cell r="CQ206">
            <v>365</v>
          </cell>
          <cell r="CR206">
            <v>120</v>
          </cell>
          <cell r="CS206">
            <v>80</v>
          </cell>
          <cell r="CT206">
            <v>20</v>
          </cell>
          <cell r="CU206">
            <v>2170</v>
          </cell>
          <cell r="CV206">
            <v>1.8</v>
          </cell>
          <cell r="CW206">
            <v>1175</v>
          </cell>
          <cell r="CX206">
            <v>520</v>
          </cell>
          <cell r="CY206">
            <v>10</v>
          </cell>
          <cell r="CZ206">
            <v>650</v>
          </cell>
        </row>
        <row r="207">
          <cell r="A207" t="str">
            <v>4620027.00</v>
          </cell>
          <cell r="B207" t="str">
            <v>0027.00</v>
          </cell>
          <cell r="C207" t="str">
            <v>Mercier-Hochelaga-Maisonneuve</v>
          </cell>
          <cell r="D207">
            <v>1590</v>
          </cell>
          <cell r="E207">
            <v>1035</v>
          </cell>
          <cell r="F207">
            <v>240</v>
          </cell>
          <cell r="G207">
            <v>45</v>
          </cell>
          <cell r="H207">
            <v>175</v>
          </cell>
          <cell r="I207">
            <v>95</v>
          </cell>
          <cell r="J207">
            <v>1585</v>
          </cell>
          <cell r="K207">
            <v>1225</v>
          </cell>
          <cell r="L207">
            <v>360</v>
          </cell>
          <cell r="M207">
            <v>365</v>
          </cell>
          <cell r="N207">
            <v>195</v>
          </cell>
          <cell r="O207">
            <v>95</v>
          </cell>
          <cell r="P207">
            <v>65</v>
          </cell>
          <cell r="Q207">
            <v>10</v>
          </cell>
          <cell r="R207">
            <v>365</v>
          </cell>
          <cell r="S207">
            <v>265</v>
          </cell>
          <cell r="T207">
            <v>115</v>
          </cell>
          <cell r="U207">
            <v>60</v>
          </cell>
          <cell r="V207">
            <v>55</v>
          </cell>
          <cell r="W207">
            <v>45</v>
          </cell>
          <cell r="X207">
            <v>10</v>
          </cell>
          <cell r="Y207">
            <v>0</v>
          </cell>
          <cell r="Z207">
            <v>150</v>
          </cell>
          <cell r="AA207">
            <v>60</v>
          </cell>
          <cell r="AB207">
            <v>85</v>
          </cell>
          <cell r="AC207">
            <v>15</v>
          </cell>
          <cell r="AD207">
            <v>60</v>
          </cell>
          <cell r="AE207">
            <v>10</v>
          </cell>
          <cell r="AF207">
            <v>100</v>
          </cell>
          <cell r="AG207">
            <v>90</v>
          </cell>
          <cell r="AH207">
            <v>60</v>
          </cell>
          <cell r="AI207">
            <v>35</v>
          </cell>
          <cell r="AJ207">
            <v>0</v>
          </cell>
          <cell r="AK207">
            <v>10</v>
          </cell>
          <cell r="AL207">
            <v>10</v>
          </cell>
          <cell r="AM207">
            <v>0</v>
          </cell>
          <cell r="AN207">
            <v>0</v>
          </cell>
          <cell r="AO207">
            <v>375</v>
          </cell>
          <cell r="AP207">
            <v>110</v>
          </cell>
          <cell r="AQ207">
            <v>115</v>
          </cell>
          <cell r="AR207">
            <v>30</v>
          </cell>
          <cell r="AS207">
            <v>50</v>
          </cell>
          <cell r="AT207">
            <v>60</v>
          </cell>
          <cell r="AU207">
            <v>1</v>
          </cell>
          <cell r="AV207">
            <v>1730</v>
          </cell>
          <cell r="AW207">
            <v>725</v>
          </cell>
          <cell r="AX207">
            <v>50</v>
          </cell>
          <cell r="AY207">
            <v>220</v>
          </cell>
          <cell r="AZ207">
            <v>455</v>
          </cell>
          <cell r="BA207">
            <v>1010</v>
          </cell>
          <cell r="BB207">
            <v>2.8</v>
          </cell>
          <cell r="BC207">
            <v>175</v>
          </cell>
          <cell r="BD207">
            <v>85</v>
          </cell>
          <cell r="BE207">
            <v>0</v>
          </cell>
          <cell r="BF207">
            <v>15</v>
          </cell>
          <cell r="BG207">
            <v>60</v>
          </cell>
          <cell r="BH207">
            <v>90</v>
          </cell>
          <cell r="BI207">
            <v>910</v>
          </cell>
          <cell r="BJ207">
            <v>4.0999999999999996</v>
          </cell>
          <cell r="BK207">
            <v>3730.9999999999995</v>
          </cell>
          <cell r="BL207">
            <v>1.6</v>
          </cell>
          <cell r="BM207">
            <v>1456</v>
          </cell>
          <cell r="BN207">
            <v>915</v>
          </cell>
          <cell r="BO207">
            <v>95</v>
          </cell>
          <cell r="BP207">
            <v>815</v>
          </cell>
          <cell r="BQ207">
            <v>0</v>
          </cell>
          <cell r="BR207">
            <v>915</v>
          </cell>
          <cell r="BS207">
            <v>470</v>
          </cell>
          <cell r="BT207">
            <v>265</v>
          </cell>
          <cell r="BU207">
            <v>180</v>
          </cell>
          <cell r="BV207">
            <v>910</v>
          </cell>
          <cell r="BW207">
            <v>500</v>
          </cell>
          <cell r="BX207">
            <v>205</v>
          </cell>
          <cell r="BY207">
            <v>105</v>
          </cell>
          <cell r="BZ207">
            <v>45</v>
          </cell>
          <cell r="CA207">
            <v>25</v>
          </cell>
          <cell r="CB207">
            <v>0</v>
          </cell>
          <cell r="CC207">
            <v>0</v>
          </cell>
          <cell r="CD207">
            <v>25</v>
          </cell>
          <cell r="CE207">
            <v>0</v>
          </cell>
          <cell r="CF207">
            <v>910</v>
          </cell>
          <cell r="CG207">
            <v>5</v>
          </cell>
          <cell r="CH207">
            <v>0</v>
          </cell>
          <cell r="CI207">
            <v>5</v>
          </cell>
          <cell r="CJ207">
            <v>100</v>
          </cell>
          <cell r="CK207">
            <v>0</v>
          </cell>
          <cell r="CL207">
            <v>800</v>
          </cell>
          <cell r="CM207">
            <v>0</v>
          </cell>
          <cell r="CN207">
            <v>0</v>
          </cell>
          <cell r="CO207">
            <v>910</v>
          </cell>
          <cell r="CP207">
            <v>420</v>
          </cell>
          <cell r="CQ207">
            <v>290</v>
          </cell>
          <cell r="CR207">
            <v>110</v>
          </cell>
          <cell r="CS207">
            <v>80</v>
          </cell>
          <cell r="CT207">
            <v>5</v>
          </cell>
          <cell r="CU207">
            <v>1735</v>
          </cell>
          <cell r="CV207">
            <v>1.9</v>
          </cell>
          <cell r="CW207">
            <v>915</v>
          </cell>
          <cell r="CX207">
            <v>340</v>
          </cell>
          <cell r="CY207">
            <v>10</v>
          </cell>
          <cell r="CZ207">
            <v>560</v>
          </cell>
        </row>
        <row r="208">
          <cell r="A208" t="str">
            <v>4620028.00</v>
          </cell>
          <cell r="B208" t="str">
            <v>0028.00</v>
          </cell>
          <cell r="C208" t="str">
            <v>Mercier-Hochelaga-Maisonneuve</v>
          </cell>
          <cell r="D208">
            <v>1865</v>
          </cell>
          <cell r="E208">
            <v>1290</v>
          </cell>
          <cell r="F208">
            <v>290</v>
          </cell>
          <cell r="G208">
            <v>45</v>
          </cell>
          <cell r="H208">
            <v>155</v>
          </cell>
          <cell r="I208">
            <v>85</v>
          </cell>
          <cell r="J208">
            <v>1860</v>
          </cell>
          <cell r="K208">
            <v>1500</v>
          </cell>
          <cell r="L208">
            <v>365</v>
          </cell>
          <cell r="M208">
            <v>450</v>
          </cell>
          <cell r="N208">
            <v>310</v>
          </cell>
          <cell r="O208">
            <v>60</v>
          </cell>
          <cell r="P208">
            <v>55</v>
          </cell>
          <cell r="Q208">
            <v>25</v>
          </cell>
          <cell r="R208">
            <v>450</v>
          </cell>
          <cell r="S208">
            <v>355</v>
          </cell>
          <cell r="T208">
            <v>145</v>
          </cell>
          <cell r="U208">
            <v>85</v>
          </cell>
          <cell r="V208">
            <v>65</v>
          </cell>
          <cell r="W208">
            <v>20</v>
          </cell>
          <cell r="X208">
            <v>15</v>
          </cell>
          <cell r="Y208">
            <v>25</v>
          </cell>
          <cell r="Z208">
            <v>210</v>
          </cell>
          <cell r="AA208">
            <v>160</v>
          </cell>
          <cell r="AB208">
            <v>50</v>
          </cell>
          <cell r="AC208">
            <v>20</v>
          </cell>
          <cell r="AD208">
            <v>30</v>
          </cell>
          <cell r="AE208">
            <v>0</v>
          </cell>
          <cell r="AF208">
            <v>100</v>
          </cell>
          <cell r="AG208">
            <v>70</v>
          </cell>
          <cell r="AH208">
            <v>50</v>
          </cell>
          <cell r="AI208">
            <v>15</v>
          </cell>
          <cell r="AJ208">
            <v>15</v>
          </cell>
          <cell r="AK208">
            <v>20</v>
          </cell>
          <cell r="AL208">
            <v>15</v>
          </cell>
          <cell r="AM208">
            <v>10</v>
          </cell>
          <cell r="AN208">
            <v>0</v>
          </cell>
          <cell r="AO208">
            <v>350</v>
          </cell>
          <cell r="AP208">
            <v>125</v>
          </cell>
          <cell r="AQ208">
            <v>80</v>
          </cell>
          <cell r="AR208">
            <v>35</v>
          </cell>
          <cell r="AS208">
            <v>45</v>
          </cell>
          <cell r="AT208">
            <v>65</v>
          </cell>
          <cell r="AU208">
            <v>0.8</v>
          </cell>
          <cell r="AV208">
            <v>2055</v>
          </cell>
          <cell r="AW208">
            <v>895</v>
          </cell>
          <cell r="AX208">
            <v>20</v>
          </cell>
          <cell r="AY208">
            <v>345</v>
          </cell>
          <cell r="AZ208">
            <v>530</v>
          </cell>
          <cell r="BA208">
            <v>1155</v>
          </cell>
          <cell r="BB208">
            <v>2.6</v>
          </cell>
          <cell r="BC208">
            <v>195</v>
          </cell>
          <cell r="BD208">
            <v>85</v>
          </cell>
          <cell r="BE208">
            <v>0</v>
          </cell>
          <cell r="BF208">
            <v>0</v>
          </cell>
          <cell r="BG208">
            <v>85</v>
          </cell>
          <cell r="BH208">
            <v>115</v>
          </cell>
          <cell r="BI208">
            <v>1125</v>
          </cell>
          <cell r="BJ208">
            <v>4.5</v>
          </cell>
          <cell r="BK208">
            <v>5062.5</v>
          </cell>
          <cell r="BL208">
            <v>1.8</v>
          </cell>
          <cell r="BM208">
            <v>2025</v>
          </cell>
          <cell r="BN208">
            <v>1120</v>
          </cell>
          <cell r="BO208">
            <v>175</v>
          </cell>
          <cell r="BP208">
            <v>940</v>
          </cell>
          <cell r="BQ208">
            <v>0</v>
          </cell>
          <cell r="BR208">
            <v>1125</v>
          </cell>
          <cell r="BS208">
            <v>540</v>
          </cell>
          <cell r="BT208">
            <v>375</v>
          </cell>
          <cell r="BU208">
            <v>210</v>
          </cell>
          <cell r="BV208">
            <v>1125</v>
          </cell>
          <cell r="BW208">
            <v>785</v>
          </cell>
          <cell r="BX208">
            <v>225</v>
          </cell>
          <cell r="BY208">
            <v>50</v>
          </cell>
          <cell r="BZ208">
            <v>45</v>
          </cell>
          <cell r="CA208">
            <v>15</v>
          </cell>
          <cell r="CB208">
            <v>0</v>
          </cell>
          <cell r="CC208">
            <v>0</v>
          </cell>
          <cell r="CD208">
            <v>0</v>
          </cell>
          <cell r="CE208">
            <v>0</v>
          </cell>
          <cell r="CF208">
            <v>1125</v>
          </cell>
          <cell r="CG208">
            <v>5</v>
          </cell>
          <cell r="CH208">
            <v>0</v>
          </cell>
          <cell r="CI208">
            <v>20</v>
          </cell>
          <cell r="CJ208">
            <v>20</v>
          </cell>
          <cell r="CK208">
            <v>20</v>
          </cell>
          <cell r="CL208">
            <v>1060</v>
          </cell>
          <cell r="CM208">
            <v>5</v>
          </cell>
          <cell r="CN208">
            <v>0</v>
          </cell>
          <cell r="CO208">
            <v>1125</v>
          </cell>
          <cell r="CP208">
            <v>525</v>
          </cell>
          <cell r="CQ208">
            <v>385</v>
          </cell>
          <cell r="CR208">
            <v>120</v>
          </cell>
          <cell r="CS208">
            <v>80</v>
          </cell>
          <cell r="CT208">
            <v>10</v>
          </cell>
          <cell r="CU208">
            <v>2050</v>
          </cell>
          <cell r="CV208">
            <v>1.8</v>
          </cell>
          <cell r="CW208">
            <v>1125</v>
          </cell>
          <cell r="CX208">
            <v>445</v>
          </cell>
          <cell r="CY208">
            <v>10</v>
          </cell>
          <cell r="CZ208">
            <v>675</v>
          </cell>
        </row>
        <row r="209">
          <cell r="A209" t="str">
            <v>4620029.00</v>
          </cell>
          <cell r="B209" t="str">
            <v>0029.00</v>
          </cell>
          <cell r="C209" t="str">
            <v>Mercier-Hochelaga-Maisonneuve</v>
          </cell>
          <cell r="D209">
            <v>3405</v>
          </cell>
          <cell r="E209">
            <v>2230</v>
          </cell>
          <cell r="F209">
            <v>575</v>
          </cell>
          <cell r="G209">
            <v>85</v>
          </cell>
          <cell r="H209">
            <v>350</v>
          </cell>
          <cell r="I209">
            <v>165</v>
          </cell>
          <cell r="J209">
            <v>3400</v>
          </cell>
          <cell r="K209">
            <v>2745</v>
          </cell>
          <cell r="L209">
            <v>655</v>
          </cell>
          <cell r="M209">
            <v>825</v>
          </cell>
          <cell r="N209">
            <v>545</v>
          </cell>
          <cell r="O209">
            <v>125</v>
          </cell>
          <cell r="P209">
            <v>150</v>
          </cell>
          <cell r="Q209">
            <v>0</v>
          </cell>
          <cell r="R209">
            <v>830</v>
          </cell>
          <cell r="S209">
            <v>600</v>
          </cell>
          <cell r="T209">
            <v>270</v>
          </cell>
          <cell r="U209">
            <v>140</v>
          </cell>
          <cell r="V209">
            <v>130</v>
          </cell>
          <cell r="W209">
            <v>50</v>
          </cell>
          <cell r="X209">
            <v>80</v>
          </cell>
          <cell r="Y209">
            <v>0</v>
          </cell>
          <cell r="Z209">
            <v>330</v>
          </cell>
          <cell r="AA209">
            <v>260</v>
          </cell>
          <cell r="AB209">
            <v>75</v>
          </cell>
          <cell r="AC209">
            <v>45</v>
          </cell>
          <cell r="AD209">
            <v>25</v>
          </cell>
          <cell r="AE209">
            <v>0</v>
          </cell>
          <cell r="AF209">
            <v>230</v>
          </cell>
          <cell r="AG209">
            <v>210</v>
          </cell>
          <cell r="AH209">
            <v>140</v>
          </cell>
          <cell r="AI209">
            <v>30</v>
          </cell>
          <cell r="AJ209">
            <v>45</v>
          </cell>
          <cell r="AK209">
            <v>15</v>
          </cell>
          <cell r="AL209">
            <v>10</v>
          </cell>
          <cell r="AM209">
            <v>10</v>
          </cell>
          <cell r="AN209">
            <v>0</v>
          </cell>
          <cell r="AO209">
            <v>660</v>
          </cell>
          <cell r="AP209">
            <v>220</v>
          </cell>
          <cell r="AQ209">
            <v>175</v>
          </cell>
          <cell r="AR209">
            <v>70</v>
          </cell>
          <cell r="AS209">
            <v>130</v>
          </cell>
          <cell r="AT209">
            <v>60</v>
          </cell>
          <cell r="AU209">
            <v>0.8</v>
          </cell>
          <cell r="AV209">
            <v>3590</v>
          </cell>
          <cell r="AW209">
            <v>1500</v>
          </cell>
          <cell r="AX209">
            <v>100</v>
          </cell>
          <cell r="AY209">
            <v>460</v>
          </cell>
          <cell r="AZ209">
            <v>935</v>
          </cell>
          <cell r="BA209">
            <v>2090</v>
          </cell>
          <cell r="BB209">
            <v>2.5</v>
          </cell>
          <cell r="BC209">
            <v>330</v>
          </cell>
          <cell r="BD209">
            <v>215</v>
          </cell>
          <cell r="BE209">
            <v>10</v>
          </cell>
          <cell r="BF209">
            <v>35</v>
          </cell>
          <cell r="BG209">
            <v>175</v>
          </cell>
          <cell r="BH209">
            <v>115</v>
          </cell>
          <cell r="BI209">
            <v>1970</v>
          </cell>
          <cell r="BJ209">
            <v>4.2</v>
          </cell>
          <cell r="BK209">
            <v>8274</v>
          </cell>
          <cell r="BL209">
            <v>1.6</v>
          </cell>
          <cell r="BM209">
            <v>3152</v>
          </cell>
          <cell r="BN209">
            <v>1970</v>
          </cell>
          <cell r="BO209">
            <v>365</v>
          </cell>
          <cell r="BP209">
            <v>1605</v>
          </cell>
          <cell r="BQ209">
            <v>0</v>
          </cell>
          <cell r="BR209">
            <v>1970</v>
          </cell>
          <cell r="BS209">
            <v>920</v>
          </cell>
          <cell r="BT209">
            <v>700</v>
          </cell>
          <cell r="BU209">
            <v>350</v>
          </cell>
          <cell r="BV209">
            <v>1970</v>
          </cell>
          <cell r="BW209">
            <v>635</v>
          </cell>
          <cell r="BX209">
            <v>645</v>
          </cell>
          <cell r="BY209">
            <v>285</v>
          </cell>
          <cell r="BZ209">
            <v>135</v>
          </cell>
          <cell r="CA209">
            <v>25</v>
          </cell>
          <cell r="CB209">
            <v>80</v>
          </cell>
          <cell r="CC209">
            <v>85</v>
          </cell>
          <cell r="CD209">
            <v>15</v>
          </cell>
          <cell r="CE209">
            <v>55</v>
          </cell>
          <cell r="CF209">
            <v>1970</v>
          </cell>
          <cell r="CG209">
            <v>5</v>
          </cell>
          <cell r="CH209">
            <v>5</v>
          </cell>
          <cell r="CI209">
            <v>5</v>
          </cell>
          <cell r="CJ209">
            <v>175</v>
          </cell>
          <cell r="CK209">
            <v>10</v>
          </cell>
          <cell r="CL209">
            <v>1765</v>
          </cell>
          <cell r="CM209">
            <v>10</v>
          </cell>
          <cell r="CN209">
            <v>0</v>
          </cell>
          <cell r="CO209">
            <v>1970</v>
          </cell>
          <cell r="CP209">
            <v>940</v>
          </cell>
          <cell r="CQ209">
            <v>680</v>
          </cell>
          <cell r="CR209">
            <v>200</v>
          </cell>
          <cell r="CS209">
            <v>135</v>
          </cell>
          <cell r="CT209">
            <v>25</v>
          </cell>
          <cell r="CU209">
            <v>3590</v>
          </cell>
          <cell r="CV209">
            <v>1.8</v>
          </cell>
          <cell r="CW209">
            <v>1970</v>
          </cell>
          <cell r="CX209">
            <v>785</v>
          </cell>
          <cell r="CY209">
            <v>15</v>
          </cell>
          <cell r="CZ209">
            <v>1170</v>
          </cell>
        </row>
        <row r="210">
          <cell r="A210" t="str">
            <v>4620030.00</v>
          </cell>
          <cell r="B210" t="str">
            <v>0030.00</v>
          </cell>
          <cell r="C210" t="str">
            <v>Mercier-Hochelaga-Maisonneuve</v>
          </cell>
          <cell r="D210">
            <v>3005</v>
          </cell>
          <cell r="E210">
            <v>1860</v>
          </cell>
          <cell r="F210">
            <v>665</v>
          </cell>
          <cell r="G210">
            <v>60</v>
          </cell>
          <cell r="H210">
            <v>245</v>
          </cell>
          <cell r="I210">
            <v>175</v>
          </cell>
          <cell r="J210">
            <v>3005</v>
          </cell>
          <cell r="K210">
            <v>2445</v>
          </cell>
          <cell r="L210">
            <v>560</v>
          </cell>
          <cell r="M210">
            <v>765</v>
          </cell>
          <cell r="N210">
            <v>490</v>
          </cell>
          <cell r="O210">
            <v>155</v>
          </cell>
          <cell r="P210">
            <v>110</v>
          </cell>
          <cell r="Q210">
            <v>10</v>
          </cell>
          <cell r="R210">
            <v>765</v>
          </cell>
          <cell r="S210">
            <v>605</v>
          </cell>
          <cell r="T210">
            <v>325</v>
          </cell>
          <cell r="U210">
            <v>170</v>
          </cell>
          <cell r="V210">
            <v>155</v>
          </cell>
          <cell r="W210">
            <v>80</v>
          </cell>
          <cell r="X210">
            <v>65</v>
          </cell>
          <cell r="Y210">
            <v>10</v>
          </cell>
          <cell r="Z210">
            <v>275</v>
          </cell>
          <cell r="AA210">
            <v>190</v>
          </cell>
          <cell r="AB210">
            <v>85</v>
          </cell>
          <cell r="AC210">
            <v>45</v>
          </cell>
          <cell r="AD210">
            <v>40</v>
          </cell>
          <cell r="AE210">
            <v>0</v>
          </cell>
          <cell r="AF210">
            <v>160</v>
          </cell>
          <cell r="AG210">
            <v>135</v>
          </cell>
          <cell r="AH210">
            <v>100</v>
          </cell>
          <cell r="AI210">
            <v>25</v>
          </cell>
          <cell r="AJ210">
            <v>0</v>
          </cell>
          <cell r="AK210">
            <v>25</v>
          </cell>
          <cell r="AL210">
            <v>25</v>
          </cell>
          <cell r="AM210">
            <v>0</v>
          </cell>
          <cell r="AN210">
            <v>0</v>
          </cell>
          <cell r="AO210">
            <v>560</v>
          </cell>
          <cell r="AP210">
            <v>175</v>
          </cell>
          <cell r="AQ210">
            <v>155</v>
          </cell>
          <cell r="AR210">
            <v>90</v>
          </cell>
          <cell r="AS210">
            <v>90</v>
          </cell>
          <cell r="AT210">
            <v>60</v>
          </cell>
          <cell r="AU210">
            <v>0.7</v>
          </cell>
          <cell r="AV210">
            <v>3290</v>
          </cell>
          <cell r="AW210">
            <v>1360</v>
          </cell>
          <cell r="AX210">
            <v>150</v>
          </cell>
          <cell r="AY210">
            <v>260</v>
          </cell>
          <cell r="AZ210">
            <v>950</v>
          </cell>
          <cell r="BA210">
            <v>1930</v>
          </cell>
          <cell r="BB210">
            <v>2.5</v>
          </cell>
          <cell r="BC210">
            <v>395</v>
          </cell>
          <cell r="BD210">
            <v>215</v>
          </cell>
          <cell r="BE210">
            <v>25</v>
          </cell>
          <cell r="BF210">
            <v>10</v>
          </cell>
          <cell r="BG210">
            <v>180</v>
          </cell>
          <cell r="BH210">
            <v>175</v>
          </cell>
          <cell r="BI210">
            <v>1875</v>
          </cell>
          <cell r="BJ210">
            <v>4.0999999999999996</v>
          </cell>
          <cell r="BK210">
            <v>7687.4999999999991</v>
          </cell>
          <cell r="BL210">
            <v>1.5</v>
          </cell>
          <cell r="BM210">
            <v>2812.5</v>
          </cell>
          <cell r="BN210">
            <v>1875</v>
          </cell>
          <cell r="BO210">
            <v>350</v>
          </cell>
          <cell r="BP210">
            <v>1525</v>
          </cell>
          <cell r="BQ210">
            <v>0</v>
          </cell>
          <cell r="BR210">
            <v>1875</v>
          </cell>
          <cell r="BS210">
            <v>1140</v>
          </cell>
          <cell r="BT210">
            <v>560</v>
          </cell>
          <cell r="BU210">
            <v>175</v>
          </cell>
          <cell r="BV210">
            <v>1875</v>
          </cell>
          <cell r="BW210">
            <v>390</v>
          </cell>
          <cell r="BX210">
            <v>595</v>
          </cell>
          <cell r="BY210">
            <v>400</v>
          </cell>
          <cell r="BZ210">
            <v>145</v>
          </cell>
          <cell r="CA210">
            <v>130</v>
          </cell>
          <cell r="CB210">
            <v>80</v>
          </cell>
          <cell r="CC210">
            <v>0</v>
          </cell>
          <cell r="CD210">
            <v>20</v>
          </cell>
          <cell r="CE210">
            <v>120</v>
          </cell>
          <cell r="CF210">
            <v>1875</v>
          </cell>
          <cell r="CG210">
            <v>0</v>
          </cell>
          <cell r="CH210">
            <v>5</v>
          </cell>
          <cell r="CI210">
            <v>0</v>
          </cell>
          <cell r="CJ210">
            <v>210</v>
          </cell>
          <cell r="CK210">
            <v>0</v>
          </cell>
          <cell r="CL210">
            <v>1660</v>
          </cell>
          <cell r="CM210">
            <v>5</v>
          </cell>
          <cell r="CN210">
            <v>0</v>
          </cell>
          <cell r="CO210">
            <v>1875</v>
          </cell>
          <cell r="CP210">
            <v>950</v>
          </cell>
          <cell r="CQ210">
            <v>595</v>
          </cell>
          <cell r="CR210">
            <v>205</v>
          </cell>
          <cell r="CS210">
            <v>115</v>
          </cell>
          <cell r="CT210">
            <v>5</v>
          </cell>
          <cell r="CU210">
            <v>3290</v>
          </cell>
          <cell r="CV210">
            <v>1.8</v>
          </cell>
          <cell r="CW210">
            <v>1875</v>
          </cell>
          <cell r="CX210">
            <v>760</v>
          </cell>
          <cell r="CY210">
            <v>0</v>
          </cell>
          <cell r="CZ210">
            <v>1115</v>
          </cell>
        </row>
        <row r="211">
          <cell r="A211" t="str">
            <v>4620031.00</v>
          </cell>
          <cell r="B211" t="str">
            <v>0031.00</v>
          </cell>
          <cell r="C211" t="str">
            <v>Mercier-Hochelaga-Maisonneuve</v>
          </cell>
          <cell r="D211">
            <v>2440</v>
          </cell>
          <cell r="E211">
            <v>1475</v>
          </cell>
          <cell r="F211">
            <v>525</v>
          </cell>
          <cell r="G211">
            <v>70</v>
          </cell>
          <cell r="H211">
            <v>240</v>
          </cell>
          <cell r="I211">
            <v>135</v>
          </cell>
          <cell r="J211">
            <v>2440</v>
          </cell>
          <cell r="K211">
            <v>2065</v>
          </cell>
          <cell r="L211">
            <v>375</v>
          </cell>
          <cell r="M211">
            <v>565</v>
          </cell>
          <cell r="N211">
            <v>370</v>
          </cell>
          <cell r="O211">
            <v>135</v>
          </cell>
          <cell r="P211">
            <v>45</v>
          </cell>
          <cell r="Q211">
            <v>15</v>
          </cell>
          <cell r="R211">
            <v>565</v>
          </cell>
          <cell r="S211">
            <v>435</v>
          </cell>
          <cell r="T211">
            <v>245</v>
          </cell>
          <cell r="U211">
            <v>110</v>
          </cell>
          <cell r="V211">
            <v>135</v>
          </cell>
          <cell r="W211">
            <v>80</v>
          </cell>
          <cell r="X211">
            <v>40</v>
          </cell>
          <cell r="Y211">
            <v>10</v>
          </cell>
          <cell r="Z211">
            <v>190</v>
          </cell>
          <cell r="AA211">
            <v>155</v>
          </cell>
          <cell r="AB211">
            <v>30</v>
          </cell>
          <cell r="AC211">
            <v>25</v>
          </cell>
          <cell r="AD211">
            <v>10</v>
          </cell>
          <cell r="AE211">
            <v>0</v>
          </cell>
          <cell r="AF211">
            <v>130</v>
          </cell>
          <cell r="AG211">
            <v>115</v>
          </cell>
          <cell r="AH211">
            <v>75</v>
          </cell>
          <cell r="AI211">
            <v>30</v>
          </cell>
          <cell r="AJ211">
            <v>0</v>
          </cell>
          <cell r="AK211">
            <v>25</v>
          </cell>
          <cell r="AL211">
            <v>20</v>
          </cell>
          <cell r="AM211">
            <v>0</v>
          </cell>
          <cell r="AN211">
            <v>0</v>
          </cell>
          <cell r="AO211">
            <v>425</v>
          </cell>
          <cell r="AP211">
            <v>110</v>
          </cell>
          <cell r="AQ211">
            <v>125</v>
          </cell>
          <cell r="AR211">
            <v>35</v>
          </cell>
          <cell r="AS211">
            <v>95</v>
          </cell>
          <cell r="AT211">
            <v>60</v>
          </cell>
          <cell r="AU211">
            <v>0.8</v>
          </cell>
          <cell r="AV211">
            <v>2560</v>
          </cell>
          <cell r="AW211">
            <v>1135</v>
          </cell>
          <cell r="AX211">
            <v>90</v>
          </cell>
          <cell r="AY211">
            <v>220</v>
          </cell>
          <cell r="AZ211">
            <v>830</v>
          </cell>
          <cell r="BA211">
            <v>1425</v>
          </cell>
          <cell r="BB211">
            <v>2.5</v>
          </cell>
          <cell r="BC211">
            <v>300</v>
          </cell>
          <cell r="BD211">
            <v>175</v>
          </cell>
          <cell r="BE211">
            <v>10</v>
          </cell>
          <cell r="BF211">
            <v>0</v>
          </cell>
          <cell r="BG211">
            <v>170</v>
          </cell>
          <cell r="BH211">
            <v>125</v>
          </cell>
          <cell r="BI211">
            <v>1490</v>
          </cell>
          <cell r="BJ211">
            <v>4.2</v>
          </cell>
          <cell r="BK211">
            <v>6258</v>
          </cell>
          <cell r="BL211">
            <v>1.7</v>
          </cell>
          <cell r="BM211">
            <v>2533</v>
          </cell>
          <cell r="BN211">
            <v>1490</v>
          </cell>
          <cell r="BO211">
            <v>360</v>
          </cell>
          <cell r="BP211">
            <v>1130</v>
          </cell>
          <cell r="BQ211">
            <v>0</v>
          </cell>
          <cell r="BR211">
            <v>1490</v>
          </cell>
          <cell r="BS211">
            <v>855</v>
          </cell>
          <cell r="BT211">
            <v>410</v>
          </cell>
          <cell r="BU211">
            <v>230</v>
          </cell>
          <cell r="BV211">
            <v>1490</v>
          </cell>
          <cell r="BW211">
            <v>220</v>
          </cell>
          <cell r="BX211">
            <v>720</v>
          </cell>
          <cell r="BY211">
            <v>300</v>
          </cell>
          <cell r="BZ211">
            <v>95</v>
          </cell>
          <cell r="CA211">
            <v>30</v>
          </cell>
          <cell r="CB211">
            <v>30</v>
          </cell>
          <cell r="CC211">
            <v>25</v>
          </cell>
          <cell r="CD211">
            <v>20</v>
          </cell>
          <cell r="CE211">
            <v>35</v>
          </cell>
          <cell r="CF211">
            <v>1490</v>
          </cell>
          <cell r="CG211">
            <v>0</v>
          </cell>
          <cell r="CH211">
            <v>0</v>
          </cell>
          <cell r="CI211">
            <v>90</v>
          </cell>
          <cell r="CJ211">
            <v>195</v>
          </cell>
          <cell r="CK211">
            <v>55</v>
          </cell>
          <cell r="CL211">
            <v>1145</v>
          </cell>
          <cell r="CM211">
            <v>10</v>
          </cell>
          <cell r="CN211">
            <v>0</v>
          </cell>
          <cell r="CO211">
            <v>1490</v>
          </cell>
          <cell r="CP211">
            <v>830</v>
          </cell>
          <cell r="CQ211">
            <v>420</v>
          </cell>
          <cell r="CR211">
            <v>140</v>
          </cell>
          <cell r="CS211">
            <v>90</v>
          </cell>
          <cell r="CT211">
            <v>15</v>
          </cell>
          <cell r="CU211">
            <v>2560</v>
          </cell>
          <cell r="CV211">
            <v>1.7</v>
          </cell>
          <cell r="CW211">
            <v>1490</v>
          </cell>
          <cell r="CX211">
            <v>540</v>
          </cell>
          <cell r="CY211">
            <v>10</v>
          </cell>
          <cell r="CZ211">
            <v>945</v>
          </cell>
        </row>
        <row r="212">
          <cell r="A212" t="str">
            <v>4620190.01</v>
          </cell>
          <cell r="B212" t="str">
            <v>0190.01</v>
          </cell>
          <cell r="C212" t="str">
            <v>Mercier-Hochelaga-Maisonneuve</v>
          </cell>
          <cell r="D212">
            <v>3130</v>
          </cell>
          <cell r="E212">
            <v>1410</v>
          </cell>
          <cell r="F212">
            <v>1060</v>
          </cell>
          <cell r="G212">
            <v>80</v>
          </cell>
          <cell r="H212">
            <v>330</v>
          </cell>
          <cell r="I212">
            <v>250</v>
          </cell>
          <cell r="J212">
            <v>3130</v>
          </cell>
          <cell r="K212">
            <v>2665</v>
          </cell>
          <cell r="L212">
            <v>470</v>
          </cell>
          <cell r="M212">
            <v>905</v>
          </cell>
          <cell r="N212">
            <v>550</v>
          </cell>
          <cell r="O212">
            <v>195</v>
          </cell>
          <cell r="P212">
            <v>115</v>
          </cell>
          <cell r="Q212">
            <v>50</v>
          </cell>
          <cell r="R212">
            <v>905</v>
          </cell>
          <cell r="S212">
            <v>760</v>
          </cell>
          <cell r="T212">
            <v>525</v>
          </cell>
          <cell r="U212">
            <v>300</v>
          </cell>
          <cell r="V212">
            <v>220</v>
          </cell>
          <cell r="W212">
            <v>80</v>
          </cell>
          <cell r="X212">
            <v>110</v>
          </cell>
          <cell r="Y212">
            <v>35</v>
          </cell>
          <cell r="Z212">
            <v>230</v>
          </cell>
          <cell r="AA212">
            <v>120</v>
          </cell>
          <cell r="AB212">
            <v>110</v>
          </cell>
          <cell r="AC212">
            <v>90</v>
          </cell>
          <cell r="AD212">
            <v>0</v>
          </cell>
          <cell r="AE212">
            <v>15</v>
          </cell>
          <cell r="AF212">
            <v>145</v>
          </cell>
          <cell r="AG212">
            <v>105</v>
          </cell>
          <cell r="AH212">
            <v>90</v>
          </cell>
          <cell r="AI212">
            <v>15</v>
          </cell>
          <cell r="AJ212">
            <v>0</v>
          </cell>
          <cell r="AK212">
            <v>40</v>
          </cell>
          <cell r="AL212">
            <v>35</v>
          </cell>
          <cell r="AM212">
            <v>10</v>
          </cell>
          <cell r="AN212">
            <v>0</v>
          </cell>
          <cell r="AO212">
            <v>730</v>
          </cell>
          <cell r="AP212">
            <v>145</v>
          </cell>
          <cell r="AQ212">
            <v>200</v>
          </cell>
          <cell r="AR212">
            <v>70</v>
          </cell>
          <cell r="AS212">
            <v>195</v>
          </cell>
          <cell r="AT212">
            <v>120</v>
          </cell>
          <cell r="AU212">
            <v>0.8</v>
          </cell>
          <cell r="AV212">
            <v>3450</v>
          </cell>
          <cell r="AW212">
            <v>1055</v>
          </cell>
          <cell r="AX212">
            <v>85</v>
          </cell>
          <cell r="AY212">
            <v>150</v>
          </cell>
          <cell r="AZ212">
            <v>815</v>
          </cell>
          <cell r="BA212">
            <v>2395</v>
          </cell>
          <cell r="BB212">
            <v>2.6</v>
          </cell>
          <cell r="BC212">
            <v>750</v>
          </cell>
          <cell r="BD212">
            <v>310</v>
          </cell>
          <cell r="BE212">
            <v>20</v>
          </cell>
          <cell r="BF212">
            <v>45</v>
          </cell>
          <cell r="BG212">
            <v>240</v>
          </cell>
          <cell r="BH212">
            <v>445</v>
          </cell>
          <cell r="BI212">
            <v>1810</v>
          </cell>
          <cell r="BJ212">
            <v>4.8</v>
          </cell>
          <cell r="BK212">
            <v>8688</v>
          </cell>
          <cell r="BL212">
            <v>2.1</v>
          </cell>
          <cell r="BM212">
            <v>3801</v>
          </cell>
          <cell r="BN212">
            <v>1810</v>
          </cell>
          <cell r="BO212">
            <v>760</v>
          </cell>
          <cell r="BP212">
            <v>1050</v>
          </cell>
          <cell r="BQ212">
            <v>0</v>
          </cell>
          <cell r="BR212">
            <v>1810</v>
          </cell>
          <cell r="BS212">
            <v>1175</v>
          </cell>
          <cell r="BT212">
            <v>500</v>
          </cell>
          <cell r="BU212">
            <v>135</v>
          </cell>
          <cell r="BV212">
            <v>1815</v>
          </cell>
          <cell r="BW212">
            <v>100</v>
          </cell>
          <cell r="BX212">
            <v>635</v>
          </cell>
          <cell r="BY212">
            <v>625</v>
          </cell>
          <cell r="BZ212">
            <v>175</v>
          </cell>
          <cell r="CA212">
            <v>40</v>
          </cell>
          <cell r="CB212">
            <v>40</v>
          </cell>
          <cell r="CC212">
            <v>165</v>
          </cell>
          <cell r="CD212">
            <v>0</v>
          </cell>
          <cell r="CE212">
            <v>25</v>
          </cell>
          <cell r="CF212">
            <v>1810</v>
          </cell>
          <cell r="CG212">
            <v>35</v>
          </cell>
          <cell r="CH212">
            <v>15</v>
          </cell>
          <cell r="CI212">
            <v>0</v>
          </cell>
          <cell r="CJ212">
            <v>490</v>
          </cell>
          <cell r="CK212">
            <v>0</v>
          </cell>
          <cell r="CL212">
            <v>1255</v>
          </cell>
          <cell r="CM212">
            <v>10</v>
          </cell>
          <cell r="CN212">
            <v>5</v>
          </cell>
          <cell r="CO212">
            <v>1810</v>
          </cell>
          <cell r="CP212">
            <v>820</v>
          </cell>
          <cell r="CQ212">
            <v>605</v>
          </cell>
          <cell r="CR212">
            <v>210</v>
          </cell>
          <cell r="CS212">
            <v>160</v>
          </cell>
          <cell r="CT212">
            <v>15</v>
          </cell>
          <cell r="CU212">
            <v>3450</v>
          </cell>
          <cell r="CV212">
            <v>1.9</v>
          </cell>
          <cell r="CW212">
            <v>1815</v>
          </cell>
          <cell r="CX212">
            <v>890</v>
          </cell>
          <cell r="CY212">
            <v>0</v>
          </cell>
          <cell r="CZ212">
            <v>915</v>
          </cell>
        </row>
        <row r="213">
          <cell r="A213" t="str">
            <v>4620191.00</v>
          </cell>
          <cell r="B213" t="str">
            <v>0191.00</v>
          </cell>
          <cell r="C213" t="str">
            <v>Mercier-Hochelaga-Maisonneuve</v>
          </cell>
          <cell r="D213">
            <v>5405</v>
          </cell>
          <cell r="E213">
            <v>2290</v>
          </cell>
          <cell r="F213">
            <v>1995</v>
          </cell>
          <cell r="G213">
            <v>120</v>
          </cell>
          <cell r="H213">
            <v>530</v>
          </cell>
          <cell r="I213">
            <v>470</v>
          </cell>
          <cell r="J213">
            <v>5405</v>
          </cell>
          <cell r="K213">
            <v>4605</v>
          </cell>
          <cell r="L213">
            <v>805</v>
          </cell>
          <cell r="M213">
            <v>1635</v>
          </cell>
          <cell r="N213">
            <v>975</v>
          </cell>
          <cell r="O213">
            <v>325</v>
          </cell>
          <cell r="P213">
            <v>255</v>
          </cell>
          <cell r="Q213">
            <v>80</v>
          </cell>
          <cell r="R213">
            <v>1635</v>
          </cell>
          <cell r="S213">
            <v>1395</v>
          </cell>
          <cell r="T213">
            <v>985</v>
          </cell>
          <cell r="U213">
            <v>520</v>
          </cell>
          <cell r="V213">
            <v>465</v>
          </cell>
          <cell r="W213">
            <v>215</v>
          </cell>
          <cell r="X213">
            <v>175</v>
          </cell>
          <cell r="Y213">
            <v>80</v>
          </cell>
          <cell r="Z213">
            <v>405</v>
          </cell>
          <cell r="AA213">
            <v>285</v>
          </cell>
          <cell r="AB213">
            <v>120</v>
          </cell>
          <cell r="AC213">
            <v>70</v>
          </cell>
          <cell r="AD213">
            <v>55</v>
          </cell>
          <cell r="AE213">
            <v>0</v>
          </cell>
          <cell r="AF213">
            <v>245</v>
          </cell>
          <cell r="AG213">
            <v>195</v>
          </cell>
          <cell r="AH213">
            <v>130</v>
          </cell>
          <cell r="AI213">
            <v>35</v>
          </cell>
          <cell r="AJ213">
            <v>25</v>
          </cell>
          <cell r="AK213">
            <v>50</v>
          </cell>
          <cell r="AL213">
            <v>45</v>
          </cell>
          <cell r="AM213">
            <v>0</v>
          </cell>
          <cell r="AN213">
            <v>0</v>
          </cell>
          <cell r="AO213">
            <v>1320</v>
          </cell>
          <cell r="AP213">
            <v>290</v>
          </cell>
          <cell r="AQ213">
            <v>385</v>
          </cell>
          <cell r="AR213">
            <v>90</v>
          </cell>
          <cell r="AS213">
            <v>355</v>
          </cell>
          <cell r="AT213">
            <v>205</v>
          </cell>
          <cell r="AU213">
            <v>0.8</v>
          </cell>
          <cell r="AV213">
            <v>5955</v>
          </cell>
          <cell r="AW213">
            <v>1600</v>
          </cell>
          <cell r="AX213">
            <v>130</v>
          </cell>
          <cell r="AY213">
            <v>280</v>
          </cell>
          <cell r="AZ213">
            <v>1185</v>
          </cell>
          <cell r="BA213">
            <v>4350</v>
          </cell>
          <cell r="BB213">
            <v>2.7</v>
          </cell>
          <cell r="BC213">
            <v>1270</v>
          </cell>
          <cell r="BD213">
            <v>510</v>
          </cell>
          <cell r="BE213">
            <v>30</v>
          </cell>
          <cell r="BF213">
            <v>45</v>
          </cell>
          <cell r="BG213">
            <v>440</v>
          </cell>
          <cell r="BH213">
            <v>760</v>
          </cell>
          <cell r="BI213">
            <v>2955</v>
          </cell>
          <cell r="BJ213">
            <v>4.9000000000000004</v>
          </cell>
          <cell r="BK213">
            <v>14479.500000000002</v>
          </cell>
          <cell r="BL213">
            <v>2.1</v>
          </cell>
          <cell r="BM213">
            <v>6205.5</v>
          </cell>
          <cell r="BN213">
            <v>2955</v>
          </cell>
          <cell r="BO213">
            <v>1160</v>
          </cell>
          <cell r="BP213">
            <v>1795</v>
          </cell>
          <cell r="BQ213">
            <v>0</v>
          </cell>
          <cell r="BR213">
            <v>2955</v>
          </cell>
          <cell r="BS213">
            <v>1900</v>
          </cell>
          <cell r="BT213">
            <v>875</v>
          </cell>
          <cell r="BU213">
            <v>185</v>
          </cell>
          <cell r="BV213">
            <v>2955</v>
          </cell>
          <cell r="BW213">
            <v>65</v>
          </cell>
          <cell r="BX213">
            <v>895</v>
          </cell>
          <cell r="BY213">
            <v>960</v>
          </cell>
          <cell r="BZ213">
            <v>485</v>
          </cell>
          <cell r="CA213">
            <v>220</v>
          </cell>
          <cell r="CB213">
            <v>215</v>
          </cell>
          <cell r="CC213">
            <v>70</v>
          </cell>
          <cell r="CD213">
            <v>40</v>
          </cell>
          <cell r="CE213">
            <v>0</v>
          </cell>
          <cell r="CF213">
            <v>2955</v>
          </cell>
          <cell r="CG213">
            <v>260</v>
          </cell>
          <cell r="CH213">
            <v>90</v>
          </cell>
          <cell r="CI213">
            <v>55</v>
          </cell>
          <cell r="CJ213">
            <v>755</v>
          </cell>
          <cell r="CK213">
            <v>655</v>
          </cell>
          <cell r="CL213">
            <v>1150</v>
          </cell>
          <cell r="CM213">
            <v>0</v>
          </cell>
          <cell r="CN213">
            <v>0</v>
          </cell>
          <cell r="CO213">
            <v>2955</v>
          </cell>
          <cell r="CP213">
            <v>1185</v>
          </cell>
          <cell r="CQ213">
            <v>1035</v>
          </cell>
          <cell r="CR213">
            <v>370</v>
          </cell>
          <cell r="CS213">
            <v>340</v>
          </cell>
          <cell r="CT213">
            <v>25</v>
          </cell>
          <cell r="CU213">
            <v>5955</v>
          </cell>
          <cell r="CV213">
            <v>2</v>
          </cell>
          <cell r="CW213">
            <v>2955</v>
          </cell>
          <cell r="CX213">
            <v>1580</v>
          </cell>
          <cell r="CY213">
            <v>30</v>
          </cell>
          <cell r="CZ213">
            <v>1345</v>
          </cell>
        </row>
        <row r="214">
          <cell r="A214" t="str">
            <v>4620192.00</v>
          </cell>
          <cell r="B214" t="str">
            <v>0192.00</v>
          </cell>
          <cell r="C214" t="str">
            <v>Mercier-Hochelaga-Maisonneuve</v>
          </cell>
          <cell r="D214">
            <v>2800</v>
          </cell>
          <cell r="E214">
            <v>1040</v>
          </cell>
          <cell r="F214">
            <v>950</v>
          </cell>
          <cell r="G214">
            <v>55</v>
          </cell>
          <cell r="H214">
            <v>285</v>
          </cell>
          <cell r="I214">
            <v>465</v>
          </cell>
          <cell r="J214">
            <v>2800</v>
          </cell>
          <cell r="K214">
            <v>2410</v>
          </cell>
          <cell r="L214">
            <v>395</v>
          </cell>
          <cell r="M214">
            <v>705</v>
          </cell>
          <cell r="N214">
            <v>395</v>
          </cell>
          <cell r="O214">
            <v>135</v>
          </cell>
          <cell r="P214">
            <v>130</v>
          </cell>
          <cell r="Q214">
            <v>50</v>
          </cell>
          <cell r="R214">
            <v>705</v>
          </cell>
          <cell r="S214">
            <v>650</v>
          </cell>
          <cell r="T214">
            <v>460</v>
          </cell>
          <cell r="U214">
            <v>225</v>
          </cell>
          <cell r="V214">
            <v>230</v>
          </cell>
          <cell r="W214">
            <v>95</v>
          </cell>
          <cell r="X214">
            <v>110</v>
          </cell>
          <cell r="Y214">
            <v>25</v>
          </cell>
          <cell r="Z214">
            <v>190</v>
          </cell>
          <cell r="AA214">
            <v>130</v>
          </cell>
          <cell r="AB214">
            <v>60</v>
          </cell>
          <cell r="AC214">
            <v>15</v>
          </cell>
          <cell r="AD214">
            <v>25</v>
          </cell>
          <cell r="AE214">
            <v>20</v>
          </cell>
          <cell r="AF214">
            <v>60</v>
          </cell>
          <cell r="AG214">
            <v>50</v>
          </cell>
          <cell r="AH214">
            <v>30</v>
          </cell>
          <cell r="AI214">
            <v>15</v>
          </cell>
          <cell r="AJ214">
            <v>0</v>
          </cell>
          <cell r="AK214">
            <v>10</v>
          </cell>
          <cell r="AL214">
            <v>10</v>
          </cell>
          <cell r="AM214">
            <v>0</v>
          </cell>
          <cell r="AN214">
            <v>0</v>
          </cell>
          <cell r="AO214">
            <v>655</v>
          </cell>
          <cell r="AP214">
            <v>125</v>
          </cell>
          <cell r="AQ214">
            <v>270</v>
          </cell>
          <cell r="AR214">
            <v>75</v>
          </cell>
          <cell r="AS214">
            <v>120</v>
          </cell>
          <cell r="AT214">
            <v>60</v>
          </cell>
          <cell r="AU214">
            <v>0.9</v>
          </cell>
          <cell r="AV214">
            <v>2630</v>
          </cell>
          <cell r="AW214">
            <v>615</v>
          </cell>
          <cell r="AX214">
            <v>135</v>
          </cell>
          <cell r="AY214">
            <v>90</v>
          </cell>
          <cell r="AZ214">
            <v>395</v>
          </cell>
          <cell r="BA214">
            <v>2015</v>
          </cell>
          <cell r="BB214">
            <v>2.8</v>
          </cell>
          <cell r="BC214">
            <v>445</v>
          </cell>
          <cell r="BD214">
            <v>185</v>
          </cell>
          <cell r="BE214">
            <v>60</v>
          </cell>
          <cell r="BF214">
            <v>20</v>
          </cell>
          <cell r="BG214">
            <v>100</v>
          </cell>
          <cell r="BH214">
            <v>260</v>
          </cell>
          <cell r="BI214">
            <v>1175</v>
          </cell>
          <cell r="BJ214">
            <v>5.4</v>
          </cell>
          <cell r="BK214">
            <v>6345</v>
          </cell>
          <cell r="BL214">
            <v>2.2000000000000002</v>
          </cell>
          <cell r="BM214">
            <v>2585</v>
          </cell>
          <cell r="BN214">
            <v>1175</v>
          </cell>
          <cell r="BO214">
            <v>825</v>
          </cell>
          <cell r="BP214">
            <v>350</v>
          </cell>
          <cell r="BQ214">
            <v>0</v>
          </cell>
          <cell r="BR214">
            <v>1175</v>
          </cell>
          <cell r="BS214">
            <v>870</v>
          </cell>
          <cell r="BT214">
            <v>260</v>
          </cell>
          <cell r="BU214">
            <v>50</v>
          </cell>
          <cell r="BV214">
            <v>1175</v>
          </cell>
          <cell r="BW214">
            <v>30</v>
          </cell>
          <cell r="BX214">
            <v>265</v>
          </cell>
          <cell r="BY214">
            <v>65</v>
          </cell>
          <cell r="BZ214">
            <v>45</v>
          </cell>
          <cell r="CA214">
            <v>140</v>
          </cell>
          <cell r="CB214">
            <v>135</v>
          </cell>
          <cell r="CC214">
            <v>220</v>
          </cell>
          <cell r="CD214">
            <v>45</v>
          </cell>
          <cell r="CE214">
            <v>230</v>
          </cell>
          <cell r="CF214">
            <v>1175</v>
          </cell>
          <cell r="CG214">
            <v>210</v>
          </cell>
          <cell r="CH214">
            <v>170</v>
          </cell>
          <cell r="CI214">
            <v>130</v>
          </cell>
          <cell r="CJ214">
            <v>15</v>
          </cell>
          <cell r="CK214">
            <v>210</v>
          </cell>
          <cell r="CL214">
            <v>450</v>
          </cell>
          <cell r="CM214">
            <v>0</v>
          </cell>
          <cell r="CN214">
            <v>0</v>
          </cell>
          <cell r="CO214">
            <v>1180</v>
          </cell>
          <cell r="CP214">
            <v>390</v>
          </cell>
          <cell r="CQ214">
            <v>430</v>
          </cell>
          <cell r="CR214">
            <v>165</v>
          </cell>
          <cell r="CS214">
            <v>170</v>
          </cell>
          <cell r="CT214">
            <v>20</v>
          </cell>
          <cell r="CU214">
            <v>2630</v>
          </cell>
          <cell r="CV214">
            <v>2.2000000000000002</v>
          </cell>
          <cell r="CW214">
            <v>1175</v>
          </cell>
          <cell r="CX214">
            <v>700</v>
          </cell>
          <cell r="CY214">
            <v>0</v>
          </cell>
          <cell r="CZ214">
            <v>475</v>
          </cell>
        </row>
        <row r="215">
          <cell r="A215" t="str">
            <v>4620193.00</v>
          </cell>
          <cell r="B215" t="str">
            <v>0193.00</v>
          </cell>
          <cell r="C215" t="str">
            <v>Mercier-Hochelaga-Maisonneuve</v>
          </cell>
          <cell r="D215">
            <v>1725</v>
          </cell>
          <cell r="E215">
            <v>815</v>
          </cell>
          <cell r="F215">
            <v>550</v>
          </cell>
          <cell r="G215">
            <v>30</v>
          </cell>
          <cell r="H215">
            <v>210</v>
          </cell>
          <cell r="I215">
            <v>120</v>
          </cell>
          <cell r="J215">
            <v>1730</v>
          </cell>
          <cell r="K215">
            <v>1365</v>
          </cell>
          <cell r="L215">
            <v>360</v>
          </cell>
          <cell r="M215">
            <v>565</v>
          </cell>
          <cell r="N215">
            <v>300</v>
          </cell>
          <cell r="O215">
            <v>155</v>
          </cell>
          <cell r="P215">
            <v>70</v>
          </cell>
          <cell r="Q215">
            <v>40</v>
          </cell>
          <cell r="R215">
            <v>560</v>
          </cell>
          <cell r="S215">
            <v>440</v>
          </cell>
          <cell r="T215">
            <v>265</v>
          </cell>
          <cell r="U215">
            <v>120</v>
          </cell>
          <cell r="V215">
            <v>140</v>
          </cell>
          <cell r="W215">
            <v>60</v>
          </cell>
          <cell r="X215">
            <v>50</v>
          </cell>
          <cell r="Y215">
            <v>30</v>
          </cell>
          <cell r="Z215">
            <v>175</v>
          </cell>
          <cell r="AA215">
            <v>80</v>
          </cell>
          <cell r="AB215">
            <v>105</v>
          </cell>
          <cell r="AC215">
            <v>70</v>
          </cell>
          <cell r="AD215">
            <v>20</v>
          </cell>
          <cell r="AE215">
            <v>10</v>
          </cell>
          <cell r="AF215">
            <v>120</v>
          </cell>
          <cell r="AG215">
            <v>85</v>
          </cell>
          <cell r="AH215">
            <v>80</v>
          </cell>
          <cell r="AI215">
            <v>10</v>
          </cell>
          <cell r="AJ215">
            <v>0</v>
          </cell>
          <cell r="AK215">
            <v>30</v>
          </cell>
          <cell r="AL215">
            <v>20</v>
          </cell>
          <cell r="AM215">
            <v>10</v>
          </cell>
          <cell r="AN215">
            <v>0</v>
          </cell>
          <cell r="AO215">
            <v>535</v>
          </cell>
          <cell r="AP215">
            <v>135</v>
          </cell>
          <cell r="AQ215">
            <v>130</v>
          </cell>
          <cell r="AR215">
            <v>75</v>
          </cell>
          <cell r="AS215">
            <v>115</v>
          </cell>
          <cell r="AT215">
            <v>80</v>
          </cell>
          <cell r="AU215">
            <v>0.9</v>
          </cell>
          <cell r="AV215">
            <v>1980</v>
          </cell>
          <cell r="AW215">
            <v>440</v>
          </cell>
          <cell r="AX215">
            <v>55</v>
          </cell>
          <cell r="AY215">
            <v>75</v>
          </cell>
          <cell r="AZ215">
            <v>305</v>
          </cell>
          <cell r="BA215">
            <v>1545</v>
          </cell>
          <cell r="BB215">
            <v>2.7</v>
          </cell>
          <cell r="BC215">
            <v>280</v>
          </cell>
          <cell r="BD215">
            <v>115</v>
          </cell>
          <cell r="BE215">
            <v>35</v>
          </cell>
          <cell r="BF215">
            <v>10</v>
          </cell>
          <cell r="BG215">
            <v>70</v>
          </cell>
          <cell r="BH215">
            <v>170</v>
          </cell>
          <cell r="BI215">
            <v>915</v>
          </cell>
          <cell r="BJ215">
            <v>5.0999999999999996</v>
          </cell>
          <cell r="BK215">
            <v>4666.5</v>
          </cell>
          <cell r="BL215">
            <v>2.2000000000000002</v>
          </cell>
          <cell r="BM215">
            <v>2013.0000000000002</v>
          </cell>
          <cell r="BN215">
            <v>915</v>
          </cell>
          <cell r="BO215">
            <v>415</v>
          </cell>
          <cell r="BP215">
            <v>500</v>
          </cell>
          <cell r="BQ215">
            <v>0</v>
          </cell>
          <cell r="BR215">
            <v>915</v>
          </cell>
          <cell r="BS215">
            <v>595</v>
          </cell>
          <cell r="BT215">
            <v>270</v>
          </cell>
          <cell r="BU215">
            <v>45</v>
          </cell>
          <cell r="BV215">
            <v>915</v>
          </cell>
          <cell r="BW215">
            <v>70</v>
          </cell>
          <cell r="BX215">
            <v>355</v>
          </cell>
          <cell r="BY215">
            <v>155</v>
          </cell>
          <cell r="BZ215">
            <v>105</v>
          </cell>
          <cell r="CA215">
            <v>90</v>
          </cell>
          <cell r="CB215">
            <v>90</v>
          </cell>
          <cell r="CC215">
            <v>10</v>
          </cell>
          <cell r="CD215">
            <v>30</v>
          </cell>
          <cell r="CE215">
            <v>10</v>
          </cell>
          <cell r="CF215">
            <v>920</v>
          </cell>
          <cell r="CG215">
            <v>125</v>
          </cell>
          <cell r="CH215">
            <v>25</v>
          </cell>
          <cell r="CI215">
            <v>25</v>
          </cell>
          <cell r="CJ215">
            <v>95</v>
          </cell>
          <cell r="CK215">
            <v>0</v>
          </cell>
          <cell r="CL215">
            <v>640</v>
          </cell>
          <cell r="CM215">
            <v>0</v>
          </cell>
          <cell r="CN215">
            <v>0</v>
          </cell>
          <cell r="CO215">
            <v>915</v>
          </cell>
          <cell r="CP215">
            <v>310</v>
          </cell>
          <cell r="CQ215">
            <v>345</v>
          </cell>
          <cell r="CR215">
            <v>130</v>
          </cell>
          <cell r="CS215">
            <v>110</v>
          </cell>
          <cell r="CT215">
            <v>15</v>
          </cell>
          <cell r="CU215">
            <v>1980</v>
          </cell>
          <cell r="CV215">
            <v>2.2000000000000002</v>
          </cell>
          <cell r="CW215">
            <v>915</v>
          </cell>
          <cell r="CX215">
            <v>555</v>
          </cell>
          <cell r="CY215">
            <v>0</v>
          </cell>
          <cell r="CZ215">
            <v>355</v>
          </cell>
        </row>
        <row r="216">
          <cell r="A216" t="str">
            <v>4620194.00</v>
          </cell>
          <cell r="B216" t="str">
            <v>0194.00</v>
          </cell>
          <cell r="C216" t="str">
            <v>Mercier-Hochelaga-Maisonneuve</v>
          </cell>
          <cell r="D216">
            <v>4300</v>
          </cell>
          <cell r="E216">
            <v>1920</v>
          </cell>
          <cell r="F216">
            <v>1475</v>
          </cell>
          <cell r="G216">
            <v>110</v>
          </cell>
          <cell r="H216">
            <v>515</v>
          </cell>
          <cell r="I216">
            <v>280</v>
          </cell>
          <cell r="J216">
            <v>4295</v>
          </cell>
          <cell r="K216">
            <v>3605</v>
          </cell>
          <cell r="L216">
            <v>695</v>
          </cell>
          <cell r="M216">
            <v>1445</v>
          </cell>
          <cell r="N216">
            <v>745</v>
          </cell>
          <cell r="O216">
            <v>305</v>
          </cell>
          <cell r="P216">
            <v>285</v>
          </cell>
          <cell r="Q216">
            <v>105</v>
          </cell>
          <cell r="R216">
            <v>1445</v>
          </cell>
          <cell r="S216">
            <v>1070</v>
          </cell>
          <cell r="T216">
            <v>730</v>
          </cell>
          <cell r="U216">
            <v>305</v>
          </cell>
          <cell r="V216">
            <v>420</v>
          </cell>
          <cell r="W216">
            <v>130</v>
          </cell>
          <cell r="X216">
            <v>205</v>
          </cell>
          <cell r="Y216">
            <v>80</v>
          </cell>
          <cell r="Z216">
            <v>345</v>
          </cell>
          <cell r="AA216">
            <v>195</v>
          </cell>
          <cell r="AB216">
            <v>150</v>
          </cell>
          <cell r="AC216">
            <v>80</v>
          </cell>
          <cell r="AD216">
            <v>65</v>
          </cell>
          <cell r="AE216">
            <v>10</v>
          </cell>
          <cell r="AF216">
            <v>375</v>
          </cell>
          <cell r="AG216">
            <v>290</v>
          </cell>
          <cell r="AH216">
            <v>160</v>
          </cell>
          <cell r="AI216">
            <v>90</v>
          </cell>
          <cell r="AJ216">
            <v>40</v>
          </cell>
          <cell r="AK216">
            <v>85</v>
          </cell>
          <cell r="AL216">
            <v>80</v>
          </cell>
          <cell r="AM216">
            <v>10</v>
          </cell>
          <cell r="AN216">
            <v>0</v>
          </cell>
          <cell r="AO216">
            <v>1605</v>
          </cell>
          <cell r="AP216">
            <v>275</v>
          </cell>
          <cell r="AQ216">
            <v>570</v>
          </cell>
          <cell r="AR216">
            <v>230</v>
          </cell>
          <cell r="AS216">
            <v>350</v>
          </cell>
          <cell r="AT216">
            <v>175</v>
          </cell>
          <cell r="AU216">
            <v>1.1000000000000001</v>
          </cell>
          <cell r="AV216">
            <v>5095</v>
          </cell>
          <cell r="AW216">
            <v>970</v>
          </cell>
          <cell r="AX216">
            <v>110</v>
          </cell>
          <cell r="AY216">
            <v>205</v>
          </cell>
          <cell r="AZ216">
            <v>665</v>
          </cell>
          <cell r="BA216">
            <v>4125</v>
          </cell>
          <cell r="BB216">
            <v>2.8</v>
          </cell>
          <cell r="BC216">
            <v>550</v>
          </cell>
          <cell r="BD216">
            <v>250</v>
          </cell>
          <cell r="BE216">
            <v>25</v>
          </cell>
          <cell r="BF216">
            <v>15</v>
          </cell>
          <cell r="BG216">
            <v>205</v>
          </cell>
          <cell r="BH216">
            <v>300</v>
          </cell>
          <cell r="BI216">
            <v>2195</v>
          </cell>
          <cell r="BJ216">
            <v>5.0999999999999996</v>
          </cell>
          <cell r="BK216">
            <v>11194.5</v>
          </cell>
          <cell r="BL216">
            <v>2.2999999999999998</v>
          </cell>
          <cell r="BM216">
            <v>5048.5</v>
          </cell>
          <cell r="BN216">
            <v>2195</v>
          </cell>
          <cell r="BO216">
            <v>840</v>
          </cell>
          <cell r="BP216">
            <v>1355</v>
          </cell>
          <cell r="BQ216">
            <v>0</v>
          </cell>
          <cell r="BR216">
            <v>2195</v>
          </cell>
          <cell r="BS216">
            <v>1440</v>
          </cell>
          <cell r="BT216">
            <v>615</v>
          </cell>
          <cell r="BU216">
            <v>135</v>
          </cell>
          <cell r="BV216">
            <v>2195</v>
          </cell>
          <cell r="BW216">
            <v>15</v>
          </cell>
          <cell r="BX216">
            <v>330</v>
          </cell>
          <cell r="BY216">
            <v>700</v>
          </cell>
          <cell r="BZ216">
            <v>460</v>
          </cell>
          <cell r="CA216">
            <v>480</v>
          </cell>
          <cell r="CB216">
            <v>165</v>
          </cell>
          <cell r="CC216">
            <v>40</v>
          </cell>
          <cell r="CD216">
            <v>10</v>
          </cell>
          <cell r="CE216">
            <v>0</v>
          </cell>
          <cell r="CF216">
            <v>2195</v>
          </cell>
          <cell r="CG216">
            <v>60</v>
          </cell>
          <cell r="CH216">
            <v>425</v>
          </cell>
          <cell r="CI216">
            <v>45</v>
          </cell>
          <cell r="CJ216">
            <v>60</v>
          </cell>
          <cell r="CK216">
            <v>90</v>
          </cell>
          <cell r="CL216">
            <v>1510</v>
          </cell>
          <cell r="CM216">
            <v>0</v>
          </cell>
          <cell r="CN216">
            <v>0</v>
          </cell>
          <cell r="CO216">
            <v>2195</v>
          </cell>
          <cell r="CP216">
            <v>660</v>
          </cell>
          <cell r="CQ216">
            <v>760</v>
          </cell>
          <cell r="CR216">
            <v>355</v>
          </cell>
          <cell r="CS216">
            <v>380</v>
          </cell>
          <cell r="CT216">
            <v>35</v>
          </cell>
          <cell r="CU216">
            <v>5095</v>
          </cell>
          <cell r="CV216">
            <v>2.2999999999999998</v>
          </cell>
          <cell r="CW216">
            <v>2195</v>
          </cell>
          <cell r="CX216">
            <v>1415</v>
          </cell>
          <cell r="CY216">
            <v>15</v>
          </cell>
          <cell r="CZ216">
            <v>765</v>
          </cell>
        </row>
        <row r="217">
          <cell r="A217" t="str">
            <v>4620195.02</v>
          </cell>
          <cell r="B217" t="str">
            <v>0195.02</v>
          </cell>
          <cell r="C217" t="str">
            <v>Mercier-Hochelaga-Maisonneuve</v>
          </cell>
          <cell r="D217">
            <v>4680</v>
          </cell>
          <cell r="E217">
            <v>1870</v>
          </cell>
          <cell r="F217">
            <v>1685</v>
          </cell>
          <cell r="G217">
            <v>120</v>
          </cell>
          <cell r="H217">
            <v>520</v>
          </cell>
          <cell r="I217">
            <v>485</v>
          </cell>
          <cell r="J217">
            <v>4680</v>
          </cell>
          <cell r="K217">
            <v>4200</v>
          </cell>
          <cell r="L217">
            <v>475</v>
          </cell>
          <cell r="M217">
            <v>1385</v>
          </cell>
          <cell r="N217">
            <v>720</v>
          </cell>
          <cell r="O217">
            <v>315</v>
          </cell>
          <cell r="P217">
            <v>240</v>
          </cell>
          <cell r="Q217">
            <v>115</v>
          </cell>
          <cell r="R217">
            <v>1385</v>
          </cell>
          <cell r="S217">
            <v>1055</v>
          </cell>
          <cell r="T217">
            <v>810</v>
          </cell>
          <cell r="U217">
            <v>345</v>
          </cell>
          <cell r="V217">
            <v>465</v>
          </cell>
          <cell r="W217">
            <v>180</v>
          </cell>
          <cell r="X217">
            <v>185</v>
          </cell>
          <cell r="Y217">
            <v>105</v>
          </cell>
          <cell r="Z217">
            <v>235</v>
          </cell>
          <cell r="AA217">
            <v>150</v>
          </cell>
          <cell r="AB217">
            <v>85</v>
          </cell>
          <cell r="AC217">
            <v>45</v>
          </cell>
          <cell r="AD217">
            <v>25</v>
          </cell>
          <cell r="AE217">
            <v>10</v>
          </cell>
          <cell r="AF217">
            <v>330</v>
          </cell>
          <cell r="AG217">
            <v>295</v>
          </cell>
          <cell r="AH217">
            <v>200</v>
          </cell>
          <cell r="AI217">
            <v>65</v>
          </cell>
          <cell r="AJ217">
            <v>30</v>
          </cell>
          <cell r="AK217">
            <v>40</v>
          </cell>
          <cell r="AL217">
            <v>20</v>
          </cell>
          <cell r="AM217">
            <v>15</v>
          </cell>
          <cell r="AN217">
            <v>0</v>
          </cell>
          <cell r="AO217">
            <v>1505</v>
          </cell>
          <cell r="AP217">
            <v>285</v>
          </cell>
          <cell r="AQ217">
            <v>450</v>
          </cell>
          <cell r="AR217">
            <v>150</v>
          </cell>
          <cell r="AS217">
            <v>345</v>
          </cell>
          <cell r="AT217">
            <v>275</v>
          </cell>
          <cell r="AU217">
            <v>1.1000000000000001</v>
          </cell>
          <cell r="AV217">
            <v>5245</v>
          </cell>
          <cell r="AW217">
            <v>1300</v>
          </cell>
          <cell r="AX217">
            <v>110</v>
          </cell>
          <cell r="AY217">
            <v>195</v>
          </cell>
          <cell r="AZ217">
            <v>995</v>
          </cell>
          <cell r="BA217">
            <v>3945</v>
          </cell>
          <cell r="BB217">
            <v>2.8</v>
          </cell>
          <cell r="BC217">
            <v>1025</v>
          </cell>
          <cell r="BD217">
            <v>530</v>
          </cell>
          <cell r="BE217">
            <v>35</v>
          </cell>
          <cell r="BF217">
            <v>55</v>
          </cell>
          <cell r="BG217">
            <v>435</v>
          </cell>
          <cell r="BH217">
            <v>495</v>
          </cell>
          <cell r="BI217">
            <v>2435</v>
          </cell>
          <cell r="BJ217">
            <v>4.9000000000000004</v>
          </cell>
          <cell r="BK217">
            <v>11931.5</v>
          </cell>
          <cell r="BL217">
            <v>2.2000000000000002</v>
          </cell>
          <cell r="BM217">
            <v>5357</v>
          </cell>
          <cell r="BN217">
            <v>2435</v>
          </cell>
          <cell r="BO217">
            <v>805</v>
          </cell>
          <cell r="BP217">
            <v>1625</v>
          </cell>
          <cell r="BQ217">
            <v>0</v>
          </cell>
          <cell r="BR217">
            <v>2430</v>
          </cell>
          <cell r="BS217">
            <v>1550</v>
          </cell>
          <cell r="BT217">
            <v>730</v>
          </cell>
          <cell r="BU217">
            <v>150</v>
          </cell>
          <cell r="BV217">
            <v>2430</v>
          </cell>
          <cell r="BW217">
            <v>10</v>
          </cell>
          <cell r="BX217">
            <v>210</v>
          </cell>
          <cell r="BY217">
            <v>680</v>
          </cell>
          <cell r="BZ217">
            <v>910</v>
          </cell>
          <cell r="CA217">
            <v>285</v>
          </cell>
          <cell r="CB217">
            <v>200</v>
          </cell>
          <cell r="CC217">
            <v>20</v>
          </cell>
          <cell r="CD217">
            <v>20</v>
          </cell>
          <cell r="CE217">
            <v>100</v>
          </cell>
          <cell r="CF217">
            <v>2435</v>
          </cell>
          <cell r="CG217">
            <v>10</v>
          </cell>
          <cell r="CH217">
            <v>105</v>
          </cell>
          <cell r="CI217">
            <v>30</v>
          </cell>
          <cell r="CJ217">
            <v>310</v>
          </cell>
          <cell r="CK217">
            <v>5</v>
          </cell>
          <cell r="CL217">
            <v>1965</v>
          </cell>
          <cell r="CM217">
            <v>0</v>
          </cell>
          <cell r="CN217">
            <v>0</v>
          </cell>
          <cell r="CO217">
            <v>2435</v>
          </cell>
          <cell r="CP217">
            <v>995</v>
          </cell>
          <cell r="CQ217">
            <v>710</v>
          </cell>
          <cell r="CR217">
            <v>310</v>
          </cell>
          <cell r="CS217">
            <v>360</v>
          </cell>
          <cell r="CT217">
            <v>55</v>
          </cell>
          <cell r="CU217">
            <v>5250</v>
          </cell>
          <cell r="CV217">
            <v>2.2000000000000002</v>
          </cell>
          <cell r="CW217">
            <v>2430</v>
          </cell>
          <cell r="CX217">
            <v>1310</v>
          </cell>
          <cell r="CY217">
            <v>40</v>
          </cell>
          <cell r="CZ217">
            <v>1085</v>
          </cell>
        </row>
        <row r="218">
          <cell r="A218" t="str">
            <v>4620195.03</v>
          </cell>
          <cell r="B218" t="str">
            <v>0195.03</v>
          </cell>
          <cell r="C218" t="str">
            <v>Mercier-Hochelaga-Maisonneuve</v>
          </cell>
          <cell r="D218">
            <v>4440</v>
          </cell>
          <cell r="E218">
            <v>1665</v>
          </cell>
          <cell r="F218">
            <v>1930</v>
          </cell>
          <cell r="G218">
            <v>110</v>
          </cell>
          <cell r="H218">
            <v>435</v>
          </cell>
          <cell r="I218">
            <v>300</v>
          </cell>
          <cell r="J218">
            <v>4440</v>
          </cell>
          <cell r="K218">
            <v>3935</v>
          </cell>
          <cell r="L218">
            <v>510</v>
          </cell>
          <cell r="M218">
            <v>1445</v>
          </cell>
          <cell r="N218">
            <v>790</v>
          </cell>
          <cell r="O218">
            <v>350</v>
          </cell>
          <cell r="P218">
            <v>235</v>
          </cell>
          <cell r="Q218">
            <v>75</v>
          </cell>
          <cell r="R218">
            <v>1445</v>
          </cell>
          <cell r="S218">
            <v>1180</v>
          </cell>
          <cell r="T218">
            <v>930</v>
          </cell>
          <cell r="U218">
            <v>455</v>
          </cell>
          <cell r="V218">
            <v>480</v>
          </cell>
          <cell r="W218">
            <v>260</v>
          </cell>
          <cell r="X218">
            <v>170</v>
          </cell>
          <cell r="Y218">
            <v>50</v>
          </cell>
          <cell r="Z218">
            <v>250</v>
          </cell>
          <cell r="AA218">
            <v>175</v>
          </cell>
          <cell r="AB218">
            <v>70</v>
          </cell>
          <cell r="AC218">
            <v>35</v>
          </cell>
          <cell r="AD218">
            <v>15</v>
          </cell>
          <cell r="AE218">
            <v>15</v>
          </cell>
          <cell r="AF218">
            <v>270</v>
          </cell>
          <cell r="AG218">
            <v>225</v>
          </cell>
          <cell r="AH218">
            <v>135</v>
          </cell>
          <cell r="AI218">
            <v>30</v>
          </cell>
          <cell r="AJ218">
            <v>60</v>
          </cell>
          <cell r="AK218">
            <v>40</v>
          </cell>
          <cell r="AL218">
            <v>25</v>
          </cell>
          <cell r="AM218">
            <v>15</v>
          </cell>
          <cell r="AN218">
            <v>0</v>
          </cell>
          <cell r="AO218">
            <v>1320</v>
          </cell>
          <cell r="AP218">
            <v>220</v>
          </cell>
          <cell r="AQ218">
            <v>385</v>
          </cell>
          <cell r="AR218">
            <v>140</v>
          </cell>
          <cell r="AS218">
            <v>270</v>
          </cell>
          <cell r="AT218">
            <v>300</v>
          </cell>
          <cell r="AU218">
            <v>0.9</v>
          </cell>
          <cell r="AV218">
            <v>5040</v>
          </cell>
          <cell r="AW218">
            <v>1100</v>
          </cell>
          <cell r="AX218">
            <v>145</v>
          </cell>
          <cell r="AY218">
            <v>160</v>
          </cell>
          <cell r="AZ218">
            <v>795</v>
          </cell>
          <cell r="BA218">
            <v>3945</v>
          </cell>
          <cell r="BB218">
            <v>2.7</v>
          </cell>
          <cell r="BC218">
            <v>930</v>
          </cell>
          <cell r="BD218">
            <v>280</v>
          </cell>
          <cell r="BE218">
            <v>60</v>
          </cell>
          <cell r="BF218">
            <v>15</v>
          </cell>
          <cell r="BG218">
            <v>200</v>
          </cell>
          <cell r="BH218">
            <v>650</v>
          </cell>
          <cell r="BI218">
            <v>2315</v>
          </cell>
          <cell r="BJ218">
            <v>5.0999999999999996</v>
          </cell>
          <cell r="BK218">
            <v>11806.5</v>
          </cell>
          <cell r="BL218">
            <v>2.2999999999999998</v>
          </cell>
          <cell r="BM218">
            <v>5324.5</v>
          </cell>
          <cell r="BN218">
            <v>2315</v>
          </cell>
          <cell r="BO218">
            <v>860</v>
          </cell>
          <cell r="BP218">
            <v>1450</v>
          </cell>
          <cell r="BQ218">
            <v>0</v>
          </cell>
          <cell r="BR218">
            <v>2315</v>
          </cell>
          <cell r="BS218">
            <v>1645</v>
          </cell>
          <cell r="BT218">
            <v>575</v>
          </cell>
          <cell r="BU218">
            <v>95</v>
          </cell>
          <cell r="BV218">
            <v>2315</v>
          </cell>
          <cell r="BW218">
            <v>15</v>
          </cell>
          <cell r="BX218">
            <v>175</v>
          </cell>
          <cell r="BY218">
            <v>780</v>
          </cell>
          <cell r="BZ218">
            <v>905</v>
          </cell>
          <cell r="CA218">
            <v>360</v>
          </cell>
          <cell r="CB218">
            <v>45</v>
          </cell>
          <cell r="CC218">
            <v>10</v>
          </cell>
          <cell r="CD218">
            <v>10</v>
          </cell>
          <cell r="CE218">
            <v>10</v>
          </cell>
          <cell r="CF218">
            <v>2320</v>
          </cell>
          <cell r="CG218">
            <v>10</v>
          </cell>
          <cell r="CH218">
            <v>160</v>
          </cell>
          <cell r="CI218">
            <v>0</v>
          </cell>
          <cell r="CJ218">
            <v>350</v>
          </cell>
          <cell r="CK218">
            <v>5</v>
          </cell>
          <cell r="CL218">
            <v>1785</v>
          </cell>
          <cell r="CM218">
            <v>10</v>
          </cell>
          <cell r="CN218">
            <v>0</v>
          </cell>
          <cell r="CO218">
            <v>2315</v>
          </cell>
          <cell r="CP218">
            <v>800</v>
          </cell>
          <cell r="CQ218">
            <v>795</v>
          </cell>
          <cell r="CR218">
            <v>370</v>
          </cell>
          <cell r="CS218">
            <v>325</v>
          </cell>
          <cell r="CT218">
            <v>25</v>
          </cell>
          <cell r="CU218">
            <v>5045</v>
          </cell>
          <cell r="CV218">
            <v>2.2000000000000002</v>
          </cell>
          <cell r="CW218">
            <v>2320</v>
          </cell>
          <cell r="CX218">
            <v>1420</v>
          </cell>
          <cell r="CY218">
            <v>10</v>
          </cell>
          <cell r="CZ218">
            <v>885</v>
          </cell>
        </row>
        <row r="219">
          <cell r="C219" t="str">
            <v>Mercier-Hochelaga-Maisonneuve</v>
          </cell>
          <cell r="D219">
            <v>112365</v>
          </cell>
          <cell r="E219">
            <v>59265</v>
          </cell>
          <cell r="F219">
            <v>29235</v>
          </cell>
          <cell r="G219">
            <v>2945</v>
          </cell>
          <cell r="H219">
            <v>12930</v>
          </cell>
          <cell r="I219">
            <v>8010</v>
          </cell>
          <cell r="J219">
            <v>112345</v>
          </cell>
          <cell r="K219">
            <v>92470</v>
          </cell>
          <cell r="L219">
            <v>19900</v>
          </cell>
          <cell r="M219">
            <v>32110</v>
          </cell>
          <cell r="N219">
            <v>18665</v>
          </cell>
          <cell r="O219">
            <v>7270</v>
          </cell>
          <cell r="P219">
            <v>4490</v>
          </cell>
          <cell r="Q219">
            <v>1660</v>
          </cell>
          <cell r="R219">
            <v>32095</v>
          </cell>
          <cell r="S219">
            <v>24155</v>
          </cell>
          <cell r="T219">
            <v>14150</v>
          </cell>
          <cell r="U219">
            <v>7145</v>
          </cell>
          <cell r="V219">
            <v>7010</v>
          </cell>
          <cell r="W219">
            <v>3340</v>
          </cell>
          <cell r="X219">
            <v>2590</v>
          </cell>
          <cell r="Y219">
            <v>1065</v>
          </cell>
          <cell r="Z219">
            <v>9965</v>
          </cell>
          <cell r="AA219">
            <v>6205</v>
          </cell>
          <cell r="AB219">
            <v>3755</v>
          </cell>
          <cell r="AC219">
            <v>1960</v>
          </cell>
          <cell r="AD219">
            <v>1325</v>
          </cell>
          <cell r="AE219">
            <v>395</v>
          </cell>
          <cell r="AF219">
            <v>7965</v>
          </cell>
          <cell r="AG219">
            <v>6520</v>
          </cell>
          <cell r="AH219">
            <v>4185</v>
          </cell>
          <cell r="AI219">
            <v>1620</v>
          </cell>
          <cell r="AJ219">
            <v>685</v>
          </cell>
          <cell r="AK219">
            <v>1385</v>
          </cell>
          <cell r="AL219">
            <v>1065</v>
          </cell>
          <cell r="AM219">
            <v>310</v>
          </cell>
          <cell r="AN219">
            <v>35</v>
          </cell>
          <cell r="AO219">
            <v>29765</v>
          </cell>
          <cell r="AP219">
            <v>6395</v>
          </cell>
          <cell r="AQ219">
            <v>9940</v>
          </cell>
          <cell r="AR219">
            <v>3745</v>
          </cell>
          <cell r="AS219">
            <v>5570</v>
          </cell>
          <cell r="AT219">
            <v>4090</v>
          </cell>
          <cell r="AU219">
            <v>0.92740302227761329</v>
          </cell>
          <cell r="AV219">
            <v>124750</v>
          </cell>
          <cell r="AW219">
            <v>38670</v>
          </cell>
          <cell r="AX219">
            <v>3175</v>
          </cell>
          <cell r="AY219">
            <v>9000</v>
          </cell>
          <cell r="AZ219">
            <v>26475</v>
          </cell>
          <cell r="BA219">
            <v>86080</v>
          </cell>
          <cell r="BB219">
            <v>2.6820377005764136</v>
          </cell>
          <cell r="BC219">
            <v>17660</v>
          </cell>
          <cell r="BD219">
            <v>8325</v>
          </cell>
          <cell r="BE219">
            <v>800</v>
          </cell>
          <cell r="BF219">
            <v>770</v>
          </cell>
          <cell r="BG219">
            <v>6730</v>
          </cell>
          <cell r="BH219">
            <v>9345</v>
          </cell>
          <cell r="BI219">
            <v>62630</v>
          </cell>
          <cell r="BJ219">
            <v>4.6453855979562508</v>
          </cell>
          <cell r="BK219">
            <v>290940.5</v>
          </cell>
          <cell r="BL219">
            <v>1.9622864441960721</v>
          </cell>
          <cell r="BM219">
            <v>122898</v>
          </cell>
          <cell r="BN219">
            <v>62650</v>
          </cell>
          <cell r="BO219">
            <v>19375</v>
          </cell>
          <cell r="BP219">
            <v>43245</v>
          </cell>
          <cell r="BQ219">
            <v>0</v>
          </cell>
          <cell r="BR219">
            <v>62640</v>
          </cell>
          <cell r="BS219">
            <v>38035</v>
          </cell>
          <cell r="BT219">
            <v>18420</v>
          </cell>
          <cell r="BU219">
            <v>6180</v>
          </cell>
          <cell r="BV219">
            <v>62625</v>
          </cell>
          <cell r="BW219">
            <v>12980</v>
          </cell>
          <cell r="BX219">
            <v>18550</v>
          </cell>
          <cell r="BY219">
            <v>12980</v>
          </cell>
          <cell r="BZ219">
            <v>6955</v>
          </cell>
          <cell r="CA219">
            <v>4015</v>
          </cell>
          <cell r="CB219">
            <v>2585</v>
          </cell>
          <cell r="CC219">
            <v>1545</v>
          </cell>
          <cell r="CD219">
            <v>940</v>
          </cell>
          <cell r="CE219">
            <v>1950</v>
          </cell>
          <cell r="CF219">
            <v>62685</v>
          </cell>
          <cell r="CG219">
            <v>2985</v>
          </cell>
          <cell r="CH219">
            <v>1560</v>
          </cell>
          <cell r="CI219">
            <v>1230</v>
          </cell>
          <cell r="CJ219">
            <v>9580</v>
          </cell>
          <cell r="CK219">
            <v>2130</v>
          </cell>
          <cell r="CL219">
            <v>44905</v>
          </cell>
          <cell r="CM219">
            <v>305</v>
          </cell>
          <cell r="CN219">
            <v>15</v>
          </cell>
          <cell r="CO219">
            <v>62685</v>
          </cell>
          <cell r="CP219">
            <v>26470</v>
          </cell>
          <cell r="CQ219">
            <v>20815</v>
          </cell>
          <cell r="CR219">
            <v>8210</v>
          </cell>
          <cell r="CS219">
            <v>6450</v>
          </cell>
          <cell r="CT219">
            <v>705</v>
          </cell>
          <cell r="CU219">
            <v>124755</v>
          </cell>
          <cell r="CV219">
            <v>1.9901890404402967</v>
          </cell>
          <cell r="CW219">
            <v>62660</v>
          </cell>
          <cell r="CX219">
            <v>31200</v>
          </cell>
          <cell r="CY219">
            <v>400</v>
          </cell>
          <cell r="CZ219">
            <v>31005</v>
          </cell>
        </row>
        <row r="222">
          <cell r="A222" t="str">
            <v>4620400.00</v>
          </cell>
          <cell r="B222" t="str">
            <v>0400.00</v>
          </cell>
          <cell r="C222" t="str">
            <v>MONT_ROYAL</v>
          </cell>
          <cell r="D222">
            <v>3780</v>
          </cell>
          <cell r="E222">
            <v>1285</v>
          </cell>
          <cell r="F222">
            <v>1985</v>
          </cell>
          <cell r="G222">
            <v>65</v>
          </cell>
          <cell r="H222">
            <v>260</v>
          </cell>
          <cell r="I222">
            <v>180</v>
          </cell>
          <cell r="J222">
            <v>3775</v>
          </cell>
          <cell r="K222">
            <v>3405</v>
          </cell>
          <cell r="L222">
            <v>375</v>
          </cell>
          <cell r="M222">
            <v>1320</v>
          </cell>
          <cell r="N222">
            <v>555</v>
          </cell>
          <cell r="O222">
            <v>275</v>
          </cell>
          <cell r="P222">
            <v>320</v>
          </cell>
          <cell r="Q222">
            <v>170</v>
          </cell>
          <cell r="R222">
            <v>1320</v>
          </cell>
          <cell r="S222">
            <v>1155</v>
          </cell>
          <cell r="T222">
            <v>970</v>
          </cell>
          <cell r="U222">
            <v>400</v>
          </cell>
          <cell r="V222">
            <v>570</v>
          </cell>
          <cell r="W222">
            <v>170</v>
          </cell>
          <cell r="X222">
            <v>260</v>
          </cell>
          <cell r="Y222">
            <v>140</v>
          </cell>
          <cell r="Z222">
            <v>185</v>
          </cell>
          <cell r="AA222">
            <v>55</v>
          </cell>
          <cell r="AB222">
            <v>130</v>
          </cell>
          <cell r="AC222">
            <v>50</v>
          </cell>
          <cell r="AD222">
            <v>50</v>
          </cell>
          <cell r="AE222">
            <v>25</v>
          </cell>
          <cell r="AF222">
            <v>165</v>
          </cell>
          <cell r="AG222">
            <v>145</v>
          </cell>
          <cell r="AH222">
            <v>95</v>
          </cell>
          <cell r="AI222">
            <v>35</v>
          </cell>
          <cell r="AJ222">
            <v>0</v>
          </cell>
          <cell r="AK222">
            <v>20</v>
          </cell>
          <cell r="AL222">
            <v>0</v>
          </cell>
          <cell r="AM222">
            <v>15</v>
          </cell>
          <cell r="AN222">
            <v>0</v>
          </cell>
          <cell r="AO222">
            <v>1640</v>
          </cell>
          <cell r="AP222">
            <v>330</v>
          </cell>
          <cell r="AQ222">
            <v>580</v>
          </cell>
          <cell r="AR222">
            <v>205</v>
          </cell>
          <cell r="AS222">
            <v>325</v>
          </cell>
          <cell r="AT222">
            <v>200</v>
          </cell>
          <cell r="AU222">
            <v>1.2</v>
          </cell>
          <cell r="AV222">
            <v>4685</v>
          </cell>
          <cell r="AW222">
            <v>570</v>
          </cell>
          <cell r="AX222">
            <v>60</v>
          </cell>
          <cell r="AY222">
            <v>105</v>
          </cell>
          <cell r="AZ222">
            <v>405</v>
          </cell>
          <cell r="BA222">
            <v>4115</v>
          </cell>
          <cell r="BB222">
            <v>3.1</v>
          </cell>
          <cell r="BC222">
            <v>750</v>
          </cell>
          <cell r="BD222">
            <v>190</v>
          </cell>
          <cell r="BE222">
            <v>30</v>
          </cell>
          <cell r="BF222">
            <v>10</v>
          </cell>
          <cell r="BG222">
            <v>150</v>
          </cell>
          <cell r="BH222">
            <v>555</v>
          </cell>
          <cell r="BI222">
            <v>1770</v>
          </cell>
          <cell r="BJ222">
            <v>6.7</v>
          </cell>
          <cell r="BK222">
            <v>11859</v>
          </cell>
          <cell r="BL222">
            <v>2.8</v>
          </cell>
          <cell r="BM222">
            <v>4956</v>
          </cell>
          <cell r="BN222">
            <v>1765</v>
          </cell>
          <cell r="BO222">
            <v>1220</v>
          </cell>
          <cell r="BP222">
            <v>550</v>
          </cell>
          <cell r="BQ222">
            <v>0</v>
          </cell>
          <cell r="BR222">
            <v>1770</v>
          </cell>
          <cell r="BS222">
            <v>1100</v>
          </cell>
          <cell r="BT222">
            <v>500</v>
          </cell>
          <cell r="BU222">
            <v>165</v>
          </cell>
          <cell r="BV222">
            <v>1765</v>
          </cell>
          <cell r="BW222">
            <v>435</v>
          </cell>
          <cell r="BX222">
            <v>845</v>
          </cell>
          <cell r="BY222">
            <v>255</v>
          </cell>
          <cell r="BZ222">
            <v>25</v>
          </cell>
          <cell r="CA222">
            <v>10</v>
          </cell>
          <cell r="CB222">
            <v>0</v>
          </cell>
          <cell r="CC222">
            <v>0</v>
          </cell>
          <cell r="CD222">
            <v>125</v>
          </cell>
          <cell r="CE222">
            <v>65</v>
          </cell>
          <cell r="CF222">
            <v>1770</v>
          </cell>
          <cell r="CG222">
            <v>445</v>
          </cell>
          <cell r="CH222">
            <v>435</v>
          </cell>
          <cell r="CI222">
            <v>105</v>
          </cell>
          <cell r="CJ222">
            <v>195</v>
          </cell>
          <cell r="CK222">
            <v>5</v>
          </cell>
          <cell r="CL222">
            <v>575</v>
          </cell>
          <cell r="CM222">
            <v>10</v>
          </cell>
          <cell r="CN222">
            <v>5</v>
          </cell>
          <cell r="CO222">
            <v>1765</v>
          </cell>
          <cell r="CP222">
            <v>400</v>
          </cell>
          <cell r="CQ222">
            <v>565</v>
          </cell>
          <cell r="CR222">
            <v>290</v>
          </cell>
          <cell r="CS222">
            <v>465</v>
          </cell>
          <cell r="CT222">
            <v>40</v>
          </cell>
          <cell r="CU222">
            <v>4690</v>
          </cell>
          <cell r="CV222">
            <v>2.7</v>
          </cell>
          <cell r="CW222">
            <v>1765</v>
          </cell>
          <cell r="CX222">
            <v>1320</v>
          </cell>
          <cell r="CY222">
            <v>0</v>
          </cell>
          <cell r="CZ222">
            <v>450</v>
          </cell>
        </row>
        <row r="223">
          <cell r="A223" t="str">
            <v>4620401.00</v>
          </cell>
          <cell r="B223" t="str">
            <v>0401.00</v>
          </cell>
          <cell r="C223" t="str">
            <v>MONT_ROYAL</v>
          </cell>
          <cell r="D223">
            <v>2435</v>
          </cell>
          <cell r="E223">
            <v>765</v>
          </cell>
          <cell r="F223">
            <v>1240</v>
          </cell>
          <cell r="G223">
            <v>55</v>
          </cell>
          <cell r="H223">
            <v>210</v>
          </cell>
          <cell r="I223">
            <v>160</v>
          </cell>
          <cell r="J223">
            <v>2430</v>
          </cell>
          <cell r="K223">
            <v>2235</v>
          </cell>
          <cell r="L223">
            <v>200</v>
          </cell>
          <cell r="M223">
            <v>810</v>
          </cell>
          <cell r="N223">
            <v>350</v>
          </cell>
          <cell r="O223">
            <v>125</v>
          </cell>
          <cell r="P223">
            <v>205</v>
          </cell>
          <cell r="Q223">
            <v>120</v>
          </cell>
          <cell r="R223">
            <v>805</v>
          </cell>
          <cell r="S223">
            <v>715</v>
          </cell>
          <cell r="T223">
            <v>605</v>
          </cell>
          <cell r="U223">
            <v>235</v>
          </cell>
          <cell r="V223">
            <v>370</v>
          </cell>
          <cell r="W223">
            <v>90</v>
          </cell>
          <cell r="X223">
            <v>175</v>
          </cell>
          <cell r="Y223">
            <v>110</v>
          </cell>
          <cell r="Z223">
            <v>110</v>
          </cell>
          <cell r="AA223">
            <v>70</v>
          </cell>
          <cell r="AB223">
            <v>45</v>
          </cell>
          <cell r="AC223">
            <v>20</v>
          </cell>
          <cell r="AD223">
            <v>25</v>
          </cell>
          <cell r="AE223">
            <v>0</v>
          </cell>
          <cell r="AF223">
            <v>90</v>
          </cell>
          <cell r="AG223">
            <v>80</v>
          </cell>
          <cell r="AH223">
            <v>45</v>
          </cell>
          <cell r="AI223">
            <v>20</v>
          </cell>
          <cell r="AJ223">
            <v>20</v>
          </cell>
          <cell r="AK223">
            <v>10</v>
          </cell>
          <cell r="AL223">
            <v>0</v>
          </cell>
          <cell r="AM223">
            <v>0</v>
          </cell>
          <cell r="AN223">
            <v>0</v>
          </cell>
          <cell r="AO223">
            <v>1025</v>
          </cell>
          <cell r="AP223">
            <v>180</v>
          </cell>
          <cell r="AQ223">
            <v>390</v>
          </cell>
          <cell r="AR223">
            <v>160</v>
          </cell>
          <cell r="AS223">
            <v>200</v>
          </cell>
          <cell r="AT223">
            <v>105</v>
          </cell>
          <cell r="AU223">
            <v>1.3</v>
          </cell>
          <cell r="AV223">
            <v>3015</v>
          </cell>
          <cell r="AW223">
            <v>460</v>
          </cell>
          <cell r="AX223">
            <v>10</v>
          </cell>
          <cell r="AY223">
            <v>30</v>
          </cell>
          <cell r="AZ223">
            <v>420</v>
          </cell>
          <cell r="BA223">
            <v>2555</v>
          </cell>
          <cell r="BB223">
            <v>3.2</v>
          </cell>
          <cell r="BC223">
            <v>500</v>
          </cell>
          <cell r="BD223">
            <v>210</v>
          </cell>
          <cell r="BE223">
            <v>0</v>
          </cell>
          <cell r="BF223">
            <v>10</v>
          </cell>
          <cell r="BG223">
            <v>205</v>
          </cell>
          <cell r="BH223">
            <v>285</v>
          </cell>
          <cell r="BI223">
            <v>1235</v>
          </cell>
          <cell r="BJ223">
            <v>6.6</v>
          </cell>
          <cell r="BK223">
            <v>8151</v>
          </cell>
          <cell r="BL223">
            <v>2.6</v>
          </cell>
          <cell r="BM223">
            <v>3211</v>
          </cell>
          <cell r="BN223">
            <v>1230</v>
          </cell>
          <cell r="BO223">
            <v>695</v>
          </cell>
          <cell r="BP223">
            <v>535</v>
          </cell>
          <cell r="BQ223">
            <v>0</v>
          </cell>
          <cell r="BR223">
            <v>1230</v>
          </cell>
          <cell r="BS223">
            <v>790</v>
          </cell>
          <cell r="BT223">
            <v>370</v>
          </cell>
          <cell r="BU223">
            <v>75</v>
          </cell>
          <cell r="BV223">
            <v>1230</v>
          </cell>
          <cell r="BW223">
            <v>480</v>
          </cell>
          <cell r="BX223">
            <v>610</v>
          </cell>
          <cell r="BY223">
            <v>120</v>
          </cell>
          <cell r="BZ223">
            <v>10</v>
          </cell>
          <cell r="CA223">
            <v>0</v>
          </cell>
          <cell r="CB223">
            <v>15</v>
          </cell>
          <cell r="CC223">
            <v>0</v>
          </cell>
          <cell r="CD223">
            <v>0</v>
          </cell>
          <cell r="CE223">
            <v>0</v>
          </cell>
          <cell r="CF223">
            <v>1235</v>
          </cell>
          <cell r="CG223">
            <v>470</v>
          </cell>
          <cell r="CH223">
            <v>195</v>
          </cell>
          <cell r="CI223">
            <v>10</v>
          </cell>
          <cell r="CJ223">
            <v>60</v>
          </cell>
          <cell r="CK223">
            <v>0</v>
          </cell>
          <cell r="CL223">
            <v>500</v>
          </cell>
          <cell r="CM223">
            <v>0</v>
          </cell>
          <cell r="CN223">
            <v>0</v>
          </cell>
          <cell r="CO223">
            <v>1230</v>
          </cell>
          <cell r="CP223">
            <v>415</v>
          </cell>
          <cell r="CQ223">
            <v>340</v>
          </cell>
          <cell r="CR223">
            <v>155</v>
          </cell>
          <cell r="CS223">
            <v>300</v>
          </cell>
          <cell r="CT223">
            <v>25</v>
          </cell>
          <cell r="CU223">
            <v>3020</v>
          </cell>
          <cell r="CV223">
            <v>2.4</v>
          </cell>
          <cell r="CW223">
            <v>1230</v>
          </cell>
          <cell r="CX223">
            <v>795</v>
          </cell>
          <cell r="CY223">
            <v>10</v>
          </cell>
          <cell r="CZ223">
            <v>435</v>
          </cell>
        </row>
        <row r="224">
          <cell r="A224" t="str">
            <v>4620402.00</v>
          </cell>
          <cell r="B224" t="str">
            <v>0402.00</v>
          </cell>
          <cell r="C224" t="str">
            <v>MONT_ROYAL</v>
          </cell>
          <cell r="D224">
            <v>990</v>
          </cell>
          <cell r="E224">
            <v>295</v>
          </cell>
          <cell r="F224">
            <v>540</v>
          </cell>
          <cell r="G224">
            <v>15</v>
          </cell>
          <cell r="H224">
            <v>65</v>
          </cell>
          <cell r="I224">
            <v>75</v>
          </cell>
          <cell r="J224">
            <v>990</v>
          </cell>
          <cell r="K224">
            <v>945</v>
          </cell>
          <cell r="L224">
            <v>50</v>
          </cell>
          <cell r="M224">
            <v>345</v>
          </cell>
          <cell r="N224">
            <v>130</v>
          </cell>
          <cell r="O224">
            <v>85</v>
          </cell>
          <cell r="P224">
            <v>90</v>
          </cell>
          <cell r="Q224">
            <v>35</v>
          </cell>
          <cell r="R224">
            <v>340</v>
          </cell>
          <cell r="S224">
            <v>275</v>
          </cell>
          <cell r="T224">
            <v>260</v>
          </cell>
          <cell r="U224">
            <v>90</v>
          </cell>
          <cell r="V224">
            <v>170</v>
          </cell>
          <cell r="W224">
            <v>50</v>
          </cell>
          <cell r="X224">
            <v>85</v>
          </cell>
          <cell r="Y224">
            <v>35</v>
          </cell>
          <cell r="Z224">
            <v>15</v>
          </cell>
          <cell r="AA224">
            <v>10</v>
          </cell>
          <cell r="AB224">
            <v>0</v>
          </cell>
          <cell r="AC224">
            <v>0</v>
          </cell>
          <cell r="AD224">
            <v>0</v>
          </cell>
          <cell r="AE224">
            <v>0</v>
          </cell>
          <cell r="AF224">
            <v>65</v>
          </cell>
          <cell r="AG224">
            <v>45</v>
          </cell>
          <cell r="AH224">
            <v>25</v>
          </cell>
          <cell r="AI224">
            <v>20</v>
          </cell>
          <cell r="AJ224">
            <v>10</v>
          </cell>
          <cell r="AK224">
            <v>25</v>
          </cell>
          <cell r="AL224">
            <v>10</v>
          </cell>
          <cell r="AM224">
            <v>15</v>
          </cell>
          <cell r="AN224">
            <v>0</v>
          </cell>
          <cell r="AO224">
            <v>465</v>
          </cell>
          <cell r="AP224">
            <v>100</v>
          </cell>
          <cell r="AQ224">
            <v>150</v>
          </cell>
          <cell r="AR224">
            <v>40</v>
          </cell>
          <cell r="AS224">
            <v>90</v>
          </cell>
          <cell r="AT224">
            <v>85</v>
          </cell>
          <cell r="AU224">
            <v>1.4</v>
          </cell>
          <cell r="AV224">
            <v>1225</v>
          </cell>
          <cell r="AW224">
            <v>145</v>
          </cell>
          <cell r="AX224">
            <v>20</v>
          </cell>
          <cell r="AY224">
            <v>10</v>
          </cell>
          <cell r="AZ224">
            <v>115</v>
          </cell>
          <cell r="BA224">
            <v>1080</v>
          </cell>
          <cell r="BB224">
            <v>3.2</v>
          </cell>
          <cell r="BC224">
            <v>255</v>
          </cell>
          <cell r="BD224">
            <v>90</v>
          </cell>
          <cell r="BE224">
            <v>10</v>
          </cell>
          <cell r="BF224">
            <v>0</v>
          </cell>
          <cell r="BG224">
            <v>75</v>
          </cell>
          <cell r="BH224">
            <v>165</v>
          </cell>
          <cell r="BI224">
            <v>455</v>
          </cell>
          <cell r="BJ224">
            <v>6.1</v>
          </cell>
          <cell r="BK224">
            <v>2775.5</v>
          </cell>
          <cell r="BL224">
            <v>2.6</v>
          </cell>
          <cell r="BM224">
            <v>1183</v>
          </cell>
          <cell r="BN224">
            <v>455</v>
          </cell>
          <cell r="BO224">
            <v>265</v>
          </cell>
          <cell r="BP224">
            <v>190</v>
          </cell>
          <cell r="BQ224">
            <v>0</v>
          </cell>
          <cell r="BR224">
            <v>455</v>
          </cell>
          <cell r="BS224">
            <v>250</v>
          </cell>
          <cell r="BT224">
            <v>165</v>
          </cell>
          <cell r="BU224">
            <v>40</v>
          </cell>
          <cell r="BV224">
            <v>455</v>
          </cell>
          <cell r="BW224">
            <v>20</v>
          </cell>
          <cell r="BX224">
            <v>315</v>
          </cell>
          <cell r="BY224">
            <v>75</v>
          </cell>
          <cell r="BZ224">
            <v>10</v>
          </cell>
          <cell r="CA224">
            <v>20</v>
          </cell>
          <cell r="CB224">
            <v>10</v>
          </cell>
          <cell r="CC224">
            <v>0</v>
          </cell>
          <cell r="CD224">
            <v>0</v>
          </cell>
          <cell r="CE224">
            <v>0</v>
          </cell>
          <cell r="CF224">
            <v>455</v>
          </cell>
          <cell r="CG224">
            <v>140</v>
          </cell>
          <cell r="CH224">
            <v>85</v>
          </cell>
          <cell r="CI224">
            <v>0</v>
          </cell>
          <cell r="CJ224">
            <v>0</v>
          </cell>
          <cell r="CK224">
            <v>0</v>
          </cell>
          <cell r="CL224">
            <v>225</v>
          </cell>
          <cell r="CM224">
            <v>0</v>
          </cell>
          <cell r="CN224">
            <v>0</v>
          </cell>
          <cell r="CO224">
            <v>455</v>
          </cell>
          <cell r="CP224">
            <v>125</v>
          </cell>
          <cell r="CQ224">
            <v>130</v>
          </cell>
          <cell r="CR224">
            <v>65</v>
          </cell>
          <cell r="CS224">
            <v>110</v>
          </cell>
          <cell r="CT224">
            <v>25</v>
          </cell>
          <cell r="CU224">
            <v>1225</v>
          </cell>
          <cell r="CV224">
            <v>2.7</v>
          </cell>
          <cell r="CW224">
            <v>455</v>
          </cell>
          <cell r="CX224">
            <v>325</v>
          </cell>
          <cell r="CY224">
            <v>0</v>
          </cell>
          <cell r="CZ224">
            <v>125</v>
          </cell>
        </row>
        <row r="225">
          <cell r="A225" t="str">
            <v>4620403.00</v>
          </cell>
          <cell r="B225" t="str">
            <v>0403.00</v>
          </cell>
          <cell r="C225" t="str">
            <v>MONT_ROYAL</v>
          </cell>
          <cell r="D225">
            <v>3960</v>
          </cell>
          <cell r="E225">
            <v>1260</v>
          </cell>
          <cell r="F225">
            <v>2180</v>
          </cell>
          <cell r="G225">
            <v>65</v>
          </cell>
          <cell r="H225">
            <v>255</v>
          </cell>
          <cell r="I225">
            <v>210</v>
          </cell>
          <cell r="J225">
            <v>3960</v>
          </cell>
          <cell r="K225">
            <v>3700</v>
          </cell>
          <cell r="L225">
            <v>265</v>
          </cell>
          <cell r="M225">
            <v>1355</v>
          </cell>
          <cell r="N225">
            <v>485</v>
          </cell>
          <cell r="O225">
            <v>290</v>
          </cell>
          <cell r="P225">
            <v>375</v>
          </cell>
          <cell r="Q225">
            <v>195</v>
          </cell>
          <cell r="R225">
            <v>1355</v>
          </cell>
          <cell r="S225">
            <v>1195</v>
          </cell>
          <cell r="T225">
            <v>1075</v>
          </cell>
          <cell r="U225">
            <v>340</v>
          </cell>
          <cell r="V225">
            <v>735</v>
          </cell>
          <cell r="W225">
            <v>230</v>
          </cell>
          <cell r="X225">
            <v>310</v>
          </cell>
          <cell r="Y225">
            <v>195</v>
          </cell>
          <cell r="Z225">
            <v>120</v>
          </cell>
          <cell r="AA225">
            <v>75</v>
          </cell>
          <cell r="AB225">
            <v>50</v>
          </cell>
          <cell r="AC225">
            <v>10</v>
          </cell>
          <cell r="AD225">
            <v>40</v>
          </cell>
          <cell r="AE225">
            <v>0</v>
          </cell>
          <cell r="AF225">
            <v>155</v>
          </cell>
          <cell r="AG225">
            <v>135</v>
          </cell>
          <cell r="AH225">
            <v>65</v>
          </cell>
          <cell r="AI225">
            <v>45</v>
          </cell>
          <cell r="AJ225">
            <v>20</v>
          </cell>
          <cell r="AK225">
            <v>15</v>
          </cell>
          <cell r="AL225">
            <v>0</v>
          </cell>
          <cell r="AM225">
            <v>10</v>
          </cell>
          <cell r="AN225">
            <v>0</v>
          </cell>
          <cell r="AO225">
            <v>1840</v>
          </cell>
          <cell r="AP225">
            <v>280</v>
          </cell>
          <cell r="AQ225">
            <v>740</v>
          </cell>
          <cell r="AR225">
            <v>245</v>
          </cell>
          <cell r="AS225">
            <v>375</v>
          </cell>
          <cell r="AT225">
            <v>205</v>
          </cell>
          <cell r="AU225">
            <v>1.4</v>
          </cell>
          <cell r="AV225">
            <v>4970</v>
          </cell>
          <cell r="AW225">
            <v>585</v>
          </cell>
          <cell r="AX225">
            <v>90</v>
          </cell>
          <cell r="AY225">
            <v>65</v>
          </cell>
          <cell r="AZ225">
            <v>425</v>
          </cell>
          <cell r="BA225">
            <v>4390</v>
          </cell>
          <cell r="BB225">
            <v>3.3</v>
          </cell>
          <cell r="BC225">
            <v>725</v>
          </cell>
          <cell r="BD225">
            <v>255</v>
          </cell>
          <cell r="BE225">
            <v>30</v>
          </cell>
          <cell r="BF225">
            <v>45</v>
          </cell>
          <cell r="BG225">
            <v>180</v>
          </cell>
          <cell r="BH225">
            <v>470</v>
          </cell>
          <cell r="BI225">
            <v>1815</v>
          </cell>
          <cell r="BJ225">
            <v>7</v>
          </cell>
          <cell r="BK225">
            <v>12705</v>
          </cell>
          <cell r="BL225">
            <v>2.8</v>
          </cell>
          <cell r="BM225">
            <v>5082</v>
          </cell>
          <cell r="BN225">
            <v>1820</v>
          </cell>
          <cell r="BO225">
            <v>1180</v>
          </cell>
          <cell r="BP225">
            <v>640</v>
          </cell>
          <cell r="BQ225">
            <v>0</v>
          </cell>
          <cell r="BR225">
            <v>1815</v>
          </cell>
          <cell r="BS225">
            <v>1090</v>
          </cell>
          <cell r="BT225">
            <v>540</v>
          </cell>
          <cell r="BU225">
            <v>180</v>
          </cell>
          <cell r="BV225">
            <v>1820</v>
          </cell>
          <cell r="BW225">
            <v>350</v>
          </cell>
          <cell r="BX225">
            <v>1050</v>
          </cell>
          <cell r="BY225">
            <v>270</v>
          </cell>
          <cell r="BZ225">
            <v>95</v>
          </cell>
          <cell r="CA225">
            <v>15</v>
          </cell>
          <cell r="CB225">
            <v>20</v>
          </cell>
          <cell r="CC225">
            <v>0</v>
          </cell>
          <cell r="CD225">
            <v>10</v>
          </cell>
          <cell r="CE225">
            <v>10</v>
          </cell>
          <cell r="CF225">
            <v>1820</v>
          </cell>
          <cell r="CG225">
            <v>655</v>
          </cell>
          <cell r="CH225">
            <v>385</v>
          </cell>
          <cell r="CI225">
            <v>40</v>
          </cell>
          <cell r="CJ225">
            <v>135</v>
          </cell>
          <cell r="CK225">
            <v>270</v>
          </cell>
          <cell r="CL225">
            <v>335</v>
          </cell>
          <cell r="CM225">
            <v>0</v>
          </cell>
          <cell r="CN225">
            <v>0</v>
          </cell>
          <cell r="CO225">
            <v>1820</v>
          </cell>
          <cell r="CP225">
            <v>425</v>
          </cell>
          <cell r="CQ225">
            <v>520</v>
          </cell>
          <cell r="CR225">
            <v>285</v>
          </cell>
          <cell r="CS225">
            <v>540</v>
          </cell>
          <cell r="CT225">
            <v>50</v>
          </cell>
          <cell r="CU225">
            <v>4970</v>
          </cell>
          <cell r="CV225">
            <v>2.7</v>
          </cell>
          <cell r="CW225">
            <v>1820</v>
          </cell>
          <cell r="CX225">
            <v>1305</v>
          </cell>
          <cell r="CY225">
            <v>20</v>
          </cell>
          <cell r="CZ225">
            <v>485</v>
          </cell>
        </row>
        <row r="226">
          <cell r="A226" t="str">
            <v>4620404.00</v>
          </cell>
          <cell r="B226" t="str">
            <v>0404.00</v>
          </cell>
          <cell r="C226" t="str">
            <v>MONT_ROYAL</v>
          </cell>
          <cell r="D226">
            <v>4070</v>
          </cell>
          <cell r="E226">
            <v>1160</v>
          </cell>
          <cell r="F226">
            <v>2195</v>
          </cell>
          <cell r="G226">
            <v>65</v>
          </cell>
          <cell r="H226">
            <v>230</v>
          </cell>
          <cell r="I226">
            <v>415</v>
          </cell>
          <cell r="J226">
            <v>4070</v>
          </cell>
          <cell r="K226">
            <v>3830</v>
          </cell>
          <cell r="L226">
            <v>245</v>
          </cell>
          <cell r="M226">
            <v>1330</v>
          </cell>
          <cell r="N226">
            <v>525</v>
          </cell>
          <cell r="O226">
            <v>260</v>
          </cell>
          <cell r="P226">
            <v>370</v>
          </cell>
          <cell r="Q226">
            <v>165</v>
          </cell>
          <cell r="R226">
            <v>1325</v>
          </cell>
          <cell r="S226">
            <v>1160</v>
          </cell>
          <cell r="T226">
            <v>1045</v>
          </cell>
          <cell r="U226">
            <v>410</v>
          </cell>
          <cell r="V226">
            <v>640</v>
          </cell>
          <cell r="W226">
            <v>170</v>
          </cell>
          <cell r="X226">
            <v>310</v>
          </cell>
          <cell r="Y226">
            <v>160</v>
          </cell>
          <cell r="Z226">
            <v>120</v>
          </cell>
          <cell r="AA226">
            <v>45</v>
          </cell>
          <cell r="AB226">
            <v>75</v>
          </cell>
          <cell r="AC226">
            <v>20</v>
          </cell>
          <cell r="AD226">
            <v>50</v>
          </cell>
          <cell r="AE226">
            <v>10</v>
          </cell>
          <cell r="AF226">
            <v>160</v>
          </cell>
          <cell r="AG226">
            <v>130</v>
          </cell>
          <cell r="AH226">
            <v>50</v>
          </cell>
          <cell r="AI226">
            <v>65</v>
          </cell>
          <cell r="AJ226">
            <v>10</v>
          </cell>
          <cell r="AK226">
            <v>35</v>
          </cell>
          <cell r="AL226">
            <v>25</v>
          </cell>
          <cell r="AM226">
            <v>0</v>
          </cell>
          <cell r="AN226">
            <v>0</v>
          </cell>
          <cell r="AO226">
            <v>1690</v>
          </cell>
          <cell r="AP226">
            <v>345</v>
          </cell>
          <cell r="AQ226">
            <v>625</v>
          </cell>
          <cell r="AR226">
            <v>175</v>
          </cell>
          <cell r="AS226">
            <v>380</v>
          </cell>
          <cell r="AT226">
            <v>165</v>
          </cell>
          <cell r="AU226">
            <v>1.3</v>
          </cell>
          <cell r="AV226">
            <v>4755</v>
          </cell>
          <cell r="AW226">
            <v>570</v>
          </cell>
          <cell r="AX226">
            <v>40</v>
          </cell>
          <cell r="AY226">
            <v>100</v>
          </cell>
          <cell r="AZ226">
            <v>425</v>
          </cell>
          <cell r="BA226">
            <v>4185</v>
          </cell>
          <cell r="BB226">
            <v>3.2</v>
          </cell>
          <cell r="BC226">
            <v>945</v>
          </cell>
          <cell r="BD226">
            <v>295</v>
          </cell>
          <cell r="BE226">
            <v>15</v>
          </cell>
          <cell r="BF226">
            <v>15</v>
          </cell>
          <cell r="BG226">
            <v>265</v>
          </cell>
          <cell r="BH226">
            <v>655</v>
          </cell>
          <cell r="BI226">
            <v>1745</v>
          </cell>
          <cell r="BJ226">
            <v>7.4</v>
          </cell>
          <cell r="BK226">
            <v>12913</v>
          </cell>
          <cell r="BL226">
            <v>3.1</v>
          </cell>
          <cell r="BM226">
            <v>5409.5</v>
          </cell>
          <cell r="BN226">
            <v>1745</v>
          </cell>
          <cell r="BO226">
            <v>1185</v>
          </cell>
          <cell r="BP226">
            <v>565</v>
          </cell>
          <cell r="BQ226">
            <v>0</v>
          </cell>
          <cell r="BR226">
            <v>1745</v>
          </cell>
          <cell r="BS226">
            <v>1055</v>
          </cell>
          <cell r="BT226">
            <v>560</v>
          </cell>
          <cell r="BU226">
            <v>125</v>
          </cell>
          <cell r="BV226">
            <v>1745</v>
          </cell>
          <cell r="BW226">
            <v>255</v>
          </cell>
          <cell r="BX226">
            <v>975</v>
          </cell>
          <cell r="BY226">
            <v>245</v>
          </cell>
          <cell r="BZ226">
            <v>110</v>
          </cell>
          <cell r="CA226">
            <v>50</v>
          </cell>
          <cell r="CB226">
            <v>80</v>
          </cell>
          <cell r="CC226">
            <v>0</v>
          </cell>
          <cell r="CD226">
            <v>20</v>
          </cell>
          <cell r="CE226">
            <v>0</v>
          </cell>
          <cell r="CF226">
            <v>1745</v>
          </cell>
          <cell r="CG226">
            <v>810</v>
          </cell>
          <cell r="CH226">
            <v>260</v>
          </cell>
          <cell r="CI226">
            <v>35</v>
          </cell>
          <cell r="CJ226">
            <v>75</v>
          </cell>
          <cell r="CK226">
            <v>310</v>
          </cell>
          <cell r="CL226">
            <v>250</v>
          </cell>
          <cell r="CM226">
            <v>0</v>
          </cell>
          <cell r="CN226">
            <v>0</v>
          </cell>
          <cell r="CO226">
            <v>1745</v>
          </cell>
          <cell r="CP226">
            <v>430</v>
          </cell>
          <cell r="CQ226">
            <v>520</v>
          </cell>
          <cell r="CR226">
            <v>235</v>
          </cell>
          <cell r="CS226">
            <v>505</v>
          </cell>
          <cell r="CT226">
            <v>60</v>
          </cell>
          <cell r="CU226">
            <v>4755</v>
          </cell>
          <cell r="CV226">
            <v>2.7</v>
          </cell>
          <cell r="CW226">
            <v>1745</v>
          </cell>
          <cell r="CX226">
            <v>1265</v>
          </cell>
          <cell r="CY226">
            <v>30</v>
          </cell>
          <cell r="CZ226">
            <v>450</v>
          </cell>
        </row>
        <row r="227">
          <cell r="C227" t="str">
            <v>MONT_ROYAL</v>
          </cell>
          <cell r="D227">
            <v>15235</v>
          </cell>
          <cell r="E227">
            <v>4765</v>
          </cell>
          <cell r="F227">
            <v>8140</v>
          </cell>
          <cell r="G227">
            <v>265</v>
          </cell>
          <cell r="H227">
            <v>1020</v>
          </cell>
          <cell r="I227">
            <v>1040</v>
          </cell>
          <cell r="J227">
            <v>15225</v>
          </cell>
          <cell r="K227">
            <v>14115</v>
          </cell>
          <cell r="L227">
            <v>1135</v>
          </cell>
          <cell r="M227">
            <v>5160</v>
          </cell>
          <cell r="N227">
            <v>2045</v>
          </cell>
          <cell r="O227">
            <v>1035</v>
          </cell>
          <cell r="P227">
            <v>1360</v>
          </cell>
          <cell r="Q227">
            <v>685</v>
          </cell>
          <cell r="R227">
            <v>5145</v>
          </cell>
          <cell r="S227">
            <v>4500</v>
          </cell>
          <cell r="T227">
            <v>3955</v>
          </cell>
          <cell r="U227">
            <v>1475</v>
          </cell>
          <cell r="V227">
            <v>2485</v>
          </cell>
          <cell r="W227">
            <v>710</v>
          </cell>
          <cell r="X227">
            <v>1140</v>
          </cell>
          <cell r="Y227">
            <v>640</v>
          </cell>
          <cell r="Z227">
            <v>550</v>
          </cell>
          <cell r="AA227">
            <v>255</v>
          </cell>
          <cell r="AB227">
            <v>300</v>
          </cell>
          <cell r="AC227">
            <v>100</v>
          </cell>
          <cell r="AD227">
            <v>165</v>
          </cell>
          <cell r="AE227">
            <v>35</v>
          </cell>
          <cell r="AF227">
            <v>635</v>
          </cell>
          <cell r="AG227">
            <v>535</v>
          </cell>
          <cell r="AH227">
            <v>280</v>
          </cell>
          <cell r="AI227">
            <v>185</v>
          </cell>
          <cell r="AJ227">
            <v>60</v>
          </cell>
          <cell r="AK227">
            <v>105</v>
          </cell>
          <cell r="AL227">
            <v>35</v>
          </cell>
          <cell r="AM227">
            <v>40</v>
          </cell>
          <cell r="AN227">
            <v>0</v>
          </cell>
          <cell r="AO227">
            <v>6660</v>
          </cell>
          <cell r="AP227">
            <v>1235</v>
          </cell>
          <cell r="AQ227">
            <v>2485</v>
          </cell>
          <cell r="AR227">
            <v>825</v>
          </cell>
          <cell r="AS227">
            <v>1370</v>
          </cell>
          <cell r="AT227">
            <v>760</v>
          </cell>
          <cell r="AU227">
            <v>1.2944606413994169</v>
          </cell>
          <cell r="AV227">
            <v>18650</v>
          </cell>
          <cell r="AW227">
            <v>2330</v>
          </cell>
          <cell r="AX227">
            <v>220</v>
          </cell>
          <cell r="AY227">
            <v>310</v>
          </cell>
          <cell r="AZ227">
            <v>1790</v>
          </cell>
          <cell r="BA227">
            <v>16325</v>
          </cell>
          <cell r="BB227">
            <v>3.1729834791059282</v>
          </cell>
          <cell r="BC227">
            <v>3175</v>
          </cell>
          <cell r="BD227">
            <v>1040</v>
          </cell>
          <cell r="BE227">
            <v>85</v>
          </cell>
          <cell r="BF227">
            <v>80</v>
          </cell>
          <cell r="BG227">
            <v>875</v>
          </cell>
          <cell r="BH227">
            <v>2130</v>
          </cell>
          <cell r="BI227">
            <v>7020</v>
          </cell>
          <cell r="BJ227">
            <v>6.89508547008547</v>
          </cell>
          <cell r="BK227">
            <v>48403.5</v>
          </cell>
          <cell r="BL227">
            <v>2.8264245014245013</v>
          </cell>
          <cell r="BM227">
            <v>19841.5</v>
          </cell>
          <cell r="BN227">
            <v>7015</v>
          </cell>
          <cell r="BO227">
            <v>4545</v>
          </cell>
          <cell r="BP227">
            <v>2480</v>
          </cell>
          <cell r="BQ227">
            <v>0</v>
          </cell>
          <cell r="BR227">
            <v>7015</v>
          </cell>
          <cell r="BS227">
            <v>4285</v>
          </cell>
          <cell r="BT227">
            <v>2135</v>
          </cell>
          <cell r="BU227">
            <v>585</v>
          </cell>
          <cell r="BV227">
            <v>7015</v>
          </cell>
          <cell r="BW227">
            <v>1540</v>
          </cell>
          <cell r="BX227">
            <v>3795</v>
          </cell>
          <cell r="BY227">
            <v>965</v>
          </cell>
          <cell r="BZ227">
            <v>250</v>
          </cell>
          <cell r="CA227">
            <v>95</v>
          </cell>
          <cell r="CB227">
            <v>125</v>
          </cell>
          <cell r="CC227">
            <v>0</v>
          </cell>
          <cell r="CD227">
            <v>155</v>
          </cell>
          <cell r="CE227">
            <v>75</v>
          </cell>
          <cell r="CF227">
            <v>7025</v>
          </cell>
          <cell r="CG227">
            <v>2520</v>
          </cell>
          <cell r="CH227">
            <v>1360</v>
          </cell>
          <cell r="CI227">
            <v>190</v>
          </cell>
          <cell r="CJ227">
            <v>465</v>
          </cell>
          <cell r="CK227">
            <v>585</v>
          </cell>
          <cell r="CL227">
            <v>1885</v>
          </cell>
          <cell r="CM227">
            <v>10</v>
          </cell>
          <cell r="CN227">
            <v>5</v>
          </cell>
          <cell r="CO227">
            <v>7015</v>
          </cell>
          <cell r="CP227">
            <v>1795</v>
          </cell>
          <cell r="CQ227">
            <v>2075</v>
          </cell>
          <cell r="CR227">
            <v>1030</v>
          </cell>
          <cell r="CS227">
            <v>1920</v>
          </cell>
          <cell r="CT227">
            <v>200</v>
          </cell>
          <cell r="CU227">
            <v>18660</v>
          </cell>
          <cell r="CV227">
            <v>2.6600142551674981</v>
          </cell>
          <cell r="CW227">
            <v>7015</v>
          </cell>
          <cell r="CX227">
            <v>5010</v>
          </cell>
          <cell r="CY227">
            <v>60</v>
          </cell>
          <cell r="CZ227">
            <v>1945</v>
          </cell>
        </row>
        <row r="230">
          <cell r="A230" t="str">
            <v>4620570.00</v>
          </cell>
          <cell r="B230" t="str">
            <v>0570.00</v>
          </cell>
          <cell r="C230" t="str">
            <v>MONTRÉAL-EST</v>
          </cell>
          <cell r="D230">
            <v>3205</v>
          </cell>
          <cell r="E230">
            <v>1645</v>
          </cell>
          <cell r="F230">
            <v>825</v>
          </cell>
          <cell r="G230">
            <v>95</v>
          </cell>
          <cell r="H230">
            <v>425</v>
          </cell>
          <cell r="I230">
            <v>220</v>
          </cell>
          <cell r="J230">
            <v>3205</v>
          </cell>
          <cell r="K230">
            <v>2510</v>
          </cell>
          <cell r="L230">
            <v>695</v>
          </cell>
          <cell r="M230">
            <v>1055</v>
          </cell>
          <cell r="N230">
            <v>555</v>
          </cell>
          <cell r="O230">
            <v>255</v>
          </cell>
          <cell r="P230">
            <v>200</v>
          </cell>
          <cell r="Q230">
            <v>50</v>
          </cell>
          <cell r="R230">
            <v>1055</v>
          </cell>
          <cell r="S230">
            <v>745</v>
          </cell>
          <cell r="T230">
            <v>390</v>
          </cell>
          <cell r="U230">
            <v>195</v>
          </cell>
          <cell r="V230">
            <v>200</v>
          </cell>
          <cell r="W230">
            <v>85</v>
          </cell>
          <cell r="X230">
            <v>95</v>
          </cell>
          <cell r="Y230">
            <v>15</v>
          </cell>
          <cell r="Z230">
            <v>350</v>
          </cell>
          <cell r="AA230">
            <v>150</v>
          </cell>
          <cell r="AB230">
            <v>205</v>
          </cell>
          <cell r="AC230">
            <v>90</v>
          </cell>
          <cell r="AD230">
            <v>90</v>
          </cell>
          <cell r="AE230">
            <v>20</v>
          </cell>
          <cell r="AF230">
            <v>310</v>
          </cell>
          <cell r="AG230">
            <v>245</v>
          </cell>
          <cell r="AH230">
            <v>155</v>
          </cell>
          <cell r="AI230">
            <v>70</v>
          </cell>
          <cell r="AJ230">
            <v>20</v>
          </cell>
          <cell r="AK230">
            <v>65</v>
          </cell>
          <cell r="AL230">
            <v>55</v>
          </cell>
          <cell r="AM230">
            <v>10</v>
          </cell>
          <cell r="AN230">
            <v>0</v>
          </cell>
          <cell r="AO230">
            <v>1125</v>
          </cell>
          <cell r="AP230">
            <v>200</v>
          </cell>
          <cell r="AQ230">
            <v>420</v>
          </cell>
          <cell r="AR230">
            <v>170</v>
          </cell>
          <cell r="AS230">
            <v>185</v>
          </cell>
          <cell r="AT230">
            <v>145</v>
          </cell>
          <cell r="AU230">
            <v>1.1000000000000001</v>
          </cell>
          <cell r="AV230">
            <v>3685</v>
          </cell>
          <cell r="AW230">
            <v>760</v>
          </cell>
          <cell r="AX230">
            <v>100</v>
          </cell>
          <cell r="AY230">
            <v>120</v>
          </cell>
          <cell r="AZ230">
            <v>535</v>
          </cell>
          <cell r="BA230">
            <v>2925</v>
          </cell>
          <cell r="BB230">
            <v>2.8</v>
          </cell>
          <cell r="BC230">
            <v>445</v>
          </cell>
          <cell r="BD230">
            <v>175</v>
          </cell>
          <cell r="BE230">
            <v>20</v>
          </cell>
          <cell r="BF230">
            <v>15</v>
          </cell>
          <cell r="BG230">
            <v>140</v>
          </cell>
          <cell r="BH230">
            <v>265</v>
          </cell>
          <cell r="BI230">
            <v>1650</v>
          </cell>
          <cell r="BJ230">
            <v>5.0999999999999996</v>
          </cell>
          <cell r="BK230">
            <v>8415</v>
          </cell>
          <cell r="BL230">
            <v>2.2999999999999998</v>
          </cell>
          <cell r="BM230">
            <v>3794.9999999999995</v>
          </cell>
          <cell r="BN230">
            <v>1650</v>
          </cell>
          <cell r="BO230">
            <v>670</v>
          </cell>
          <cell r="BP230">
            <v>975</v>
          </cell>
          <cell r="BQ230">
            <v>0</v>
          </cell>
          <cell r="BR230">
            <v>1645</v>
          </cell>
          <cell r="BS230">
            <v>1020</v>
          </cell>
          <cell r="BT230">
            <v>465</v>
          </cell>
          <cell r="BU230">
            <v>165</v>
          </cell>
          <cell r="BV230">
            <v>1645</v>
          </cell>
          <cell r="BW230">
            <v>340</v>
          </cell>
          <cell r="BX230">
            <v>725</v>
          </cell>
          <cell r="BY230">
            <v>120</v>
          </cell>
          <cell r="BZ230">
            <v>60</v>
          </cell>
          <cell r="CA230">
            <v>80</v>
          </cell>
          <cell r="CB230">
            <v>100</v>
          </cell>
          <cell r="CC230">
            <v>25</v>
          </cell>
          <cell r="CD230">
            <v>35</v>
          </cell>
          <cell r="CE230">
            <v>155</v>
          </cell>
          <cell r="CF230">
            <v>1640</v>
          </cell>
          <cell r="CG230">
            <v>435</v>
          </cell>
          <cell r="CH230">
            <v>30</v>
          </cell>
          <cell r="CI230">
            <v>15</v>
          </cell>
          <cell r="CJ230">
            <v>325</v>
          </cell>
          <cell r="CK230">
            <v>75</v>
          </cell>
          <cell r="CL230">
            <v>745</v>
          </cell>
          <cell r="CM230">
            <v>10</v>
          </cell>
          <cell r="CN230">
            <v>0</v>
          </cell>
          <cell r="CO230">
            <v>1640</v>
          </cell>
          <cell r="CP230">
            <v>535</v>
          </cell>
          <cell r="CQ230">
            <v>560</v>
          </cell>
          <cell r="CR230">
            <v>270</v>
          </cell>
          <cell r="CS230">
            <v>250</v>
          </cell>
          <cell r="CT230">
            <v>25</v>
          </cell>
          <cell r="CU230">
            <v>3670</v>
          </cell>
          <cell r="CV230">
            <v>2.2000000000000002</v>
          </cell>
          <cell r="CW230">
            <v>1645</v>
          </cell>
          <cell r="CX230">
            <v>1010</v>
          </cell>
          <cell r="CY230">
            <v>20</v>
          </cell>
          <cell r="CZ230">
            <v>615</v>
          </cell>
        </row>
        <row r="231">
          <cell r="C231" t="str">
            <v>MONTRÉAL-EST</v>
          </cell>
          <cell r="D231">
            <v>3205</v>
          </cell>
          <cell r="E231">
            <v>1645</v>
          </cell>
          <cell r="F231">
            <v>825</v>
          </cell>
          <cell r="G231">
            <v>95</v>
          </cell>
          <cell r="H231">
            <v>425</v>
          </cell>
          <cell r="I231">
            <v>220</v>
          </cell>
          <cell r="J231">
            <v>3205</v>
          </cell>
          <cell r="K231">
            <v>2510</v>
          </cell>
          <cell r="L231">
            <v>695</v>
          </cell>
          <cell r="M231">
            <v>1055</v>
          </cell>
          <cell r="N231">
            <v>555</v>
          </cell>
          <cell r="O231">
            <v>255</v>
          </cell>
          <cell r="P231">
            <v>200</v>
          </cell>
          <cell r="Q231">
            <v>50</v>
          </cell>
          <cell r="R231">
            <v>1055</v>
          </cell>
          <cell r="S231">
            <v>745</v>
          </cell>
          <cell r="T231">
            <v>390</v>
          </cell>
          <cell r="U231">
            <v>195</v>
          </cell>
          <cell r="V231">
            <v>200</v>
          </cell>
          <cell r="W231">
            <v>85</v>
          </cell>
          <cell r="X231">
            <v>95</v>
          </cell>
          <cell r="Y231">
            <v>15</v>
          </cell>
          <cell r="Z231">
            <v>350</v>
          </cell>
          <cell r="AA231">
            <v>150</v>
          </cell>
          <cell r="AB231">
            <v>205</v>
          </cell>
          <cell r="AC231">
            <v>90</v>
          </cell>
          <cell r="AD231">
            <v>90</v>
          </cell>
          <cell r="AE231">
            <v>20</v>
          </cell>
          <cell r="AF231">
            <v>310</v>
          </cell>
          <cell r="AG231">
            <v>245</v>
          </cell>
          <cell r="AH231">
            <v>155</v>
          </cell>
          <cell r="AI231">
            <v>70</v>
          </cell>
          <cell r="AJ231">
            <v>20</v>
          </cell>
          <cell r="AK231">
            <v>65</v>
          </cell>
          <cell r="AL231">
            <v>55</v>
          </cell>
          <cell r="AM231">
            <v>10</v>
          </cell>
          <cell r="AN231">
            <v>0</v>
          </cell>
          <cell r="AO231">
            <v>1125</v>
          </cell>
          <cell r="AP231">
            <v>200</v>
          </cell>
          <cell r="AQ231">
            <v>420</v>
          </cell>
          <cell r="AR231">
            <v>170</v>
          </cell>
          <cell r="AS231">
            <v>185</v>
          </cell>
          <cell r="AT231">
            <v>145</v>
          </cell>
          <cell r="AU231">
            <v>1.066350710900474</v>
          </cell>
          <cell r="AV231">
            <v>3685</v>
          </cell>
          <cell r="AW231">
            <v>760</v>
          </cell>
          <cell r="AX231">
            <v>100</v>
          </cell>
          <cell r="AY231">
            <v>120</v>
          </cell>
          <cell r="AZ231">
            <v>535</v>
          </cell>
          <cell r="BA231">
            <v>2925</v>
          </cell>
          <cell r="BB231">
            <v>2.7725118483412321</v>
          </cell>
          <cell r="BC231">
            <v>445</v>
          </cell>
          <cell r="BD231">
            <v>175</v>
          </cell>
          <cell r="BE231">
            <v>20</v>
          </cell>
          <cell r="BF231">
            <v>15</v>
          </cell>
          <cell r="BG231">
            <v>140</v>
          </cell>
          <cell r="BH231">
            <v>265</v>
          </cell>
          <cell r="BI231">
            <v>1650</v>
          </cell>
          <cell r="BJ231">
            <v>5.0999999999999996</v>
          </cell>
          <cell r="BK231">
            <v>8415</v>
          </cell>
          <cell r="BL231">
            <v>2.2999999999999998</v>
          </cell>
          <cell r="BM231">
            <v>3794.9999999999995</v>
          </cell>
          <cell r="BN231">
            <v>1650</v>
          </cell>
          <cell r="BO231">
            <v>670</v>
          </cell>
          <cell r="BP231">
            <v>975</v>
          </cell>
          <cell r="BQ231">
            <v>0</v>
          </cell>
          <cell r="BR231">
            <v>1645</v>
          </cell>
          <cell r="BS231">
            <v>1020</v>
          </cell>
          <cell r="BT231">
            <v>465</v>
          </cell>
          <cell r="BU231">
            <v>165</v>
          </cell>
          <cell r="BV231">
            <v>1645</v>
          </cell>
          <cell r="BW231">
            <v>340</v>
          </cell>
          <cell r="BX231">
            <v>725</v>
          </cell>
          <cell r="BY231">
            <v>120</v>
          </cell>
          <cell r="BZ231">
            <v>60</v>
          </cell>
          <cell r="CA231">
            <v>80</v>
          </cell>
          <cell r="CB231">
            <v>100</v>
          </cell>
          <cell r="CC231">
            <v>25</v>
          </cell>
          <cell r="CD231">
            <v>35</v>
          </cell>
          <cell r="CE231">
            <v>155</v>
          </cell>
          <cell r="CF231">
            <v>1640</v>
          </cell>
          <cell r="CG231">
            <v>435</v>
          </cell>
          <cell r="CH231">
            <v>30</v>
          </cell>
          <cell r="CI231">
            <v>15</v>
          </cell>
          <cell r="CJ231">
            <v>325</v>
          </cell>
          <cell r="CK231">
            <v>75</v>
          </cell>
          <cell r="CL231">
            <v>745</v>
          </cell>
          <cell r="CM231">
            <v>10</v>
          </cell>
          <cell r="CN231">
            <v>0</v>
          </cell>
          <cell r="CO231">
            <v>1640</v>
          </cell>
          <cell r="CP231">
            <v>535</v>
          </cell>
          <cell r="CQ231">
            <v>560</v>
          </cell>
          <cell r="CR231">
            <v>270</v>
          </cell>
          <cell r="CS231">
            <v>250</v>
          </cell>
          <cell r="CT231">
            <v>25</v>
          </cell>
          <cell r="CU231">
            <v>3670</v>
          </cell>
          <cell r="CV231">
            <v>2.2378048780487805</v>
          </cell>
          <cell r="CW231">
            <v>1645</v>
          </cell>
          <cell r="CX231">
            <v>1010</v>
          </cell>
          <cell r="CY231">
            <v>20</v>
          </cell>
          <cell r="CZ231">
            <v>615</v>
          </cell>
        </row>
        <row r="234">
          <cell r="A234" t="str">
            <v>4620610.01</v>
          </cell>
          <cell r="B234" t="str">
            <v>0610.01</v>
          </cell>
          <cell r="C234" t="str">
            <v>Montréal-Nord</v>
          </cell>
          <cell r="D234">
            <v>3825</v>
          </cell>
          <cell r="E234">
            <v>1610</v>
          </cell>
          <cell r="F234">
            <v>1365</v>
          </cell>
          <cell r="G234">
            <v>140</v>
          </cell>
          <cell r="H234">
            <v>470</v>
          </cell>
          <cell r="I234">
            <v>250</v>
          </cell>
          <cell r="J234">
            <v>3825</v>
          </cell>
          <cell r="K234">
            <v>3405</v>
          </cell>
          <cell r="L234">
            <v>425</v>
          </cell>
          <cell r="M234">
            <v>1270</v>
          </cell>
          <cell r="N234">
            <v>630</v>
          </cell>
          <cell r="O234">
            <v>335</v>
          </cell>
          <cell r="P234">
            <v>215</v>
          </cell>
          <cell r="Q234">
            <v>85</v>
          </cell>
          <cell r="R234">
            <v>1270</v>
          </cell>
          <cell r="S234">
            <v>875</v>
          </cell>
          <cell r="T234">
            <v>660</v>
          </cell>
          <cell r="U234">
            <v>270</v>
          </cell>
          <cell r="V234">
            <v>390</v>
          </cell>
          <cell r="W234">
            <v>175</v>
          </cell>
          <cell r="X234">
            <v>155</v>
          </cell>
          <cell r="Y234">
            <v>65</v>
          </cell>
          <cell r="Z234">
            <v>210</v>
          </cell>
          <cell r="AA234">
            <v>110</v>
          </cell>
          <cell r="AB234">
            <v>100</v>
          </cell>
          <cell r="AC234">
            <v>50</v>
          </cell>
          <cell r="AD234">
            <v>25</v>
          </cell>
          <cell r="AE234">
            <v>25</v>
          </cell>
          <cell r="AF234">
            <v>395</v>
          </cell>
          <cell r="AG234">
            <v>330</v>
          </cell>
          <cell r="AH234">
            <v>200</v>
          </cell>
          <cell r="AI234">
            <v>90</v>
          </cell>
          <cell r="AJ234">
            <v>35</v>
          </cell>
          <cell r="AK234">
            <v>70</v>
          </cell>
          <cell r="AL234">
            <v>50</v>
          </cell>
          <cell r="AM234">
            <v>20</v>
          </cell>
          <cell r="AN234">
            <v>0</v>
          </cell>
          <cell r="AO234">
            <v>1465</v>
          </cell>
          <cell r="AP234">
            <v>315</v>
          </cell>
          <cell r="AQ234">
            <v>515</v>
          </cell>
          <cell r="AR234">
            <v>180</v>
          </cell>
          <cell r="AS234">
            <v>225</v>
          </cell>
          <cell r="AT234">
            <v>230</v>
          </cell>
          <cell r="AU234">
            <v>1.2</v>
          </cell>
          <cell r="AV234">
            <v>4625</v>
          </cell>
          <cell r="AW234">
            <v>1015</v>
          </cell>
          <cell r="AX234">
            <v>165</v>
          </cell>
          <cell r="AY234">
            <v>195</v>
          </cell>
          <cell r="AZ234">
            <v>660</v>
          </cell>
          <cell r="BA234">
            <v>3605</v>
          </cell>
          <cell r="BB234">
            <v>2.8</v>
          </cell>
          <cell r="BC234">
            <v>655</v>
          </cell>
          <cell r="BD234">
            <v>235</v>
          </cell>
          <cell r="BE234">
            <v>50</v>
          </cell>
          <cell r="BF234">
            <v>10</v>
          </cell>
          <cell r="BG234">
            <v>180</v>
          </cell>
          <cell r="BH234">
            <v>420</v>
          </cell>
          <cell r="BI234">
            <v>2005</v>
          </cell>
          <cell r="BJ234">
            <v>4.4000000000000004</v>
          </cell>
          <cell r="BK234">
            <v>8822</v>
          </cell>
          <cell r="BL234">
            <v>2.1</v>
          </cell>
          <cell r="BM234">
            <v>4210.5</v>
          </cell>
          <cell r="BN234">
            <v>2005</v>
          </cell>
          <cell r="BO234">
            <v>365</v>
          </cell>
          <cell r="BP234">
            <v>1645</v>
          </cell>
          <cell r="BQ234">
            <v>0</v>
          </cell>
          <cell r="BR234">
            <v>2005</v>
          </cell>
          <cell r="BS234">
            <v>1220</v>
          </cell>
          <cell r="BT234">
            <v>635</v>
          </cell>
          <cell r="BU234">
            <v>145</v>
          </cell>
          <cell r="BV234">
            <v>2005</v>
          </cell>
          <cell r="BW234">
            <v>20</v>
          </cell>
          <cell r="BX234">
            <v>260</v>
          </cell>
          <cell r="BY234">
            <v>950</v>
          </cell>
          <cell r="BZ234">
            <v>565</v>
          </cell>
          <cell r="CA234">
            <v>145</v>
          </cell>
          <cell r="CB234">
            <v>20</v>
          </cell>
          <cell r="CC234">
            <v>25</v>
          </cell>
          <cell r="CD234">
            <v>0</v>
          </cell>
          <cell r="CE234">
            <v>15</v>
          </cell>
          <cell r="CF234">
            <v>2005</v>
          </cell>
          <cell r="CG234">
            <v>0</v>
          </cell>
          <cell r="CH234">
            <v>110</v>
          </cell>
          <cell r="CI234">
            <v>0</v>
          </cell>
          <cell r="CJ234">
            <v>85</v>
          </cell>
          <cell r="CK234">
            <v>320</v>
          </cell>
          <cell r="CL234">
            <v>1480</v>
          </cell>
          <cell r="CM234">
            <v>0</v>
          </cell>
          <cell r="CN234">
            <v>0</v>
          </cell>
          <cell r="CO234">
            <v>2005</v>
          </cell>
          <cell r="CP234">
            <v>660</v>
          </cell>
          <cell r="CQ234">
            <v>650</v>
          </cell>
          <cell r="CR234">
            <v>320</v>
          </cell>
          <cell r="CS234">
            <v>330</v>
          </cell>
          <cell r="CT234">
            <v>45</v>
          </cell>
          <cell r="CU234">
            <v>4625</v>
          </cell>
          <cell r="CV234">
            <v>2.2999999999999998</v>
          </cell>
          <cell r="CW234">
            <v>2005</v>
          </cell>
          <cell r="CX234">
            <v>1215</v>
          </cell>
          <cell r="CY234">
            <v>25</v>
          </cell>
          <cell r="CZ234">
            <v>765</v>
          </cell>
        </row>
        <row r="235">
          <cell r="A235" t="str">
            <v>4620610.02</v>
          </cell>
          <cell r="B235" t="str">
            <v>0610.02</v>
          </cell>
          <cell r="C235" t="str">
            <v>Montréal-Nord</v>
          </cell>
          <cell r="D235">
            <v>3815</v>
          </cell>
          <cell r="E235">
            <v>1430</v>
          </cell>
          <cell r="F235">
            <v>1615</v>
          </cell>
          <cell r="G235">
            <v>95</v>
          </cell>
          <cell r="H235">
            <v>410</v>
          </cell>
          <cell r="I235">
            <v>265</v>
          </cell>
          <cell r="J235">
            <v>3815</v>
          </cell>
          <cell r="K235">
            <v>3475</v>
          </cell>
          <cell r="L235">
            <v>345</v>
          </cell>
          <cell r="M235">
            <v>1270</v>
          </cell>
          <cell r="N235">
            <v>580</v>
          </cell>
          <cell r="O235">
            <v>330</v>
          </cell>
          <cell r="P235">
            <v>240</v>
          </cell>
          <cell r="Q235">
            <v>115</v>
          </cell>
          <cell r="R235">
            <v>1270</v>
          </cell>
          <cell r="S235">
            <v>950</v>
          </cell>
          <cell r="T235">
            <v>750</v>
          </cell>
          <cell r="U235">
            <v>295</v>
          </cell>
          <cell r="V235">
            <v>455</v>
          </cell>
          <cell r="W235">
            <v>185</v>
          </cell>
          <cell r="X235">
            <v>175</v>
          </cell>
          <cell r="Y235">
            <v>100</v>
          </cell>
          <cell r="Z235">
            <v>200</v>
          </cell>
          <cell r="AA235">
            <v>95</v>
          </cell>
          <cell r="AB235">
            <v>105</v>
          </cell>
          <cell r="AC235">
            <v>75</v>
          </cell>
          <cell r="AD235">
            <v>15</v>
          </cell>
          <cell r="AE235">
            <v>15</v>
          </cell>
          <cell r="AF235">
            <v>320</v>
          </cell>
          <cell r="AG235">
            <v>270</v>
          </cell>
          <cell r="AH235">
            <v>160</v>
          </cell>
          <cell r="AI235">
            <v>60</v>
          </cell>
          <cell r="AJ235">
            <v>45</v>
          </cell>
          <cell r="AK235">
            <v>45</v>
          </cell>
          <cell r="AL235">
            <v>30</v>
          </cell>
          <cell r="AM235">
            <v>0</v>
          </cell>
          <cell r="AN235">
            <v>10</v>
          </cell>
          <cell r="AO235">
            <v>1530</v>
          </cell>
          <cell r="AP235">
            <v>280</v>
          </cell>
          <cell r="AQ235">
            <v>510</v>
          </cell>
          <cell r="AR235">
            <v>135</v>
          </cell>
          <cell r="AS235">
            <v>295</v>
          </cell>
          <cell r="AT235">
            <v>305</v>
          </cell>
          <cell r="AU235">
            <v>1.2</v>
          </cell>
          <cell r="AV235">
            <v>4480</v>
          </cell>
          <cell r="AW235">
            <v>730</v>
          </cell>
          <cell r="AX235">
            <v>40</v>
          </cell>
          <cell r="AY235">
            <v>150</v>
          </cell>
          <cell r="AZ235">
            <v>535</v>
          </cell>
          <cell r="BA235">
            <v>3750</v>
          </cell>
          <cell r="BB235">
            <v>3</v>
          </cell>
          <cell r="BC235">
            <v>735</v>
          </cell>
          <cell r="BD235">
            <v>235</v>
          </cell>
          <cell r="BE235">
            <v>20</v>
          </cell>
          <cell r="BF235">
            <v>40</v>
          </cell>
          <cell r="BG235">
            <v>175</v>
          </cell>
          <cell r="BH235">
            <v>510</v>
          </cell>
          <cell r="BI235">
            <v>1840</v>
          </cell>
          <cell r="BJ235">
            <v>5.0999999999999996</v>
          </cell>
          <cell r="BK235">
            <v>9384</v>
          </cell>
          <cell r="BL235">
            <v>2.4</v>
          </cell>
          <cell r="BM235">
            <v>4416</v>
          </cell>
          <cell r="BN235">
            <v>1840</v>
          </cell>
          <cell r="BO235">
            <v>645</v>
          </cell>
          <cell r="BP235">
            <v>1190</v>
          </cell>
          <cell r="BQ235">
            <v>0</v>
          </cell>
          <cell r="BR235">
            <v>1835</v>
          </cell>
          <cell r="BS235">
            <v>1120</v>
          </cell>
          <cell r="BT235">
            <v>565</v>
          </cell>
          <cell r="BU235">
            <v>150</v>
          </cell>
          <cell r="BV235">
            <v>1840</v>
          </cell>
          <cell r="BW235">
            <v>0</v>
          </cell>
          <cell r="BX235">
            <v>220</v>
          </cell>
          <cell r="BY235">
            <v>1095</v>
          </cell>
          <cell r="BZ235">
            <v>425</v>
          </cell>
          <cell r="CA235">
            <v>85</v>
          </cell>
          <cell r="CB235">
            <v>0</v>
          </cell>
          <cell r="CC235">
            <v>0</v>
          </cell>
          <cell r="CD235">
            <v>0</v>
          </cell>
          <cell r="CE235">
            <v>10</v>
          </cell>
          <cell r="CF235">
            <v>1840</v>
          </cell>
          <cell r="CG235">
            <v>10</v>
          </cell>
          <cell r="CH235">
            <v>0</v>
          </cell>
          <cell r="CI235">
            <v>0</v>
          </cell>
          <cell r="CJ235">
            <v>590</v>
          </cell>
          <cell r="CK235">
            <v>5</v>
          </cell>
          <cell r="CL235">
            <v>1230</v>
          </cell>
          <cell r="CM235">
            <v>0</v>
          </cell>
          <cell r="CN235">
            <v>0</v>
          </cell>
          <cell r="CO235">
            <v>1840</v>
          </cell>
          <cell r="CP235">
            <v>540</v>
          </cell>
          <cell r="CQ235">
            <v>585</v>
          </cell>
          <cell r="CR235">
            <v>320</v>
          </cell>
          <cell r="CS235">
            <v>345</v>
          </cell>
          <cell r="CT235">
            <v>50</v>
          </cell>
          <cell r="CU235">
            <v>4480</v>
          </cell>
          <cell r="CV235">
            <v>2.4</v>
          </cell>
          <cell r="CW235">
            <v>1835</v>
          </cell>
          <cell r="CX235">
            <v>1220</v>
          </cell>
          <cell r="CY235">
            <v>20</v>
          </cell>
          <cell r="CZ235">
            <v>590</v>
          </cell>
        </row>
        <row r="236">
          <cell r="A236" t="str">
            <v>4620610.03</v>
          </cell>
          <cell r="B236" t="str">
            <v>0610.03</v>
          </cell>
          <cell r="C236" t="str">
            <v>Montréal-Nord</v>
          </cell>
          <cell r="D236">
            <v>4710</v>
          </cell>
          <cell r="E236">
            <v>1515</v>
          </cell>
          <cell r="F236">
            <v>2000</v>
          </cell>
          <cell r="G236">
            <v>120</v>
          </cell>
          <cell r="H236">
            <v>445</v>
          </cell>
          <cell r="I236">
            <v>635</v>
          </cell>
          <cell r="J236">
            <v>4710</v>
          </cell>
          <cell r="K236">
            <v>4290</v>
          </cell>
          <cell r="L236">
            <v>420</v>
          </cell>
          <cell r="M236">
            <v>1545</v>
          </cell>
          <cell r="N236">
            <v>860</v>
          </cell>
          <cell r="O236">
            <v>345</v>
          </cell>
          <cell r="P236">
            <v>250</v>
          </cell>
          <cell r="Q236">
            <v>85</v>
          </cell>
          <cell r="R236">
            <v>1550</v>
          </cell>
          <cell r="S236">
            <v>1175</v>
          </cell>
          <cell r="T236">
            <v>965</v>
          </cell>
          <cell r="U236">
            <v>515</v>
          </cell>
          <cell r="V236">
            <v>455</v>
          </cell>
          <cell r="W236">
            <v>180</v>
          </cell>
          <cell r="X236">
            <v>205</v>
          </cell>
          <cell r="Y236">
            <v>65</v>
          </cell>
          <cell r="Z236">
            <v>205</v>
          </cell>
          <cell r="AA236">
            <v>145</v>
          </cell>
          <cell r="AB236">
            <v>60</v>
          </cell>
          <cell r="AC236">
            <v>25</v>
          </cell>
          <cell r="AD236">
            <v>30</v>
          </cell>
          <cell r="AE236">
            <v>10</v>
          </cell>
          <cell r="AF236">
            <v>375</v>
          </cell>
          <cell r="AG236">
            <v>305</v>
          </cell>
          <cell r="AH236">
            <v>155</v>
          </cell>
          <cell r="AI236">
            <v>120</v>
          </cell>
          <cell r="AJ236">
            <v>30</v>
          </cell>
          <cell r="AK236">
            <v>65</v>
          </cell>
          <cell r="AL236">
            <v>50</v>
          </cell>
          <cell r="AM236">
            <v>15</v>
          </cell>
          <cell r="AN236">
            <v>0</v>
          </cell>
          <cell r="AO236">
            <v>1510</v>
          </cell>
          <cell r="AP236">
            <v>300</v>
          </cell>
          <cell r="AQ236">
            <v>480</v>
          </cell>
          <cell r="AR236">
            <v>170</v>
          </cell>
          <cell r="AS236">
            <v>295</v>
          </cell>
          <cell r="AT236">
            <v>265</v>
          </cell>
          <cell r="AU236">
            <v>1</v>
          </cell>
          <cell r="AV236">
            <v>5440</v>
          </cell>
          <cell r="AW236">
            <v>1210</v>
          </cell>
          <cell r="AX236">
            <v>165</v>
          </cell>
          <cell r="AY236">
            <v>115</v>
          </cell>
          <cell r="AZ236">
            <v>935</v>
          </cell>
          <cell r="BA236">
            <v>4225</v>
          </cell>
          <cell r="BB236">
            <v>2.7</v>
          </cell>
          <cell r="BC236">
            <v>1590</v>
          </cell>
          <cell r="BD236">
            <v>710</v>
          </cell>
          <cell r="BE236">
            <v>80</v>
          </cell>
          <cell r="BF236">
            <v>30</v>
          </cell>
          <cell r="BG236">
            <v>600</v>
          </cell>
          <cell r="BH236">
            <v>875</v>
          </cell>
          <cell r="BI236">
            <v>2505</v>
          </cell>
          <cell r="BJ236">
            <v>4.9000000000000004</v>
          </cell>
          <cell r="BK236">
            <v>12274.5</v>
          </cell>
          <cell r="BL236">
            <v>2.2000000000000002</v>
          </cell>
          <cell r="BM236">
            <v>5511</v>
          </cell>
          <cell r="BN236">
            <v>2505</v>
          </cell>
          <cell r="BO236">
            <v>1090</v>
          </cell>
          <cell r="BP236">
            <v>1420</v>
          </cell>
          <cell r="BQ236">
            <v>0</v>
          </cell>
          <cell r="BR236">
            <v>2510</v>
          </cell>
          <cell r="BS236">
            <v>1670</v>
          </cell>
          <cell r="BT236">
            <v>575</v>
          </cell>
          <cell r="BU236">
            <v>260</v>
          </cell>
          <cell r="BV236">
            <v>2505</v>
          </cell>
          <cell r="BW236">
            <v>70</v>
          </cell>
          <cell r="BX236">
            <v>235</v>
          </cell>
          <cell r="BY236">
            <v>885</v>
          </cell>
          <cell r="BZ236">
            <v>790</v>
          </cell>
          <cell r="CA236">
            <v>410</v>
          </cell>
          <cell r="CB236">
            <v>60</v>
          </cell>
          <cell r="CC236">
            <v>30</v>
          </cell>
          <cell r="CD236">
            <v>20</v>
          </cell>
          <cell r="CE236">
            <v>10</v>
          </cell>
          <cell r="CF236">
            <v>2510</v>
          </cell>
          <cell r="CG236">
            <v>280</v>
          </cell>
          <cell r="CH236">
            <v>230</v>
          </cell>
          <cell r="CI236">
            <v>145</v>
          </cell>
          <cell r="CJ236">
            <v>100</v>
          </cell>
          <cell r="CK236">
            <v>700</v>
          </cell>
          <cell r="CL236">
            <v>1045</v>
          </cell>
          <cell r="CM236">
            <v>0</v>
          </cell>
          <cell r="CN236">
            <v>0</v>
          </cell>
          <cell r="CO236">
            <v>2505</v>
          </cell>
          <cell r="CP236">
            <v>935</v>
          </cell>
          <cell r="CQ236">
            <v>830</v>
          </cell>
          <cell r="CR236">
            <v>335</v>
          </cell>
          <cell r="CS236">
            <v>365</v>
          </cell>
          <cell r="CT236">
            <v>50</v>
          </cell>
          <cell r="CU236">
            <v>5440</v>
          </cell>
          <cell r="CV236">
            <v>2.2000000000000002</v>
          </cell>
          <cell r="CW236">
            <v>2505</v>
          </cell>
          <cell r="CX236">
            <v>1470</v>
          </cell>
          <cell r="CY236">
            <v>35</v>
          </cell>
          <cell r="CZ236">
            <v>1005</v>
          </cell>
        </row>
        <row r="237">
          <cell r="A237" t="str">
            <v>4620610.04</v>
          </cell>
          <cell r="B237" t="str">
            <v>0610.04</v>
          </cell>
          <cell r="C237" t="str">
            <v>Montréal-Nord</v>
          </cell>
          <cell r="D237">
            <v>3185</v>
          </cell>
          <cell r="E237">
            <v>1480</v>
          </cell>
          <cell r="F237">
            <v>985</v>
          </cell>
          <cell r="G237">
            <v>130</v>
          </cell>
          <cell r="H237">
            <v>420</v>
          </cell>
          <cell r="I237">
            <v>175</v>
          </cell>
          <cell r="J237">
            <v>3185</v>
          </cell>
          <cell r="K237">
            <v>2735</v>
          </cell>
          <cell r="L237">
            <v>455</v>
          </cell>
          <cell r="M237">
            <v>1115</v>
          </cell>
          <cell r="N237">
            <v>515</v>
          </cell>
          <cell r="O237">
            <v>290</v>
          </cell>
          <cell r="P237">
            <v>180</v>
          </cell>
          <cell r="Q237">
            <v>135</v>
          </cell>
          <cell r="R237">
            <v>1120</v>
          </cell>
          <cell r="S237">
            <v>705</v>
          </cell>
          <cell r="T237">
            <v>465</v>
          </cell>
          <cell r="U237">
            <v>165</v>
          </cell>
          <cell r="V237">
            <v>300</v>
          </cell>
          <cell r="W237">
            <v>90</v>
          </cell>
          <cell r="X237">
            <v>120</v>
          </cell>
          <cell r="Y237">
            <v>85</v>
          </cell>
          <cell r="Z237">
            <v>235</v>
          </cell>
          <cell r="AA237">
            <v>90</v>
          </cell>
          <cell r="AB237">
            <v>145</v>
          </cell>
          <cell r="AC237">
            <v>90</v>
          </cell>
          <cell r="AD237">
            <v>35</v>
          </cell>
          <cell r="AE237">
            <v>20</v>
          </cell>
          <cell r="AF237">
            <v>415</v>
          </cell>
          <cell r="AG237">
            <v>385</v>
          </cell>
          <cell r="AH237">
            <v>235</v>
          </cell>
          <cell r="AI237">
            <v>100</v>
          </cell>
          <cell r="AJ237">
            <v>45</v>
          </cell>
          <cell r="AK237">
            <v>30</v>
          </cell>
          <cell r="AL237">
            <v>25</v>
          </cell>
          <cell r="AM237">
            <v>0</v>
          </cell>
          <cell r="AN237">
            <v>0</v>
          </cell>
          <cell r="AO237">
            <v>1515</v>
          </cell>
          <cell r="AP237">
            <v>435</v>
          </cell>
          <cell r="AQ237">
            <v>580</v>
          </cell>
          <cell r="AR237">
            <v>180</v>
          </cell>
          <cell r="AS237">
            <v>195</v>
          </cell>
          <cell r="AT237">
            <v>125</v>
          </cell>
          <cell r="AU237">
            <v>1.4</v>
          </cell>
          <cell r="AV237">
            <v>4205</v>
          </cell>
          <cell r="AW237">
            <v>865</v>
          </cell>
          <cell r="AX237">
            <v>110</v>
          </cell>
          <cell r="AY237">
            <v>210</v>
          </cell>
          <cell r="AZ237">
            <v>550</v>
          </cell>
          <cell r="BA237">
            <v>3335</v>
          </cell>
          <cell r="BB237">
            <v>3</v>
          </cell>
          <cell r="BC237">
            <v>355</v>
          </cell>
          <cell r="BD237">
            <v>190</v>
          </cell>
          <cell r="BE237">
            <v>30</v>
          </cell>
          <cell r="BF237">
            <v>10</v>
          </cell>
          <cell r="BG237">
            <v>145</v>
          </cell>
          <cell r="BH237">
            <v>165</v>
          </cell>
          <cell r="BI237">
            <v>1765</v>
          </cell>
          <cell r="BJ237">
            <v>4.2</v>
          </cell>
          <cell r="BK237">
            <v>7413</v>
          </cell>
          <cell r="BL237">
            <v>2.1</v>
          </cell>
          <cell r="BM237">
            <v>3706.5</v>
          </cell>
          <cell r="BN237">
            <v>1765</v>
          </cell>
          <cell r="BO237">
            <v>95</v>
          </cell>
          <cell r="BP237">
            <v>1670</v>
          </cell>
          <cell r="BQ237">
            <v>0</v>
          </cell>
          <cell r="BR237">
            <v>1765</v>
          </cell>
          <cell r="BS237">
            <v>1040</v>
          </cell>
          <cell r="BT237">
            <v>530</v>
          </cell>
          <cell r="BU237">
            <v>205</v>
          </cell>
          <cell r="BV237">
            <v>1765</v>
          </cell>
          <cell r="BW237">
            <v>30</v>
          </cell>
          <cell r="BX237">
            <v>250</v>
          </cell>
          <cell r="BY237">
            <v>675</v>
          </cell>
          <cell r="BZ237">
            <v>675</v>
          </cell>
          <cell r="CA237">
            <v>100</v>
          </cell>
          <cell r="CB237">
            <v>0</v>
          </cell>
          <cell r="CC237">
            <v>20</v>
          </cell>
          <cell r="CD237">
            <v>0</v>
          </cell>
          <cell r="CE237">
            <v>10</v>
          </cell>
          <cell r="CF237">
            <v>1765</v>
          </cell>
          <cell r="CG237">
            <v>0</v>
          </cell>
          <cell r="CH237">
            <v>0</v>
          </cell>
          <cell r="CI237">
            <v>0</v>
          </cell>
          <cell r="CJ237">
            <v>20</v>
          </cell>
          <cell r="CK237">
            <v>0</v>
          </cell>
          <cell r="CL237">
            <v>1745</v>
          </cell>
          <cell r="CM237">
            <v>0</v>
          </cell>
          <cell r="CN237">
            <v>0</v>
          </cell>
          <cell r="CO237">
            <v>1765</v>
          </cell>
          <cell r="CP237">
            <v>545</v>
          </cell>
          <cell r="CQ237">
            <v>550</v>
          </cell>
          <cell r="CR237">
            <v>315</v>
          </cell>
          <cell r="CS237">
            <v>310</v>
          </cell>
          <cell r="CT237">
            <v>45</v>
          </cell>
          <cell r="CU237">
            <v>4205</v>
          </cell>
          <cell r="CV237">
            <v>2.4</v>
          </cell>
          <cell r="CW237">
            <v>1765</v>
          </cell>
          <cell r="CX237">
            <v>1110</v>
          </cell>
          <cell r="CY237">
            <v>0</v>
          </cell>
          <cell r="CZ237">
            <v>650</v>
          </cell>
        </row>
        <row r="238">
          <cell r="A238" t="str">
            <v>4620610.05</v>
          </cell>
          <cell r="B238" t="str">
            <v>0610.05</v>
          </cell>
          <cell r="C238" t="str">
            <v>Montréal-Nord</v>
          </cell>
          <cell r="D238">
            <v>3685</v>
          </cell>
          <cell r="E238">
            <v>1765</v>
          </cell>
          <cell r="F238">
            <v>1055</v>
          </cell>
          <cell r="G238">
            <v>180</v>
          </cell>
          <cell r="H238">
            <v>540</v>
          </cell>
          <cell r="I238">
            <v>145</v>
          </cell>
          <cell r="J238">
            <v>3685</v>
          </cell>
          <cell r="K238">
            <v>3275</v>
          </cell>
          <cell r="L238">
            <v>410</v>
          </cell>
          <cell r="M238">
            <v>1285</v>
          </cell>
          <cell r="N238">
            <v>560</v>
          </cell>
          <cell r="O238">
            <v>360</v>
          </cell>
          <cell r="P238">
            <v>210</v>
          </cell>
          <cell r="Q238">
            <v>150</v>
          </cell>
          <cell r="R238">
            <v>1285</v>
          </cell>
          <cell r="S238">
            <v>710</v>
          </cell>
          <cell r="T238">
            <v>495</v>
          </cell>
          <cell r="U238">
            <v>130</v>
          </cell>
          <cell r="V238">
            <v>365</v>
          </cell>
          <cell r="W238">
            <v>115</v>
          </cell>
          <cell r="X238">
            <v>150</v>
          </cell>
          <cell r="Y238">
            <v>95</v>
          </cell>
          <cell r="Z238">
            <v>220</v>
          </cell>
          <cell r="AA238">
            <v>120</v>
          </cell>
          <cell r="AB238">
            <v>100</v>
          </cell>
          <cell r="AC238">
            <v>45</v>
          </cell>
          <cell r="AD238">
            <v>25</v>
          </cell>
          <cell r="AE238">
            <v>25</v>
          </cell>
          <cell r="AF238">
            <v>575</v>
          </cell>
          <cell r="AG238">
            <v>500</v>
          </cell>
          <cell r="AH238">
            <v>270</v>
          </cell>
          <cell r="AI238">
            <v>165</v>
          </cell>
          <cell r="AJ238">
            <v>60</v>
          </cell>
          <cell r="AK238">
            <v>80</v>
          </cell>
          <cell r="AL238">
            <v>35</v>
          </cell>
          <cell r="AM238">
            <v>40</v>
          </cell>
          <cell r="AN238">
            <v>0</v>
          </cell>
          <cell r="AO238">
            <v>1875</v>
          </cell>
          <cell r="AP238">
            <v>540</v>
          </cell>
          <cell r="AQ238">
            <v>725</v>
          </cell>
          <cell r="AR238">
            <v>190</v>
          </cell>
          <cell r="AS238">
            <v>260</v>
          </cell>
          <cell r="AT238">
            <v>165</v>
          </cell>
          <cell r="AU238">
            <v>1.5</v>
          </cell>
          <cell r="AV238">
            <v>4960</v>
          </cell>
          <cell r="AW238">
            <v>1085</v>
          </cell>
          <cell r="AX238">
            <v>190</v>
          </cell>
          <cell r="AY238">
            <v>365</v>
          </cell>
          <cell r="AZ238">
            <v>525</v>
          </cell>
          <cell r="BA238">
            <v>3880</v>
          </cell>
          <cell r="BB238">
            <v>3</v>
          </cell>
          <cell r="BC238">
            <v>310</v>
          </cell>
          <cell r="BD238">
            <v>140</v>
          </cell>
          <cell r="BE238">
            <v>35</v>
          </cell>
          <cell r="BF238">
            <v>10</v>
          </cell>
          <cell r="BG238">
            <v>95</v>
          </cell>
          <cell r="BH238">
            <v>165</v>
          </cell>
          <cell r="BI238">
            <v>1955</v>
          </cell>
          <cell r="BJ238">
            <v>4.3</v>
          </cell>
          <cell r="BK238">
            <v>8406.5</v>
          </cell>
          <cell r="BL238">
            <v>2.1</v>
          </cell>
          <cell r="BM238">
            <v>4105.5</v>
          </cell>
          <cell r="BN238">
            <v>1950</v>
          </cell>
          <cell r="BO238">
            <v>80</v>
          </cell>
          <cell r="BP238">
            <v>1870</v>
          </cell>
          <cell r="BQ238">
            <v>0</v>
          </cell>
          <cell r="BR238">
            <v>1955</v>
          </cell>
          <cell r="BS238">
            <v>1190</v>
          </cell>
          <cell r="BT238">
            <v>545</v>
          </cell>
          <cell r="BU238">
            <v>220</v>
          </cell>
          <cell r="BV238">
            <v>1950</v>
          </cell>
          <cell r="BW238">
            <v>35</v>
          </cell>
          <cell r="BX238">
            <v>395</v>
          </cell>
          <cell r="BY238">
            <v>765</v>
          </cell>
          <cell r="BZ238">
            <v>565</v>
          </cell>
          <cell r="CA238">
            <v>140</v>
          </cell>
          <cell r="CB238">
            <v>10</v>
          </cell>
          <cell r="CC238">
            <v>35</v>
          </cell>
          <cell r="CD238">
            <v>10</v>
          </cell>
          <cell r="CE238">
            <v>0</v>
          </cell>
          <cell r="CF238">
            <v>1955</v>
          </cell>
          <cell r="CG238">
            <v>0</v>
          </cell>
          <cell r="CH238">
            <v>5</v>
          </cell>
          <cell r="CI238">
            <v>0</v>
          </cell>
          <cell r="CJ238">
            <v>10</v>
          </cell>
          <cell r="CK238">
            <v>90</v>
          </cell>
          <cell r="CL238">
            <v>1830</v>
          </cell>
          <cell r="CM238">
            <v>20</v>
          </cell>
          <cell r="CN238">
            <v>0</v>
          </cell>
          <cell r="CO238">
            <v>1950</v>
          </cell>
          <cell r="CP238">
            <v>525</v>
          </cell>
          <cell r="CQ238">
            <v>605</v>
          </cell>
          <cell r="CR238">
            <v>355</v>
          </cell>
          <cell r="CS238">
            <v>390</v>
          </cell>
          <cell r="CT238">
            <v>75</v>
          </cell>
          <cell r="CU238">
            <v>4965</v>
          </cell>
          <cell r="CV238">
            <v>2.5</v>
          </cell>
          <cell r="CW238">
            <v>1955</v>
          </cell>
          <cell r="CX238">
            <v>1240</v>
          </cell>
          <cell r="CY238">
            <v>25</v>
          </cell>
          <cell r="CZ238">
            <v>690</v>
          </cell>
        </row>
        <row r="239">
          <cell r="A239" t="str">
            <v>4620610.06</v>
          </cell>
          <cell r="B239" t="str">
            <v>0610.06</v>
          </cell>
          <cell r="C239" t="str">
            <v>Montréal-Nord</v>
          </cell>
          <cell r="D239">
            <v>2285</v>
          </cell>
          <cell r="E239">
            <v>1020</v>
          </cell>
          <cell r="F239">
            <v>870</v>
          </cell>
          <cell r="G239">
            <v>65</v>
          </cell>
          <cell r="H239">
            <v>215</v>
          </cell>
          <cell r="I239">
            <v>115</v>
          </cell>
          <cell r="J239">
            <v>2285</v>
          </cell>
          <cell r="K239">
            <v>2045</v>
          </cell>
          <cell r="L239">
            <v>240</v>
          </cell>
          <cell r="M239">
            <v>780</v>
          </cell>
          <cell r="N239">
            <v>355</v>
          </cell>
          <cell r="O239">
            <v>205</v>
          </cell>
          <cell r="P239">
            <v>140</v>
          </cell>
          <cell r="Q239">
            <v>80</v>
          </cell>
          <cell r="R239">
            <v>775</v>
          </cell>
          <cell r="S239">
            <v>530</v>
          </cell>
          <cell r="T239">
            <v>445</v>
          </cell>
          <cell r="U239">
            <v>165</v>
          </cell>
          <cell r="V239">
            <v>280</v>
          </cell>
          <cell r="W239">
            <v>115</v>
          </cell>
          <cell r="X239">
            <v>105</v>
          </cell>
          <cell r="Y239">
            <v>65</v>
          </cell>
          <cell r="Z239">
            <v>85</v>
          </cell>
          <cell r="AA239">
            <v>55</v>
          </cell>
          <cell r="AB239">
            <v>30</v>
          </cell>
          <cell r="AC239">
            <v>0</v>
          </cell>
          <cell r="AD239">
            <v>25</v>
          </cell>
          <cell r="AE239">
            <v>0</v>
          </cell>
          <cell r="AF239">
            <v>250</v>
          </cell>
          <cell r="AG239">
            <v>245</v>
          </cell>
          <cell r="AH239">
            <v>130</v>
          </cell>
          <cell r="AI239">
            <v>90</v>
          </cell>
          <cell r="AJ239">
            <v>25</v>
          </cell>
          <cell r="AK239">
            <v>0</v>
          </cell>
          <cell r="AL239">
            <v>0</v>
          </cell>
          <cell r="AM239">
            <v>0</v>
          </cell>
          <cell r="AN239">
            <v>0</v>
          </cell>
          <cell r="AO239">
            <v>985</v>
          </cell>
          <cell r="AP239">
            <v>210</v>
          </cell>
          <cell r="AQ239">
            <v>285</v>
          </cell>
          <cell r="AR239">
            <v>95</v>
          </cell>
          <cell r="AS239">
            <v>195</v>
          </cell>
          <cell r="AT239">
            <v>195</v>
          </cell>
          <cell r="AU239">
            <v>1.3</v>
          </cell>
          <cell r="AV239">
            <v>2805</v>
          </cell>
          <cell r="AW239">
            <v>515</v>
          </cell>
          <cell r="AX239">
            <v>70</v>
          </cell>
          <cell r="AY239">
            <v>135</v>
          </cell>
          <cell r="AZ239">
            <v>305</v>
          </cell>
          <cell r="BA239">
            <v>2290</v>
          </cell>
          <cell r="BB239">
            <v>2.9</v>
          </cell>
          <cell r="BC239">
            <v>380</v>
          </cell>
          <cell r="BD239">
            <v>135</v>
          </cell>
          <cell r="BE239">
            <v>30</v>
          </cell>
          <cell r="BF239">
            <v>10</v>
          </cell>
          <cell r="BG239">
            <v>100</v>
          </cell>
          <cell r="BH239">
            <v>240</v>
          </cell>
          <cell r="BI239">
            <v>1135</v>
          </cell>
          <cell r="BJ239">
            <v>4.9000000000000004</v>
          </cell>
          <cell r="BK239">
            <v>5561.5</v>
          </cell>
          <cell r="BL239">
            <v>2.2999999999999998</v>
          </cell>
          <cell r="BM239">
            <v>2610.5</v>
          </cell>
          <cell r="BN239">
            <v>1135</v>
          </cell>
          <cell r="BO239">
            <v>295</v>
          </cell>
          <cell r="BP239">
            <v>845</v>
          </cell>
          <cell r="BQ239">
            <v>0</v>
          </cell>
          <cell r="BR239">
            <v>1135</v>
          </cell>
          <cell r="BS239">
            <v>815</v>
          </cell>
          <cell r="BT239">
            <v>235</v>
          </cell>
          <cell r="BU239">
            <v>85</v>
          </cell>
          <cell r="BV239">
            <v>1135</v>
          </cell>
          <cell r="BW239">
            <v>0</v>
          </cell>
          <cell r="BX239">
            <v>120</v>
          </cell>
          <cell r="BY239">
            <v>520</v>
          </cell>
          <cell r="BZ239">
            <v>385</v>
          </cell>
          <cell r="CA239">
            <v>45</v>
          </cell>
          <cell r="CB239">
            <v>10</v>
          </cell>
          <cell r="CC239">
            <v>25</v>
          </cell>
          <cell r="CD239">
            <v>15</v>
          </cell>
          <cell r="CE239">
            <v>0</v>
          </cell>
          <cell r="CF239">
            <v>1135</v>
          </cell>
          <cell r="CG239">
            <v>5</v>
          </cell>
          <cell r="CH239">
            <v>75</v>
          </cell>
          <cell r="CI239">
            <v>0</v>
          </cell>
          <cell r="CJ239">
            <v>10</v>
          </cell>
          <cell r="CK239">
            <v>0</v>
          </cell>
          <cell r="CL239">
            <v>1050</v>
          </cell>
          <cell r="CM239">
            <v>0</v>
          </cell>
          <cell r="CN239">
            <v>0</v>
          </cell>
          <cell r="CO239">
            <v>1135</v>
          </cell>
          <cell r="CP239">
            <v>305</v>
          </cell>
          <cell r="CQ239">
            <v>365</v>
          </cell>
          <cell r="CR239">
            <v>215</v>
          </cell>
          <cell r="CS239">
            <v>220</v>
          </cell>
          <cell r="CT239">
            <v>30</v>
          </cell>
          <cell r="CU239">
            <v>2805</v>
          </cell>
          <cell r="CV239">
            <v>2.5</v>
          </cell>
          <cell r="CW239">
            <v>1130</v>
          </cell>
          <cell r="CX239">
            <v>730</v>
          </cell>
          <cell r="CY239">
            <v>25</v>
          </cell>
          <cell r="CZ239">
            <v>380</v>
          </cell>
        </row>
        <row r="240">
          <cell r="A240" t="str">
            <v>4620610.07</v>
          </cell>
          <cell r="B240" t="str">
            <v>0610.07</v>
          </cell>
          <cell r="C240" t="str">
            <v>Montréal-Nord</v>
          </cell>
          <cell r="D240">
            <v>3775</v>
          </cell>
          <cell r="E240">
            <v>1315</v>
          </cell>
          <cell r="F240">
            <v>1065</v>
          </cell>
          <cell r="G240">
            <v>135</v>
          </cell>
          <cell r="H240">
            <v>480</v>
          </cell>
          <cell r="I240">
            <v>780</v>
          </cell>
          <cell r="J240">
            <v>3775</v>
          </cell>
          <cell r="K240">
            <v>3450</v>
          </cell>
          <cell r="L240">
            <v>330</v>
          </cell>
          <cell r="M240">
            <v>1045</v>
          </cell>
          <cell r="N240">
            <v>610</v>
          </cell>
          <cell r="O240">
            <v>215</v>
          </cell>
          <cell r="P240">
            <v>150</v>
          </cell>
          <cell r="Q240">
            <v>70</v>
          </cell>
          <cell r="R240">
            <v>1045</v>
          </cell>
          <cell r="S240">
            <v>665</v>
          </cell>
          <cell r="T240">
            <v>500</v>
          </cell>
          <cell r="U240">
            <v>305</v>
          </cell>
          <cell r="V240">
            <v>200</v>
          </cell>
          <cell r="W240">
            <v>90</v>
          </cell>
          <cell r="X240">
            <v>85</v>
          </cell>
          <cell r="Y240">
            <v>25</v>
          </cell>
          <cell r="Z240">
            <v>165</v>
          </cell>
          <cell r="AA240">
            <v>105</v>
          </cell>
          <cell r="AB240">
            <v>55</v>
          </cell>
          <cell r="AC240">
            <v>25</v>
          </cell>
          <cell r="AD240">
            <v>20</v>
          </cell>
          <cell r="AE240">
            <v>10</v>
          </cell>
          <cell r="AF240">
            <v>380</v>
          </cell>
          <cell r="AG240">
            <v>335</v>
          </cell>
          <cell r="AH240">
            <v>165</v>
          </cell>
          <cell r="AI240">
            <v>90</v>
          </cell>
          <cell r="AJ240">
            <v>80</v>
          </cell>
          <cell r="AK240">
            <v>45</v>
          </cell>
          <cell r="AL240">
            <v>35</v>
          </cell>
          <cell r="AM240">
            <v>0</v>
          </cell>
          <cell r="AN240">
            <v>10</v>
          </cell>
          <cell r="AO240">
            <v>1140</v>
          </cell>
          <cell r="AP240">
            <v>250</v>
          </cell>
          <cell r="AQ240">
            <v>445</v>
          </cell>
          <cell r="AR240">
            <v>110</v>
          </cell>
          <cell r="AS240">
            <v>210</v>
          </cell>
          <cell r="AT240">
            <v>125</v>
          </cell>
          <cell r="AU240">
            <v>1.1000000000000001</v>
          </cell>
          <cell r="AV240">
            <v>4285</v>
          </cell>
          <cell r="AW240">
            <v>1435</v>
          </cell>
          <cell r="AX240">
            <v>175</v>
          </cell>
          <cell r="AY240">
            <v>90</v>
          </cell>
          <cell r="AZ240">
            <v>1160</v>
          </cell>
          <cell r="BA240">
            <v>2855</v>
          </cell>
          <cell r="BB240">
            <v>2.7</v>
          </cell>
          <cell r="BC240">
            <v>1400</v>
          </cell>
          <cell r="BD240">
            <v>840</v>
          </cell>
          <cell r="BE240">
            <v>70</v>
          </cell>
          <cell r="BF240">
            <v>15</v>
          </cell>
          <cell r="BG240">
            <v>765</v>
          </cell>
          <cell r="BH240">
            <v>555</v>
          </cell>
          <cell r="BI240">
            <v>2285</v>
          </cell>
          <cell r="BJ240">
            <v>3.9</v>
          </cell>
          <cell r="BK240">
            <v>8911.5</v>
          </cell>
          <cell r="BL240">
            <v>1.7</v>
          </cell>
          <cell r="BM240">
            <v>3884.5</v>
          </cell>
          <cell r="BN240">
            <v>2285</v>
          </cell>
          <cell r="BO240">
            <v>265</v>
          </cell>
          <cell r="BP240">
            <v>2015</v>
          </cell>
          <cell r="BQ240">
            <v>0</v>
          </cell>
          <cell r="BR240">
            <v>2285</v>
          </cell>
          <cell r="BS240">
            <v>1710</v>
          </cell>
          <cell r="BT240">
            <v>415</v>
          </cell>
          <cell r="BU240">
            <v>165</v>
          </cell>
          <cell r="BV240">
            <v>2285</v>
          </cell>
          <cell r="BW240">
            <v>25</v>
          </cell>
          <cell r="BX240">
            <v>195</v>
          </cell>
          <cell r="BY240">
            <v>450</v>
          </cell>
          <cell r="BZ240">
            <v>850</v>
          </cell>
          <cell r="CA240">
            <v>370</v>
          </cell>
          <cell r="CB240">
            <v>265</v>
          </cell>
          <cell r="CC240">
            <v>105</v>
          </cell>
          <cell r="CD240">
            <v>20</v>
          </cell>
          <cell r="CE240">
            <v>10</v>
          </cell>
          <cell r="CF240">
            <v>2285</v>
          </cell>
          <cell r="CG240">
            <v>35</v>
          </cell>
          <cell r="CH240">
            <v>50</v>
          </cell>
          <cell r="CI240">
            <v>20</v>
          </cell>
          <cell r="CJ240">
            <v>10</v>
          </cell>
          <cell r="CK240">
            <v>1100</v>
          </cell>
          <cell r="CL240">
            <v>1065</v>
          </cell>
          <cell r="CM240">
            <v>0</v>
          </cell>
          <cell r="CN240">
            <v>0</v>
          </cell>
          <cell r="CO240">
            <v>2285</v>
          </cell>
          <cell r="CP240">
            <v>1160</v>
          </cell>
          <cell r="CQ240">
            <v>630</v>
          </cell>
          <cell r="CR240">
            <v>245</v>
          </cell>
          <cell r="CS240">
            <v>215</v>
          </cell>
          <cell r="CT240">
            <v>35</v>
          </cell>
          <cell r="CU240">
            <v>4285</v>
          </cell>
          <cell r="CV240">
            <v>1.9</v>
          </cell>
          <cell r="CW240">
            <v>2285</v>
          </cell>
          <cell r="CX240">
            <v>1000</v>
          </cell>
          <cell r="CY240">
            <v>20</v>
          </cell>
          <cell r="CZ240">
            <v>1260</v>
          </cell>
        </row>
        <row r="241">
          <cell r="A241" t="str">
            <v>4620611.01</v>
          </cell>
          <cell r="B241" t="str">
            <v>0611.01</v>
          </cell>
          <cell r="C241" t="str">
            <v>Montréal-Nord</v>
          </cell>
          <cell r="D241">
            <v>2245</v>
          </cell>
          <cell r="E241">
            <v>880</v>
          </cell>
          <cell r="F241">
            <v>885</v>
          </cell>
          <cell r="G241">
            <v>60</v>
          </cell>
          <cell r="H241">
            <v>245</v>
          </cell>
          <cell r="I241">
            <v>175</v>
          </cell>
          <cell r="J241">
            <v>2245</v>
          </cell>
          <cell r="K241">
            <v>2010</v>
          </cell>
          <cell r="L241">
            <v>240</v>
          </cell>
          <cell r="M241">
            <v>745</v>
          </cell>
          <cell r="N241">
            <v>370</v>
          </cell>
          <cell r="O241">
            <v>175</v>
          </cell>
          <cell r="P241">
            <v>130</v>
          </cell>
          <cell r="Q241">
            <v>65</v>
          </cell>
          <cell r="R241">
            <v>745</v>
          </cell>
          <cell r="S241">
            <v>555</v>
          </cell>
          <cell r="T241">
            <v>450</v>
          </cell>
          <cell r="U241">
            <v>170</v>
          </cell>
          <cell r="V241">
            <v>275</v>
          </cell>
          <cell r="W241">
            <v>125</v>
          </cell>
          <cell r="X241">
            <v>95</v>
          </cell>
          <cell r="Y241">
            <v>60</v>
          </cell>
          <cell r="Z241">
            <v>110</v>
          </cell>
          <cell r="AA241">
            <v>75</v>
          </cell>
          <cell r="AB241">
            <v>30</v>
          </cell>
          <cell r="AC241">
            <v>10</v>
          </cell>
          <cell r="AD241">
            <v>20</v>
          </cell>
          <cell r="AE241">
            <v>0</v>
          </cell>
          <cell r="AF241">
            <v>195</v>
          </cell>
          <cell r="AG241">
            <v>185</v>
          </cell>
          <cell r="AH241">
            <v>120</v>
          </cell>
          <cell r="AI241">
            <v>40</v>
          </cell>
          <cell r="AJ241">
            <v>20</v>
          </cell>
          <cell r="AK241">
            <v>10</v>
          </cell>
          <cell r="AL241">
            <v>10</v>
          </cell>
          <cell r="AM241">
            <v>0</v>
          </cell>
          <cell r="AN241">
            <v>0</v>
          </cell>
          <cell r="AO241">
            <v>840</v>
          </cell>
          <cell r="AP241">
            <v>190</v>
          </cell>
          <cell r="AQ241">
            <v>250</v>
          </cell>
          <cell r="AR241">
            <v>70</v>
          </cell>
          <cell r="AS241">
            <v>185</v>
          </cell>
          <cell r="AT241">
            <v>145</v>
          </cell>
          <cell r="AU241">
            <v>1.1000000000000001</v>
          </cell>
          <cell r="AV241">
            <v>2685</v>
          </cell>
          <cell r="AW241">
            <v>535</v>
          </cell>
          <cell r="AX241">
            <v>85</v>
          </cell>
          <cell r="AY241">
            <v>90</v>
          </cell>
          <cell r="AZ241">
            <v>365</v>
          </cell>
          <cell r="BA241">
            <v>2145</v>
          </cell>
          <cell r="BB241">
            <v>2.9</v>
          </cell>
          <cell r="BC241">
            <v>440</v>
          </cell>
          <cell r="BD241">
            <v>165</v>
          </cell>
          <cell r="BE241">
            <v>40</v>
          </cell>
          <cell r="BF241">
            <v>0</v>
          </cell>
          <cell r="BG241">
            <v>120</v>
          </cell>
          <cell r="BH241">
            <v>275</v>
          </cell>
          <cell r="BI241">
            <v>1145</v>
          </cell>
          <cell r="BJ241">
            <v>5</v>
          </cell>
          <cell r="BK241">
            <v>5725</v>
          </cell>
          <cell r="BL241">
            <v>2.4</v>
          </cell>
          <cell r="BM241">
            <v>2748</v>
          </cell>
          <cell r="BN241">
            <v>1145</v>
          </cell>
          <cell r="BO241">
            <v>455</v>
          </cell>
          <cell r="BP241">
            <v>690</v>
          </cell>
          <cell r="BQ241">
            <v>0</v>
          </cell>
          <cell r="BR241">
            <v>1145</v>
          </cell>
          <cell r="BS241">
            <v>665</v>
          </cell>
          <cell r="BT241">
            <v>395</v>
          </cell>
          <cell r="BU241">
            <v>80</v>
          </cell>
          <cell r="BV241">
            <v>1145</v>
          </cell>
          <cell r="BW241">
            <v>50</v>
          </cell>
          <cell r="BX241">
            <v>390</v>
          </cell>
          <cell r="BY241">
            <v>500</v>
          </cell>
          <cell r="BZ241">
            <v>115</v>
          </cell>
          <cell r="CA241">
            <v>30</v>
          </cell>
          <cell r="CB241">
            <v>20</v>
          </cell>
          <cell r="CC241">
            <v>20</v>
          </cell>
          <cell r="CD241">
            <v>10</v>
          </cell>
          <cell r="CE241">
            <v>10</v>
          </cell>
          <cell r="CF241">
            <v>1145</v>
          </cell>
          <cell r="CG241">
            <v>80</v>
          </cell>
          <cell r="CH241">
            <v>85</v>
          </cell>
          <cell r="CI241">
            <v>0</v>
          </cell>
          <cell r="CJ241">
            <v>425</v>
          </cell>
          <cell r="CK241">
            <v>10</v>
          </cell>
          <cell r="CL241">
            <v>525</v>
          </cell>
          <cell r="CM241">
            <v>20</v>
          </cell>
          <cell r="CN241">
            <v>0</v>
          </cell>
          <cell r="CO241">
            <v>1145</v>
          </cell>
          <cell r="CP241">
            <v>370</v>
          </cell>
          <cell r="CQ241">
            <v>360</v>
          </cell>
          <cell r="CR241">
            <v>185</v>
          </cell>
          <cell r="CS241">
            <v>205</v>
          </cell>
          <cell r="CT241">
            <v>25</v>
          </cell>
          <cell r="CU241">
            <v>2700</v>
          </cell>
          <cell r="CV241">
            <v>2.4</v>
          </cell>
          <cell r="CW241">
            <v>1145</v>
          </cell>
          <cell r="CX241">
            <v>715</v>
          </cell>
          <cell r="CY241">
            <v>15</v>
          </cell>
          <cell r="CZ241">
            <v>415</v>
          </cell>
        </row>
        <row r="242">
          <cell r="A242" t="str">
            <v>4620611.02</v>
          </cell>
          <cell r="B242" t="str">
            <v>0611.02</v>
          </cell>
          <cell r="C242" t="str">
            <v>Montréal-Nord</v>
          </cell>
          <cell r="D242">
            <v>4340</v>
          </cell>
          <cell r="E242">
            <v>1730</v>
          </cell>
          <cell r="F242">
            <v>1705</v>
          </cell>
          <cell r="G242">
            <v>140</v>
          </cell>
          <cell r="H242">
            <v>495</v>
          </cell>
          <cell r="I242">
            <v>270</v>
          </cell>
          <cell r="J242">
            <v>4345</v>
          </cell>
          <cell r="K242">
            <v>3885</v>
          </cell>
          <cell r="L242">
            <v>455</v>
          </cell>
          <cell r="M242">
            <v>1505</v>
          </cell>
          <cell r="N242">
            <v>705</v>
          </cell>
          <cell r="O242">
            <v>385</v>
          </cell>
          <cell r="P242">
            <v>295</v>
          </cell>
          <cell r="Q242">
            <v>115</v>
          </cell>
          <cell r="R242">
            <v>1505</v>
          </cell>
          <cell r="S242">
            <v>1060</v>
          </cell>
          <cell r="T242">
            <v>825</v>
          </cell>
          <cell r="U242">
            <v>365</v>
          </cell>
          <cell r="V242">
            <v>465</v>
          </cell>
          <cell r="W242">
            <v>185</v>
          </cell>
          <cell r="X242">
            <v>190</v>
          </cell>
          <cell r="Y242">
            <v>90</v>
          </cell>
          <cell r="Z242">
            <v>230</v>
          </cell>
          <cell r="AA242">
            <v>125</v>
          </cell>
          <cell r="AB242">
            <v>110</v>
          </cell>
          <cell r="AC242">
            <v>75</v>
          </cell>
          <cell r="AD242">
            <v>15</v>
          </cell>
          <cell r="AE242">
            <v>25</v>
          </cell>
          <cell r="AF242">
            <v>445</v>
          </cell>
          <cell r="AG242">
            <v>360</v>
          </cell>
          <cell r="AH242">
            <v>175</v>
          </cell>
          <cell r="AI242">
            <v>105</v>
          </cell>
          <cell r="AJ242">
            <v>80</v>
          </cell>
          <cell r="AK242">
            <v>80</v>
          </cell>
          <cell r="AL242">
            <v>55</v>
          </cell>
          <cell r="AM242">
            <v>15</v>
          </cell>
          <cell r="AN242">
            <v>10</v>
          </cell>
          <cell r="AO242">
            <v>1820</v>
          </cell>
          <cell r="AP242">
            <v>410</v>
          </cell>
          <cell r="AQ242">
            <v>620</v>
          </cell>
          <cell r="AR242">
            <v>175</v>
          </cell>
          <cell r="AS242">
            <v>365</v>
          </cell>
          <cell r="AT242">
            <v>245</v>
          </cell>
          <cell r="AU242">
            <v>1.2</v>
          </cell>
          <cell r="AV242">
            <v>5365</v>
          </cell>
          <cell r="AW242">
            <v>980</v>
          </cell>
          <cell r="AX242">
            <v>145</v>
          </cell>
          <cell r="AY242">
            <v>150</v>
          </cell>
          <cell r="AZ242">
            <v>680</v>
          </cell>
          <cell r="BA242">
            <v>4390</v>
          </cell>
          <cell r="BB242">
            <v>2.9</v>
          </cell>
          <cell r="BC242">
            <v>785</v>
          </cell>
          <cell r="BD242">
            <v>300</v>
          </cell>
          <cell r="BE242">
            <v>75</v>
          </cell>
          <cell r="BF242">
            <v>25</v>
          </cell>
          <cell r="BG242">
            <v>200</v>
          </cell>
          <cell r="BH242">
            <v>490</v>
          </cell>
          <cell r="BI242">
            <v>2215</v>
          </cell>
          <cell r="BJ242">
            <v>4.9000000000000004</v>
          </cell>
          <cell r="BK242">
            <v>10853.5</v>
          </cell>
          <cell r="BL242">
            <v>2.2999999999999998</v>
          </cell>
          <cell r="BM242">
            <v>5094.5</v>
          </cell>
          <cell r="BN242">
            <v>2215</v>
          </cell>
          <cell r="BO242">
            <v>700</v>
          </cell>
          <cell r="BP242">
            <v>1515</v>
          </cell>
          <cell r="BQ242">
            <v>0</v>
          </cell>
          <cell r="BR242">
            <v>2215</v>
          </cell>
          <cell r="BS242">
            <v>1315</v>
          </cell>
          <cell r="BT242">
            <v>690</v>
          </cell>
          <cell r="BU242">
            <v>205</v>
          </cell>
          <cell r="BV242">
            <v>2215</v>
          </cell>
          <cell r="BW242">
            <v>155</v>
          </cell>
          <cell r="BX242">
            <v>760</v>
          </cell>
          <cell r="BY242">
            <v>900</v>
          </cell>
          <cell r="BZ242">
            <v>290</v>
          </cell>
          <cell r="CA242">
            <v>35</v>
          </cell>
          <cell r="CB242">
            <v>25</v>
          </cell>
          <cell r="CC242">
            <v>10</v>
          </cell>
          <cell r="CD242">
            <v>15</v>
          </cell>
          <cell r="CE242">
            <v>25</v>
          </cell>
          <cell r="CF242">
            <v>2220</v>
          </cell>
          <cell r="CG242">
            <v>120</v>
          </cell>
          <cell r="CH242">
            <v>40</v>
          </cell>
          <cell r="CI242">
            <v>0</v>
          </cell>
          <cell r="CJ242">
            <v>635</v>
          </cell>
          <cell r="CK242">
            <v>50</v>
          </cell>
          <cell r="CL242">
            <v>1350</v>
          </cell>
          <cell r="CM242">
            <v>15</v>
          </cell>
          <cell r="CN242">
            <v>0</v>
          </cell>
          <cell r="CO242">
            <v>2220</v>
          </cell>
          <cell r="CP242">
            <v>680</v>
          </cell>
          <cell r="CQ242">
            <v>680</v>
          </cell>
          <cell r="CR242">
            <v>365</v>
          </cell>
          <cell r="CS242">
            <v>430</v>
          </cell>
          <cell r="CT242">
            <v>55</v>
          </cell>
          <cell r="CU242">
            <v>5365</v>
          </cell>
          <cell r="CV242">
            <v>2.4</v>
          </cell>
          <cell r="CW242">
            <v>2215</v>
          </cell>
          <cell r="CX242">
            <v>1375</v>
          </cell>
          <cell r="CY242">
            <v>65</v>
          </cell>
          <cell r="CZ242">
            <v>780</v>
          </cell>
        </row>
        <row r="243">
          <cell r="A243" t="str">
            <v>4620612.00</v>
          </cell>
          <cell r="B243" t="str">
            <v>0612.00</v>
          </cell>
          <cell r="C243" t="str">
            <v>Montréal-Nord</v>
          </cell>
          <cell r="D243">
            <v>3290</v>
          </cell>
          <cell r="E243">
            <v>1340</v>
          </cell>
          <cell r="F243">
            <v>1195</v>
          </cell>
          <cell r="G243">
            <v>115</v>
          </cell>
          <cell r="H243">
            <v>390</v>
          </cell>
          <cell r="I243">
            <v>260</v>
          </cell>
          <cell r="J243">
            <v>3290</v>
          </cell>
          <cell r="K243">
            <v>2915</v>
          </cell>
          <cell r="L243">
            <v>375</v>
          </cell>
          <cell r="M243">
            <v>1050</v>
          </cell>
          <cell r="N243">
            <v>510</v>
          </cell>
          <cell r="O243">
            <v>245</v>
          </cell>
          <cell r="P243">
            <v>205</v>
          </cell>
          <cell r="Q243">
            <v>90</v>
          </cell>
          <cell r="R243">
            <v>1055</v>
          </cell>
          <cell r="S243">
            <v>735</v>
          </cell>
          <cell r="T243">
            <v>550</v>
          </cell>
          <cell r="U243">
            <v>240</v>
          </cell>
          <cell r="V243">
            <v>305</v>
          </cell>
          <cell r="W243">
            <v>90</v>
          </cell>
          <cell r="X243">
            <v>145</v>
          </cell>
          <cell r="Y243">
            <v>70</v>
          </cell>
          <cell r="Z243">
            <v>185</v>
          </cell>
          <cell r="AA243">
            <v>120</v>
          </cell>
          <cell r="AB243">
            <v>60</v>
          </cell>
          <cell r="AC243">
            <v>50</v>
          </cell>
          <cell r="AD243">
            <v>10</v>
          </cell>
          <cell r="AE243">
            <v>0</v>
          </cell>
          <cell r="AF243">
            <v>320</v>
          </cell>
          <cell r="AG243">
            <v>290</v>
          </cell>
          <cell r="AH243">
            <v>125</v>
          </cell>
          <cell r="AI243">
            <v>90</v>
          </cell>
          <cell r="AJ243">
            <v>70</v>
          </cell>
          <cell r="AK243">
            <v>35</v>
          </cell>
          <cell r="AL243">
            <v>20</v>
          </cell>
          <cell r="AM243">
            <v>15</v>
          </cell>
          <cell r="AN243">
            <v>0</v>
          </cell>
          <cell r="AO243">
            <v>1295</v>
          </cell>
          <cell r="AP243">
            <v>280</v>
          </cell>
          <cell r="AQ243">
            <v>425</v>
          </cell>
          <cell r="AR243">
            <v>175</v>
          </cell>
          <cell r="AS243">
            <v>250</v>
          </cell>
          <cell r="AT243">
            <v>160</v>
          </cell>
          <cell r="AU243">
            <v>1.2</v>
          </cell>
          <cell r="AV243">
            <v>3990</v>
          </cell>
          <cell r="AW243">
            <v>905</v>
          </cell>
          <cell r="AX243">
            <v>200</v>
          </cell>
          <cell r="AY243">
            <v>155</v>
          </cell>
          <cell r="AZ243">
            <v>550</v>
          </cell>
          <cell r="BA243">
            <v>3085</v>
          </cell>
          <cell r="BB243">
            <v>2.9</v>
          </cell>
          <cell r="BC243">
            <v>645</v>
          </cell>
          <cell r="BD243">
            <v>315</v>
          </cell>
          <cell r="BE243">
            <v>75</v>
          </cell>
          <cell r="BF243">
            <v>20</v>
          </cell>
          <cell r="BG243">
            <v>220</v>
          </cell>
          <cell r="BH243">
            <v>335</v>
          </cell>
          <cell r="BI243">
            <v>1710</v>
          </cell>
          <cell r="BJ243">
            <v>4.8</v>
          </cell>
          <cell r="BK243">
            <v>8208</v>
          </cell>
          <cell r="BL243">
            <v>2.2999999999999998</v>
          </cell>
          <cell r="BM243">
            <v>3932.9999999999995</v>
          </cell>
          <cell r="BN243">
            <v>1710</v>
          </cell>
          <cell r="BO243">
            <v>535</v>
          </cell>
          <cell r="BP243">
            <v>1175</v>
          </cell>
          <cell r="BQ243">
            <v>0</v>
          </cell>
          <cell r="BR243">
            <v>1710</v>
          </cell>
          <cell r="BS243">
            <v>995</v>
          </cell>
          <cell r="BT243">
            <v>575</v>
          </cell>
          <cell r="BU243">
            <v>140</v>
          </cell>
          <cell r="BV243">
            <v>1710</v>
          </cell>
          <cell r="BW243">
            <v>85</v>
          </cell>
          <cell r="BX243">
            <v>635</v>
          </cell>
          <cell r="BY243">
            <v>620</v>
          </cell>
          <cell r="BZ243">
            <v>215</v>
          </cell>
          <cell r="CA243">
            <v>65</v>
          </cell>
          <cell r="CB243">
            <v>70</v>
          </cell>
          <cell r="CC243">
            <v>10</v>
          </cell>
          <cell r="CD243">
            <v>10</v>
          </cell>
          <cell r="CE243">
            <v>0</v>
          </cell>
          <cell r="CF243">
            <v>1710</v>
          </cell>
          <cell r="CG243">
            <v>120</v>
          </cell>
          <cell r="CH243">
            <v>35</v>
          </cell>
          <cell r="CI243">
            <v>0</v>
          </cell>
          <cell r="CJ243">
            <v>500</v>
          </cell>
          <cell r="CK243">
            <v>0</v>
          </cell>
          <cell r="CL243">
            <v>1030</v>
          </cell>
          <cell r="CM243">
            <v>25</v>
          </cell>
          <cell r="CN243">
            <v>0</v>
          </cell>
          <cell r="CO243">
            <v>1710</v>
          </cell>
          <cell r="CP243">
            <v>550</v>
          </cell>
          <cell r="CQ243">
            <v>550</v>
          </cell>
          <cell r="CR243">
            <v>270</v>
          </cell>
          <cell r="CS243">
            <v>295</v>
          </cell>
          <cell r="CT243">
            <v>45</v>
          </cell>
          <cell r="CU243">
            <v>3990</v>
          </cell>
          <cell r="CV243">
            <v>2.2999999999999998</v>
          </cell>
          <cell r="CW243">
            <v>1710</v>
          </cell>
          <cell r="CX243">
            <v>1040</v>
          </cell>
          <cell r="CY243">
            <v>0</v>
          </cell>
          <cell r="CZ243">
            <v>660</v>
          </cell>
        </row>
        <row r="244">
          <cell r="A244" t="str">
            <v>4620613.00</v>
          </cell>
          <cell r="B244" t="str">
            <v>0613.00</v>
          </cell>
          <cell r="C244" t="str">
            <v>Montréal-Nord</v>
          </cell>
          <cell r="D244">
            <v>5510</v>
          </cell>
          <cell r="E244">
            <v>2115</v>
          </cell>
          <cell r="F244">
            <v>2310</v>
          </cell>
          <cell r="G244">
            <v>145</v>
          </cell>
          <cell r="H244">
            <v>585</v>
          </cell>
          <cell r="I244">
            <v>365</v>
          </cell>
          <cell r="J244">
            <v>5510</v>
          </cell>
          <cell r="K244">
            <v>5035</v>
          </cell>
          <cell r="L244">
            <v>475</v>
          </cell>
          <cell r="M244">
            <v>1855</v>
          </cell>
          <cell r="N244">
            <v>875</v>
          </cell>
          <cell r="O244">
            <v>405</v>
          </cell>
          <cell r="P244">
            <v>330</v>
          </cell>
          <cell r="Q244">
            <v>240</v>
          </cell>
          <cell r="R244">
            <v>1850</v>
          </cell>
          <cell r="S244">
            <v>1345</v>
          </cell>
          <cell r="T244">
            <v>1115</v>
          </cell>
          <cell r="U244">
            <v>435</v>
          </cell>
          <cell r="V244">
            <v>685</v>
          </cell>
          <cell r="W244">
            <v>230</v>
          </cell>
          <cell r="X244">
            <v>255</v>
          </cell>
          <cell r="Y244">
            <v>195</v>
          </cell>
          <cell r="Z244">
            <v>230</v>
          </cell>
          <cell r="AA244">
            <v>115</v>
          </cell>
          <cell r="AB244">
            <v>110</v>
          </cell>
          <cell r="AC244">
            <v>55</v>
          </cell>
          <cell r="AD244">
            <v>45</v>
          </cell>
          <cell r="AE244">
            <v>10</v>
          </cell>
          <cell r="AF244">
            <v>505</v>
          </cell>
          <cell r="AG244">
            <v>390</v>
          </cell>
          <cell r="AH244">
            <v>250</v>
          </cell>
          <cell r="AI244">
            <v>85</v>
          </cell>
          <cell r="AJ244">
            <v>45</v>
          </cell>
          <cell r="AK244">
            <v>120</v>
          </cell>
          <cell r="AL244">
            <v>70</v>
          </cell>
          <cell r="AM244">
            <v>30</v>
          </cell>
          <cell r="AN244">
            <v>15</v>
          </cell>
          <cell r="AO244">
            <v>2440</v>
          </cell>
          <cell r="AP244">
            <v>530</v>
          </cell>
          <cell r="AQ244">
            <v>855</v>
          </cell>
          <cell r="AR244">
            <v>260</v>
          </cell>
          <cell r="AS244">
            <v>380</v>
          </cell>
          <cell r="AT244">
            <v>415</v>
          </cell>
          <cell r="AU244">
            <v>1.3</v>
          </cell>
          <cell r="AV244">
            <v>6875</v>
          </cell>
          <cell r="AW244">
            <v>1235</v>
          </cell>
          <cell r="AX244">
            <v>150</v>
          </cell>
          <cell r="AY244">
            <v>195</v>
          </cell>
          <cell r="AZ244">
            <v>890</v>
          </cell>
          <cell r="BA244">
            <v>5640</v>
          </cell>
          <cell r="BB244">
            <v>3</v>
          </cell>
          <cell r="BC244">
            <v>975</v>
          </cell>
          <cell r="BD244">
            <v>385</v>
          </cell>
          <cell r="BE244">
            <v>40</v>
          </cell>
          <cell r="BF244">
            <v>45</v>
          </cell>
          <cell r="BG244">
            <v>295</v>
          </cell>
          <cell r="BH244">
            <v>585</v>
          </cell>
          <cell r="BI244">
            <v>2835</v>
          </cell>
          <cell r="BJ244">
            <v>4.7</v>
          </cell>
          <cell r="BK244">
            <v>13324.5</v>
          </cell>
          <cell r="BL244">
            <v>2.2000000000000002</v>
          </cell>
          <cell r="BM244">
            <v>6237.0000000000009</v>
          </cell>
          <cell r="BN244">
            <v>2835</v>
          </cell>
          <cell r="BO244">
            <v>795</v>
          </cell>
          <cell r="BP244">
            <v>2035</v>
          </cell>
          <cell r="BQ244">
            <v>0</v>
          </cell>
          <cell r="BR244">
            <v>2830</v>
          </cell>
          <cell r="BS244">
            <v>1695</v>
          </cell>
          <cell r="BT244">
            <v>870</v>
          </cell>
          <cell r="BU244">
            <v>270</v>
          </cell>
          <cell r="BV244">
            <v>2830</v>
          </cell>
          <cell r="BW244">
            <v>185</v>
          </cell>
          <cell r="BX244">
            <v>1145</v>
          </cell>
          <cell r="BY244">
            <v>900</v>
          </cell>
          <cell r="BZ244">
            <v>280</v>
          </cell>
          <cell r="CA244">
            <v>160</v>
          </cell>
          <cell r="CB244">
            <v>70</v>
          </cell>
          <cell r="CC244">
            <v>20</v>
          </cell>
          <cell r="CD244">
            <v>10</v>
          </cell>
          <cell r="CE244">
            <v>60</v>
          </cell>
          <cell r="CF244">
            <v>2835</v>
          </cell>
          <cell r="CG244">
            <v>215</v>
          </cell>
          <cell r="CH244">
            <v>40</v>
          </cell>
          <cell r="CI244">
            <v>5</v>
          </cell>
          <cell r="CJ244">
            <v>680</v>
          </cell>
          <cell r="CK244">
            <v>0</v>
          </cell>
          <cell r="CL244">
            <v>1885</v>
          </cell>
          <cell r="CM244">
            <v>10</v>
          </cell>
          <cell r="CN244">
            <v>0</v>
          </cell>
          <cell r="CO244">
            <v>2835</v>
          </cell>
          <cell r="CP244">
            <v>895</v>
          </cell>
          <cell r="CQ244">
            <v>905</v>
          </cell>
          <cell r="CR244">
            <v>420</v>
          </cell>
          <cell r="CS244">
            <v>495</v>
          </cell>
          <cell r="CT244">
            <v>120</v>
          </cell>
          <cell r="CU244">
            <v>6885</v>
          </cell>
          <cell r="CV244">
            <v>2.4</v>
          </cell>
          <cell r="CW244">
            <v>2830</v>
          </cell>
          <cell r="CX244">
            <v>1795</v>
          </cell>
          <cell r="CY244">
            <v>30</v>
          </cell>
          <cell r="CZ244">
            <v>1010</v>
          </cell>
        </row>
        <row r="245">
          <cell r="A245" t="str">
            <v>4620614.00</v>
          </cell>
          <cell r="B245" t="str">
            <v>0614.00</v>
          </cell>
          <cell r="C245" t="str">
            <v>Montréal-Nord</v>
          </cell>
          <cell r="D245">
            <v>2995</v>
          </cell>
          <cell r="E245">
            <v>1210</v>
          </cell>
          <cell r="F245">
            <v>1065</v>
          </cell>
          <cell r="G245">
            <v>80</v>
          </cell>
          <cell r="H245">
            <v>365</v>
          </cell>
          <cell r="I245">
            <v>285</v>
          </cell>
          <cell r="J245">
            <v>2995</v>
          </cell>
          <cell r="K245">
            <v>2680</v>
          </cell>
          <cell r="L245">
            <v>320</v>
          </cell>
          <cell r="M245">
            <v>905</v>
          </cell>
          <cell r="N245">
            <v>465</v>
          </cell>
          <cell r="O245">
            <v>215</v>
          </cell>
          <cell r="P245">
            <v>130</v>
          </cell>
          <cell r="Q245">
            <v>90</v>
          </cell>
          <cell r="R245">
            <v>905</v>
          </cell>
          <cell r="S245">
            <v>680</v>
          </cell>
          <cell r="T245">
            <v>515</v>
          </cell>
          <cell r="U245">
            <v>235</v>
          </cell>
          <cell r="V245">
            <v>280</v>
          </cell>
          <cell r="W245">
            <v>85</v>
          </cell>
          <cell r="X245">
            <v>105</v>
          </cell>
          <cell r="Y245">
            <v>90</v>
          </cell>
          <cell r="Z245">
            <v>160</v>
          </cell>
          <cell r="AA245">
            <v>85</v>
          </cell>
          <cell r="AB245">
            <v>75</v>
          </cell>
          <cell r="AC245">
            <v>55</v>
          </cell>
          <cell r="AD245">
            <v>15</v>
          </cell>
          <cell r="AE245">
            <v>0</v>
          </cell>
          <cell r="AF245">
            <v>225</v>
          </cell>
          <cell r="AG245">
            <v>205</v>
          </cell>
          <cell r="AH245">
            <v>125</v>
          </cell>
          <cell r="AI245">
            <v>65</v>
          </cell>
          <cell r="AJ245">
            <v>0</v>
          </cell>
          <cell r="AK245">
            <v>20</v>
          </cell>
          <cell r="AL245">
            <v>10</v>
          </cell>
          <cell r="AM245">
            <v>10</v>
          </cell>
          <cell r="AN245">
            <v>0</v>
          </cell>
          <cell r="AO245">
            <v>1020</v>
          </cell>
          <cell r="AP245">
            <v>240</v>
          </cell>
          <cell r="AQ245">
            <v>340</v>
          </cell>
          <cell r="AR245">
            <v>130</v>
          </cell>
          <cell r="AS245">
            <v>200</v>
          </cell>
          <cell r="AT245">
            <v>110</v>
          </cell>
          <cell r="AU245">
            <v>1.1000000000000001</v>
          </cell>
          <cell r="AV245">
            <v>3540</v>
          </cell>
          <cell r="AW245">
            <v>935</v>
          </cell>
          <cell r="AX245">
            <v>40</v>
          </cell>
          <cell r="AY245">
            <v>175</v>
          </cell>
          <cell r="AZ245">
            <v>720</v>
          </cell>
          <cell r="BA245">
            <v>2605</v>
          </cell>
          <cell r="BB245">
            <v>2.9</v>
          </cell>
          <cell r="BC245">
            <v>635</v>
          </cell>
          <cell r="BD245">
            <v>330</v>
          </cell>
          <cell r="BE245">
            <v>15</v>
          </cell>
          <cell r="BF245">
            <v>10</v>
          </cell>
          <cell r="BG245">
            <v>305</v>
          </cell>
          <cell r="BH245">
            <v>300</v>
          </cell>
          <cell r="BI245">
            <v>1675</v>
          </cell>
          <cell r="BJ245">
            <v>4.5999999999999996</v>
          </cell>
          <cell r="BK245">
            <v>7704.9999999999991</v>
          </cell>
          <cell r="BL245">
            <v>2</v>
          </cell>
          <cell r="BM245">
            <v>3350</v>
          </cell>
          <cell r="BN245">
            <v>1675</v>
          </cell>
          <cell r="BO245">
            <v>540</v>
          </cell>
          <cell r="BP245">
            <v>1135</v>
          </cell>
          <cell r="BQ245">
            <v>0</v>
          </cell>
          <cell r="BR245">
            <v>1675</v>
          </cell>
          <cell r="BS245">
            <v>1075</v>
          </cell>
          <cell r="BT245">
            <v>475</v>
          </cell>
          <cell r="BU245">
            <v>125</v>
          </cell>
          <cell r="BV245">
            <v>1670</v>
          </cell>
          <cell r="BW245">
            <v>295</v>
          </cell>
          <cell r="BX245">
            <v>695</v>
          </cell>
          <cell r="BY245">
            <v>315</v>
          </cell>
          <cell r="BZ245">
            <v>125</v>
          </cell>
          <cell r="CA245">
            <v>50</v>
          </cell>
          <cell r="CB245">
            <v>90</v>
          </cell>
          <cell r="CC245">
            <v>0</v>
          </cell>
          <cell r="CD245">
            <v>0</v>
          </cell>
          <cell r="CE245">
            <v>85</v>
          </cell>
          <cell r="CF245">
            <v>1670</v>
          </cell>
          <cell r="CG245">
            <v>210</v>
          </cell>
          <cell r="CH245">
            <v>15</v>
          </cell>
          <cell r="CI245">
            <v>15</v>
          </cell>
          <cell r="CJ245">
            <v>325</v>
          </cell>
          <cell r="CK245">
            <v>80</v>
          </cell>
          <cell r="CL245">
            <v>1030</v>
          </cell>
          <cell r="CM245">
            <v>0</v>
          </cell>
          <cell r="CN245">
            <v>0</v>
          </cell>
          <cell r="CO245">
            <v>1675</v>
          </cell>
          <cell r="CP245">
            <v>715</v>
          </cell>
          <cell r="CQ245">
            <v>455</v>
          </cell>
          <cell r="CR245">
            <v>245</v>
          </cell>
          <cell r="CS245">
            <v>220</v>
          </cell>
          <cell r="CT245">
            <v>40</v>
          </cell>
          <cell r="CU245">
            <v>3540</v>
          </cell>
          <cell r="CV245">
            <v>2.1</v>
          </cell>
          <cell r="CW245">
            <v>1670</v>
          </cell>
          <cell r="CX245">
            <v>845</v>
          </cell>
          <cell r="CY245">
            <v>25</v>
          </cell>
          <cell r="CZ245">
            <v>795</v>
          </cell>
        </row>
        <row r="246">
          <cell r="A246" t="str">
            <v>4620615.00</v>
          </cell>
          <cell r="B246" t="str">
            <v>0615.00</v>
          </cell>
          <cell r="C246" t="str">
            <v>Montréal-Nord</v>
          </cell>
          <cell r="D246">
            <v>4310</v>
          </cell>
          <cell r="E246">
            <v>1730</v>
          </cell>
          <cell r="F246">
            <v>1635</v>
          </cell>
          <cell r="G246">
            <v>130</v>
          </cell>
          <cell r="H246">
            <v>495</v>
          </cell>
          <cell r="I246">
            <v>310</v>
          </cell>
          <cell r="J246">
            <v>4315</v>
          </cell>
          <cell r="K246">
            <v>3855</v>
          </cell>
          <cell r="L246">
            <v>455</v>
          </cell>
          <cell r="M246">
            <v>1365</v>
          </cell>
          <cell r="N246">
            <v>630</v>
          </cell>
          <cell r="O246">
            <v>340</v>
          </cell>
          <cell r="P246">
            <v>225</v>
          </cell>
          <cell r="Q246">
            <v>170</v>
          </cell>
          <cell r="R246">
            <v>1365</v>
          </cell>
          <cell r="S246">
            <v>1025</v>
          </cell>
          <cell r="T246">
            <v>805</v>
          </cell>
          <cell r="U246">
            <v>345</v>
          </cell>
          <cell r="V246">
            <v>460</v>
          </cell>
          <cell r="W246">
            <v>205</v>
          </cell>
          <cell r="X246">
            <v>125</v>
          </cell>
          <cell r="Y246">
            <v>125</v>
          </cell>
          <cell r="Z246">
            <v>220</v>
          </cell>
          <cell r="AA246">
            <v>80</v>
          </cell>
          <cell r="AB246">
            <v>140</v>
          </cell>
          <cell r="AC246">
            <v>30</v>
          </cell>
          <cell r="AD246">
            <v>80</v>
          </cell>
          <cell r="AE246">
            <v>35</v>
          </cell>
          <cell r="AF246">
            <v>340</v>
          </cell>
          <cell r="AG246">
            <v>280</v>
          </cell>
          <cell r="AH246">
            <v>160</v>
          </cell>
          <cell r="AI246">
            <v>90</v>
          </cell>
          <cell r="AJ246">
            <v>30</v>
          </cell>
          <cell r="AK246">
            <v>55</v>
          </cell>
          <cell r="AL246">
            <v>40</v>
          </cell>
          <cell r="AM246">
            <v>15</v>
          </cell>
          <cell r="AN246">
            <v>0</v>
          </cell>
          <cell r="AO246">
            <v>1715</v>
          </cell>
          <cell r="AP246">
            <v>395</v>
          </cell>
          <cell r="AQ246">
            <v>620</v>
          </cell>
          <cell r="AR246">
            <v>200</v>
          </cell>
          <cell r="AS246">
            <v>305</v>
          </cell>
          <cell r="AT246">
            <v>195</v>
          </cell>
          <cell r="AU246">
            <v>1.3</v>
          </cell>
          <cell r="AV246">
            <v>5230</v>
          </cell>
          <cell r="AW246">
            <v>1125</v>
          </cell>
          <cell r="AX246">
            <v>215</v>
          </cell>
          <cell r="AY246">
            <v>155</v>
          </cell>
          <cell r="AZ246">
            <v>755</v>
          </cell>
          <cell r="BA246">
            <v>4105</v>
          </cell>
          <cell r="BB246">
            <v>3</v>
          </cell>
          <cell r="BC246">
            <v>760</v>
          </cell>
          <cell r="BD246">
            <v>295</v>
          </cell>
          <cell r="BE246">
            <v>35</v>
          </cell>
          <cell r="BF246">
            <v>25</v>
          </cell>
          <cell r="BG246">
            <v>230</v>
          </cell>
          <cell r="BH246">
            <v>470</v>
          </cell>
          <cell r="BI246">
            <v>2215</v>
          </cell>
          <cell r="BJ246">
            <v>4.7</v>
          </cell>
          <cell r="BK246">
            <v>10410.5</v>
          </cell>
          <cell r="BL246">
            <v>2.2000000000000002</v>
          </cell>
          <cell r="BM246">
            <v>4873</v>
          </cell>
          <cell r="BN246">
            <v>2215</v>
          </cell>
          <cell r="BO246">
            <v>625</v>
          </cell>
          <cell r="BP246">
            <v>1585</v>
          </cell>
          <cell r="BQ246">
            <v>0</v>
          </cell>
          <cell r="BR246">
            <v>2215</v>
          </cell>
          <cell r="BS246">
            <v>1405</v>
          </cell>
          <cell r="BT246">
            <v>545</v>
          </cell>
          <cell r="BU246">
            <v>260</v>
          </cell>
          <cell r="BV246">
            <v>2215</v>
          </cell>
          <cell r="BW246">
            <v>170</v>
          </cell>
          <cell r="BX246">
            <v>790</v>
          </cell>
          <cell r="BY246">
            <v>730</v>
          </cell>
          <cell r="BZ246">
            <v>240</v>
          </cell>
          <cell r="CA246">
            <v>50</v>
          </cell>
          <cell r="CB246">
            <v>110</v>
          </cell>
          <cell r="CC246">
            <v>80</v>
          </cell>
          <cell r="CD246">
            <v>15</v>
          </cell>
          <cell r="CE246">
            <v>30</v>
          </cell>
          <cell r="CF246">
            <v>2215</v>
          </cell>
          <cell r="CG246">
            <v>160</v>
          </cell>
          <cell r="CH246">
            <v>55</v>
          </cell>
          <cell r="CI246">
            <v>10</v>
          </cell>
          <cell r="CJ246">
            <v>490</v>
          </cell>
          <cell r="CK246">
            <v>85</v>
          </cell>
          <cell r="CL246">
            <v>1405</v>
          </cell>
          <cell r="CM246">
            <v>15</v>
          </cell>
          <cell r="CN246">
            <v>0</v>
          </cell>
          <cell r="CO246">
            <v>2215</v>
          </cell>
          <cell r="CP246">
            <v>755</v>
          </cell>
          <cell r="CQ246">
            <v>660</v>
          </cell>
          <cell r="CR246">
            <v>365</v>
          </cell>
          <cell r="CS246">
            <v>365</v>
          </cell>
          <cell r="CT246">
            <v>75</v>
          </cell>
          <cell r="CU246">
            <v>5230</v>
          </cell>
          <cell r="CV246">
            <v>2.4</v>
          </cell>
          <cell r="CW246">
            <v>2215</v>
          </cell>
          <cell r="CX246">
            <v>1305</v>
          </cell>
          <cell r="CY246">
            <v>30</v>
          </cell>
          <cell r="CZ246">
            <v>880</v>
          </cell>
        </row>
        <row r="247">
          <cell r="A247" t="str">
            <v>4620616.00</v>
          </cell>
          <cell r="B247" t="str">
            <v>0616.00</v>
          </cell>
          <cell r="C247" t="str">
            <v>Montréal-Nord</v>
          </cell>
          <cell r="D247">
            <v>5215</v>
          </cell>
          <cell r="E247">
            <v>2225</v>
          </cell>
          <cell r="F247">
            <v>1840</v>
          </cell>
          <cell r="G247">
            <v>180</v>
          </cell>
          <cell r="H247">
            <v>595</v>
          </cell>
          <cell r="I247">
            <v>375</v>
          </cell>
          <cell r="J247">
            <v>5210</v>
          </cell>
          <cell r="K247">
            <v>4690</v>
          </cell>
          <cell r="L247">
            <v>520</v>
          </cell>
          <cell r="M247">
            <v>1710</v>
          </cell>
          <cell r="N247">
            <v>790</v>
          </cell>
          <cell r="O247">
            <v>445</v>
          </cell>
          <cell r="P247">
            <v>340</v>
          </cell>
          <cell r="Q247">
            <v>135</v>
          </cell>
          <cell r="R247">
            <v>1710</v>
          </cell>
          <cell r="S247">
            <v>1115</v>
          </cell>
          <cell r="T247">
            <v>850</v>
          </cell>
          <cell r="U247">
            <v>270</v>
          </cell>
          <cell r="V247">
            <v>575</v>
          </cell>
          <cell r="W247">
            <v>240</v>
          </cell>
          <cell r="X247">
            <v>225</v>
          </cell>
          <cell r="Y247">
            <v>110</v>
          </cell>
          <cell r="Z247">
            <v>260</v>
          </cell>
          <cell r="AA247">
            <v>140</v>
          </cell>
          <cell r="AB247">
            <v>125</v>
          </cell>
          <cell r="AC247">
            <v>70</v>
          </cell>
          <cell r="AD247">
            <v>45</v>
          </cell>
          <cell r="AE247">
            <v>0</v>
          </cell>
          <cell r="AF247">
            <v>600</v>
          </cell>
          <cell r="AG247">
            <v>510</v>
          </cell>
          <cell r="AH247">
            <v>305</v>
          </cell>
          <cell r="AI247">
            <v>125</v>
          </cell>
          <cell r="AJ247">
            <v>80</v>
          </cell>
          <cell r="AK247">
            <v>85</v>
          </cell>
          <cell r="AL247">
            <v>75</v>
          </cell>
          <cell r="AM247">
            <v>10</v>
          </cell>
          <cell r="AN247">
            <v>0</v>
          </cell>
          <cell r="AO247">
            <v>2165</v>
          </cell>
          <cell r="AP247">
            <v>470</v>
          </cell>
          <cell r="AQ247">
            <v>720</v>
          </cell>
          <cell r="AR247">
            <v>230</v>
          </cell>
          <cell r="AS247">
            <v>395</v>
          </cell>
          <cell r="AT247">
            <v>340</v>
          </cell>
          <cell r="AU247">
            <v>1.3</v>
          </cell>
          <cell r="AV247">
            <v>6215</v>
          </cell>
          <cell r="AW247">
            <v>1230</v>
          </cell>
          <cell r="AX247">
            <v>190</v>
          </cell>
          <cell r="AY247">
            <v>225</v>
          </cell>
          <cell r="AZ247">
            <v>815</v>
          </cell>
          <cell r="BA247">
            <v>4985</v>
          </cell>
          <cell r="BB247">
            <v>2.9</v>
          </cell>
          <cell r="BC247">
            <v>770</v>
          </cell>
          <cell r="BD247">
            <v>340</v>
          </cell>
          <cell r="BE247">
            <v>30</v>
          </cell>
          <cell r="BF247">
            <v>15</v>
          </cell>
          <cell r="BG247">
            <v>295</v>
          </cell>
          <cell r="BH247">
            <v>425</v>
          </cell>
          <cell r="BI247">
            <v>2590</v>
          </cell>
          <cell r="BJ247">
            <v>4.5999999999999996</v>
          </cell>
          <cell r="BK247">
            <v>11913.999999999998</v>
          </cell>
          <cell r="BL247">
            <v>2.2000000000000002</v>
          </cell>
          <cell r="BM247">
            <v>5698.0000000000009</v>
          </cell>
          <cell r="BN247">
            <v>2595</v>
          </cell>
          <cell r="BO247">
            <v>655</v>
          </cell>
          <cell r="BP247">
            <v>1940</v>
          </cell>
          <cell r="BQ247">
            <v>0</v>
          </cell>
          <cell r="BR247">
            <v>2590</v>
          </cell>
          <cell r="BS247">
            <v>1495</v>
          </cell>
          <cell r="BT247">
            <v>820</v>
          </cell>
          <cell r="BU247">
            <v>275</v>
          </cell>
          <cell r="BV247">
            <v>2595</v>
          </cell>
          <cell r="BW247">
            <v>225</v>
          </cell>
          <cell r="BX247">
            <v>795</v>
          </cell>
          <cell r="BY247">
            <v>935</v>
          </cell>
          <cell r="BZ247">
            <v>265</v>
          </cell>
          <cell r="CA247">
            <v>100</v>
          </cell>
          <cell r="CB247">
            <v>90</v>
          </cell>
          <cell r="CC247">
            <v>35</v>
          </cell>
          <cell r="CD247">
            <v>25</v>
          </cell>
          <cell r="CE247">
            <v>110</v>
          </cell>
          <cell r="CF247">
            <v>2590</v>
          </cell>
          <cell r="CG247">
            <v>125</v>
          </cell>
          <cell r="CH247">
            <v>25</v>
          </cell>
          <cell r="CI247">
            <v>95</v>
          </cell>
          <cell r="CJ247">
            <v>570</v>
          </cell>
          <cell r="CK247">
            <v>70</v>
          </cell>
          <cell r="CL247">
            <v>1695</v>
          </cell>
          <cell r="CM247">
            <v>5</v>
          </cell>
          <cell r="CN247">
            <v>5</v>
          </cell>
          <cell r="CO247">
            <v>2590</v>
          </cell>
          <cell r="CP247">
            <v>820</v>
          </cell>
          <cell r="CQ247">
            <v>780</v>
          </cell>
          <cell r="CR247">
            <v>435</v>
          </cell>
          <cell r="CS247">
            <v>495</v>
          </cell>
          <cell r="CT247">
            <v>60</v>
          </cell>
          <cell r="CU247">
            <v>6205</v>
          </cell>
          <cell r="CV247">
            <v>2.4</v>
          </cell>
          <cell r="CW247">
            <v>2590</v>
          </cell>
          <cell r="CX247">
            <v>1640</v>
          </cell>
          <cell r="CY247">
            <v>30</v>
          </cell>
          <cell r="CZ247">
            <v>915</v>
          </cell>
        </row>
        <row r="248">
          <cell r="A248" t="str">
            <v>4620617.01</v>
          </cell>
          <cell r="B248" t="str">
            <v>0617.01</v>
          </cell>
          <cell r="C248" t="str">
            <v>Montréal-Nord</v>
          </cell>
          <cell r="D248">
            <v>4415</v>
          </cell>
          <cell r="E248">
            <v>1535</v>
          </cell>
          <cell r="F248">
            <v>2015</v>
          </cell>
          <cell r="G248">
            <v>135</v>
          </cell>
          <cell r="H248">
            <v>420</v>
          </cell>
          <cell r="I248">
            <v>305</v>
          </cell>
          <cell r="J248">
            <v>4420</v>
          </cell>
          <cell r="K248">
            <v>4010</v>
          </cell>
          <cell r="L248">
            <v>405</v>
          </cell>
          <cell r="M248">
            <v>1510</v>
          </cell>
          <cell r="N248">
            <v>760</v>
          </cell>
          <cell r="O248">
            <v>330</v>
          </cell>
          <cell r="P248">
            <v>330</v>
          </cell>
          <cell r="Q248">
            <v>85</v>
          </cell>
          <cell r="R248">
            <v>1505</v>
          </cell>
          <cell r="S248">
            <v>1195</v>
          </cell>
          <cell r="T248">
            <v>985</v>
          </cell>
          <cell r="U248">
            <v>465</v>
          </cell>
          <cell r="V248">
            <v>525</v>
          </cell>
          <cell r="W248">
            <v>220</v>
          </cell>
          <cell r="X248">
            <v>245</v>
          </cell>
          <cell r="Y248">
            <v>55</v>
          </cell>
          <cell r="Z248">
            <v>205</v>
          </cell>
          <cell r="AA248">
            <v>95</v>
          </cell>
          <cell r="AB248">
            <v>110</v>
          </cell>
          <cell r="AC248">
            <v>35</v>
          </cell>
          <cell r="AD248">
            <v>60</v>
          </cell>
          <cell r="AE248">
            <v>10</v>
          </cell>
          <cell r="AF248">
            <v>315</v>
          </cell>
          <cell r="AG248">
            <v>255</v>
          </cell>
          <cell r="AH248">
            <v>145</v>
          </cell>
          <cell r="AI248">
            <v>65</v>
          </cell>
          <cell r="AJ248">
            <v>40</v>
          </cell>
          <cell r="AK248">
            <v>55</v>
          </cell>
          <cell r="AL248">
            <v>55</v>
          </cell>
          <cell r="AM248">
            <v>10</v>
          </cell>
          <cell r="AN248">
            <v>0</v>
          </cell>
          <cell r="AO248">
            <v>1585</v>
          </cell>
          <cell r="AP248">
            <v>365</v>
          </cell>
          <cell r="AQ248">
            <v>510</v>
          </cell>
          <cell r="AR248">
            <v>170</v>
          </cell>
          <cell r="AS248">
            <v>300</v>
          </cell>
          <cell r="AT248">
            <v>240</v>
          </cell>
          <cell r="AU248">
            <v>1.1000000000000001</v>
          </cell>
          <cell r="AV248">
            <v>5260</v>
          </cell>
          <cell r="AW248">
            <v>975</v>
          </cell>
          <cell r="AX248">
            <v>130</v>
          </cell>
          <cell r="AY248">
            <v>235</v>
          </cell>
          <cell r="AZ248">
            <v>615</v>
          </cell>
          <cell r="BA248">
            <v>4285</v>
          </cell>
          <cell r="BB248">
            <v>2.8</v>
          </cell>
          <cell r="BC248">
            <v>1070</v>
          </cell>
          <cell r="BD248">
            <v>285</v>
          </cell>
          <cell r="BE248">
            <v>25</v>
          </cell>
          <cell r="BF248">
            <v>45</v>
          </cell>
          <cell r="BG248">
            <v>210</v>
          </cell>
          <cell r="BH248">
            <v>785</v>
          </cell>
          <cell r="BI248">
            <v>2165</v>
          </cell>
          <cell r="BJ248">
            <v>5.5</v>
          </cell>
          <cell r="BK248">
            <v>11907.5</v>
          </cell>
          <cell r="BL248">
            <v>2.4</v>
          </cell>
          <cell r="BM248">
            <v>5196</v>
          </cell>
          <cell r="BN248">
            <v>2170</v>
          </cell>
          <cell r="BO248">
            <v>1115</v>
          </cell>
          <cell r="BP248">
            <v>1055</v>
          </cell>
          <cell r="BQ248">
            <v>0</v>
          </cell>
          <cell r="BR248">
            <v>2165</v>
          </cell>
          <cell r="BS248">
            <v>1385</v>
          </cell>
          <cell r="BT248">
            <v>585</v>
          </cell>
          <cell r="BU248">
            <v>200</v>
          </cell>
          <cell r="BV248">
            <v>2165</v>
          </cell>
          <cell r="BW248">
            <v>70</v>
          </cell>
          <cell r="BX248">
            <v>710</v>
          </cell>
          <cell r="BY248">
            <v>885</v>
          </cell>
          <cell r="BZ248">
            <v>300</v>
          </cell>
          <cell r="CA248">
            <v>115</v>
          </cell>
          <cell r="CB248">
            <v>50</v>
          </cell>
          <cell r="CC248">
            <v>15</v>
          </cell>
          <cell r="CD248">
            <v>15</v>
          </cell>
          <cell r="CE248">
            <v>10</v>
          </cell>
          <cell r="CF248">
            <v>2165</v>
          </cell>
          <cell r="CG248">
            <v>485</v>
          </cell>
          <cell r="CH248">
            <v>305</v>
          </cell>
          <cell r="CI248">
            <v>145</v>
          </cell>
          <cell r="CJ248">
            <v>30</v>
          </cell>
          <cell r="CK248">
            <v>155</v>
          </cell>
          <cell r="CL248">
            <v>1045</v>
          </cell>
          <cell r="CM248">
            <v>5</v>
          </cell>
          <cell r="CN248">
            <v>0</v>
          </cell>
          <cell r="CO248">
            <v>2165</v>
          </cell>
          <cell r="CP248">
            <v>610</v>
          </cell>
          <cell r="CQ248">
            <v>740</v>
          </cell>
          <cell r="CR248">
            <v>340</v>
          </cell>
          <cell r="CS248">
            <v>425</v>
          </cell>
          <cell r="CT248">
            <v>50</v>
          </cell>
          <cell r="CU248">
            <v>5260</v>
          </cell>
          <cell r="CV248">
            <v>2.4</v>
          </cell>
          <cell r="CW248">
            <v>2170</v>
          </cell>
          <cell r="CX248">
            <v>1460</v>
          </cell>
          <cell r="CY248">
            <v>20</v>
          </cell>
          <cell r="CZ248">
            <v>680</v>
          </cell>
        </row>
        <row r="249">
          <cell r="A249" t="str">
            <v>4620617.02</v>
          </cell>
          <cell r="B249" t="str">
            <v>0617.02</v>
          </cell>
          <cell r="C249" t="str">
            <v>Montréal-Nord</v>
          </cell>
          <cell r="D249">
            <v>3205</v>
          </cell>
          <cell r="E249">
            <v>1320</v>
          </cell>
          <cell r="F249">
            <v>1265</v>
          </cell>
          <cell r="G249">
            <v>90</v>
          </cell>
          <cell r="H249">
            <v>345</v>
          </cell>
          <cell r="I249">
            <v>185</v>
          </cell>
          <cell r="J249">
            <v>3200</v>
          </cell>
          <cell r="K249">
            <v>2780</v>
          </cell>
          <cell r="L249">
            <v>420</v>
          </cell>
          <cell r="M249">
            <v>1045</v>
          </cell>
          <cell r="N249">
            <v>510</v>
          </cell>
          <cell r="O249">
            <v>235</v>
          </cell>
          <cell r="P249">
            <v>185</v>
          </cell>
          <cell r="Q249">
            <v>110</v>
          </cell>
          <cell r="R249">
            <v>1050</v>
          </cell>
          <cell r="S249">
            <v>835</v>
          </cell>
          <cell r="T249">
            <v>620</v>
          </cell>
          <cell r="U249">
            <v>260</v>
          </cell>
          <cell r="V249">
            <v>355</v>
          </cell>
          <cell r="W249">
            <v>120</v>
          </cell>
          <cell r="X249">
            <v>140</v>
          </cell>
          <cell r="Y249">
            <v>95</v>
          </cell>
          <cell r="Z249">
            <v>215</v>
          </cell>
          <cell r="AA249">
            <v>130</v>
          </cell>
          <cell r="AB249">
            <v>85</v>
          </cell>
          <cell r="AC249">
            <v>60</v>
          </cell>
          <cell r="AD249">
            <v>20</v>
          </cell>
          <cell r="AE249">
            <v>0</v>
          </cell>
          <cell r="AF249">
            <v>210</v>
          </cell>
          <cell r="AG249">
            <v>160</v>
          </cell>
          <cell r="AH249">
            <v>90</v>
          </cell>
          <cell r="AI249">
            <v>50</v>
          </cell>
          <cell r="AJ249">
            <v>15</v>
          </cell>
          <cell r="AK249">
            <v>55</v>
          </cell>
          <cell r="AL249">
            <v>35</v>
          </cell>
          <cell r="AM249">
            <v>0</v>
          </cell>
          <cell r="AN249">
            <v>10</v>
          </cell>
          <cell r="AO249">
            <v>1185</v>
          </cell>
          <cell r="AP249">
            <v>245</v>
          </cell>
          <cell r="AQ249">
            <v>415</v>
          </cell>
          <cell r="AR249">
            <v>130</v>
          </cell>
          <cell r="AS249">
            <v>215</v>
          </cell>
          <cell r="AT249">
            <v>185</v>
          </cell>
          <cell r="AU249">
            <v>1.1000000000000001</v>
          </cell>
          <cell r="AV249">
            <v>3830</v>
          </cell>
          <cell r="AW249">
            <v>760</v>
          </cell>
          <cell r="AX249">
            <v>90</v>
          </cell>
          <cell r="AY249">
            <v>180</v>
          </cell>
          <cell r="AZ249">
            <v>490</v>
          </cell>
          <cell r="BA249">
            <v>3070</v>
          </cell>
          <cell r="BB249">
            <v>2.9</v>
          </cell>
          <cell r="BC249">
            <v>570</v>
          </cell>
          <cell r="BD249">
            <v>245</v>
          </cell>
          <cell r="BE249">
            <v>25</v>
          </cell>
          <cell r="BF249">
            <v>30</v>
          </cell>
          <cell r="BG249">
            <v>185</v>
          </cell>
          <cell r="BH249">
            <v>330</v>
          </cell>
          <cell r="BI249">
            <v>1590</v>
          </cell>
          <cell r="BJ249">
            <v>5.2</v>
          </cell>
          <cell r="BK249">
            <v>8268</v>
          </cell>
          <cell r="BL249">
            <v>2.4</v>
          </cell>
          <cell r="BM249">
            <v>3816</v>
          </cell>
          <cell r="BN249">
            <v>1595</v>
          </cell>
          <cell r="BO249">
            <v>755</v>
          </cell>
          <cell r="BP249">
            <v>835</v>
          </cell>
          <cell r="BQ249">
            <v>0</v>
          </cell>
          <cell r="BR249">
            <v>1595</v>
          </cell>
          <cell r="BS249">
            <v>905</v>
          </cell>
          <cell r="BT249">
            <v>525</v>
          </cell>
          <cell r="BU249">
            <v>160</v>
          </cell>
          <cell r="BV249">
            <v>1595</v>
          </cell>
          <cell r="BW249">
            <v>160</v>
          </cell>
          <cell r="BX249">
            <v>660</v>
          </cell>
          <cell r="BY249">
            <v>395</v>
          </cell>
          <cell r="BZ249">
            <v>250</v>
          </cell>
          <cell r="CA249">
            <v>65</v>
          </cell>
          <cell r="CB249">
            <v>30</v>
          </cell>
          <cell r="CC249">
            <v>0</v>
          </cell>
          <cell r="CD249">
            <v>0</v>
          </cell>
          <cell r="CE249">
            <v>40</v>
          </cell>
          <cell r="CF249">
            <v>1590</v>
          </cell>
          <cell r="CG249">
            <v>310</v>
          </cell>
          <cell r="CH249">
            <v>105</v>
          </cell>
          <cell r="CI249">
            <v>5</v>
          </cell>
          <cell r="CJ249">
            <v>215</v>
          </cell>
          <cell r="CK249">
            <v>0</v>
          </cell>
          <cell r="CL249">
            <v>940</v>
          </cell>
          <cell r="CM249">
            <v>15</v>
          </cell>
          <cell r="CN249">
            <v>0</v>
          </cell>
          <cell r="CO249">
            <v>1590</v>
          </cell>
          <cell r="CP249">
            <v>490</v>
          </cell>
          <cell r="CQ249">
            <v>505</v>
          </cell>
          <cell r="CR249">
            <v>255</v>
          </cell>
          <cell r="CS249">
            <v>285</v>
          </cell>
          <cell r="CT249">
            <v>50</v>
          </cell>
          <cell r="CU249">
            <v>3830</v>
          </cell>
          <cell r="CV249">
            <v>2.4</v>
          </cell>
          <cell r="CW249">
            <v>1595</v>
          </cell>
          <cell r="CX249">
            <v>1005</v>
          </cell>
          <cell r="CY249">
            <v>20</v>
          </cell>
          <cell r="CZ249">
            <v>565</v>
          </cell>
        </row>
        <row r="250">
          <cell r="A250" t="str">
            <v>4620618.00</v>
          </cell>
          <cell r="B250" t="str">
            <v>0618.00</v>
          </cell>
          <cell r="C250" t="str">
            <v>Montréal-Nord</v>
          </cell>
          <cell r="D250">
            <v>2855</v>
          </cell>
          <cell r="E250">
            <v>1120</v>
          </cell>
          <cell r="F250">
            <v>910</v>
          </cell>
          <cell r="G250">
            <v>90</v>
          </cell>
          <cell r="H250">
            <v>425</v>
          </cell>
          <cell r="I250">
            <v>310</v>
          </cell>
          <cell r="J250">
            <v>2855</v>
          </cell>
          <cell r="K250">
            <v>2555</v>
          </cell>
          <cell r="L250">
            <v>300</v>
          </cell>
          <cell r="M250">
            <v>815</v>
          </cell>
          <cell r="N250">
            <v>440</v>
          </cell>
          <cell r="O250">
            <v>200</v>
          </cell>
          <cell r="P250">
            <v>110</v>
          </cell>
          <cell r="Q250">
            <v>60</v>
          </cell>
          <cell r="R250">
            <v>810</v>
          </cell>
          <cell r="S250">
            <v>590</v>
          </cell>
          <cell r="T250">
            <v>440</v>
          </cell>
          <cell r="U250">
            <v>185</v>
          </cell>
          <cell r="V250">
            <v>255</v>
          </cell>
          <cell r="W250">
            <v>130</v>
          </cell>
          <cell r="X250">
            <v>65</v>
          </cell>
          <cell r="Y250">
            <v>55</v>
          </cell>
          <cell r="Z250">
            <v>150</v>
          </cell>
          <cell r="AA250">
            <v>90</v>
          </cell>
          <cell r="AB250">
            <v>55</v>
          </cell>
          <cell r="AC250">
            <v>15</v>
          </cell>
          <cell r="AD250">
            <v>40</v>
          </cell>
          <cell r="AE250">
            <v>0</v>
          </cell>
          <cell r="AF250">
            <v>220</v>
          </cell>
          <cell r="AG250">
            <v>185</v>
          </cell>
          <cell r="AH250">
            <v>130</v>
          </cell>
          <cell r="AI250">
            <v>50</v>
          </cell>
          <cell r="AJ250">
            <v>0</v>
          </cell>
          <cell r="AK250">
            <v>40</v>
          </cell>
          <cell r="AL250">
            <v>35</v>
          </cell>
          <cell r="AM250">
            <v>0</v>
          </cell>
          <cell r="AN250">
            <v>0</v>
          </cell>
          <cell r="AO250">
            <v>855</v>
          </cell>
          <cell r="AP250">
            <v>215</v>
          </cell>
          <cell r="AQ250">
            <v>260</v>
          </cell>
          <cell r="AR250">
            <v>90</v>
          </cell>
          <cell r="AS250">
            <v>155</v>
          </cell>
          <cell r="AT250">
            <v>135</v>
          </cell>
          <cell r="AU250">
            <v>1.1000000000000001</v>
          </cell>
          <cell r="AV250">
            <v>3175</v>
          </cell>
          <cell r="AW250">
            <v>915</v>
          </cell>
          <cell r="AX250">
            <v>80</v>
          </cell>
          <cell r="AY250">
            <v>115</v>
          </cell>
          <cell r="AZ250">
            <v>720</v>
          </cell>
          <cell r="BA250">
            <v>2260</v>
          </cell>
          <cell r="BB250">
            <v>2.8</v>
          </cell>
          <cell r="BC250">
            <v>600</v>
          </cell>
          <cell r="BD250">
            <v>275</v>
          </cell>
          <cell r="BE250">
            <v>30</v>
          </cell>
          <cell r="BF250">
            <v>0</v>
          </cell>
          <cell r="BG250">
            <v>235</v>
          </cell>
          <cell r="BH250">
            <v>325</v>
          </cell>
          <cell r="BI250">
            <v>1585</v>
          </cell>
          <cell r="BJ250">
            <v>4.5</v>
          </cell>
          <cell r="BK250">
            <v>7132.5</v>
          </cell>
          <cell r="BL250">
            <v>1.9</v>
          </cell>
          <cell r="BM250">
            <v>3011.5</v>
          </cell>
          <cell r="BN250">
            <v>1580</v>
          </cell>
          <cell r="BO250">
            <v>415</v>
          </cell>
          <cell r="BP250">
            <v>1170</v>
          </cell>
          <cell r="BQ250">
            <v>0</v>
          </cell>
          <cell r="BR250">
            <v>1585</v>
          </cell>
          <cell r="BS250">
            <v>1090</v>
          </cell>
          <cell r="BT250">
            <v>355</v>
          </cell>
          <cell r="BU250">
            <v>140</v>
          </cell>
          <cell r="BV250">
            <v>1585</v>
          </cell>
          <cell r="BW250">
            <v>205</v>
          </cell>
          <cell r="BX250">
            <v>490</v>
          </cell>
          <cell r="BY250">
            <v>305</v>
          </cell>
          <cell r="BZ250">
            <v>250</v>
          </cell>
          <cell r="CA250">
            <v>50</v>
          </cell>
          <cell r="CB250">
            <v>135</v>
          </cell>
          <cell r="CC250">
            <v>65</v>
          </cell>
          <cell r="CD250">
            <v>15</v>
          </cell>
          <cell r="CE250">
            <v>55</v>
          </cell>
          <cell r="CF250">
            <v>1585</v>
          </cell>
          <cell r="CG250">
            <v>200</v>
          </cell>
          <cell r="CH250">
            <v>30</v>
          </cell>
          <cell r="CI250">
            <v>10</v>
          </cell>
          <cell r="CJ250">
            <v>190</v>
          </cell>
          <cell r="CK250">
            <v>155</v>
          </cell>
          <cell r="CL250">
            <v>980</v>
          </cell>
          <cell r="CM250">
            <v>15</v>
          </cell>
          <cell r="CN250">
            <v>0</v>
          </cell>
          <cell r="CO250">
            <v>1585</v>
          </cell>
          <cell r="CP250">
            <v>720</v>
          </cell>
          <cell r="CQ250">
            <v>475</v>
          </cell>
          <cell r="CR250">
            <v>195</v>
          </cell>
          <cell r="CS250">
            <v>165</v>
          </cell>
          <cell r="CT250">
            <v>30</v>
          </cell>
          <cell r="CU250">
            <v>3175</v>
          </cell>
          <cell r="CV250">
            <v>2</v>
          </cell>
          <cell r="CW250">
            <v>1585</v>
          </cell>
          <cell r="CX250">
            <v>780</v>
          </cell>
          <cell r="CY250">
            <v>15</v>
          </cell>
          <cell r="CZ250">
            <v>785</v>
          </cell>
        </row>
        <row r="251">
          <cell r="A251" t="str">
            <v>4620619.00</v>
          </cell>
          <cell r="B251" t="str">
            <v>0619.00</v>
          </cell>
          <cell r="C251" t="str">
            <v>Montréal-Nord</v>
          </cell>
          <cell r="D251">
            <v>5280</v>
          </cell>
          <cell r="E251">
            <v>1705</v>
          </cell>
          <cell r="F251">
            <v>1525</v>
          </cell>
          <cell r="G251">
            <v>190</v>
          </cell>
          <cell r="H251">
            <v>570</v>
          </cell>
          <cell r="I251">
            <v>1290</v>
          </cell>
          <cell r="J251">
            <v>5280</v>
          </cell>
          <cell r="K251">
            <v>4860</v>
          </cell>
          <cell r="L251">
            <v>420</v>
          </cell>
          <cell r="M251">
            <v>1165</v>
          </cell>
          <cell r="N251">
            <v>705</v>
          </cell>
          <cell r="O251">
            <v>210</v>
          </cell>
          <cell r="P251">
            <v>175</v>
          </cell>
          <cell r="Q251">
            <v>75</v>
          </cell>
          <cell r="R251">
            <v>1165</v>
          </cell>
          <cell r="S251">
            <v>930</v>
          </cell>
          <cell r="T251">
            <v>720</v>
          </cell>
          <cell r="U251">
            <v>405</v>
          </cell>
          <cell r="V251">
            <v>310</v>
          </cell>
          <cell r="W251">
            <v>155</v>
          </cell>
          <cell r="X251">
            <v>95</v>
          </cell>
          <cell r="Y251">
            <v>55</v>
          </cell>
          <cell r="Z251">
            <v>210</v>
          </cell>
          <cell r="AA251">
            <v>115</v>
          </cell>
          <cell r="AB251">
            <v>95</v>
          </cell>
          <cell r="AC251">
            <v>10</v>
          </cell>
          <cell r="AD251">
            <v>55</v>
          </cell>
          <cell r="AE251">
            <v>25</v>
          </cell>
          <cell r="AF251">
            <v>235</v>
          </cell>
          <cell r="AG251">
            <v>205</v>
          </cell>
          <cell r="AH251">
            <v>150</v>
          </cell>
          <cell r="AI251">
            <v>35</v>
          </cell>
          <cell r="AJ251">
            <v>15</v>
          </cell>
          <cell r="AK251">
            <v>25</v>
          </cell>
          <cell r="AL251">
            <v>30</v>
          </cell>
          <cell r="AM251">
            <v>0</v>
          </cell>
          <cell r="AN251">
            <v>0</v>
          </cell>
          <cell r="AO251">
            <v>1050</v>
          </cell>
          <cell r="AP251">
            <v>210</v>
          </cell>
          <cell r="AQ251">
            <v>345</v>
          </cell>
          <cell r="AR251">
            <v>95</v>
          </cell>
          <cell r="AS251">
            <v>255</v>
          </cell>
          <cell r="AT251">
            <v>150</v>
          </cell>
          <cell r="AU251">
            <v>0.9</v>
          </cell>
          <cell r="AV251">
            <v>5445</v>
          </cell>
          <cell r="AW251">
            <v>2295</v>
          </cell>
          <cell r="AX251">
            <v>145</v>
          </cell>
          <cell r="AY251">
            <v>140</v>
          </cell>
          <cell r="AZ251">
            <v>2005</v>
          </cell>
          <cell r="BA251">
            <v>3150</v>
          </cell>
          <cell r="BB251">
            <v>2.7</v>
          </cell>
          <cell r="BC251">
            <v>2160</v>
          </cell>
          <cell r="BD251">
            <v>1520</v>
          </cell>
          <cell r="BE251">
            <v>45</v>
          </cell>
          <cell r="BF251">
            <v>55</v>
          </cell>
          <cell r="BG251">
            <v>1420</v>
          </cell>
          <cell r="BH251">
            <v>635</v>
          </cell>
          <cell r="BI251">
            <v>3295</v>
          </cell>
          <cell r="BJ251">
            <v>3.7</v>
          </cell>
          <cell r="BK251">
            <v>12191.5</v>
          </cell>
          <cell r="BL251">
            <v>1.4</v>
          </cell>
          <cell r="BM251">
            <v>4613</v>
          </cell>
          <cell r="BN251">
            <v>3290</v>
          </cell>
          <cell r="BO251">
            <v>520</v>
          </cell>
          <cell r="BP251">
            <v>2775</v>
          </cell>
          <cell r="BQ251">
            <v>0</v>
          </cell>
          <cell r="BR251">
            <v>3295</v>
          </cell>
          <cell r="BS251">
            <v>2430</v>
          </cell>
          <cell r="BT251">
            <v>730</v>
          </cell>
          <cell r="BU251">
            <v>130</v>
          </cell>
          <cell r="BV251">
            <v>3295</v>
          </cell>
          <cell r="BW251">
            <v>170</v>
          </cell>
          <cell r="BX251">
            <v>675</v>
          </cell>
          <cell r="BY251">
            <v>830</v>
          </cell>
          <cell r="BZ251">
            <v>990</v>
          </cell>
          <cell r="CA251">
            <v>175</v>
          </cell>
          <cell r="CB251">
            <v>155</v>
          </cell>
          <cell r="CC251">
            <v>245</v>
          </cell>
          <cell r="CD251">
            <v>30</v>
          </cell>
          <cell r="CE251">
            <v>15</v>
          </cell>
          <cell r="CF251">
            <v>3295</v>
          </cell>
          <cell r="CG251">
            <v>185</v>
          </cell>
          <cell r="CH251">
            <v>60</v>
          </cell>
          <cell r="CI251">
            <v>0</v>
          </cell>
          <cell r="CJ251">
            <v>200</v>
          </cell>
          <cell r="CK251">
            <v>1675</v>
          </cell>
          <cell r="CL251">
            <v>1160</v>
          </cell>
          <cell r="CM251">
            <v>5</v>
          </cell>
          <cell r="CN251">
            <v>0</v>
          </cell>
          <cell r="CO251">
            <v>3295</v>
          </cell>
          <cell r="CP251">
            <v>2010</v>
          </cell>
          <cell r="CQ251">
            <v>800</v>
          </cell>
          <cell r="CR251">
            <v>250</v>
          </cell>
          <cell r="CS251">
            <v>215</v>
          </cell>
          <cell r="CT251">
            <v>25</v>
          </cell>
          <cell r="CU251">
            <v>5445</v>
          </cell>
          <cell r="CV251">
            <v>1.7</v>
          </cell>
          <cell r="CW251">
            <v>3290</v>
          </cell>
          <cell r="CX251">
            <v>1160</v>
          </cell>
          <cell r="CY251">
            <v>0</v>
          </cell>
          <cell r="CZ251">
            <v>2130</v>
          </cell>
        </row>
        <row r="252">
          <cell r="C252" t="str">
            <v>Montréal-Nord</v>
          </cell>
          <cell r="D252">
            <v>68940</v>
          </cell>
          <cell r="E252">
            <v>27045</v>
          </cell>
          <cell r="F252">
            <v>25305</v>
          </cell>
          <cell r="G252">
            <v>2220</v>
          </cell>
          <cell r="H252">
            <v>7910</v>
          </cell>
          <cell r="I252">
            <v>6495</v>
          </cell>
          <cell r="J252">
            <v>68945</v>
          </cell>
          <cell r="K252">
            <v>61950</v>
          </cell>
          <cell r="L252">
            <v>7010</v>
          </cell>
          <cell r="M252">
            <v>21980</v>
          </cell>
          <cell r="N252">
            <v>10870</v>
          </cell>
          <cell r="O252">
            <v>5265</v>
          </cell>
          <cell r="P252">
            <v>3840</v>
          </cell>
          <cell r="Q252">
            <v>1955</v>
          </cell>
          <cell r="R252">
            <v>21980</v>
          </cell>
          <cell r="S252">
            <v>15675</v>
          </cell>
          <cell r="T252">
            <v>12155</v>
          </cell>
          <cell r="U252">
            <v>5220</v>
          </cell>
          <cell r="V252">
            <v>6935</v>
          </cell>
          <cell r="W252">
            <v>2735</v>
          </cell>
          <cell r="X252">
            <v>2680</v>
          </cell>
          <cell r="Y252">
            <v>1500</v>
          </cell>
          <cell r="Z252">
            <v>3495</v>
          </cell>
          <cell r="AA252">
            <v>1890</v>
          </cell>
          <cell r="AB252">
            <v>1590</v>
          </cell>
          <cell r="AC252">
            <v>775</v>
          </cell>
          <cell r="AD252">
            <v>580</v>
          </cell>
          <cell r="AE252">
            <v>210</v>
          </cell>
          <cell r="AF252">
            <v>6320</v>
          </cell>
          <cell r="AG252">
            <v>5395</v>
          </cell>
          <cell r="AH252">
            <v>3090</v>
          </cell>
          <cell r="AI252">
            <v>1515</v>
          </cell>
          <cell r="AJ252">
            <v>715</v>
          </cell>
          <cell r="AK252">
            <v>915</v>
          </cell>
          <cell r="AL252">
            <v>660</v>
          </cell>
          <cell r="AM252">
            <v>180</v>
          </cell>
          <cell r="AN252">
            <v>55</v>
          </cell>
          <cell r="AO252">
            <v>25990</v>
          </cell>
          <cell r="AP252">
            <v>5880</v>
          </cell>
          <cell r="AQ252">
            <v>8900</v>
          </cell>
          <cell r="AR252">
            <v>2785</v>
          </cell>
          <cell r="AS252">
            <v>4680</v>
          </cell>
          <cell r="AT252">
            <v>3730</v>
          </cell>
          <cell r="AU252">
            <v>1.1824385805277524</v>
          </cell>
          <cell r="AV252">
            <v>82410</v>
          </cell>
          <cell r="AW252">
            <v>18745</v>
          </cell>
          <cell r="AX252">
            <v>2385</v>
          </cell>
          <cell r="AY252">
            <v>3075</v>
          </cell>
          <cell r="AZ252">
            <v>13275</v>
          </cell>
          <cell r="BA252">
            <v>63660</v>
          </cell>
          <cell r="BB252">
            <v>2.8962693357597815</v>
          </cell>
          <cell r="BC252">
            <v>14835</v>
          </cell>
          <cell r="BD252">
            <v>6940</v>
          </cell>
          <cell r="BE252">
            <v>750</v>
          </cell>
          <cell r="BF252">
            <v>395</v>
          </cell>
          <cell r="BG252">
            <v>5775</v>
          </cell>
          <cell r="BH252">
            <v>7885</v>
          </cell>
          <cell r="BI252">
            <v>36510</v>
          </cell>
          <cell r="BJ252">
            <v>4.6127910161599566</v>
          </cell>
          <cell r="BK252">
            <v>168413</v>
          </cell>
          <cell r="BL252">
            <v>2.1094083812654065</v>
          </cell>
          <cell r="BM252">
            <v>77014.5</v>
          </cell>
          <cell r="BN252">
            <v>36510</v>
          </cell>
          <cell r="BO252">
            <v>9945</v>
          </cell>
          <cell r="BP252">
            <v>26565</v>
          </cell>
          <cell r="BQ252">
            <v>0</v>
          </cell>
          <cell r="BR252">
            <v>36510</v>
          </cell>
          <cell r="BS252">
            <v>23220</v>
          </cell>
          <cell r="BT252">
            <v>10065</v>
          </cell>
          <cell r="BU252">
            <v>3215</v>
          </cell>
          <cell r="BV252">
            <v>36505</v>
          </cell>
          <cell r="BW252">
            <v>1950</v>
          </cell>
          <cell r="BX252">
            <v>9420</v>
          </cell>
          <cell r="BY252">
            <v>12655</v>
          </cell>
          <cell r="BZ252">
            <v>7575</v>
          </cell>
          <cell r="CA252">
            <v>2190</v>
          </cell>
          <cell r="CB252">
            <v>1210</v>
          </cell>
          <cell r="CC252">
            <v>740</v>
          </cell>
          <cell r="CD252">
            <v>210</v>
          </cell>
          <cell r="CE252">
            <v>495</v>
          </cell>
          <cell r="CF252">
            <v>36515</v>
          </cell>
          <cell r="CG252">
            <v>2540</v>
          </cell>
          <cell r="CH252">
            <v>1265</v>
          </cell>
          <cell r="CI252">
            <v>450</v>
          </cell>
          <cell r="CJ252">
            <v>5085</v>
          </cell>
          <cell r="CK252">
            <v>4495</v>
          </cell>
          <cell r="CL252">
            <v>22490</v>
          </cell>
          <cell r="CM252">
            <v>150</v>
          </cell>
          <cell r="CN252">
            <v>5</v>
          </cell>
          <cell r="CO252">
            <v>36510</v>
          </cell>
          <cell r="CP252">
            <v>13285</v>
          </cell>
          <cell r="CQ252">
            <v>11125</v>
          </cell>
          <cell r="CR252">
            <v>5430</v>
          </cell>
          <cell r="CS252">
            <v>5770</v>
          </cell>
          <cell r="CT252">
            <v>905</v>
          </cell>
          <cell r="CU252">
            <v>82430</v>
          </cell>
          <cell r="CV252">
            <v>2.2577376061353056</v>
          </cell>
          <cell r="CW252">
            <v>36495</v>
          </cell>
          <cell r="CX252">
            <v>21105</v>
          </cell>
          <cell r="CY252">
            <v>400</v>
          </cell>
          <cell r="CZ252">
            <v>14955</v>
          </cell>
        </row>
        <row r="255">
          <cell r="A255" t="str">
            <v>4620340.00</v>
          </cell>
          <cell r="B255" t="str">
            <v>0340.00</v>
          </cell>
          <cell r="C255" t="str">
            <v>MONTRÉAL-OUEST</v>
          </cell>
          <cell r="D255">
            <v>4130</v>
          </cell>
          <cell r="E255">
            <v>1335</v>
          </cell>
          <cell r="F255">
            <v>2300</v>
          </cell>
          <cell r="G255">
            <v>80</v>
          </cell>
          <cell r="H255">
            <v>230</v>
          </cell>
          <cell r="I255">
            <v>195</v>
          </cell>
          <cell r="J255">
            <v>4130</v>
          </cell>
          <cell r="K255">
            <v>3900</v>
          </cell>
          <cell r="L255">
            <v>235</v>
          </cell>
          <cell r="M255">
            <v>1460</v>
          </cell>
          <cell r="N255">
            <v>545</v>
          </cell>
          <cell r="O255">
            <v>345</v>
          </cell>
          <cell r="P255">
            <v>385</v>
          </cell>
          <cell r="Q255">
            <v>195</v>
          </cell>
          <cell r="R255">
            <v>1465</v>
          </cell>
          <cell r="S255">
            <v>1250</v>
          </cell>
          <cell r="T255">
            <v>1130</v>
          </cell>
          <cell r="U255">
            <v>315</v>
          </cell>
          <cell r="V255">
            <v>820</v>
          </cell>
          <cell r="W255">
            <v>290</v>
          </cell>
          <cell r="X255">
            <v>360</v>
          </cell>
          <cell r="Y255">
            <v>170</v>
          </cell>
          <cell r="Z255">
            <v>115</v>
          </cell>
          <cell r="AA255">
            <v>80</v>
          </cell>
          <cell r="AB255">
            <v>35</v>
          </cell>
          <cell r="AC255">
            <v>0</v>
          </cell>
          <cell r="AD255">
            <v>15</v>
          </cell>
          <cell r="AE255">
            <v>20</v>
          </cell>
          <cell r="AF255">
            <v>215</v>
          </cell>
          <cell r="AG255">
            <v>160</v>
          </cell>
          <cell r="AH255">
            <v>100</v>
          </cell>
          <cell r="AI255">
            <v>50</v>
          </cell>
          <cell r="AJ255">
            <v>10</v>
          </cell>
          <cell r="AK255">
            <v>50</v>
          </cell>
          <cell r="AL255">
            <v>45</v>
          </cell>
          <cell r="AM255">
            <v>0</v>
          </cell>
          <cell r="AN255">
            <v>0</v>
          </cell>
          <cell r="AO255">
            <v>1945</v>
          </cell>
          <cell r="AP255">
            <v>345</v>
          </cell>
          <cell r="AQ255">
            <v>690</v>
          </cell>
          <cell r="AR255">
            <v>260</v>
          </cell>
          <cell r="AS255">
            <v>445</v>
          </cell>
          <cell r="AT255">
            <v>205</v>
          </cell>
          <cell r="AU255">
            <v>1.3</v>
          </cell>
          <cell r="AV255">
            <v>5165</v>
          </cell>
          <cell r="AW255">
            <v>505</v>
          </cell>
          <cell r="AX255">
            <v>85</v>
          </cell>
          <cell r="AY255">
            <v>70</v>
          </cell>
          <cell r="AZ255">
            <v>350</v>
          </cell>
          <cell r="BA255">
            <v>4655</v>
          </cell>
          <cell r="BB255">
            <v>3.2</v>
          </cell>
          <cell r="BC255">
            <v>660</v>
          </cell>
          <cell r="BD255">
            <v>200</v>
          </cell>
          <cell r="BE255">
            <v>20</v>
          </cell>
          <cell r="BF255">
            <v>20</v>
          </cell>
          <cell r="BG255">
            <v>160</v>
          </cell>
          <cell r="BH255">
            <v>460</v>
          </cell>
          <cell r="BI255">
            <v>1860</v>
          </cell>
          <cell r="BJ255">
            <v>7.7</v>
          </cell>
          <cell r="BK255">
            <v>14322</v>
          </cell>
          <cell r="BL255">
            <v>3.3</v>
          </cell>
          <cell r="BM255">
            <v>6138</v>
          </cell>
          <cell r="BN255">
            <v>1855</v>
          </cell>
          <cell r="BO255">
            <v>1440</v>
          </cell>
          <cell r="BP255">
            <v>415</v>
          </cell>
          <cell r="BQ255">
            <v>0</v>
          </cell>
          <cell r="BR255">
            <v>1860</v>
          </cell>
          <cell r="BS255">
            <v>900</v>
          </cell>
          <cell r="BT255">
            <v>785</v>
          </cell>
          <cell r="BU255">
            <v>175</v>
          </cell>
          <cell r="BV255">
            <v>1860</v>
          </cell>
          <cell r="BW255">
            <v>815</v>
          </cell>
          <cell r="BX255">
            <v>630</v>
          </cell>
          <cell r="BY255">
            <v>265</v>
          </cell>
          <cell r="BZ255">
            <v>80</v>
          </cell>
          <cell r="CA255">
            <v>10</v>
          </cell>
          <cell r="CB255">
            <v>25</v>
          </cell>
          <cell r="CC255">
            <v>10</v>
          </cell>
          <cell r="CD255">
            <v>0</v>
          </cell>
          <cell r="CE255">
            <v>20</v>
          </cell>
          <cell r="CF255">
            <v>1860</v>
          </cell>
          <cell r="CG255">
            <v>800</v>
          </cell>
          <cell r="CH255">
            <v>365</v>
          </cell>
          <cell r="CI255">
            <v>35</v>
          </cell>
          <cell r="CJ255">
            <v>160</v>
          </cell>
          <cell r="CK255">
            <v>0</v>
          </cell>
          <cell r="CL255">
            <v>500</v>
          </cell>
          <cell r="CM255">
            <v>5</v>
          </cell>
          <cell r="CN255">
            <v>0</v>
          </cell>
          <cell r="CO255">
            <v>1855</v>
          </cell>
          <cell r="CP255">
            <v>350</v>
          </cell>
          <cell r="CQ255">
            <v>560</v>
          </cell>
          <cell r="CR255">
            <v>345</v>
          </cell>
          <cell r="CS255">
            <v>555</v>
          </cell>
          <cell r="CT255">
            <v>45</v>
          </cell>
          <cell r="CU255">
            <v>5165</v>
          </cell>
          <cell r="CV255">
            <v>2.8</v>
          </cell>
          <cell r="CW255">
            <v>1860</v>
          </cell>
          <cell r="CX255">
            <v>1440</v>
          </cell>
          <cell r="CY255">
            <v>10</v>
          </cell>
          <cell r="CZ255">
            <v>410</v>
          </cell>
        </row>
        <row r="256">
          <cell r="C256" t="str">
            <v>MONTRÉAL-OUEST</v>
          </cell>
          <cell r="D256">
            <v>4130</v>
          </cell>
          <cell r="E256">
            <v>1335</v>
          </cell>
          <cell r="F256">
            <v>2300</v>
          </cell>
          <cell r="G256">
            <v>80</v>
          </cell>
          <cell r="H256">
            <v>230</v>
          </cell>
          <cell r="I256">
            <v>195</v>
          </cell>
          <cell r="J256">
            <v>4130</v>
          </cell>
          <cell r="K256">
            <v>3900</v>
          </cell>
          <cell r="L256">
            <v>235</v>
          </cell>
          <cell r="M256">
            <v>1460</v>
          </cell>
          <cell r="N256">
            <v>545</v>
          </cell>
          <cell r="O256">
            <v>345</v>
          </cell>
          <cell r="P256">
            <v>385</v>
          </cell>
          <cell r="Q256">
            <v>195</v>
          </cell>
          <cell r="R256">
            <v>1465</v>
          </cell>
          <cell r="S256">
            <v>1250</v>
          </cell>
          <cell r="T256">
            <v>1130</v>
          </cell>
          <cell r="U256">
            <v>315</v>
          </cell>
          <cell r="V256">
            <v>820</v>
          </cell>
          <cell r="W256">
            <v>290</v>
          </cell>
          <cell r="X256">
            <v>360</v>
          </cell>
          <cell r="Y256">
            <v>170</v>
          </cell>
          <cell r="Z256">
            <v>115</v>
          </cell>
          <cell r="AA256">
            <v>80</v>
          </cell>
          <cell r="AB256">
            <v>35</v>
          </cell>
          <cell r="AC256">
            <v>0</v>
          </cell>
          <cell r="AD256">
            <v>15</v>
          </cell>
          <cell r="AE256">
            <v>20</v>
          </cell>
          <cell r="AF256">
            <v>215</v>
          </cell>
          <cell r="AG256">
            <v>160</v>
          </cell>
          <cell r="AH256">
            <v>100</v>
          </cell>
          <cell r="AI256">
            <v>50</v>
          </cell>
          <cell r="AJ256">
            <v>10</v>
          </cell>
          <cell r="AK256">
            <v>50</v>
          </cell>
          <cell r="AL256">
            <v>45</v>
          </cell>
          <cell r="AM256">
            <v>0</v>
          </cell>
          <cell r="AN256">
            <v>0</v>
          </cell>
          <cell r="AO256">
            <v>1945</v>
          </cell>
          <cell r="AP256">
            <v>345</v>
          </cell>
          <cell r="AQ256">
            <v>690</v>
          </cell>
          <cell r="AR256">
            <v>260</v>
          </cell>
          <cell r="AS256">
            <v>445</v>
          </cell>
          <cell r="AT256">
            <v>205</v>
          </cell>
          <cell r="AU256">
            <v>1.3276450511945392</v>
          </cell>
          <cell r="AV256">
            <v>5165</v>
          </cell>
          <cell r="AW256">
            <v>505</v>
          </cell>
          <cell r="AX256">
            <v>85</v>
          </cell>
          <cell r="AY256">
            <v>70</v>
          </cell>
          <cell r="AZ256">
            <v>350</v>
          </cell>
          <cell r="BA256">
            <v>4655</v>
          </cell>
          <cell r="BB256">
            <v>3.1774744027303754</v>
          </cell>
          <cell r="BC256">
            <v>660</v>
          </cell>
          <cell r="BD256">
            <v>200</v>
          </cell>
          <cell r="BE256">
            <v>20</v>
          </cell>
          <cell r="BF256">
            <v>20</v>
          </cell>
          <cell r="BG256">
            <v>160</v>
          </cell>
          <cell r="BH256">
            <v>460</v>
          </cell>
          <cell r="BI256">
            <v>1860</v>
          </cell>
          <cell r="BJ256">
            <v>7.7</v>
          </cell>
          <cell r="BK256">
            <v>14322</v>
          </cell>
          <cell r="BL256">
            <v>3.3</v>
          </cell>
          <cell r="BM256">
            <v>6138</v>
          </cell>
          <cell r="BN256">
            <v>1855</v>
          </cell>
          <cell r="BO256">
            <v>1440</v>
          </cell>
          <cell r="BP256">
            <v>415</v>
          </cell>
          <cell r="BQ256">
            <v>0</v>
          </cell>
          <cell r="BR256">
            <v>1860</v>
          </cell>
          <cell r="BS256">
            <v>900</v>
          </cell>
          <cell r="BT256">
            <v>785</v>
          </cell>
          <cell r="BU256">
            <v>175</v>
          </cell>
          <cell r="BV256">
            <v>1860</v>
          </cell>
          <cell r="BW256">
            <v>815</v>
          </cell>
          <cell r="BX256">
            <v>630</v>
          </cell>
          <cell r="BY256">
            <v>265</v>
          </cell>
          <cell r="BZ256">
            <v>80</v>
          </cell>
          <cell r="CA256">
            <v>10</v>
          </cell>
          <cell r="CB256">
            <v>25</v>
          </cell>
          <cell r="CC256">
            <v>10</v>
          </cell>
          <cell r="CD256">
            <v>0</v>
          </cell>
          <cell r="CE256">
            <v>20</v>
          </cell>
          <cell r="CF256">
            <v>1860</v>
          </cell>
          <cell r="CG256">
            <v>800</v>
          </cell>
          <cell r="CH256">
            <v>365</v>
          </cell>
          <cell r="CI256">
            <v>35</v>
          </cell>
          <cell r="CJ256">
            <v>160</v>
          </cell>
          <cell r="CK256">
            <v>0</v>
          </cell>
          <cell r="CL256">
            <v>500</v>
          </cell>
          <cell r="CM256">
            <v>5</v>
          </cell>
          <cell r="CN256">
            <v>0</v>
          </cell>
          <cell r="CO256">
            <v>1855</v>
          </cell>
          <cell r="CP256">
            <v>350</v>
          </cell>
          <cell r="CQ256">
            <v>560</v>
          </cell>
          <cell r="CR256">
            <v>345</v>
          </cell>
          <cell r="CS256">
            <v>555</v>
          </cell>
          <cell r="CT256">
            <v>45</v>
          </cell>
          <cell r="CU256">
            <v>5165</v>
          </cell>
          <cell r="CV256">
            <v>2.7843665768194068</v>
          </cell>
          <cell r="CW256">
            <v>1860</v>
          </cell>
          <cell r="CX256">
            <v>1440</v>
          </cell>
          <cell r="CY256">
            <v>10</v>
          </cell>
          <cell r="CZ256">
            <v>410</v>
          </cell>
        </row>
        <row r="259">
          <cell r="A259" t="str">
            <v>4620360.00</v>
          </cell>
          <cell r="B259" t="str">
            <v>0360.00</v>
          </cell>
          <cell r="C259" t="str">
            <v>Outremont</v>
          </cell>
          <cell r="D259">
            <v>1620</v>
          </cell>
          <cell r="E259">
            <v>585</v>
          </cell>
          <cell r="F259">
            <v>865</v>
          </cell>
          <cell r="G259">
            <v>30</v>
          </cell>
          <cell r="H259">
            <v>85</v>
          </cell>
          <cell r="I259">
            <v>55</v>
          </cell>
          <cell r="J259">
            <v>1620</v>
          </cell>
          <cell r="K259">
            <v>1450</v>
          </cell>
          <cell r="L259">
            <v>170</v>
          </cell>
          <cell r="M259">
            <v>540</v>
          </cell>
          <cell r="N259">
            <v>175</v>
          </cell>
          <cell r="O259">
            <v>135</v>
          </cell>
          <cell r="P259">
            <v>130</v>
          </cell>
          <cell r="Q259">
            <v>100</v>
          </cell>
          <cell r="R259">
            <v>535</v>
          </cell>
          <cell r="S259">
            <v>515</v>
          </cell>
          <cell r="T259">
            <v>425</v>
          </cell>
          <cell r="U259">
            <v>125</v>
          </cell>
          <cell r="V259">
            <v>305</v>
          </cell>
          <cell r="W259">
            <v>105</v>
          </cell>
          <cell r="X259">
            <v>125</v>
          </cell>
          <cell r="Y259">
            <v>75</v>
          </cell>
          <cell r="Z259">
            <v>90</v>
          </cell>
          <cell r="AA259">
            <v>30</v>
          </cell>
          <cell r="AB259">
            <v>55</v>
          </cell>
          <cell r="AC259">
            <v>25</v>
          </cell>
          <cell r="AD259">
            <v>0</v>
          </cell>
          <cell r="AE259">
            <v>25</v>
          </cell>
          <cell r="AF259">
            <v>20</v>
          </cell>
          <cell r="AG259">
            <v>15</v>
          </cell>
          <cell r="AH259">
            <v>15</v>
          </cell>
          <cell r="AI259">
            <v>0</v>
          </cell>
          <cell r="AJ259">
            <v>0</v>
          </cell>
          <cell r="AK259">
            <v>0</v>
          </cell>
          <cell r="AL259">
            <v>0</v>
          </cell>
          <cell r="AM259">
            <v>10</v>
          </cell>
          <cell r="AN259">
            <v>0</v>
          </cell>
          <cell r="AO259">
            <v>740</v>
          </cell>
          <cell r="AP259">
            <v>105</v>
          </cell>
          <cell r="AQ259">
            <v>270</v>
          </cell>
          <cell r="AR259">
            <v>95</v>
          </cell>
          <cell r="AS259">
            <v>170</v>
          </cell>
          <cell r="AT259">
            <v>95</v>
          </cell>
          <cell r="AU259">
            <v>1.4</v>
          </cell>
          <cell r="AV259">
            <v>1940</v>
          </cell>
          <cell r="AW259">
            <v>145</v>
          </cell>
          <cell r="AX259">
            <v>0</v>
          </cell>
          <cell r="AY259">
            <v>25</v>
          </cell>
          <cell r="AZ259">
            <v>110</v>
          </cell>
          <cell r="BA259">
            <v>1795</v>
          </cell>
          <cell r="BB259">
            <v>3.4</v>
          </cell>
          <cell r="BC259">
            <v>245</v>
          </cell>
          <cell r="BD259">
            <v>60</v>
          </cell>
          <cell r="BE259">
            <v>10</v>
          </cell>
          <cell r="BF259">
            <v>0</v>
          </cell>
          <cell r="BG259">
            <v>55</v>
          </cell>
          <cell r="BH259">
            <v>185</v>
          </cell>
          <cell r="BI259">
            <v>655</v>
          </cell>
          <cell r="BJ259">
            <v>9.1</v>
          </cell>
          <cell r="BK259">
            <v>5960.5</v>
          </cell>
          <cell r="BL259">
            <v>3.6</v>
          </cell>
          <cell r="BM259">
            <v>2358</v>
          </cell>
          <cell r="BN259">
            <v>655</v>
          </cell>
          <cell r="BO259">
            <v>580</v>
          </cell>
          <cell r="BP259">
            <v>75</v>
          </cell>
          <cell r="BQ259">
            <v>0</v>
          </cell>
          <cell r="BR259">
            <v>655</v>
          </cell>
          <cell r="BS259">
            <v>395</v>
          </cell>
          <cell r="BT259">
            <v>210</v>
          </cell>
          <cell r="BU259">
            <v>45</v>
          </cell>
          <cell r="BV259">
            <v>655</v>
          </cell>
          <cell r="BW259">
            <v>335</v>
          </cell>
          <cell r="BX259">
            <v>105</v>
          </cell>
          <cell r="BY259">
            <v>60</v>
          </cell>
          <cell r="BZ259">
            <v>75</v>
          </cell>
          <cell r="CA259">
            <v>15</v>
          </cell>
          <cell r="CB259">
            <v>55</v>
          </cell>
          <cell r="CC259">
            <v>0</v>
          </cell>
          <cell r="CD259">
            <v>0</v>
          </cell>
          <cell r="CE259">
            <v>15</v>
          </cell>
          <cell r="CF259">
            <v>660</v>
          </cell>
          <cell r="CG259">
            <v>295</v>
          </cell>
          <cell r="CH259">
            <v>115</v>
          </cell>
          <cell r="CI259">
            <v>110</v>
          </cell>
          <cell r="CJ259">
            <v>20</v>
          </cell>
          <cell r="CK259">
            <v>30</v>
          </cell>
          <cell r="CL259">
            <v>75</v>
          </cell>
          <cell r="CM259">
            <v>0</v>
          </cell>
          <cell r="CN259">
            <v>0</v>
          </cell>
          <cell r="CO259">
            <v>660</v>
          </cell>
          <cell r="CP259">
            <v>100</v>
          </cell>
          <cell r="CQ259">
            <v>205</v>
          </cell>
          <cell r="CR259">
            <v>120</v>
          </cell>
          <cell r="CS259">
            <v>205</v>
          </cell>
          <cell r="CT259">
            <v>30</v>
          </cell>
          <cell r="CU259">
            <v>1940</v>
          </cell>
          <cell r="CV259">
            <v>3</v>
          </cell>
          <cell r="CW259">
            <v>655</v>
          </cell>
          <cell r="CX259">
            <v>535</v>
          </cell>
          <cell r="CY259">
            <v>0</v>
          </cell>
          <cell r="CZ259">
            <v>120</v>
          </cell>
        </row>
        <row r="260">
          <cell r="A260" t="str">
            <v>4620361.00</v>
          </cell>
          <cell r="B260" t="str">
            <v>0361.00</v>
          </cell>
          <cell r="C260" t="str">
            <v>Outremont</v>
          </cell>
          <cell r="D260">
            <v>1350</v>
          </cell>
          <cell r="E260">
            <v>610</v>
          </cell>
          <cell r="F260">
            <v>440</v>
          </cell>
          <cell r="G260">
            <v>35</v>
          </cell>
          <cell r="H260">
            <v>130</v>
          </cell>
          <cell r="I260">
            <v>135</v>
          </cell>
          <cell r="J260">
            <v>1350</v>
          </cell>
          <cell r="K260">
            <v>1190</v>
          </cell>
          <cell r="L260">
            <v>165</v>
          </cell>
          <cell r="M260">
            <v>375</v>
          </cell>
          <cell r="N260">
            <v>210</v>
          </cell>
          <cell r="O260">
            <v>75</v>
          </cell>
          <cell r="P260">
            <v>40</v>
          </cell>
          <cell r="Q260">
            <v>40</v>
          </cell>
          <cell r="R260">
            <v>370</v>
          </cell>
          <cell r="S260">
            <v>305</v>
          </cell>
          <cell r="T260">
            <v>210</v>
          </cell>
          <cell r="U260">
            <v>110</v>
          </cell>
          <cell r="V260">
            <v>100</v>
          </cell>
          <cell r="W260">
            <v>35</v>
          </cell>
          <cell r="X260">
            <v>30</v>
          </cell>
          <cell r="Y260">
            <v>35</v>
          </cell>
          <cell r="Z260">
            <v>95</v>
          </cell>
          <cell r="AA260">
            <v>65</v>
          </cell>
          <cell r="AB260">
            <v>35</v>
          </cell>
          <cell r="AC260">
            <v>10</v>
          </cell>
          <cell r="AD260">
            <v>15</v>
          </cell>
          <cell r="AE260">
            <v>0</v>
          </cell>
          <cell r="AF260">
            <v>65</v>
          </cell>
          <cell r="AG260">
            <v>40</v>
          </cell>
          <cell r="AH260">
            <v>30</v>
          </cell>
          <cell r="AI260">
            <v>15</v>
          </cell>
          <cell r="AJ260">
            <v>0</v>
          </cell>
          <cell r="AK260">
            <v>25</v>
          </cell>
          <cell r="AL260">
            <v>0</v>
          </cell>
          <cell r="AM260">
            <v>15</v>
          </cell>
          <cell r="AN260">
            <v>0</v>
          </cell>
          <cell r="AO260">
            <v>355</v>
          </cell>
          <cell r="AP260">
            <v>80</v>
          </cell>
          <cell r="AQ260">
            <v>125</v>
          </cell>
          <cell r="AR260">
            <v>35</v>
          </cell>
          <cell r="AS260">
            <v>65</v>
          </cell>
          <cell r="AT260">
            <v>50</v>
          </cell>
          <cell r="AU260">
            <v>1</v>
          </cell>
          <cell r="AV260">
            <v>1445</v>
          </cell>
          <cell r="AW260">
            <v>410</v>
          </cell>
          <cell r="AX260">
            <v>25</v>
          </cell>
          <cell r="AY260">
            <v>15</v>
          </cell>
          <cell r="AZ260">
            <v>365</v>
          </cell>
          <cell r="BA260">
            <v>1035</v>
          </cell>
          <cell r="BB260">
            <v>2.8</v>
          </cell>
          <cell r="BC260">
            <v>245</v>
          </cell>
          <cell r="BD260">
            <v>140</v>
          </cell>
          <cell r="BE260">
            <v>0</v>
          </cell>
          <cell r="BF260">
            <v>0</v>
          </cell>
          <cell r="BG260">
            <v>140</v>
          </cell>
          <cell r="BH260">
            <v>105</v>
          </cell>
          <cell r="BI260">
            <v>760</v>
          </cell>
          <cell r="BJ260">
            <v>4.5999999999999996</v>
          </cell>
          <cell r="BK260">
            <v>3495.9999999999995</v>
          </cell>
          <cell r="BL260">
            <v>1.8</v>
          </cell>
          <cell r="BM260">
            <v>1368</v>
          </cell>
          <cell r="BN260">
            <v>765</v>
          </cell>
          <cell r="BO260">
            <v>190</v>
          </cell>
          <cell r="BP260">
            <v>570</v>
          </cell>
          <cell r="BQ260">
            <v>0</v>
          </cell>
          <cell r="BR260">
            <v>765</v>
          </cell>
          <cell r="BS260">
            <v>535</v>
          </cell>
          <cell r="BT260">
            <v>180</v>
          </cell>
          <cell r="BU260">
            <v>50</v>
          </cell>
          <cell r="BV260">
            <v>760</v>
          </cell>
          <cell r="BW260">
            <v>250</v>
          </cell>
          <cell r="BX260">
            <v>95</v>
          </cell>
          <cell r="BY260">
            <v>140</v>
          </cell>
          <cell r="BZ260">
            <v>215</v>
          </cell>
          <cell r="CA260">
            <v>25</v>
          </cell>
          <cell r="CB260">
            <v>35</v>
          </cell>
          <cell r="CC260">
            <v>0</v>
          </cell>
          <cell r="CD260">
            <v>0</v>
          </cell>
          <cell r="CE260">
            <v>0</v>
          </cell>
          <cell r="CF260">
            <v>760</v>
          </cell>
          <cell r="CG260">
            <v>25</v>
          </cell>
          <cell r="CH260">
            <v>55</v>
          </cell>
          <cell r="CI260">
            <v>0</v>
          </cell>
          <cell r="CJ260">
            <v>15</v>
          </cell>
          <cell r="CK260">
            <v>475</v>
          </cell>
          <cell r="CL260">
            <v>190</v>
          </cell>
          <cell r="CM260">
            <v>0</v>
          </cell>
          <cell r="CN260">
            <v>0</v>
          </cell>
          <cell r="CO260">
            <v>760</v>
          </cell>
          <cell r="CP260">
            <v>365</v>
          </cell>
          <cell r="CQ260">
            <v>240</v>
          </cell>
          <cell r="CR260">
            <v>75</v>
          </cell>
          <cell r="CS260">
            <v>75</v>
          </cell>
          <cell r="CT260">
            <v>10</v>
          </cell>
          <cell r="CU260">
            <v>1445</v>
          </cell>
          <cell r="CV260">
            <v>1.9</v>
          </cell>
          <cell r="CW260">
            <v>765</v>
          </cell>
          <cell r="CX260">
            <v>375</v>
          </cell>
          <cell r="CY260">
            <v>0</v>
          </cell>
          <cell r="CZ260">
            <v>390</v>
          </cell>
        </row>
        <row r="261">
          <cell r="A261" t="str">
            <v>4620362.00</v>
          </cell>
          <cell r="B261" t="str">
            <v>0362.00</v>
          </cell>
          <cell r="C261" t="str">
            <v>Outremont</v>
          </cell>
          <cell r="D261">
            <v>1970</v>
          </cell>
          <cell r="E261">
            <v>815</v>
          </cell>
          <cell r="F261">
            <v>875</v>
          </cell>
          <cell r="G261">
            <v>25</v>
          </cell>
          <cell r="H261">
            <v>170</v>
          </cell>
          <cell r="I261">
            <v>85</v>
          </cell>
          <cell r="J261">
            <v>1970</v>
          </cell>
          <cell r="K261">
            <v>1740</v>
          </cell>
          <cell r="L261">
            <v>230</v>
          </cell>
          <cell r="M261">
            <v>610</v>
          </cell>
          <cell r="N261">
            <v>200</v>
          </cell>
          <cell r="O261">
            <v>125</v>
          </cell>
          <cell r="P261">
            <v>165</v>
          </cell>
          <cell r="Q261">
            <v>120</v>
          </cell>
          <cell r="R261">
            <v>610</v>
          </cell>
          <cell r="S261">
            <v>535</v>
          </cell>
          <cell r="T261">
            <v>435</v>
          </cell>
          <cell r="U261">
            <v>115</v>
          </cell>
          <cell r="V261">
            <v>320</v>
          </cell>
          <cell r="W261">
            <v>105</v>
          </cell>
          <cell r="X261">
            <v>105</v>
          </cell>
          <cell r="Y261">
            <v>110</v>
          </cell>
          <cell r="Z261">
            <v>100</v>
          </cell>
          <cell r="AA261">
            <v>30</v>
          </cell>
          <cell r="AB261">
            <v>70</v>
          </cell>
          <cell r="AC261">
            <v>15</v>
          </cell>
          <cell r="AD261">
            <v>45</v>
          </cell>
          <cell r="AE261">
            <v>0</v>
          </cell>
          <cell r="AF261">
            <v>75</v>
          </cell>
          <cell r="AG261">
            <v>70</v>
          </cell>
          <cell r="AH261">
            <v>50</v>
          </cell>
          <cell r="AI261">
            <v>10</v>
          </cell>
          <cell r="AJ261">
            <v>15</v>
          </cell>
          <cell r="AK261">
            <v>10</v>
          </cell>
          <cell r="AL261">
            <v>10</v>
          </cell>
          <cell r="AM261">
            <v>0</v>
          </cell>
          <cell r="AN261">
            <v>0</v>
          </cell>
          <cell r="AO261">
            <v>995</v>
          </cell>
          <cell r="AP261">
            <v>150</v>
          </cell>
          <cell r="AQ261">
            <v>345</v>
          </cell>
          <cell r="AR261">
            <v>145</v>
          </cell>
          <cell r="AS261">
            <v>235</v>
          </cell>
          <cell r="AT261">
            <v>115</v>
          </cell>
          <cell r="AU261">
            <v>1.6</v>
          </cell>
          <cell r="AV261">
            <v>2475</v>
          </cell>
          <cell r="AW261">
            <v>340</v>
          </cell>
          <cell r="AX261">
            <v>75</v>
          </cell>
          <cell r="AY261">
            <v>65</v>
          </cell>
          <cell r="AZ261">
            <v>195</v>
          </cell>
          <cell r="BA261">
            <v>2140</v>
          </cell>
          <cell r="BB261">
            <v>3.5</v>
          </cell>
          <cell r="BC261">
            <v>285</v>
          </cell>
          <cell r="BD261">
            <v>80</v>
          </cell>
          <cell r="BE261">
            <v>30</v>
          </cell>
          <cell r="BF261">
            <v>0</v>
          </cell>
          <cell r="BG261">
            <v>50</v>
          </cell>
          <cell r="BH261">
            <v>195</v>
          </cell>
          <cell r="BI261">
            <v>845</v>
          </cell>
          <cell r="BJ261">
            <v>7.6</v>
          </cell>
          <cell r="BK261">
            <v>6422</v>
          </cell>
          <cell r="BL261">
            <v>3.1</v>
          </cell>
          <cell r="BM261">
            <v>2619.5</v>
          </cell>
          <cell r="BN261">
            <v>850</v>
          </cell>
          <cell r="BO261">
            <v>580</v>
          </cell>
          <cell r="BP261">
            <v>270</v>
          </cell>
          <cell r="BQ261">
            <v>0</v>
          </cell>
          <cell r="BR261">
            <v>850</v>
          </cell>
          <cell r="BS261">
            <v>450</v>
          </cell>
          <cell r="BT261">
            <v>310</v>
          </cell>
          <cell r="BU261">
            <v>85</v>
          </cell>
          <cell r="BV261">
            <v>850</v>
          </cell>
          <cell r="BW261">
            <v>685</v>
          </cell>
          <cell r="BX261">
            <v>105</v>
          </cell>
          <cell r="BY261">
            <v>45</v>
          </cell>
          <cell r="BZ261">
            <v>0</v>
          </cell>
          <cell r="CA261">
            <v>10</v>
          </cell>
          <cell r="CB261">
            <v>10</v>
          </cell>
          <cell r="CC261">
            <v>0</v>
          </cell>
          <cell r="CD261">
            <v>0</v>
          </cell>
          <cell r="CE261">
            <v>0</v>
          </cell>
          <cell r="CF261">
            <v>850</v>
          </cell>
          <cell r="CG261">
            <v>185</v>
          </cell>
          <cell r="CH261">
            <v>260</v>
          </cell>
          <cell r="CI261">
            <v>15</v>
          </cell>
          <cell r="CJ261">
            <v>125</v>
          </cell>
          <cell r="CK261">
            <v>0</v>
          </cell>
          <cell r="CL261">
            <v>240</v>
          </cell>
          <cell r="CM261">
            <v>20</v>
          </cell>
          <cell r="CN261">
            <v>0</v>
          </cell>
          <cell r="CO261">
            <v>845</v>
          </cell>
          <cell r="CP261">
            <v>200</v>
          </cell>
          <cell r="CQ261">
            <v>225</v>
          </cell>
          <cell r="CR261">
            <v>135</v>
          </cell>
          <cell r="CS261">
            <v>230</v>
          </cell>
          <cell r="CT261">
            <v>65</v>
          </cell>
          <cell r="CU261">
            <v>2475</v>
          </cell>
          <cell r="CV261">
            <v>2.9</v>
          </cell>
          <cell r="CW261">
            <v>845</v>
          </cell>
          <cell r="CX261">
            <v>600</v>
          </cell>
          <cell r="CY261">
            <v>10</v>
          </cell>
          <cell r="CZ261">
            <v>245</v>
          </cell>
        </row>
        <row r="262">
          <cell r="A262" t="str">
            <v>4620363.00</v>
          </cell>
          <cell r="B262" t="str">
            <v>0363.00</v>
          </cell>
          <cell r="C262" t="str">
            <v>Outremont</v>
          </cell>
          <cell r="D262">
            <v>3770</v>
          </cell>
          <cell r="E262">
            <v>1580</v>
          </cell>
          <cell r="F262">
            <v>1470</v>
          </cell>
          <cell r="G262">
            <v>75</v>
          </cell>
          <cell r="H262">
            <v>350</v>
          </cell>
          <cell r="I262">
            <v>300</v>
          </cell>
          <cell r="J262">
            <v>3775</v>
          </cell>
          <cell r="K262">
            <v>3310</v>
          </cell>
          <cell r="L262">
            <v>465</v>
          </cell>
          <cell r="M262">
            <v>1060</v>
          </cell>
          <cell r="N262">
            <v>550</v>
          </cell>
          <cell r="O262">
            <v>195</v>
          </cell>
          <cell r="P262">
            <v>120</v>
          </cell>
          <cell r="Q262">
            <v>190</v>
          </cell>
          <cell r="R262">
            <v>1060</v>
          </cell>
          <cell r="S262">
            <v>955</v>
          </cell>
          <cell r="T262">
            <v>720</v>
          </cell>
          <cell r="U262">
            <v>280</v>
          </cell>
          <cell r="V262">
            <v>440</v>
          </cell>
          <cell r="W262">
            <v>170</v>
          </cell>
          <cell r="X262">
            <v>85</v>
          </cell>
          <cell r="Y262">
            <v>185</v>
          </cell>
          <cell r="Z262">
            <v>235</v>
          </cell>
          <cell r="AA262">
            <v>170</v>
          </cell>
          <cell r="AB262">
            <v>60</v>
          </cell>
          <cell r="AC262">
            <v>15</v>
          </cell>
          <cell r="AD262">
            <v>35</v>
          </cell>
          <cell r="AE262">
            <v>10</v>
          </cell>
          <cell r="AF262">
            <v>105</v>
          </cell>
          <cell r="AG262">
            <v>85</v>
          </cell>
          <cell r="AH262">
            <v>70</v>
          </cell>
          <cell r="AI262">
            <v>0</v>
          </cell>
          <cell r="AJ262">
            <v>0</v>
          </cell>
          <cell r="AK262">
            <v>20</v>
          </cell>
          <cell r="AL262">
            <v>25</v>
          </cell>
          <cell r="AM262">
            <v>0</v>
          </cell>
          <cell r="AN262">
            <v>0</v>
          </cell>
          <cell r="AO262">
            <v>1475</v>
          </cell>
          <cell r="AP262">
            <v>425</v>
          </cell>
          <cell r="AQ262">
            <v>510</v>
          </cell>
          <cell r="AR262">
            <v>160</v>
          </cell>
          <cell r="AS262">
            <v>255</v>
          </cell>
          <cell r="AT262">
            <v>120</v>
          </cell>
          <cell r="AU262">
            <v>1.4</v>
          </cell>
          <cell r="AV262">
            <v>4730</v>
          </cell>
          <cell r="AW262">
            <v>1235</v>
          </cell>
          <cell r="AX262">
            <v>155</v>
          </cell>
          <cell r="AY262">
            <v>110</v>
          </cell>
          <cell r="AZ262">
            <v>970</v>
          </cell>
          <cell r="BA262">
            <v>3495</v>
          </cell>
          <cell r="BB262">
            <v>3.3</v>
          </cell>
          <cell r="BC262">
            <v>965</v>
          </cell>
          <cell r="BD262">
            <v>470</v>
          </cell>
          <cell r="BE262">
            <v>55</v>
          </cell>
          <cell r="BF262">
            <v>0</v>
          </cell>
          <cell r="BG262">
            <v>410</v>
          </cell>
          <cell r="BH262">
            <v>495</v>
          </cell>
          <cell r="BI262">
            <v>2120</v>
          </cell>
          <cell r="BJ262">
            <v>5.3</v>
          </cell>
          <cell r="BK262">
            <v>11236</v>
          </cell>
          <cell r="BL262">
            <v>2.1</v>
          </cell>
          <cell r="BM262">
            <v>4452</v>
          </cell>
          <cell r="BN262">
            <v>2120</v>
          </cell>
          <cell r="BO262">
            <v>925</v>
          </cell>
          <cell r="BP262">
            <v>1195</v>
          </cell>
          <cell r="BQ262">
            <v>0</v>
          </cell>
          <cell r="BR262">
            <v>2120</v>
          </cell>
          <cell r="BS262">
            <v>1375</v>
          </cell>
          <cell r="BT262">
            <v>600</v>
          </cell>
          <cell r="BU262">
            <v>145</v>
          </cell>
          <cell r="BV262">
            <v>2115</v>
          </cell>
          <cell r="BW262">
            <v>1140</v>
          </cell>
          <cell r="BX262">
            <v>190</v>
          </cell>
          <cell r="BY262">
            <v>315</v>
          </cell>
          <cell r="BZ262">
            <v>310</v>
          </cell>
          <cell r="CA262">
            <v>105</v>
          </cell>
          <cell r="CB262">
            <v>35</v>
          </cell>
          <cell r="CC262">
            <v>20</v>
          </cell>
          <cell r="CD262">
            <v>0</v>
          </cell>
          <cell r="CE262">
            <v>0</v>
          </cell>
          <cell r="CF262">
            <v>2120</v>
          </cell>
          <cell r="CG262">
            <v>30</v>
          </cell>
          <cell r="CH262">
            <v>135</v>
          </cell>
          <cell r="CI262">
            <v>165</v>
          </cell>
          <cell r="CJ262">
            <v>175</v>
          </cell>
          <cell r="CK262">
            <v>870</v>
          </cell>
          <cell r="CL262">
            <v>730</v>
          </cell>
          <cell r="CM262">
            <v>20</v>
          </cell>
          <cell r="CN262">
            <v>0</v>
          </cell>
          <cell r="CO262">
            <v>2120</v>
          </cell>
          <cell r="CP262">
            <v>970</v>
          </cell>
          <cell r="CQ262">
            <v>640</v>
          </cell>
          <cell r="CR262">
            <v>175</v>
          </cell>
          <cell r="CS262">
            <v>210</v>
          </cell>
          <cell r="CT262">
            <v>130</v>
          </cell>
          <cell r="CU262">
            <v>4730</v>
          </cell>
          <cell r="CV262">
            <v>2.2000000000000002</v>
          </cell>
          <cell r="CW262">
            <v>2115</v>
          </cell>
          <cell r="CX262">
            <v>1050</v>
          </cell>
          <cell r="CY262">
            <v>0</v>
          </cell>
          <cell r="CZ262">
            <v>1065</v>
          </cell>
        </row>
        <row r="263">
          <cell r="A263" t="str">
            <v>4620364.00</v>
          </cell>
          <cell r="B263" t="str">
            <v>0364.00</v>
          </cell>
          <cell r="C263" t="str">
            <v>Outremont</v>
          </cell>
          <cell r="D263">
            <v>1925</v>
          </cell>
          <cell r="E263">
            <v>960</v>
          </cell>
          <cell r="F263">
            <v>700</v>
          </cell>
          <cell r="G263">
            <v>40</v>
          </cell>
          <cell r="H263">
            <v>170</v>
          </cell>
          <cell r="I263">
            <v>55</v>
          </cell>
          <cell r="J263">
            <v>1925</v>
          </cell>
          <cell r="K263">
            <v>1640</v>
          </cell>
          <cell r="L263">
            <v>290</v>
          </cell>
          <cell r="M263">
            <v>640</v>
          </cell>
          <cell r="N263">
            <v>290</v>
          </cell>
          <cell r="O263">
            <v>145</v>
          </cell>
          <cell r="P263">
            <v>70</v>
          </cell>
          <cell r="Q263">
            <v>135</v>
          </cell>
          <cell r="R263">
            <v>640</v>
          </cell>
          <cell r="S263">
            <v>495</v>
          </cell>
          <cell r="T263">
            <v>345</v>
          </cell>
          <cell r="U263">
            <v>105</v>
          </cell>
          <cell r="V263">
            <v>240</v>
          </cell>
          <cell r="W263">
            <v>75</v>
          </cell>
          <cell r="X263">
            <v>40</v>
          </cell>
          <cell r="Y263">
            <v>125</v>
          </cell>
          <cell r="Z263">
            <v>150</v>
          </cell>
          <cell r="AA263">
            <v>95</v>
          </cell>
          <cell r="AB263">
            <v>55</v>
          </cell>
          <cell r="AC263">
            <v>30</v>
          </cell>
          <cell r="AD263">
            <v>25</v>
          </cell>
          <cell r="AE263">
            <v>0</v>
          </cell>
          <cell r="AF263">
            <v>145</v>
          </cell>
          <cell r="AG263">
            <v>125</v>
          </cell>
          <cell r="AH263">
            <v>70</v>
          </cell>
          <cell r="AI263">
            <v>30</v>
          </cell>
          <cell r="AJ263">
            <v>20</v>
          </cell>
          <cell r="AK263">
            <v>20</v>
          </cell>
          <cell r="AL263">
            <v>10</v>
          </cell>
          <cell r="AM263">
            <v>0</v>
          </cell>
          <cell r="AN263">
            <v>0</v>
          </cell>
          <cell r="AO263">
            <v>1030</v>
          </cell>
          <cell r="AP263">
            <v>395</v>
          </cell>
          <cell r="AQ263">
            <v>315</v>
          </cell>
          <cell r="AR263">
            <v>65</v>
          </cell>
          <cell r="AS263">
            <v>165</v>
          </cell>
          <cell r="AT263">
            <v>85</v>
          </cell>
          <cell r="AU263">
            <v>1.6</v>
          </cell>
          <cell r="AV263">
            <v>2700</v>
          </cell>
          <cell r="AW263">
            <v>535</v>
          </cell>
          <cell r="AX263">
            <v>90</v>
          </cell>
          <cell r="AY263">
            <v>130</v>
          </cell>
          <cell r="AZ263">
            <v>315</v>
          </cell>
          <cell r="BA263">
            <v>2165</v>
          </cell>
          <cell r="BB263">
            <v>3.4</v>
          </cell>
          <cell r="BC263">
            <v>175</v>
          </cell>
          <cell r="BD263">
            <v>50</v>
          </cell>
          <cell r="BE263">
            <v>10</v>
          </cell>
          <cell r="BF263">
            <v>0</v>
          </cell>
          <cell r="BG263">
            <v>50</v>
          </cell>
          <cell r="BH263">
            <v>120</v>
          </cell>
          <cell r="BI263">
            <v>1000</v>
          </cell>
          <cell r="BJ263">
            <v>5.7</v>
          </cell>
          <cell r="BK263">
            <v>5700</v>
          </cell>
          <cell r="BL263">
            <v>2.4</v>
          </cell>
          <cell r="BM263">
            <v>2400</v>
          </cell>
          <cell r="BN263">
            <v>1005</v>
          </cell>
          <cell r="BO263">
            <v>380</v>
          </cell>
          <cell r="BP263">
            <v>625</v>
          </cell>
          <cell r="BQ263">
            <v>0</v>
          </cell>
          <cell r="BR263">
            <v>1005</v>
          </cell>
          <cell r="BS263">
            <v>500</v>
          </cell>
          <cell r="BT263">
            <v>375</v>
          </cell>
          <cell r="BU263">
            <v>125</v>
          </cell>
          <cell r="BV263">
            <v>1005</v>
          </cell>
          <cell r="BW263">
            <v>750</v>
          </cell>
          <cell r="BX263">
            <v>140</v>
          </cell>
          <cell r="BY263">
            <v>35</v>
          </cell>
          <cell r="BZ263">
            <v>10</v>
          </cell>
          <cell r="CA263">
            <v>0</v>
          </cell>
          <cell r="CB263">
            <v>0</v>
          </cell>
          <cell r="CC263">
            <v>0</v>
          </cell>
          <cell r="CD263">
            <v>55</v>
          </cell>
          <cell r="CE263">
            <v>15</v>
          </cell>
          <cell r="CF263">
            <v>1005</v>
          </cell>
          <cell r="CG263">
            <v>0</v>
          </cell>
          <cell r="CH263">
            <v>0</v>
          </cell>
          <cell r="CI263">
            <v>20</v>
          </cell>
          <cell r="CJ263">
            <v>35</v>
          </cell>
          <cell r="CK263">
            <v>30</v>
          </cell>
          <cell r="CL263">
            <v>915</v>
          </cell>
          <cell r="CM263">
            <v>0</v>
          </cell>
          <cell r="CN263">
            <v>0</v>
          </cell>
          <cell r="CO263">
            <v>1005</v>
          </cell>
          <cell r="CP263">
            <v>305</v>
          </cell>
          <cell r="CQ263">
            <v>305</v>
          </cell>
          <cell r="CR263">
            <v>160</v>
          </cell>
          <cell r="CS263">
            <v>145</v>
          </cell>
          <cell r="CT263">
            <v>90</v>
          </cell>
          <cell r="CU263">
            <v>2700</v>
          </cell>
          <cell r="CV263">
            <v>2.7</v>
          </cell>
          <cell r="CW263">
            <v>1005</v>
          </cell>
          <cell r="CX263">
            <v>615</v>
          </cell>
          <cell r="CY263">
            <v>15</v>
          </cell>
          <cell r="CZ263">
            <v>375</v>
          </cell>
        </row>
        <row r="264">
          <cell r="A264" t="str">
            <v>4620365.00</v>
          </cell>
          <cell r="B264" t="str">
            <v>0365.00</v>
          </cell>
          <cell r="C264" t="str">
            <v>Outremont</v>
          </cell>
          <cell r="D264">
            <v>2200</v>
          </cell>
          <cell r="E264">
            <v>1105</v>
          </cell>
          <cell r="F264">
            <v>625</v>
          </cell>
          <cell r="G264">
            <v>60</v>
          </cell>
          <cell r="H264">
            <v>325</v>
          </cell>
          <cell r="I264">
            <v>80</v>
          </cell>
          <cell r="J264">
            <v>2195</v>
          </cell>
          <cell r="K264">
            <v>1745</v>
          </cell>
          <cell r="L264">
            <v>455</v>
          </cell>
          <cell r="M264">
            <v>705</v>
          </cell>
          <cell r="N264">
            <v>370</v>
          </cell>
          <cell r="O264">
            <v>170</v>
          </cell>
          <cell r="P264">
            <v>110</v>
          </cell>
          <cell r="Q264">
            <v>55</v>
          </cell>
          <cell r="R264">
            <v>705</v>
          </cell>
          <cell r="S264">
            <v>525</v>
          </cell>
          <cell r="T264">
            <v>315</v>
          </cell>
          <cell r="U264">
            <v>100</v>
          </cell>
          <cell r="V264">
            <v>210</v>
          </cell>
          <cell r="W264">
            <v>105</v>
          </cell>
          <cell r="X264">
            <v>60</v>
          </cell>
          <cell r="Y264">
            <v>45</v>
          </cell>
          <cell r="Z264">
            <v>210</v>
          </cell>
          <cell r="AA264">
            <v>125</v>
          </cell>
          <cell r="AB264">
            <v>85</v>
          </cell>
          <cell r="AC264">
            <v>30</v>
          </cell>
          <cell r="AD264">
            <v>50</v>
          </cell>
          <cell r="AE264">
            <v>10</v>
          </cell>
          <cell r="AF264">
            <v>180</v>
          </cell>
          <cell r="AG264">
            <v>160</v>
          </cell>
          <cell r="AH264">
            <v>130</v>
          </cell>
          <cell r="AI264">
            <v>25</v>
          </cell>
          <cell r="AJ264">
            <v>10</v>
          </cell>
          <cell r="AK264">
            <v>15</v>
          </cell>
          <cell r="AL264">
            <v>0</v>
          </cell>
          <cell r="AM264">
            <v>10</v>
          </cell>
          <cell r="AN264">
            <v>0</v>
          </cell>
          <cell r="AO264">
            <v>755</v>
          </cell>
          <cell r="AP264">
            <v>190</v>
          </cell>
          <cell r="AQ264">
            <v>270</v>
          </cell>
          <cell r="AR264">
            <v>85</v>
          </cell>
          <cell r="AS264">
            <v>130</v>
          </cell>
          <cell r="AT264">
            <v>80</v>
          </cell>
          <cell r="AU264">
            <v>1.1000000000000001</v>
          </cell>
          <cell r="AV264">
            <v>2655</v>
          </cell>
          <cell r="AW264">
            <v>660</v>
          </cell>
          <cell r="AX264">
            <v>40</v>
          </cell>
          <cell r="AY264">
            <v>175</v>
          </cell>
          <cell r="AZ264">
            <v>445</v>
          </cell>
          <cell r="BA264">
            <v>1995</v>
          </cell>
          <cell r="BB264">
            <v>2.8</v>
          </cell>
          <cell r="BC264">
            <v>235</v>
          </cell>
          <cell r="BD264">
            <v>110</v>
          </cell>
          <cell r="BE264">
            <v>0</v>
          </cell>
          <cell r="BF264">
            <v>0</v>
          </cell>
          <cell r="BG264">
            <v>105</v>
          </cell>
          <cell r="BH264">
            <v>120</v>
          </cell>
          <cell r="BI264">
            <v>1245</v>
          </cell>
          <cell r="BJ264">
            <v>5.6</v>
          </cell>
          <cell r="BK264">
            <v>6972</v>
          </cell>
          <cell r="BL264">
            <v>2.2000000000000002</v>
          </cell>
          <cell r="BM264">
            <v>2739</v>
          </cell>
          <cell r="BN264">
            <v>1245</v>
          </cell>
          <cell r="BO264">
            <v>665</v>
          </cell>
          <cell r="BP264">
            <v>580</v>
          </cell>
          <cell r="BQ264">
            <v>0</v>
          </cell>
          <cell r="BR264">
            <v>1245</v>
          </cell>
          <cell r="BS264">
            <v>740</v>
          </cell>
          <cell r="BT264">
            <v>370</v>
          </cell>
          <cell r="BU264">
            <v>135</v>
          </cell>
          <cell r="BV264">
            <v>1245</v>
          </cell>
          <cell r="BW264">
            <v>750</v>
          </cell>
          <cell r="BX264">
            <v>165</v>
          </cell>
          <cell r="BY264">
            <v>95</v>
          </cell>
          <cell r="BZ264">
            <v>15</v>
          </cell>
          <cell r="CA264">
            <v>25</v>
          </cell>
          <cell r="CB264">
            <v>50</v>
          </cell>
          <cell r="CC264">
            <v>15</v>
          </cell>
          <cell r="CD264">
            <v>100</v>
          </cell>
          <cell r="CE264">
            <v>30</v>
          </cell>
          <cell r="CF264">
            <v>1245</v>
          </cell>
          <cell r="CG264">
            <v>0</v>
          </cell>
          <cell r="CH264">
            <v>0</v>
          </cell>
          <cell r="CI264">
            <v>5</v>
          </cell>
          <cell r="CJ264">
            <v>10</v>
          </cell>
          <cell r="CK264">
            <v>155</v>
          </cell>
          <cell r="CL264">
            <v>1070</v>
          </cell>
          <cell r="CM264">
            <v>0</v>
          </cell>
          <cell r="CN264">
            <v>0</v>
          </cell>
          <cell r="CO264">
            <v>1245</v>
          </cell>
          <cell r="CP264">
            <v>435</v>
          </cell>
          <cell r="CQ264">
            <v>450</v>
          </cell>
          <cell r="CR264">
            <v>210</v>
          </cell>
          <cell r="CS264">
            <v>135</v>
          </cell>
          <cell r="CT264">
            <v>15</v>
          </cell>
          <cell r="CU264">
            <v>2650</v>
          </cell>
          <cell r="CV264">
            <v>2.1</v>
          </cell>
          <cell r="CW264">
            <v>1245</v>
          </cell>
          <cell r="CX264">
            <v>705</v>
          </cell>
          <cell r="CY264">
            <v>0</v>
          </cell>
          <cell r="CZ264">
            <v>540</v>
          </cell>
        </row>
        <row r="265">
          <cell r="A265" t="str">
            <v>4620366.00</v>
          </cell>
          <cell r="B265" t="str">
            <v>0366.00</v>
          </cell>
          <cell r="C265" t="str">
            <v>Outremont</v>
          </cell>
          <cell r="D265">
            <v>2020</v>
          </cell>
          <cell r="E265">
            <v>920</v>
          </cell>
          <cell r="F265">
            <v>780</v>
          </cell>
          <cell r="G265">
            <v>35</v>
          </cell>
          <cell r="H265">
            <v>220</v>
          </cell>
          <cell r="I265">
            <v>70</v>
          </cell>
          <cell r="J265">
            <v>2020</v>
          </cell>
          <cell r="K265">
            <v>1675</v>
          </cell>
          <cell r="L265">
            <v>340</v>
          </cell>
          <cell r="M265">
            <v>685</v>
          </cell>
          <cell r="N265">
            <v>300</v>
          </cell>
          <cell r="O265">
            <v>190</v>
          </cell>
          <cell r="P265">
            <v>130</v>
          </cell>
          <cell r="Q265">
            <v>70</v>
          </cell>
          <cell r="R265">
            <v>685</v>
          </cell>
          <cell r="S265">
            <v>560</v>
          </cell>
          <cell r="T265">
            <v>375</v>
          </cell>
          <cell r="U265">
            <v>140</v>
          </cell>
          <cell r="V265">
            <v>230</v>
          </cell>
          <cell r="W265">
            <v>75</v>
          </cell>
          <cell r="X265">
            <v>95</v>
          </cell>
          <cell r="Y265">
            <v>60</v>
          </cell>
          <cell r="Z265">
            <v>185</v>
          </cell>
          <cell r="AA265">
            <v>75</v>
          </cell>
          <cell r="AB265">
            <v>110</v>
          </cell>
          <cell r="AC265">
            <v>70</v>
          </cell>
          <cell r="AD265">
            <v>25</v>
          </cell>
          <cell r="AE265">
            <v>15</v>
          </cell>
          <cell r="AF265">
            <v>125</v>
          </cell>
          <cell r="AG265">
            <v>95</v>
          </cell>
          <cell r="AH265">
            <v>65</v>
          </cell>
          <cell r="AI265">
            <v>30</v>
          </cell>
          <cell r="AJ265">
            <v>10</v>
          </cell>
          <cell r="AK265">
            <v>30</v>
          </cell>
          <cell r="AL265">
            <v>15</v>
          </cell>
          <cell r="AM265">
            <v>10</v>
          </cell>
          <cell r="AN265">
            <v>0</v>
          </cell>
          <cell r="AO265">
            <v>830</v>
          </cell>
          <cell r="AP265">
            <v>180</v>
          </cell>
          <cell r="AQ265">
            <v>305</v>
          </cell>
          <cell r="AR265">
            <v>130</v>
          </cell>
          <cell r="AS265">
            <v>145</v>
          </cell>
          <cell r="AT265">
            <v>70</v>
          </cell>
          <cell r="AU265">
            <v>1.2</v>
          </cell>
          <cell r="AV265">
            <v>2510</v>
          </cell>
          <cell r="AW265">
            <v>430</v>
          </cell>
          <cell r="AX265">
            <v>40</v>
          </cell>
          <cell r="AY265">
            <v>110</v>
          </cell>
          <cell r="AZ265">
            <v>275</v>
          </cell>
          <cell r="BA265">
            <v>2080</v>
          </cell>
          <cell r="BB265">
            <v>3</v>
          </cell>
          <cell r="BC265">
            <v>305</v>
          </cell>
          <cell r="BD265">
            <v>100</v>
          </cell>
          <cell r="BE265">
            <v>30</v>
          </cell>
          <cell r="BF265">
            <v>0</v>
          </cell>
          <cell r="BG265">
            <v>70</v>
          </cell>
          <cell r="BH265">
            <v>205</v>
          </cell>
          <cell r="BI265">
            <v>1020</v>
          </cell>
          <cell r="BJ265">
            <v>6.8</v>
          </cell>
          <cell r="BK265">
            <v>6936</v>
          </cell>
          <cell r="BL265">
            <v>2.8</v>
          </cell>
          <cell r="BM265">
            <v>2856</v>
          </cell>
          <cell r="BN265">
            <v>1020</v>
          </cell>
          <cell r="BO265">
            <v>620</v>
          </cell>
          <cell r="BP265">
            <v>400</v>
          </cell>
          <cell r="BQ265">
            <v>0</v>
          </cell>
          <cell r="BR265">
            <v>1020</v>
          </cell>
          <cell r="BS265">
            <v>540</v>
          </cell>
          <cell r="BT265">
            <v>400</v>
          </cell>
          <cell r="BU265">
            <v>75</v>
          </cell>
          <cell r="BV265">
            <v>1020</v>
          </cell>
          <cell r="BW265">
            <v>885</v>
          </cell>
          <cell r="BX265">
            <v>135</v>
          </cell>
          <cell r="BY265">
            <v>0</v>
          </cell>
          <cell r="BZ265">
            <v>0</v>
          </cell>
          <cell r="CA265">
            <v>0</v>
          </cell>
          <cell r="CB265">
            <v>0</v>
          </cell>
          <cell r="CC265">
            <v>0</v>
          </cell>
          <cell r="CD265">
            <v>0</v>
          </cell>
          <cell r="CE265">
            <v>0</v>
          </cell>
          <cell r="CF265">
            <v>1020</v>
          </cell>
          <cell r="CG265">
            <v>85</v>
          </cell>
          <cell r="CH265">
            <v>155</v>
          </cell>
          <cell r="CI265">
            <v>25</v>
          </cell>
          <cell r="CJ265">
            <v>150</v>
          </cell>
          <cell r="CK265">
            <v>30</v>
          </cell>
          <cell r="CL265">
            <v>570</v>
          </cell>
          <cell r="CM265">
            <v>5</v>
          </cell>
          <cell r="CN265">
            <v>0</v>
          </cell>
          <cell r="CO265">
            <v>1020</v>
          </cell>
          <cell r="CP265">
            <v>285</v>
          </cell>
          <cell r="CQ265">
            <v>330</v>
          </cell>
          <cell r="CR265">
            <v>165</v>
          </cell>
          <cell r="CS265">
            <v>215</v>
          </cell>
          <cell r="CT265">
            <v>20</v>
          </cell>
          <cell r="CU265">
            <v>2505</v>
          </cell>
          <cell r="CV265">
            <v>2.5</v>
          </cell>
          <cell r="CW265">
            <v>1020</v>
          </cell>
          <cell r="CX265">
            <v>675</v>
          </cell>
          <cell r="CY265">
            <v>10</v>
          </cell>
          <cell r="CZ265">
            <v>335</v>
          </cell>
        </row>
        <row r="266">
          <cell r="A266" t="str">
            <v>4620367.00</v>
          </cell>
          <cell r="B266" t="str">
            <v>0367.00</v>
          </cell>
          <cell r="C266" t="str">
            <v>Outremont</v>
          </cell>
          <cell r="D266">
            <v>3555</v>
          </cell>
          <cell r="E266">
            <v>1500</v>
          </cell>
          <cell r="F266">
            <v>1160</v>
          </cell>
          <cell r="G266">
            <v>125</v>
          </cell>
          <cell r="H266">
            <v>420</v>
          </cell>
          <cell r="I266">
            <v>345</v>
          </cell>
          <cell r="J266">
            <v>3550</v>
          </cell>
          <cell r="K266">
            <v>2980</v>
          </cell>
          <cell r="L266">
            <v>570</v>
          </cell>
          <cell r="M266">
            <v>1135</v>
          </cell>
          <cell r="N266">
            <v>595</v>
          </cell>
          <cell r="O266">
            <v>260</v>
          </cell>
          <cell r="P266">
            <v>205</v>
          </cell>
          <cell r="Q266">
            <v>70</v>
          </cell>
          <cell r="R266">
            <v>1140</v>
          </cell>
          <cell r="S266">
            <v>850</v>
          </cell>
          <cell r="T266">
            <v>560</v>
          </cell>
          <cell r="U266">
            <v>235</v>
          </cell>
          <cell r="V266">
            <v>325</v>
          </cell>
          <cell r="W266">
            <v>140</v>
          </cell>
          <cell r="X266">
            <v>130</v>
          </cell>
          <cell r="Y266">
            <v>50</v>
          </cell>
          <cell r="Z266">
            <v>290</v>
          </cell>
          <cell r="AA266">
            <v>150</v>
          </cell>
          <cell r="AB266">
            <v>140</v>
          </cell>
          <cell r="AC266">
            <v>60</v>
          </cell>
          <cell r="AD266">
            <v>65</v>
          </cell>
          <cell r="AE266">
            <v>10</v>
          </cell>
          <cell r="AF266">
            <v>285</v>
          </cell>
          <cell r="AG266">
            <v>225</v>
          </cell>
          <cell r="AH266">
            <v>165</v>
          </cell>
          <cell r="AI266">
            <v>55</v>
          </cell>
          <cell r="AJ266">
            <v>10</v>
          </cell>
          <cell r="AK266">
            <v>55</v>
          </cell>
          <cell r="AL266">
            <v>45</v>
          </cell>
          <cell r="AM266">
            <v>10</v>
          </cell>
          <cell r="AN266">
            <v>0</v>
          </cell>
          <cell r="AO266">
            <v>1175</v>
          </cell>
          <cell r="AP266">
            <v>225</v>
          </cell>
          <cell r="AQ266">
            <v>440</v>
          </cell>
          <cell r="AR266">
            <v>180</v>
          </cell>
          <cell r="AS266">
            <v>190</v>
          </cell>
          <cell r="AT266">
            <v>140</v>
          </cell>
          <cell r="AU266">
            <v>1</v>
          </cell>
          <cell r="AV266">
            <v>4220</v>
          </cell>
          <cell r="AW266">
            <v>1055</v>
          </cell>
          <cell r="AX266">
            <v>70</v>
          </cell>
          <cell r="AY266">
            <v>110</v>
          </cell>
          <cell r="AZ266">
            <v>875</v>
          </cell>
          <cell r="BA266">
            <v>3160</v>
          </cell>
          <cell r="BB266">
            <v>2.8</v>
          </cell>
          <cell r="BC266">
            <v>785</v>
          </cell>
          <cell r="BD266">
            <v>485</v>
          </cell>
          <cell r="BE266">
            <v>35</v>
          </cell>
          <cell r="BF266">
            <v>0</v>
          </cell>
          <cell r="BG266">
            <v>445</v>
          </cell>
          <cell r="BH266">
            <v>305</v>
          </cell>
          <cell r="BI266">
            <v>2070</v>
          </cell>
          <cell r="BJ266">
            <v>5.2</v>
          </cell>
          <cell r="BK266">
            <v>10764</v>
          </cell>
          <cell r="BL266">
            <v>2</v>
          </cell>
          <cell r="BM266">
            <v>4140</v>
          </cell>
          <cell r="BN266">
            <v>2070</v>
          </cell>
          <cell r="BO266">
            <v>1010</v>
          </cell>
          <cell r="BP266">
            <v>1060</v>
          </cell>
          <cell r="BQ266">
            <v>0</v>
          </cell>
          <cell r="BR266">
            <v>2070</v>
          </cell>
          <cell r="BS266">
            <v>1185</v>
          </cell>
          <cell r="BT266">
            <v>705</v>
          </cell>
          <cell r="BU266">
            <v>175</v>
          </cell>
          <cell r="BV266">
            <v>2070</v>
          </cell>
          <cell r="BW266">
            <v>1015</v>
          </cell>
          <cell r="BX266">
            <v>295</v>
          </cell>
          <cell r="BY266">
            <v>140</v>
          </cell>
          <cell r="BZ266">
            <v>290</v>
          </cell>
          <cell r="CA266">
            <v>25</v>
          </cell>
          <cell r="CB266">
            <v>15</v>
          </cell>
          <cell r="CC266">
            <v>45</v>
          </cell>
          <cell r="CD266">
            <v>120</v>
          </cell>
          <cell r="CE266">
            <v>125</v>
          </cell>
          <cell r="CF266">
            <v>2070</v>
          </cell>
          <cell r="CG266">
            <v>20</v>
          </cell>
          <cell r="CH266">
            <v>110</v>
          </cell>
          <cell r="CI266">
            <v>65</v>
          </cell>
          <cell r="CJ266">
            <v>170</v>
          </cell>
          <cell r="CK266">
            <v>640</v>
          </cell>
          <cell r="CL266">
            <v>1050</v>
          </cell>
          <cell r="CM266">
            <v>5</v>
          </cell>
          <cell r="CN266">
            <v>0</v>
          </cell>
          <cell r="CO266">
            <v>2070</v>
          </cell>
          <cell r="CP266">
            <v>875</v>
          </cell>
          <cell r="CQ266">
            <v>620</v>
          </cell>
          <cell r="CR266">
            <v>295</v>
          </cell>
          <cell r="CS266">
            <v>270</v>
          </cell>
          <cell r="CT266">
            <v>15</v>
          </cell>
          <cell r="CU266">
            <v>4215</v>
          </cell>
          <cell r="CV266">
            <v>2</v>
          </cell>
          <cell r="CW266">
            <v>2070</v>
          </cell>
          <cell r="CX266">
            <v>1110</v>
          </cell>
          <cell r="CY266">
            <v>10</v>
          </cell>
          <cell r="CZ266">
            <v>945</v>
          </cell>
        </row>
        <row r="267">
          <cell r="C267" t="str">
            <v>Outremont</v>
          </cell>
          <cell r="D267">
            <v>18410</v>
          </cell>
          <cell r="E267">
            <v>8075</v>
          </cell>
          <cell r="F267">
            <v>6915</v>
          </cell>
          <cell r="G267">
            <v>425</v>
          </cell>
          <cell r="H267">
            <v>1870</v>
          </cell>
          <cell r="I267">
            <v>1125</v>
          </cell>
          <cell r="J267">
            <v>18405</v>
          </cell>
          <cell r="K267">
            <v>15730</v>
          </cell>
          <cell r="L267">
            <v>2685</v>
          </cell>
          <cell r="M267">
            <v>5750</v>
          </cell>
          <cell r="N267">
            <v>2690</v>
          </cell>
          <cell r="O267">
            <v>1295</v>
          </cell>
          <cell r="P267">
            <v>970</v>
          </cell>
          <cell r="Q267">
            <v>780</v>
          </cell>
          <cell r="R267">
            <v>5745</v>
          </cell>
          <cell r="S267">
            <v>4740</v>
          </cell>
          <cell r="T267">
            <v>3385</v>
          </cell>
          <cell r="U267">
            <v>1210</v>
          </cell>
          <cell r="V267">
            <v>2170</v>
          </cell>
          <cell r="W267">
            <v>810</v>
          </cell>
          <cell r="X267">
            <v>670</v>
          </cell>
          <cell r="Y267">
            <v>685</v>
          </cell>
          <cell r="Z267">
            <v>1355</v>
          </cell>
          <cell r="AA267">
            <v>740</v>
          </cell>
          <cell r="AB267">
            <v>610</v>
          </cell>
          <cell r="AC267">
            <v>255</v>
          </cell>
          <cell r="AD267">
            <v>260</v>
          </cell>
          <cell r="AE267">
            <v>70</v>
          </cell>
          <cell r="AF267">
            <v>1000</v>
          </cell>
          <cell r="AG267">
            <v>815</v>
          </cell>
          <cell r="AH267">
            <v>595</v>
          </cell>
          <cell r="AI267">
            <v>165</v>
          </cell>
          <cell r="AJ267">
            <v>65</v>
          </cell>
          <cell r="AK267">
            <v>175</v>
          </cell>
          <cell r="AL267">
            <v>105</v>
          </cell>
          <cell r="AM267">
            <v>55</v>
          </cell>
          <cell r="AN267">
            <v>0</v>
          </cell>
          <cell r="AO267">
            <v>7355</v>
          </cell>
          <cell r="AP267">
            <v>1750</v>
          </cell>
          <cell r="AQ267">
            <v>2580</v>
          </cell>
          <cell r="AR267">
            <v>895</v>
          </cell>
          <cell r="AS267">
            <v>1355</v>
          </cell>
          <cell r="AT267">
            <v>755</v>
          </cell>
          <cell r="AU267">
            <v>1.2802436901653611</v>
          </cell>
          <cell r="AV267">
            <v>22675</v>
          </cell>
          <cell r="AW267">
            <v>4810</v>
          </cell>
          <cell r="AX267">
            <v>495</v>
          </cell>
          <cell r="AY267">
            <v>740</v>
          </cell>
          <cell r="AZ267">
            <v>3550</v>
          </cell>
          <cell r="BA267">
            <v>17865</v>
          </cell>
          <cell r="BB267">
            <v>3.1096605744125325</v>
          </cell>
          <cell r="BC267">
            <v>3240</v>
          </cell>
          <cell r="BD267">
            <v>1495</v>
          </cell>
          <cell r="BE267">
            <v>170</v>
          </cell>
          <cell r="BF267">
            <v>0</v>
          </cell>
          <cell r="BG267">
            <v>1325</v>
          </cell>
          <cell r="BH267">
            <v>1730</v>
          </cell>
          <cell r="BI267">
            <v>9715</v>
          </cell>
          <cell r="BJ267">
            <v>5.9172928461142567</v>
          </cell>
          <cell r="BK267">
            <v>57486.5</v>
          </cell>
          <cell r="BL267">
            <v>2.3605249613998969</v>
          </cell>
          <cell r="BM267">
            <v>22932.5</v>
          </cell>
          <cell r="BN267">
            <v>9730</v>
          </cell>
          <cell r="BO267">
            <v>4950</v>
          </cell>
          <cell r="BP267">
            <v>4775</v>
          </cell>
          <cell r="BQ267">
            <v>0</v>
          </cell>
          <cell r="BR267">
            <v>9730</v>
          </cell>
          <cell r="BS267">
            <v>5720</v>
          </cell>
          <cell r="BT267">
            <v>3150</v>
          </cell>
          <cell r="BU267">
            <v>835</v>
          </cell>
          <cell r="BV267">
            <v>9720</v>
          </cell>
          <cell r="BW267">
            <v>5810</v>
          </cell>
          <cell r="BX267">
            <v>1230</v>
          </cell>
          <cell r="BY267">
            <v>830</v>
          </cell>
          <cell r="BZ267">
            <v>915</v>
          </cell>
          <cell r="CA267">
            <v>205</v>
          </cell>
          <cell r="CB267">
            <v>200</v>
          </cell>
          <cell r="CC267">
            <v>80</v>
          </cell>
          <cell r="CD267">
            <v>275</v>
          </cell>
          <cell r="CE267">
            <v>185</v>
          </cell>
          <cell r="CF267">
            <v>9730</v>
          </cell>
          <cell r="CG267">
            <v>640</v>
          </cell>
          <cell r="CH267">
            <v>830</v>
          </cell>
          <cell r="CI267">
            <v>405</v>
          </cell>
          <cell r="CJ267">
            <v>700</v>
          </cell>
          <cell r="CK267">
            <v>2230</v>
          </cell>
          <cell r="CL267">
            <v>4840</v>
          </cell>
          <cell r="CM267">
            <v>50</v>
          </cell>
          <cell r="CN267">
            <v>0</v>
          </cell>
          <cell r="CO267">
            <v>9725</v>
          </cell>
          <cell r="CP267">
            <v>3535</v>
          </cell>
          <cell r="CQ267">
            <v>3015</v>
          </cell>
          <cell r="CR267">
            <v>1335</v>
          </cell>
          <cell r="CS267">
            <v>1485</v>
          </cell>
          <cell r="CT267">
            <v>375</v>
          </cell>
          <cell r="CU267">
            <v>22660</v>
          </cell>
          <cell r="CV267">
            <v>2.3300771208226223</v>
          </cell>
          <cell r="CW267">
            <v>9720</v>
          </cell>
          <cell r="CX267">
            <v>5665</v>
          </cell>
          <cell r="CY267">
            <v>45</v>
          </cell>
          <cell r="CZ267">
            <v>4015</v>
          </cell>
        </row>
        <row r="270">
          <cell r="A270" t="str">
            <v>4620511.01</v>
          </cell>
          <cell r="B270" t="str">
            <v>0511.01</v>
          </cell>
          <cell r="C270" t="str">
            <v>Pierrefonds-Roxboro</v>
          </cell>
          <cell r="D270">
            <v>2730</v>
          </cell>
          <cell r="E270">
            <v>1035</v>
          </cell>
          <cell r="F270">
            <v>1340</v>
          </cell>
          <cell r="G270">
            <v>50</v>
          </cell>
          <cell r="H270">
            <v>170</v>
          </cell>
          <cell r="I270">
            <v>130</v>
          </cell>
          <cell r="J270">
            <v>2730</v>
          </cell>
          <cell r="K270">
            <v>2455</v>
          </cell>
          <cell r="L270">
            <v>270</v>
          </cell>
          <cell r="M270">
            <v>910</v>
          </cell>
          <cell r="N270">
            <v>330</v>
          </cell>
          <cell r="O270">
            <v>250</v>
          </cell>
          <cell r="P270">
            <v>235</v>
          </cell>
          <cell r="Q270">
            <v>90</v>
          </cell>
          <cell r="R270">
            <v>915</v>
          </cell>
          <cell r="S270">
            <v>780</v>
          </cell>
          <cell r="T270">
            <v>645</v>
          </cell>
          <cell r="U270">
            <v>185</v>
          </cell>
          <cell r="V270">
            <v>455</v>
          </cell>
          <cell r="W270">
            <v>190</v>
          </cell>
          <cell r="X270">
            <v>190</v>
          </cell>
          <cell r="Y270">
            <v>80</v>
          </cell>
          <cell r="Z270">
            <v>135</v>
          </cell>
          <cell r="AA270">
            <v>65</v>
          </cell>
          <cell r="AB270">
            <v>75</v>
          </cell>
          <cell r="AC270">
            <v>30</v>
          </cell>
          <cell r="AD270">
            <v>45</v>
          </cell>
          <cell r="AE270">
            <v>0</v>
          </cell>
          <cell r="AF270">
            <v>130</v>
          </cell>
          <cell r="AG270">
            <v>110</v>
          </cell>
          <cell r="AH270">
            <v>75</v>
          </cell>
          <cell r="AI270">
            <v>20</v>
          </cell>
          <cell r="AJ270">
            <v>10</v>
          </cell>
          <cell r="AK270">
            <v>25</v>
          </cell>
          <cell r="AL270">
            <v>10</v>
          </cell>
          <cell r="AM270">
            <v>10</v>
          </cell>
          <cell r="AN270">
            <v>10</v>
          </cell>
          <cell r="AO270">
            <v>1170</v>
          </cell>
          <cell r="AP270">
            <v>195</v>
          </cell>
          <cell r="AQ270">
            <v>370</v>
          </cell>
          <cell r="AR270">
            <v>135</v>
          </cell>
          <cell r="AS270">
            <v>295</v>
          </cell>
          <cell r="AT270">
            <v>170</v>
          </cell>
          <cell r="AU270">
            <v>1.3</v>
          </cell>
          <cell r="AV270">
            <v>3155</v>
          </cell>
          <cell r="AW270">
            <v>290</v>
          </cell>
          <cell r="AX270">
            <v>60</v>
          </cell>
          <cell r="AY270">
            <v>30</v>
          </cell>
          <cell r="AZ270">
            <v>200</v>
          </cell>
          <cell r="BA270">
            <v>2865</v>
          </cell>
          <cell r="BB270">
            <v>3.1</v>
          </cell>
          <cell r="BC270">
            <v>425</v>
          </cell>
          <cell r="BD270">
            <v>120</v>
          </cell>
          <cell r="BE270">
            <v>30</v>
          </cell>
          <cell r="BF270">
            <v>0</v>
          </cell>
          <cell r="BG270">
            <v>85</v>
          </cell>
          <cell r="BH270">
            <v>305</v>
          </cell>
          <cell r="BI270">
            <v>1110</v>
          </cell>
          <cell r="BJ270">
            <v>7.1</v>
          </cell>
          <cell r="BK270">
            <v>7881</v>
          </cell>
          <cell r="BL270">
            <v>3.1</v>
          </cell>
          <cell r="BM270">
            <v>3441</v>
          </cell>
          <cell r="BN270">
            <v>1110</v>
          </cell>
          <cell r="BO270">
            <v>955</v>
          </cell>
          <cell r="BP270">
            <v>155</v>
          </cell>
          <cell r="BQ270">
            <v>0</v>
          </cell>
          <cell r="BR270">
            <v>1110</v>
          </cell>
          <cell r="BS270">
            <v>555</v>
          </cell>
          <cell r="BT270">
            <v>440</v>
          </cell>
          <cell r="BU270">
            <v>120</v>
          </cell>
          <cell r="BV270">
            <v>1110</v>
          </cell>
          <cell r="BW270">
            <v>0</v>
          </cell>
          <cell r="BX270">
            <v>500</v>
          </cell>
          <cell r="BY270">
            <v>300</v>
          </cell>
          <cell r="BZ270">
            <v>130</v>
          </cell>
          <cell r="CA270">
            <v>30</v>
          </cell>
          <cell r="CB270">
            <v>20</v>
          </cell>
          <cell r="CC270">
            <v>0</v>
          </cell>
          <cell r="CD270">
            <v>45</v>
          </cell>
          <cell r="CE270">
            <v>75</v>
          </cell>
          <cell r="CF270">
            <v>1110</v>
          </cell>
          <cell r="CG270">
            <v>845</v>
          </cell>
          <cell r="CH270">
            <v>55</v>
          </cell>
          <cell r="CI270">
            <v>40</v>
          </cell>
          <cell r="CJ270">
            <v>20</v>
          </cell>
          <cell r="CK270">
            <v>70</v>
          </cell>
          <cell r="CL270">
            <v>80</v>
          </cell>
          <cell r="CM270">
            <v>0</v>
          </cell>
          <cell r="CN270">
            <v>0</v>
          </cell>
          <cell r="CO270">
            <v>1115</v>
          </cell>
          <cell r="CP270">
            <v>200</v>
          </cell>
          <cell r="CQ270">
            <v>345</v>
          </cell>
          <cell r="CR270">
            <v>230</v>
          </cell>
          <cell r="CS270">
            <v>295</v>
          </cell>
          <cell r="CT270">
            <v>50</v>
          </cell>
          <cell r="CU270">
            <v>3165</v>
          </cell>
          <cell r="CV270">
            <v>2.9</v>
          </cell>
          <cell r="CW270">
            <v>1110</v>
          </cell>
          <cell r="CX270">
            <v>880</v>
          </cell>
          <cell r="CY270">
            <v>15</v>
          </cell>
          <cell r="CZ270">
            <v>220</v>
          </cell>
        </row>
        <row r="271">
          <cell r="A271" t="str">
            <v>4620511.02</v>
          </cell>
          <cell r="B271" t="str">
            <v>0511.02</v>
          </cell>
          <cell r="C271" t="str">
            <v>Pierrefonds-Roxboro</v>
          </cell>
          <cell r="D271">
            <v>4485</v>
          </cell>
          <cell r="E271">
            <v>1780</v>
          </cell>
          <cell r="F271">
            <v>1960</v>
          </cell>
          <cell r="G271">
            <v>160</v>
          </cell>
          <cell r="H271">
            <v>410</v>
          </cell>
          <cell r="I271">
            <v>175</v>
          </cell>
          <cell r="J271">
            <v>4485</v>
          </cell>
          <cell r="K271">
            <v>4060</v>
          </cell>
          <cell r="L271">
            <v>425</v>
          </cell>
          <cell r="M271">
            <v>1585</v>
          </cell>
          <cell r="N271">
            <v>645</v>
          </cell>
          <cell r="O271">
            <v>370</v>
          </cell>
          <cell r="P271">
            <v>350</v>
          </cell>
          <cell r="Q271">
            <v>220</v>
          </cell>
          <cell r="R271">
            <v>1585</v>
          </cell>
          <cell r="S271">
            <v>1175</v>
          </cell>
          <cell r="T271">
            <v>960</v>
          </cell>
          <cell r="U271">
            <v>330</v>
          </cell>
          <cell r="V271">
            <v>635</v>
          </cell>
          <cell r="W271">
            <v>230</v>
          </cell>
          <cell r="X271">
            <v>255</v>
          </cell>
          <cell r="Y271">
            <v>140</v>
          </cell>
          <cell r="Z271">
            <v>215</v>
          </cell>
          <cell r="AA271">
            <v>135</v>
          </cell>
          <cell r="AB271">
            <v>85</v>
          </cell>
          <cell r="AC271">
            <v>25</v>
          </cell>
          <cell r="AD271">
            <v>25</v>
          </cell>
          <cell r="AE271">
            <v>25</v>
          </cell>
          <cell r="AF271">
            <v>405</v>
          </cell>
          <cell r="AG271">
            <v>360</v>
          </cell>
          <cell r="AH271">
            <v>145</v>
          </cell>
          <cell r="AI271">
            <v>105</v>
          </cell>
          <cell r="AJ271">
            <v>105</v>
          </cell>
          <cell r="AK271">
            <v>45</v>
          </cell>
          <cell r="AL271">
            <v>35</v>
          </cell>
          <cell r="AM271">
            <v>0</v>
          </cell>
          <cell r="AN271">
            <v>0</v>
          </cell>
          <cell r="AO271">
            <v>2245</v>
          </cell>
          <cell r="AP271">
            <v>510</v>
          </cell>
          <cell r="AQ271">
            <v>860</v>
          </cell>
          <cell r="AR271">
            <v>230</v>
          </cell>
          <cell r="AS271">
            <v>405</v>
          </cell>
          <cell r="AT271">
            <v>235</v>
          </cell>
          <cell r="AU271">
            <v>1.4</v>
          </cell>
          <cell r="AV271">
            <v>5875</v>
          </cell>
          <cell r="AW271">
            <v>865</v>
          </cell>
          <cell r="AX271">
            <v>155</v>
          </cell>
          <cell r="AY271">
            <v>90</v>
          </cell>
          <cell r="AZ271">
            <v>620</v>
          </cell>
          <cell r="BA271">
            <v>5010</v>
          </cell>
          <cell r="BB271">
            <v>3.2</v>
          </cell>
          <cell r="BC271">
            <v>500</v>
          </cell>
          <cell r="BD271">
            <v>145</v>
          </cell>
          <cell r="BE271">
            <v>40</v>
          </cell>
          <cell r="BF271">
            <v>0</v>
          </cell>
          <cell r="BG271">
            <v>105</v>
          </cell>
          <cell r="BH271">
            <v>355</v>
          </cell>
          <cell r="BI271">
            <v>2200</v>
          </cell>
          <cell r="BJ271">
            <v>5.3</v>
          </cell>
          <cell r="BK271">
            <v>11660</v>
          </cell>
          <cell r="BL271">
            <v>2.4</v>
          </cell>
          <cell r="BM271">
            <v>5280</v>
          </cell>
          <cell r="BN271">
            <v>2200</v>
          </cell>
          <cell r="BO271">
            <v>935</v>
          </cell>
          <cell r="BP271">
            <v>1260</v>
          </cell>
          <cell r="BQ271">
            <v>0</v>
          </cell>
          <cell r="BR271">
            <v>2200</v>
          </cell>
          <cell r="BS271">
            <v>1265</v>
          </cell>
          <cell r="BT271">
            <v>745</v>
          </cell>
          <cell r="BU271">
            <v>190</v>
          </cell>
          <cell r="BV271">
            <v>2200</v>
          </cell>
          <cell r="BW271">
            <v>25</v>
          </cell>
          <cell r="BX271">
            <v>330</v>
          </cell>
          <cell r="BY271">
            <v>630</v>
          </cell>
          <cell r="BZ271">
            <v>475</v>
          </cell>
          <cell r="CA271">
            <v>120</v>
          </cell>
          <cell r="CB271">
            <v>435</v>
          </cell>
          <cell r="CC271">
            <v>100</v>
          </cell>
          <cell r="CD271">
            <v>40</v>
          </cell>
          <cell r="CE271">
            <v>40</v>
          </cell>
          <cell r="CF271">
            <v>2200</v>
          </cell>
          <cell r="CG271">
            <v>165</v>
          </cell>
          <cell r="CH271">
            <v>85</v>
          </cell>
          <cell r="CI271">
            <v>430</v>
          </cell>
          <cell r="CJ271">
            <v>15</v>
          </cell>
          <cell r="CK271">
            <v>5</v>
          </cell>
          <cell r="CL271">
            <v>1500</v>
          </cell>
          <cell r="CM271">
            <v>0</v>
          </cell>
          <cell r="CN271">
            <v>0</v>
          </cell>
          <cell r="CO271">
            <v>2200</v>
          </cell>
          <cell r="CP271">
            <v>620</v>
          </cell>
          <cell r="CQ271">
            <v>560</v>
          </cell>
          <cell r="CR271">
            <v>405</v>
          </cell>
          <cell r="CS271">
            <v>490</v>
          </cell>
          <cell r="CT271">
            <v>120</v>
          </cell>
          <cell r="CU271">
            <v>5875</v>
          </cell>
          <cell r="CV271">
            <v>2.7</v>
          </cell>
          <cell r="CW271">
            <v>2200</v>
          </cell>
          <cell r="CX271">
            <v>1490</v>
          </cell>
          <cell r="CY271">
            <v>45</v>
          </cell>
          <cell r="CZ271">
            <v>665</v>
          </cell>
        </row>
        <row r="272">
          <cell r="A272" t="str">
            <v>4620512.02</v>
          </cell>
          <cell r="B272" t="str">
            <v>0512.02</v>
          </cell>
          <cell r="C272" t="str">
            <v>Pierrefonds-Roxboro</v>
          </cell>
          <cell r="D272">
            <v>3710</v>
          </cell>
          <cell r="E272">
            <v>1150</v>
          </cell>
          <cell r="F272">
            <v>1895</v>
          </cell>
          <cell r="G272">
            <v>95</v>
          </cell>
          <cell r="H272">
            <v>290</v>
          </cell>
          <cell r="I272">
            <v>280</v>
          </cell>
          <cell r="J272">
            <v>3710</v>
          </cell>
          <cell r="K272">
            <v>3465</v>
          </cell>
          <cell r="L272">
            <v>240</v>
          </cell>
          <cell r="M272">
            <v>1230</v>
          </cell>
          <cell r="N272">
            <v>515</v>
          </cell>
          <cell r="O272">
            <v>345</v>
          </cell>
          <cell r="P272">
            <v>250</v>
          </cell>
          <cell r="Q272">
            <v>125</v>
          </cell>
          <cell r="R272">
            <v>1230</v>
          </cell>
          <cell r="S272">
            <v>1045</v>
          </cell>
          <cell r="T272">
            <v>910</v>
          </cell>
          <cell r="U272">
            <v>335</v>
          </cell>
          <cell r="V272">
            <v>580</v>
          </cell>
          <cell r="W272">
            <v>250</v>
          </cell>
          <cell r="X272">
            <v>215</v>
          </cell>
          <cell r="Y272">
            <v>110</v>
          </cell>
          <cell r="Z272">
            <v>130</v>
          </cell>
          <cell r="AA272">
            <v>65</v>
          </cell>
          <cell r="AB272">
            <v>65</v>
          </cell>
          <cell r="AC272">
            <v>35</v>
          </cell>
          <cell r="AD272">
            <v>25</v>
          </cell>
          <cell r="AE272">
            <v>0</v>
          </cell>
          <cell r="AF272">
            <v>185</v>
          </cell>
          <cell r="AG272">
            <v>150</v>
          </cell>
          <cell r="AH272">
            <v>90</v>
          </cell>
          <cell r="AI272">
            <v>40</v>
          </cell>
          <cell r="AJ272">
            <v>20</v>
          </cell>
          <cell r="AK272">
            <v>40</v>
          </cell>
          <cell r="AL272">
            <v>25</v>
          </cell>
          <cell r="AM272">
            <v>15</v>
          </cell>
          <cell r="AN272">
            <v>0</v>
          </cell>
          <cell r="AO272">
            <v>1475</v>
          </cell>
          <cell r="AP272">
            <v>235</v>
          </cell>
          <cell r="AQ272">
            <v>470</v>
          </cell>
          <cell r="AR272">
            <v>170</v>
          </cell>
          <cell r="AS272">
            <v>405</v>
          </cell>
          <cell r="AT272">
            <v>190</v>
          </cell>
          <cell r="AU272">
            <v>1.2</v>
          </cell>
          <cell r="AV272">
            <v>4390</v>
          </cell>
          <cell r="AW272">
            <v>640</v>
          </cell>
          <cell r="AX272">
            <v>65</v>
          </cell>
          <cell r="AY272">
            <v>60</v>
          </cell>
          <cell r="AZ272">
            <v>515</v>
          </cell>
          <cell r="BA272">
            <v>3745</v>
          </cell>
          <cell r="BB272">
            <v>3</v>
          </cell>
          <cell r="BC272">
            <v>720</v>
          </cell>
          <cell r="BD272">
            <v>270</v>
          </cell>
          <cell r="BE272">
            <v>35</v>
          </cell>
          <cell r="BF272">
            <v>0</v>
          </cell>
          <cell r="BG272">
            <v>235</v>
          </cell>
          <cell r="BH272">
            <v>450</v>
          </cell>
          <cell r="BI272">
            <v>1745</v>
          </cell>
          <cell r="BJ272">
            <v>6.3</v>
          </cell>
          <cell r="BK272">
            <v>10993.5</v>
          </cell>
          <cell r="BL272">
            <v>2.7</v>
          </cell>
          <cell r="BM272">
            <v>4711.5</v>
          </cell>
          <cell r="BN272">
            <v>1745</v>
          </cell>
          <cell r="BO272">
            <v>1400</v>
          </cell>
          <cell r="BP272">
            <v>340</v>
          </cell>
          <cell r="BQ272">
            <v>0</v>
          </cell>
          <cell r="BR272">
            <v>1745</v>
          </cell>
          <cell r="BS272">
            <v>1210</v>
          </cell>
          <cell r="BT272">
            <v>440</v>
          </cell>
          <cell r="BU272">
            <v>90</v>
          </cell>
          <cell r="BV272">
            <v>1745</v>
          </cell>
          <cell r="BW272">
            <v>30</v>
          </cell>
          <cell r="BX272">
            <v>315</v>
          </cell>
          <cell r="BY272">
            <v>390</v>
          </cell>
          <cell r="BZ272">
            <v>295</v>
          </cell>
          <cell r="CA272">
            <v>155</v>
          </cell>
          <cell r="CB272">
            <v>195</v>
          </cell>
          <cell r="CC272">
            <v>180</v>
          </cell>
          <cell r="CD272">
            <v>75</v>
          </cell>
          <cell r="CE272">
            <v>110</v>
          </cell>
          <cell r="CF272">
            <v>1740</v>
          </cell>
          <cell r="CG272">
            <v>1045</v>
          </cell>
          <cell r="CH272">
            <v>65</v>
          </cell>
          <cell r="CI272">
            <v>10</v>
          </cell>
          <cell r="CJ272">
            <v>30</v>
          </cell>
          <cell r="CK272">
            <v>505</v>
          </cell>
          <cell r="CL272">
            <v>85</v>
          </cell>
          <cell r="CM272">
            <v>0</v>
          </cell>
          <cell r="CN272">
            <v>0</v>
          </cell>
          <cell r="CO272">
            <v>1745</v>
          </cell>
          <cell r="CP272">
            <v>515</v>
          </cell>
          <cell r="CQ272">
            <v>490</v>
          </cell>
          <cell r="CR272">
            <v>310</v>
          </cell>
          <cell r="CS272">
            <v>375</v>
          </cell>
          <cell r="CT272">
            <v>55</v>
          </cell>
          <cell r="CU272">
            <v>4395</v>
          </cell>
          <cell r="CV272">
            <v>2.5</v>
          </cell>
          <cell r="CW272">
            <v>1745</v>
          </cell>
          <cell r="CX272">
            <v>1175</v>
          </cell>
          <cell r="CY272">
            <v>30</v>
          </cell>
          <cell r="CZ272">
            <v>540</v>
          </cell>
        </row>
        <row r="273">
          <cell r="A273" t="str">
            <v>4620512.03</v>
          </cell>
          <cell r="B273" t="str">
            <v>0512.03</v>
          </cell>
          <cell r="C273" t="str">
            <v>Pierrefonds-Roxboro</v>
          </cell>
          <cell r="D273">
            <v>1445</v>
          </cell>
          <cell r="E273">
            <v>475</v>
          </cell>
          <cell r="F273">
            <v>515</v>
          </cell>
          <cell r="G273">
            <v>50</v>
          </cell>
          <cell r="H273">
            <v>240</v>
          </cell>
          <cell r="I273">
            <v>160</v>
          </cell>
          <cell r="J273">
            <v>1440</v>
          </cell>
          <cell r="K273">
            <v>1305</v>
          </cell>
          <cell r="L273">
            <v>135</v>
          </cell>
          <cell r="M273">
            <v>400</v>
          </cell>
          <cell r="N273">
            <v>290</v>
          </cell>
          <cell r="O273">
            <v>65</v>
          </cell>
          <cell r="P273">
            <v>35</v>
          </cell>
          <cell r="Q273">
            <v>15</v>
          </cell>
          <cell r="R273">
            <v>395</v>
          </cell>
          <cell r="S273">
            <v>315</v>
          </cell>
          <cell r="T273">
            <v>265</v>
          </cell>
          <cell r="U273">
            <v>190</v>
          </cell>
          <cell r="V273">
            <v>70</v>
          </cell>
          <cell r="W273">
            <v>30</v>
          </cell>
          <cell r="X273">
            <v>30</v>
          </cell>
          <cell r="Y273">
            <v>10</v>
          </cell>
          <cell r="Z273">
            <v>55</v>
          </cell>
          <cell r="AA273">
            <v>50</v>
          </cell>
          <cell r="AB273">
            <v>10</v>
          </cell>
          <cell r="AC273">
            <v>0</v>
          </cell>
          <cell r="AD273">
            <v>0</v>
          </cell>
          <cell r="AE273">
            <v>0</v>
          </cell>
          <cell r="AF273">
            <v>80</v>
          </cell>
          <cell r="AG273">
            <v>70</v>
          </cell>
          <cell r="AH273">
            <v>45</v>
          </cell>
          <cell r="AI273">
            <v>25</v>
          </cell>
          <cell r="AJ273">
            <v>0</v>
          </cell>
          <cell r="AK273">
            <v>10</v>
          </cell>
          <cell r="AL273">
            <v>10</v>
          </cell>
          <cell r="AM273">
            <v>10</v>
          </cell>
          <cell r="AN273">
            <v>0</v>
          </cell>
          <cell r="AO273">
            <v>255</v>
          </cell>
          <cell r="AP273">
            <v>80</v>
          </cell>
          <cell r="AQ273">
            <v>90</v>
          </cell>
          <cell r="AR273">
            <v>25</v>
          </cell>
          <cell r="AS273">
            <v>55</v>
          </cell>
          <cell r="AT273">
            <v>10</v>
          </cell>
          <cell r="AU273">
            <v>0.6</v>
          </cell>
          <cell r="AV273">
            <v>1595</v>
          </cell>
          <cell r="AW273">
            <v>625</v>
          </cell>
          <cell r="AX273">
            <v>40</v>
          </cell>
          <cell r="AY273">
            <v>65</v>
          </cell>
          <cell r="AZ273">
            <v>520</v>
          </cell>
          <cell r="BA273">
            <v>970</v>
          </cell>
          <cell r="BB273">
            <v>2.5</v>
          </cell>
          <cell r="BC273">
            <v>415</v>
          </cell>
          <cell r="BD273">
            <v>210</v>
          </cell>
          <cell r="BE273">
            <v>10</v>
          </cell>
          <cell r="BF273">
            <v>25</v>
          </cell>
          <cell r="BG273">
            <v>175</v>
          </cell>
          <cell r="BH273">
            <v>205</v>
          </cell>
          <cell r="BI273">
            <v>950</v>
          </cell>
          <cell r="BJ273">
            <v>4</v>
          </cell>
          <cell r="BK273">
            <v>3800</v>
          </cell>
          <cell r="BL273">
            <v>1.7</v>
          </cell>
          <cell r="BM273">
            <v>1615</v>
          </cell>
          <cell r="BN273">
            <v>955</v>
          </cell>
          <cell r="BO273">
            <v>485</v>
          </cell>
          <cell r="BP273">
            <v>470</v>
          </cell>
          <cell r="BQ273">
            <v>0</v>
          </cell>
          <cell r="BR273">
            <v>950</v>
          </cell>
          <cell r="BS273">
            <v>775</v>
          </cell>
          <cell r="BT273">
            <v>125</v>
          </cell>
          <cell r="BU273">
            <v>55</v>
          </cell>
          <cell r="BV273">
            <v>955</v>
          </cell>
          <cell r="BW273">
            <v>0</v>
          </cell>
          <cell r="BX273">
            <v>35</v>
          </cell>
          <cell r="BY273">
            <v>165</v>
          </cell>
          <cell r="BZ273">
            <v>210</v>
          </cell>
          <cell r="CA273">
            <v>140</v>
          </cell>
          <cell r="CB273">
            <v>170</v>
          </cell>
          <cell r="CC273">
            <v>75</v>
          </cell>
          <cell r="CD273">
            <v>0</v>
          </cell>
          <cell r="CE273">
            <v>160</v>
          </cell>
          <cell r="CF273">
            <v>950</v>
          </cell>
          <cell r="CG273">
            <v>0</v>
          </cell>
          <cell r="CH273">
            <v>45</v>
          </cell>
          <cell r="CI273">
            <v>0</v>
          </cell>
          <cell r="CJ273">
            <v>0</v>
          </cell>
          <cell r="CK273">
            <v>330</v>
          </cell>
          <cell r="CL273">
            <v>570</v>
          </cell>
          <cell r="CM273">
            <v>0</v>
          </cell>
          <cell r="CN273">
            <v>5</v>
          </cell>
          <cell r="CO273">
            <v>950</v>
          </cell>
          <cell r="CP273">
            <v>520</v>
          </cell>
          <cell r="CQ273">
            <v>305</v>
          </cell>
          <cell r="CR273">
            <v>75</v>
          </cell>
          <cell r="CS273">
            <v>50</v>
          </cell>
          <cell r="CT273">
            <v>5</v>
          </cell>
          <cell r="CU273">
            <v>1595</v>
          </cell>
          <cell r="CV273">
            <v>1.7</v>
          </cell>
          <cell r="CW273">
            <v>950</v>
          </cell>
          <cell r="CX273">
            <v>390</v>
          </cell>
          <cell r="CY273">
            <v>0</v>
          </cell>
          <cell r="CZ273">
            <v>560</v>
          </cell>
        </row>
        <row r="274">
          <cell r="A274" t="str">
            <v>4620512.04</v>
          </cell>
          <cell r="B274" t="str">
            <v>0512.04</v>
          </cell>
          <cell r="C274" t="str">
            <v>Pierrefonds-Roxboro</v>
          </cell>
          <cell r="D274">
            <v>5075</v>
          </cell>
          <cell r="E274">
            <v>1870</v>
          </cell>
          <cell r="F274">
            <v>2405</v>
          </cell>
          <cell r="G274">
            <v>105</v>
          </cell>
          <cell r="H274">
            <v>460</v>
          </cell>
          <cell r="I274">
            <v>240</v>
          </cell>
          <cell r="J274">
            <v>5075</v>
          </cell>
          <cell r="K274">
            <v>4605</v>
          </cell>
          <cell r="L274">
            <v>470</v>
          </cell>
          <cell r="M274">
            <v>1775</v>
          </cell>
          <cell r="N274">
            <v>745</v>
          </cell>
          <cell r="O274">
            <v>395</v>
          </cell>
          <cell r="P274">
            <v>410</v>
          </cell>
          <cell r="Q274">
            <v>225</v>
          </cell>
          <cell r="R274">
            <v>1775</v>
          </cell>
          <cell r="S274">
            <v>1420</v>
          </cell>
          <cell r="T274">
            <v>1180</v>
          </cell>
          <cell r="U274">
            <v>405</v>
          </cell>
          <cell r="V274">
            <v>770</v>
          </cell>
          <cell r="W274">
            <v>270</v>
          </cell>
          <cell r="X274">
            <v>310</v>
          </cell>
          <cell r="Y274">
            <v>190</v>
          </cell>
          <cell r="Z274">
            <v>240</v>
          </cell>
          <cell r="AA274">
            <v>115</v>
          </cell>
          <cell r="AB274">
            <v>120</v>
          </cell>
          <cell r="AC274">
            <v>40</v>
          </cell>
          <cell r="AD274">
            <v>55</v>
          </cell>
          <cell r="AE274">
            <v>25</v>
          </cell>
          <cell r="AF274">
            <v>355</v>
          </cell>
          <cell r="AG274">
            <v>250</v>
          </cell>
          <cell r="AH274">
            <v>155</v>
          </cell>
          <cell r="AI274">
            <v>60</v>
          </cell>
          <cell r="AJ274">
            <v>30</v>
          </cell>
          <cell r="AK274">
            <v>100</v>
          </cell>
          <cell r="AL274">
            <v>60</v>
          </cell>
          <cell r="AM274">
            <v>20</v>
          </cell>
          <cell r="AN274">
            <v>20</v>
          </cell>
          <cell r="AO274">
            <v>2325</v>
          </cell>
          <cell r="AP274">
            <v>400</v>
          </cell>
          <cell r="AQ274">
            <v>845</v>
          </cell>
          <cell r="AR274">
            <v>295</v>
          </cell>
          <cell r="AS274">
            <v>475</v>
          </cell>
          <cell r="AT274">
            <v>315</v>
          </cell>
          <cell r="AU274">
            <v>1.3</v>
          </cell>
          <cell r="AV274">
            <v>6280</v>
          </cell>
          <cell r="AW274">
            <v>760</v>
          </cell>
          <cell r="AX274">
            <v>75</v>
          </cell>
          <cell r="AY274">
            <v>145</v>
          </cell>
          <cell r="AZ274">
            <v>540</v>
          </cell>
          <cell r="BA274">
            <v>5520</v>
          </cell>
          <cell r="BB274">
            <v>3.1</v>
          </cell>
          <cell r="BC274">
            <v>745</v>
          </cell>
          <cell r="BD274">
            <v>235</v>
          </cell>
          <cell r="BE274">
            <v>45</v>
          </cell>
          <cell r="BF274">
            <v>15</v>
          </cell>
          <cell r="BG274">
            <v>180</v>
          </cell>
          <cell r="BH274">
            <v>510</v>
          </cell>
          <cell r="BI274">
            <v>2315</v>
          </cell>
          <cell r="BJ274">
            <v>6.4</v>
          </cell>
          <cell r="BK274">
            <v>14816</v>
          </cell>
          <cell r="BL274">
            <v>2.8</v>
          </cell>
          <cell r="BM274">
            <v>6482</v>
          </cell>
          <cell r="BN274">
            <v>2315</v>
          </cell>
          <cell r="BO274">
            <v>1640</v>
          </cell>
          <cell r="BP274">
            <v>675</v>
          </cell>
          <cell r="BQ274">
            <v>0</v>
          </cell>
          <cell r="BR274">
            <v>2315</v>
          </cell>
          <cell r="BS274">
            <v>1235</v>
          </cell>
          <cell r="BT274">
            <v>870</v>
          </cell>
          <cell r="BU274">
            <v>215</v>
          </cell>
          <cell r="BV274">
            <v>2320</v>
          </cell>
          <cell r="BW274">
            <v>50</v>
          </cell>
          <cell r="BX274">
            <v>235</v>
          </cell>
          <cell r="BY274">
            <v>1350</v>
          </cell>
          <cell r="BZ274">
            <v>310</v>
          </cell>
          <cell r="CA274">
            <v>55</v>
          </cell>
          <cell r="CB274">
            <v>150</v>
          </cell>
          <cell r="CC274">
            <v>85</v>
          </cell>
          <cell r="CD274">
            <v>30</v>
          </cell>
          <cell r="CE274">
            <v>55</v>
          </cell>
          <cell r="CF274">
            <v>2315</v>
          </cell>
          <cell r="CG274">
            <v>1340</v>
          </cell>
          <cell r="CH274">
            <v>105</v>
          </cell>
          <cell r="CI274">
            <v>90</v>
          </cell>
          <cell r="CJ274">
            <v>5</v>
          </cell>
          <cell r="CK274">
            <v>0</v>
          </cell>
          <cell r="CL274">
            <v>775</v>
          </cell>
          <cell r="CM274">
            <v>5</v>
          </cell>
          <cell r="CN274">
            <v>0</v>
          </cell>
          <cell r="CO274">
            <v>2320</v>
          </cell>
          <cell r="CP274">
            <v>545</v>
          </cell>
          <cell r="CQ274">
            <v>695</v>
          </cell>
          <cell r="CR274">
            <v>375</v>
          </cell>
          <cell r="CS274">
            <v>610</v>
          </cell>
          <cell r="CT274">
            <v>90</v>
          </cell>
          <cell r="CU274">
            <v>6280</v>
          </cell>
          <cell r="CV274">
            <v>2.7</v>
          </cell>
          <cell r="CW274">
            <v>2320</v>
          </cell>
          <cell r="CX274">
            <v>1700</v>
          </cell>
          <cell r="CY274">
            <v>35</v>
          </cell>
          <cell r="CZ274">
            <v>585</v>
          </cell>
        </row>
        <row r="275">
          <cell r="A275" t="str">
            <v>4620513.01</v>
          </cell>
          <cell r="B275" t="str">
            <v>0513.01</v>
          </cell>
          <cell r="C275" t="str">
            <v>Pierrefonds-Roxboro</v>
          </cell>
          <cell r="D275">
            <v>4085</v>
          </cell>
          <cell r="E275">
            <v>1365</v>
          </cell>
          <cell r="F275">
            <v>2105</v>
          </cell>
          <cell r="G275">
            <v>85</v>
          </cell>
          <cell r="H275">
            <v>350</v>
          </cell>
          <cell r="I275">
            <v>180</v>
          </cell>
          <cell r="J275">
            <v>4085</v>
          </cell>
          <cell r="K275">
            <v>3810</v>
          </cell>
          <cell r="L275">
            <v>270</v>
          </cell>
          <cell r="M275">
            <v>1405</v>
          </cell>
          <cell r="N275">
            <v>565</v>
          </cell>
          <cell r="O275">
            <v>275</v>
          </cell>
          <cell r="P275">
            <v>370</v>
          </cell>
          <cell r="Q275">
            <v>195</v>
          </cell>
          <cell r="R275">
            <v>1405</v>
          </cell>
          <cell r="S275">
            <v>1180</v>
          </cell>
          <cell r="T275">
            <v>1045</v>
          </cell>
          <cell r="U275">
            <v>345</v>
          </cell>
          <cell r="V275">
            <v>695</v>
          </cell>
          <cell r="W275">
            <v>195</v>
          </cell>
          <cell r="X275">
            <v>320</v>
          </cell>
          <cell r="Y275">
            <v>180</v>
          </cell>
          <cell r="Z275">
            <v>135</v>
          </cell>
          <cell r="AA275">
            <v>70</v>
          </cell>
          <cell r="AB275">
            <v>65</v>
          </cell>
          <cell r="AC275">
            <v>35</v>
          </cell>
          <cell r="AD275">
            <v>20</v>
          </cell>
          <cell r="AE275">
            <v>10</v>
          </cell>
          <cell r="AF275">
            <v>225</v>
          </cell>
          <cell r="AG275">
            <v>185</v>
          </cell>
          <cell r="AH275">
            <v>125</v>
          </cell>
          <cell r="AI275">
            <v>35</v>
          </cell>
          <cell r="AJ275">
            <v>25</v>
          </cell>
          <cell r="AK275">
            <v>40</v>
          </cell>
          <cell r="AL275">
            <v>20</v>
          </cell>
          <cell r="AM275">
            <v>10</v>
          </cell>
          <cell r="AN275">
            <v>0</v>
          </cell>
          <cell r="AO275">
            <v>1920</v>
          </cell>
          <cell r="AP275">
            <v>310</v>
          </cell>
          <cell r="AQ275">
            <v>675</v>
          </cell>
          <cell r="AR275">
            <v>205</v>
          </cell>
          <cell r="AS275">
            <v>475</v>
          </cell>
          <cell r="AT275">
            <v>250</v>
          </cell>
          <cell r="AU275">
            <v>1.4</v>
          </cell>
          <cell r="AV275">
            <v>5045</v>
          </cell>
          <cell r="AW275">
            <v>540</v>
          </cell>
          <cell r="AX275">
            <v>75</v>
          </cell>
          <cell r="AY275">
            <v>90</v>
          </cell>
          <cell r="AZ275">
            <v>365</v>
          </cell>
          <cell r="BA275">
            <v>4505</v>
          </cell>
          <cell r="BB275">
            <v>3.2</v>
          </cell>
          <cell r="BC275">
            <v>610</v>
          </cell>
          <cell r="BD275">
            <v>175</v>
          </cell>
          <cell r="BE275">
            <v>20</v>
          </cell>
          <cell r="BF275">
            <v>10</v>
          </cell>
          <cell r="BG275">
            <v>140</v>
          </cell>
          <cell r="BH275">
            <v>430</v>
          </cell>
          <cell r="BI275">
            <v>1750</v>
          </cell>
          <cell r="BJ275">
            <v>6.2</v>
          </cell>
          <cell r="BK275">
            <v>10850</v>
          </cell>
          <cell r="BL275">
            <v>2.8</v>
          </cell>
          <cell r="BM275">
            <v>4900</v>
          </cell>
          <cell r="BN275">
            <v>1750</v>
          </cell>
          <cell r="BO275">
            <v>1165</v>
          </cell>
          <cell r="BP275">
            <v>585</v>
          </cell>
          <cell r="BQ275">
            <v>0</v>
          </cell>
          <cell r="BR275">
            <v>1745</v>
          </cell>
          <cell r="BS275">
            <v>1095</v>
          </cell>
          <cell r="BT275">
            <v>580</v>
          </cell>
          <cell r="BU275">
            <v>70</v>
          </cell>
          <cell r="BV275">
            <v>1750</v>
          </cell>
          <cell r="BW275">
            <v>45</v>
          </cell>
          <cell r="BX275">
            <v>115</v>
          </cell>
          <cell r="BY275">
            <v>640</v>
          </cell>
          <cell r="BZ275">
            <v>415</v>
          </cell>
          <cell r="CA275">
            <v>125</v>
          </cell>
          <cell r="CB275">
            <v>155</v>
          </cell>
          <cell r="CC275">
            <v>70</v>
          </cell>
          <cell r="CD275">
            <v>40</v>
          </cell>
          <cell r="CE275">
            <v>140</v>
          </cell>
          <cell r="CF275">
            <v>1750</v>
          </cell>
          <cell r="CG275">
            <v>650</v>
          </cell>
          <cell r="CH275">
            <v>315</v>
          </cell>
          <cell r="CI275">
            <v>215</v>
          </cell>
          <cell r="CJ275">
            <v>5</v>
          </cell>
          <cell r="CK275">
            <v>0</v>
          </cell>
          <cell r="CL275">
            <v>560</v>
          </cell>
          <cell r="CM275">
            <v>5</v>
          </cell>
          <cell r="CN275">
            <v>0</v>
          </cell>
          <cell r="CO275">
            <v>1750</v>
          </cell>
          <cell r="CP275">
            <v>365</v>
          </cell>
          <cell r="CQ275">
            <v>495</v>
          </cell>
          <cell r="CR275">
            <v>285</v>
          </cell>
          <cell r="CS275">
            <v>505</v>
          </cell>
          <cell r="CT275">
            <v>100</v>
          </cell>
          <cell r="CU275">
            <v>5045</v>
          </cell>
          <cell r="CV275">
            <v>2.9</v>
          </cell>
          <cell r="CW275">
            <v>1745</v>
          </cell>
          <cell r="CX275">
            <v>1275</v>
          </cell>
          <cell r="CY275">
            <v>65</v>
          </cell>
          <cell r="CZ275">
            <v>405</v>
          </cell>
        </row>
        <row r="276">
          <cell r="A276" t="str">
            <v>4620513.02</v>
          </cell>
          <cell r="B276" t="str">
            <v>0513.02</v>
          </cell>
          <cell r="C276" t="str">
            <v>Pierrefonds-Roxboro</v>
          </cell>
          <cell r="D276">
            <v>3270</v>
          </cell>
          <cell r="E276">
            <v>980</v>
          </cell>
          <cell r="F276">
            <v>1675</v>
          </cell>
          <cell r="G276">
            <v>75</v>
          </cell>
          <cell r="H276">
            <v>330</v>
          </cell>
          <cell r="I276">
            <v>215</v>
          </cell>
          <cell r="J276">
            <v>3270</v>
          </cell>
          <cell r="K276">
            <v>3055</v>
          </cell>
          <cell r="L276">
            <v>215</v>
          </cell>
          <cell r="M276">
            <v>1070</v>
          </cell>
          <cell r="N276">
            <v>445</v>
          </cell>
          <cell r="O276">
            <v>220</v>
          </cell>
          <cell r="P276">
            <v>240</v>
          </cell>
          <cell r="Q276">
            <v>165</v>
          </cell>
          <cell r="R276">
            <v>1070</v>
          </cell>
          <cell r="S276">
            <v>935</v>
          </cell>
          <cell r="T276">
            <v>830</v>
          </cell>
          <cell r="U276">
            <v>315</v>
          </cell>
          <cell r="V276">
            <v>520</v>
          </cell>
          <cell r="W276">
            <v>155</v>
          </cell>
          <cell r="X276">
            <v>205</v>
          </cell>
          <cell r="Y276">
            <v>155</v>
          </cell>
          <cell r="Z276">
            <v>105</v>
          </cell>
          <cell r="AA276">
            <v>55</v>
          </cell>
          <cell r="AB276">
            <v>50</v>
          </cell>
          <cell r="AC276">
            <v>20</v>
          </cell>
          <cell r="AD276">
            <v>20</v>
          </cell>
          <cell r="AE276">
            <v>0</v>
          </cell>
          <cell r="AF276">
            <v>130</v>
          </cell>
          <cell r="AG276">
            <v>110</v>
          </cell>
          <cell r="AH276">
            <v>60</v>
          </cell>
          <cell r="AI276">
            <v>40</v>
          </cell>
          <cell r="AJ276">
            <v>10</v>
          </cell>
          <cell r="AK276">
            <v>15</v>
          </cell>
          <cell r="AL276">
            <v>15</v>
          </cell>
          <cell r="AM276">
            <v>0</v>
          </cell>
          <cell r="AN276">
            <v>0</v>
          </cell>
          <cell r="AO276">
            <v>1395</v>
          </cell>
          <cell r="AP276">
            <v>250</v>
          </cell>
          <cell r="AQ276">
            <v>505</v>
          </cell>
          <cell r="AR276">
            <v>135</v>
          </cell>
          <cell r="AS276">
            <v>295</v>
          </cell>
          <cell r="AT276">
            <v>200</v>
          </cell>
          <cell r="AU276">
            <v>1.3</v>
          </cell>
          <cell r="AV276">
            <v>4035</v>
          </cell>
          <cell r="AW276">
            <v>630</v>
          </cell>
          <cell r="AX276">
            <v>60</v>
          </cell>
          <cell r="AY276">
            <v>20</v>
          </cell>
          <cell r="AZ276">
            <v>550</v>
          </cell>
          <cell r="BA276">
            <v>3405</v>
          </cell>
          <cell r="BB276">
            <v>3.2</v>
          </cell>
          <cell r="BC276">
            <v>615</v>
          </cell>
          <cell r="BD276">
            <v>245</v>
          </cell>
          <cell r="BE276">
            <v>25</v>
          </cell>
          <cell r="BF276">
            <v>0</v>
          </cell>
          <cell r="BG276">
            <v>225</v>
          </cell>
          <cell r="BH276">
            <v>370</v>
          </cell>
          <cell r="BI276">
            <v>1615</v>
          </cell>
          <cell r="BJ276">
            <v>5.5</v>
          </cell>
          <cell r="BK276">
            <v>8882.5</v>
          </cell>
          <cell r="BL276">
            <v>2.2999999999999998</v>
          </cell>
          <cell r="BM276">
            <v>3714.4999999999995</v>
          </cell>
          <cell r="BN276">
            <v>1620</v>
          </cell>
          <cell r="BO276">
            <v>770</v>
          </cell>
          <cell r="BP276">
            <v>845</v>
          </cell>
          <cell r="BQ276">
            <v>0</v>
          </cell>
          <cell r="BR276">
            <v>1615</v>
          </cell>
          <cell r="BS276">
            <v>935</v>
          </cell>
          <cell r="BT276">
            <v>445</v>
          </cell>
          <cell r="BU276">
            <v>230</v>
          </cell>
          <cell r="BV276">
            <v>1620</v>
          </cell>
          <cell r="BW276">
            <v>25</v>
          </cell>
          <cell r="BX276">
            <v>50</v>
          </cell>
          <cell r="BY276">
            <v>735</v>
          </cell>
          <cell r="BZ276">
            <v>475</v>
          </cell>
          <cell r="CA276">
            <v>85</v>
          </cell>
          <cell r="CB276">
            <v>135</v>
          </cell>
          <cell r="CC276">
            <v>60</v>
          </cell>
          <cell r="CD276">
            <v>10</v>
          </cell>
          <cell r="CE276">
            <v>35</v>
          </cell>
          <cell r="CF276">
            <v>1615</v>
          </cell>
          <cell r="CG276">
            <v>615</v>
          </cell>
          <cell r="CH276">
            <v>40</v>
          </cell>
          <cell r="CI276">
            <v>55</v>
          </cell>
          <cell r="CJ276">
            <v>0</v>
          </cell>
          <cell r="CK276">
            <v>175</v>
          </cell>
          <cell r="CL276">
            <v>730</v>
          </cell>
          <cell r="CM276">
            <v>0</v>
          </cell>
          <cell r="CN276">
            <v>0</v>
          </cell>
          <cell r="CO276">
            <v>1620</v>
          </cell>
          <cell r="CP276">
            <v>550</v>
          </cell>
          <cell r="CQ276">
            <v>425</v>
          </cell>
          <cell r="CR276">
            <v>215</v>
          </cell>
          <cell r="CS276">
            <v>345</v>
          </cell>
          <cell r="CT276">
            <v>75</v>
          </cell>
          <cell r="CU276">
            <v>4035</v>
          </cell>
          <cell r="CV276">
            <v>2.5</v>
          </cell>
          <cell r="CW276">
            <v>1615</v>
          </cell>
          <cell r="CX276">
            <v>1020</v>
          </cell>
          <cell r="CY276">
            <v>20</v>
          </cell>
          <cell r="CZ276">
            <v>575</v>
          </cell>
        </row>
        <row r="277">
          <cell r="A277" t="str">
            <v>4620514.01</v>
          </cell>
          <cell r="B277" t="str">
            <v>0514.01</v>
          </cell>
          <cell r="C277" t="str">
            <v>Pierrefonds-Roxboro</v>
          </cell>
          <cell r="D277">
            <v>5035</v>
          </cell>
          <cell r="E277">
            <v>1715</v>
          </cell>
          <cell r="F277">
            <v>2425</v>
          </cell>
          <cell r="G277">
            <v>95</v>
          </cell>
          <cell r="H277">
            <v>465</v>
          </cell>
          <cell r="I277">
            <v>335</v>
          </cell>
          <cell r="J277">
            <v>5035</v>
          </cell>
          <cell r="K277">
            <v>4575</v>
          </cell>
          <cell r="L277">
            <v>460</v>
          </cell>
          <cell r="M277">
            <v>1795</v>
          </cell>
          <cell r="N277">
            <v>840</v>
          </cell>
          <cell r="O277">
            <v>410</v>
          </cell>
          <cell r="P277">
            <v>380</v>
          </cell>
          <cell r="Q277">
            <v>165</v>
          </cell>
          <cell r="R277">
            <v>1795</v>
          </cell>
          <cell r="S277">
            <v>1425</v>
          </cell>
          <cell r="T277">
            <v>1200</v>
          </cell>
          <cell r="U277">
            <v>485</v>
          </cell>
          <cell r="V277">
            <v>715</v>
          </cell>
          <cell r="W277">
            <v>230</v>
          </cell>
          <cell r="X277">
            <v>340</v>
          </cell>
          <cell r="Y277">
            <v>145</v>
          </cell>
          <cell r="Z277">
            <v>220</v>
          </cell>
          <cell r="AA277">
            <v>130</v>
          </cell>
          <cell r="AB277">
            <v>90</v>
          </cell>
          <cell r="AC277">
            <v>60</v>
          </cell>
          <cell r="AD277">
            <v>15</v>
          </cell>
          <cell r="AE277">
            <v>10</v>
          </cell>
          <cell r="AF277">
            <v>370</v>
          </cell>
          <cell r="AG277">
            <v>280</v>
          </cell>
          <cell r="AH277">
            <v>180</v>
          </cell>
          <cell r="AI277">
            <v>75</v>
          </cell>
          <cell r="AJ277">
            <v>25</v>
          </cell>
          <cell r="AK277">
            <v>95</v>
          </cell>
          <cell r="AL277">
            <v>40</v>
          </cell>
          <cell r="AM277">
            <v>40</v>
          </cell>
          <cell r="AN277">
            <v>10</v>
          </cell>
          <cell r="AO277">
            <v>2080</v>
          </cell>
          <cell r="AP277">
            <v>350</v>
          </cell>
          <cell r="AQ277">
            <v>735</v>
          </cell>
          <cell r="AR277">
            <v>225</v>
          </cell>
          <cell r="AS277">
            <v>495</v>
          </cell>
          <cell r="AT277">
            <v>275</v>
          </cell>
          <cell r="AU277">
            <v>1.2</v>
          </cell>
          <cell r="AV277">
            <v>6050</v>
          </cell>
          <cell r="AW277">
            <v>750</v>
          </cell>
          <cell r="AX277">
            <v>95</v>
          </cell>
          <cell r="AY277">
            <v>60</v>
          </cell>
          <cell r="AZ277">
            <v>590</v>
          </cell>
          <cell r="BA277">
            <v>5300</v>
          </cell>
          <cell r="BB277">
            <v>3</v>
          </cell>
          <cell r="BC277">
            <v>815</v>
          </cell>
          <cell r="BD277">
            <v>225</v>
          </cell>
          <cell r="BE277">
            <v>40</v>
          </cell>
          <cell r="BF277">
            <v>10</v>
          </cell>
          <cell r="BG277">
            <v>180</v>
          </cell>
          <cell r="BH277">
            <v>585</v>
          </cell>
          <cell r="BI277">
            <v>2360</v>
          </cell>
          <cell r="BJ277">
            <v>6.4</v>
          </cell>
          <cell r="BK277">
            <v>15104</v>
          </cell>
          <cell r="BL277">
            <v>2.8</v>
          </cell>
          <cell r="BM277">
            <v>6608</v>
          </cell>
          <cell r="BN277">
            <v>2360</v>
          </cell>
          <cell r="BO277">
            <v>1710</v>
          </cell>
          <cell r="BP277">
            <v>655</v>
          </cell>
          <cell r="BQ277">
            <v>0</v>
          </cell>
          <cell r="BR277">
            <v>2360</v>
          </cell>
          <cell r="BS277">
            <v>1555</v>
          </cell>
          <cell r="BT277">
            <v>715</v>
          </cell>
          <cell r="BU277">
            <v>90</v>
          </cell>
          <cell r="BV277">
            <v>2360</v>
          </cell>
          <cell r="BW277">
            <v>15</v>
          </cell>
          <cell r="BX277">
            <v>450</v>
          </cell>
          <cell r="BY277">
            <v>705</v>
          </cell>
          <cell r="BZ277">
            <v>215</v>
          </cell>
          <cell r="CA277">
            <v>105</v>
          </cell>
          <cell r="CB277">
            <v>295</v>
          </cell>
          <cell r="CC277">
            <v>130</v>
          </cell>
          <cell r="CD277">
            <v>75</v>
          </cell>
          <cell r="CE277">
            <v>375</v>
          </cell>
          <cell r="CF277">
            <v>2365</v>
          </cell>
          <cell r="CG277">
            <v>1270</v>
          </cell>
          <cell r="CH277">
            <v>130</v>
          </cell>
          <cell r="CI277">
            <v>50</v>
          </cell>
          <cell r="CJ277">
            <v>10</v>
          </cell>
          <cell r="CK277">
            <v>0</v>
          </cell>
          <cell r="CL277">
            <v>905</v>
          </cell>
          <cell r="CM277">
            <v>0</v>
          </cell>
          <cell r="CN277">
            <v>5</v>
          </cell>
          <cell r="CO277">
            <v>2365</v>
          </cell>
          <cell r="CP277">
            <v>590</v>
          </cell>
          <cell r="CQ277">
            <v>785</v>
          </cell>
          <cell r="CR277">
            <v>390</v>
          </cell>
          <cell r="CS277">
            <v>530</v>
          </cell>
          <cell r="CT277">
            <v>70</v>
          </cell>
          <cell r="CU277">
            <v>6050</v>
          </cell>
          <cell r="CV277">
            <v>2.6</v>
          </cell>
          <cell r="CW277">
            <v>2360</v>
          </cell>
          <cell r="CX277">
            <v>1700</v>
          </cell>
          <cell r="CY277">
            <v>40</v>
          </cell>
          <cell r="CZ277">
            <v>620</v>
          </cell>
        </row>
        <row r="278">
          <cell r="A278" t="str">
            <v>4620514.02</v>
          </cell>
          <cell r="B278" t="str">
            <v>0514.02</v>
          </cell>
          <cell r="C278" t="str">
            <v>Pierrefonds-Roxboro</v>
          </cell>
          <cell r="D278">
            <v>4850</v>
          </cell>
          <cell r="E278">
            <v>1635</v>
          </cell>
          <cell r="F278">
            <v>2585</v>
          </cell>
          <cell r="G278">
            <v>95</v>
          </cell>
          <cell r="H278">
            <v>345</v>
          </cell>
          <cell r="I278">
            <v>190</v>
          </cell>
          <cell r="J278">
            <v>4845</v>
          </cell>
          <cell r="K278">
            <v>4405</v>
          </cell>
          <cell r="L278">
            <v>440</v>
          </cell>
          <cell r="M278">
            <v>1780</v>
          </cell>
          <cell r="N278">
            <v>655</v>
          </cell>
          <cell r="O278">
            <v>480</v>
          </cell>
          <cell r="P278">
            <v>440</v>
          </cell>
          <cell r="Q278">
            <v>210</v>
          </cell>
          <cell r="R278">
            <v>1780</v>
          </cell>
          <cell r="S278">
            <v>1515</v>
          </cell>
          <cell r="T278">
            <v>1290</v>
          </cell>
          <cell r="U278">
            <v>355</v>
          </cell>
          <cell r="V278">
            <v>930</v>
          </cell>
          <cell r="W278">
            <v>360</v>
          </cell>
          <cell r="X278">
            <v>400</v>
          </cell>
          <cell r="Y278">
            <v>170</v>
          </cell>
          <cell r="Z278">
            <v>225</v>
          </cell>
          <cell r="AA278">
            <v>130</v>
          </cell>
          <cell r="AB278">
            <v>95</v>
          </cell>
          <cell r="AC278">
            <v>35</v>
          </cell>
          <cell r="AD278">
            <v>20</v>
          </cell>
          <cell r="AE278">
            <v>40</v>
          </cell>
          <cell r="AF278">
            <v>260</v>
          </cell>
          <cell r="AG278">
            <v>215</v>
          </cell>
          <cell r="AH278">
            <v>130</v>
          </cell>
          <cell r="AI278">
            <v>75</v>
          </cell>
          <cell r="AJ278">
            <v>15</v>
          </cell>
          <cell r="AK278">
            <v>40</v>
          </cell>
          <cell r="AL278">
            <v>35</v>
          </cell>
          <cell r="AM278">
            <v>10</v>
          </cell>
          <cell r="AN278">
            <v>0</v>
          </cell>
          <cell r="AO278">
            <v>2335</v>
          </cell>
          <cell r="AP278">
            <v>410</v>
          </cell>
          <cell r="AQ278">
            <v>915</v>
          </cell>
          <cell r="AR278">
            <v>290</v>
          </cell>
          <cell r="AS278">
            <v>475</v>
          </cell>
          <cell r="AT278">
            <v>240</v>
          </cell>
          <cell r="AU278">
            <v>1.3</v>
          </cell>
          <cell r="AV278">
            <v>6145</v>
          </cell>
          <cell r="AW278">
            <v>520</v>
          </cell>
          <cell r="AX278">
            <v>100</v>
          </cell>
          <cell r="AY278">
            <v>85</v>
          </cell>
          <cell r="AZ278">
            <v>330</v>
          </cell>
          <cell r="BA278">
            <v>5630</v>
          </cell>
          <cell r="BB278">
            <v>3.2</v>
          </cell>
          <cell r="BC278">
            <v>560</v>
          </cell>
          <cell r="BD278">
            <v>115</v>
          </cell>
          <cell r="BE278">
            <v>20</v>
          </cell>
          <cell r="BF278">
            <v>10</v>
          </cell>
          <cell r="BG278">
            <v>90</v>
          </cell>
          <cell r="BH278">
            <v>440</v>
          </cell>
          <cell r="BI278">
            <v>2105</v>
          </cell>
          <cell r="BJ278">
            <v>6.8</v>
          </cell>
          <cell r="BK278">
            <v>14314</v>
          </cell>
          <cell r="BL278">
            <v>3</v>
          </cell>
          <cell r="BM278">
            <v>6315</v>
          </cell>
          <cell r="BN278">
            <v>2105</v>
          </cell>
          <cell r="BO278">
            <v>1620</v>
          </cell>
          <cell r="BP278">
            <v>490</v>
          </cell>
          <cell r="BQ278">
            <v>0</v>
          </cell>
          <cell r="BR278">
            <v>2105</v>
          </cell>
          <cell r="BS278">
            <v>1345</v>
          </cell>
          <cell r="BT278">
            <v>665</v>
          </cell>
          <cell r="BU278">
            <v>95</v>
          </cell>
          <cell r="BV278">
            <v>2105</v>
          </cell>
          <cell r="BW278">
            <v>0</v>
          </cell>
          <cell r="BX278">
            <v>175</v>
          </cell>
          <cell r="BY278">
            <v>460</v>
          </cell>
          <cell r="BZ278">
            <v>440</v>
          </cell>
          <cell r="CA278">
            <v>215</v>
          </cell>
          <cell r="CB278">
            <v>235</v>
          </cell>
          <cell r="CC278">
            <v>275</v>
          </cell>
          <cell r="CD278">
            <v>135</v>
          </cell>
          <cell r="CE278">
            <v>155</v>
          </cell>
          <cell r="CF278">
            <v>2105</v>
          </cell>
          <cell r="CG278">
            <v>1405</v>
          </cell>
          <cell r="CH278">
            <v>65</v>
          </cell>
          <cell r="CI278">
            <v>150</v>
          </cell>
          <cell r="CJ278">
            <v>5</v>
          </cell>
          <cell r="CK278">
            <v>5</v>
          </cell>
          <cell r="CL278">
            <v>485</v>
          </cell>
          <cell r="CM278">
            <v>5</v>
          </cell>
          <cell r="CN278">
            <v>0</v>
          </cell>
          <cell r="CO278">
            <v>2105</v>
          </cell>
          <cell r="CP278">
            <v>330</v>
          </cell>
          <cell r="CQ278">
            <v>600</v>
          </cell>
          <cell r="CR278">
            <v>440</v>
          </cell>
          <cell r="CS278">
            <v>650</v>
          </cell>
          <cell r="CT278">
            <v>85</v>
          </cell>
          <cell r="CU278">
            <v>6150</v>
          </cell>
          <cell r="CV278">
            <v>2.9</v>
          </cell>
          <cell r="CW278">
            <v>2105</v>
          </cell>
          <cell r="CX278">
            <v>1675</v>
          </cell>
          <cell r="CY278">
            <v>55</v>
          </cell>
          <cell r="CZ278">
            <v>380</v>
          </cell>
        </row>
        <row r="279">
          <cell r="A279" t="str">
            <v>4620515.01</v>
          </cell>
          <cell r="B279" t="str">
            <v>0515.01</v>
          </cell>
          <cell r="C279" t="str">
            <v>Pierrefonds-Roxboro</v>
          </cell>
          <cell r="D279">
            <v>3620</v>
          </cell>
          <cell r="E279">
            <v>1165</v>
          </cell>
          <cell r="F279">
            <v>1965</v>
          </cell>
          <cell r="G279">
            <v>60</v>
          </cell>
          <cell r="H279">
            <v>265</v>
          </cell>
          <cell r="I279">
            <v>170</v>
          </cell>
          <cell r="J279">
            <v>3620</v>
          </cell>
          <cell r="K279">
            <v>3260</v>
          </cell>
          <cell r="L279">
            <v>365</v>
          </cell>
          <cell r="M279">
            <v>1295</v>
          </cell>
          <cell r="N279">
            <v>430</v>
          </cell>
          <cell r="O279">
            <v>315</v>
          </cell>
          <cell r="P279">
            <v>405</v>
          </cell>
          <cell r="Q279">
            <v>145</v>
          </cell>
          <cell r="R279">
            <v>1295</v>
          </cell>
          <cell r="S279">
            <v>1145</v>
          </cell>
          <cell r="T279">
            <v>960</v>
          </cell>
          <cell r="U279">
            <v>290</v>
          </cell>
          <cell r="V279">
            <v>665</v>
          </cell>
          <cell r="W279">
            <v>185</v>
          </cell>
          <cell r="X279">
            <v>360</v>
          </cell>
          <cell r="Y279">
            <v>125</v>
          </cell>
          <cell r="Z279">
            <v>180</v>
          </cell>
          <cell r="AA279">
            <v>70</v>
          </cell>
          <cell r="AB279">
            <v>110</v>
          </cell>
          <cell r="AC279">
            <v>55</v>
          </cell>
          <cell r="AD279">
            <v>40</v>
          </cell>
          <cell r="AE279">
            <v>20</v>
          </cell>
          <cell r="AF279">
            <v>155</v>
          </cell>
          <cell r="AG279">
            <v>135</v>
          </cell>
          <cell r="AH279">
            <v>60</v>
          </cell>
          <cell r="AI279">
            <v>70</v>
          </cell>
          <cell r="AJ279">
            <v>10</v>
          </cell>
          <cell r="AK279">
            <v>20</v>
          </cell>
          <cell r="AL279">
            <v>10</v>
          </cell>
          <cell r="AM279">
            <v>10</v>
          </cell>
          <cell r="AN279">
            <v>0</v>
          </cell>
          <cell r="AO279">
            <v>1760</v>
          </cell>
          <cell r="AP279">
            <v>440</v>
          </cell>
          <cell r="AQ279">
            <v>770</v>
          </cell>
          <cell r="AR279">
            <v>210</v>
          </cell>
          <cell r="AS279">
            <v>250</v>
          </cell>
          <cell r="AT279">
            <v>90</v>
          </cell>
          <cell r="AU279">
            <v>1.4</v>
          </cell>
          <cell r="AV279">
            <v>4575</v>
          </cell>
          <cell r="AW279">
            <v>375</v>
          </cell>
          <cell r="AX279">
            <v>80</v>
          </cell>
          <cell r="AY279">
            <v>40</v>
          </cell>
          <cell r="AZ279">
            <v>250</v>
          </cell>
          <cell r="BA279">
            <v>4200</v>
          </cell>
          <cell r="BB279">
            <v>3.2</v>
          </cell>
          <cell r="BC279">
            <v>275</v>
          </cell>
          <cell r="BD279">
            <v>110</v>
          </cell>
          <cell r="BE279">
            <v>50</v>
          </cell>
          <cell r="BF279">
            <v>0</v>
          </cell>
          <cell r="BG279">
            <v>65</v>
          </cell>
          <cell r="BH279">
            <v>160</v>
          </cell>
          <cell r="BI279">
            <v>1550</v>
          </cell>
          <cell r="BJ279">
            <v>7</v>
          </cell>
          <cell r="BK279">
            <v>10850</v>
          </cell>
          <cell r="BL279">
            <v>3</v>
          </cell>
          <cell r="BM279">
            <v>4650</v>
          </cell>
          <cell r="BN279">
            <v>1550</v>
          </cell>
          <cell r="BO279">
            <v>1265</v>
          </cell>
          <cell r="BP279">
            <v>280</v>
          </cell>
          <cell r="BQ279">
            <v>0</v>
          </cell>
          <cell r="BR279">
            <v>1545</v>
          </cell>
          <cell r="BS279">
            <v>1140</v>
          </cell>
          <cell r="BT279">
            <v>320</v>
          </cell>
          <cell r="BU279">
            <v>80</v>
          </cell>
          <cell r="BV279">
            <v>1545</v>
          </cell>
          <cell r="BW279">
            <v>50</v>
          </cell>
          <cell r="BX279">
            <v>120</v>
          </cell>
          <cell r="BY279">
            <v>45</v>
          </cell>
          <cell r="BZ279">
            <v>155</v>
          </cell>
          <cell r="CA279">
            <v>85</v>
          </cell>
          <cell r="CB279">
            <v>190</v>
          </cell>
          <cell r="CC279">
            <v>205</v>
          </cell>
          <cell r="CD279">
            <v>250</v>
          </cell>
          <cell r="CE279">
            <v>445</v>
          </cell>
          <cell r="CF279">
            <v>1545</v>
          </cell>
          <cell r="CG279">
            <v>1110</v>
          </cell>
          <cell r="CH279">
            <v>115</v>
          </cell>
          <cell r="CI279">
            <v>70</v>
          </cell>
          <cell r="CJ279">
            <v>10</v>
          </cell>
          <cell r="CK279">
            <v>0</v>
          </cell>
          <cell r="CL279">
            <v>235</v>
          </cell>
          <cell r="CM279">
            <v>0</v>
          </cell>
          <cell r="CN279">
            <v>0</v>
          </cell>
          <cell r="CO279">
            <v>1545</v>
          </cell>
          <cell r="CP279">
            <v>255</v>
          </cell>
          <cell r="CQ279">
            <v>405</v>
          </cell>
          <cell r="CR279">
            <v>295</v>
          </cell>
          <cell r="CS279">
            <v>540</v>
          </cell>
          <cell r="CT279">
            <v>50</v>
          </cell>
          <cell r="CU279">
            <v>4580</v>
          </cell>
          <cell r="CV279">
            <v>3</v>
          </cell>
          <cell r="CW279">
            <v>1550</v>
          </cell>
          <cell r="CX279">
            <v>1275</v>
          </cell>
          <cell r="CY279">
            <v>10</v>
          </cell>
          <cell r="CZ279">
            <v>260</v>
          </cell>
        </row>
        <row r="280">
          <cell r="A280" t="str">
            <v>4620515.02</v>
          </cell>
          <cell r="B280" t="str">
            <v>0515.02</v>
          </cell>
          <cell r="C280" t="str">
            <v>Pierrefonds-Roxboro</v>
          </cell>
          <cell r="D280">
            <v>3180</v>
          </cell>
          <cell r="E280">
            <v>1065</v>
          </cell>
          <cell r="F280">
            <v>1635</v>
          </cell>
          <cell r="G280">
            <v>85</v>
          </cell>
          <cell r="H280">
            <v>275</v>
          </cell>
          <cell r="I280">
            <v>120</v>
          </cell>
          <cell r="J280">
            <v>3180</v>
          </cell>
          <cell r="K280">
            <v>2775</v>
          </cell>
          <cell r="L280">
            <v>405</v>
          </cell>
          <cell r="M280">
            <v>1200</v>
          </cell>
          <cell r="N280">
            <v>395</v>
          </cell>
          <cell r="O280">
            <v>310</v>
          </cell>
          <cell r="P280">
            <v>390</v>
          </cell>
          <cell r="Q280">
            <v>100</v>
          </cell>
          <cell r="R280">
            <v>1200</v>
          </cell>
          <cell r="S280">
            <v>1000</v>
          </cell>
          <cell r="T280">
            <v>800</v>
          </cell>
          <cell r="U280">
            <v>155</v>
          </cell>
          <cell r="V280">
            <v>645</v>
          </cell>
          <cell r="W280">
            <v>205</v>
          </cell>
          <cell r="X280">
            <v>345</v>
          </cell>
          <cell r="Y280">
            <v>95</v>
          </cell>
          <cell r="Z280">
            <v>200</v>
          </cell>
          <cell r="AA280">
            <v>100</v>
          </cell>
          <cell r="AB280">
            <v>100</v>
          </cell>
          <cell r="AC280">
            <v>50</v>
          </cell>
          <cell r="AD280">
            <v>45</v>
          </cell>
          <cell r="AE280">
            <v>10</v>
          </cell>
          <cell r="AF280">
            <v>200</v>
          </cell>
          <cell r="AG280">
            <v>160</v>
          </cell>
          <cell r="AH280">
            <v>110</v>
          </cell>
          <cell r="AI280">
            <v>45</v>
          </cell>
          <cell r="AJ280">
            <v>10</v>
          </cell>
          <cell r="AK280">
            <v>35</v>
          </cell>
          <cell r="AL280">
            <v>25</v>
          </cell>
          <cell r="AM280">
            <v>15</v>
          </cell>
          <cell r="AN280">
            <v>0</v>
          </cell>
          <cell r="AO280">
            <v>1615</v>
          </cell>
          <cell r="AP280">
            <v>395</v>
          </cell>
          <cell r="AQ280">
            <v>680</v>
          </cell>
          <cell r="AR280">
            <v>185</v>
          </cell>
          <cell r="AS280">
            <v>265</v>
          </cell>
          <cell r="AT280">
            <v>85</v>
          </cell>
          <cell r="AU280">
            <v>1.3</v>
          </cell>
          <cell r="AV280">
            <v>4190</v>
          </cell>
          <cell r="AW280">
            <v>370</v>
          </cell>
          <cell r="AX280">
            <v>40</v>
          </cell>
          <cell r="AY280">
            <v>50</v>
          </cell>
          <cell r="AZ280">
            <v>280</v>
          </cell>
          <cell r="BA280">
            <v>3820</v>
          </cell>
          <cell r="BB280">
            <v>3.2</v>
          </cell>
          <cell r="BC280">
            <v>170</v>
          </cell>
          <cell r="BD280">
            <v>45</v>
          </cell>
          <cell r="BE280">
            <v>30</v>
          </cell>
          <cell r="BF280">
            <v>0</v>
          </cell>
          <cell r="BG280">
            <v>15</v>
          </cell>
          <cell r="BH280">
            <v>125</v>
          </cell>
          <cell r="BI280">
            <v>1475</v>
          </cell>
          <cell r="BJ280">
            <v>6.6</v>
          </cell>
          <cell r="BK280">
            <v>9735</v>
          </cell>
          <cell r="BL280">
            <v>2.8</v>
          </cell>
          <cell r="BM280">
            <v>4130</v>
          </cell>
          <cell r="BN280">
            <v>1475</v>
          </cell>
          <cell r="BO280">
            <v>1040</v>
          </cell>
          <cell r="BP280">
            <v>440</v>
          </cell>
          <cell r="BQ280">
            <v>0</v>
          </cell>
          <cell r="BR280">
            <v>1475</v>
          </cell>
          <cell r="BS280">
            <v>1045</v>
          </cell>
          <cell r="BT280">
            <v>385</v>
          </cell>
          <cell r="BU280">
            <v>45</v>
          </cell>
          <cell r="BV280">
            <v>1475</v>
          </cell>
          <cell r="BW280">
            <v>0</v>
          </cell>
          <cell r="BX280">
            <v>0</v>
          </cell>
          <cell r="BY280">
            <v>10</v>
          </cell>
          <cell r="BZ280">
            <v>125</v>
          </cell>
          <cell r="CA280">
            <v>100</v>
          </cell>
          <cell r="CB280">
            <v>415</v>
          </cell>
          <cell r="CC280">
            <v>465</v>
          </cell>
          <cell r="CD280">
            <v>85</v>
          </cell>
          <cell r="CE280">
            <v>270</v>
          </cell>
          <cell r="CF280">
            <v>1475</v>
          </cell>
          <cell r="CG280">
            <v>695</v>
          </cell>
          <cell r="CH280">
            <v>40</v>
          </cell>
          <cell r="CI280">
            <v>245</v>
          </cell>
          <cell r="CJ280">
            <v>0</v>
          </cell>
          <cell r="CK280">
            <v>5</v>
          </cell>
          <cell r="CL280">
            <v>490</v>
          </cell>
          <cell r="CM280">
            <v>5</v>
          </cell>
          <cell r="CN280">
            <v>0</v>
          </cell>
          <cell r="CO280">
            <v>1475</v>
          </cell>
          <cell r="CP280">
            <v>280</v>
          </cell>
          <cell r="CQ280">
            <v>360</v>
          </cell>
          <cell r="CR280">
            <v>320</v>
          </cell>
          <cell r="CS280">
            <v>475</v>
          </cell>
          <cell r="CT280">
            <v>35</v>
          </cell>
          <cell r="CU280">
            <v>4190</v>
          </cell>
          <cell r="CV280">
            <v>2.8</v>
          </cell>
          <cell r="CW280">
            <v>1475</v>
          </cell>
          <cell r="CX280">
            <v>1155</v>
          </cell>
          <cell r="CY280">
            <v>25</v>
          </cell>
          <cell r="CZ280">
            <v>300</v>
          </cell>
        </row>
        <row r="281">
          <cell r="A281" t="str">
            <v>4620515.03</v>
          </cell>
          <cell r="B281" t="str">
            <v>0515.03</v>
          </cell>
          <cell r="C281" t="str">
            <v>Pierrefonds-Roxboro</v>
          </cell>
          <cell r="D281">
            <v>2755</v>
          </cell>
          <cell r="E281">
            <v>950</v>
          </cell>
          <cell r="F281">
            <v>1490</v>
          </cell>
          <cell r="G281">
            <v>50</v>
          </cell>
          <cell r="H281">
            <v>175</v>
          </cell>
          <cell r="I281">
            <v>95</v>
          </cell>
          <cell r="J281">
            <v>2755</v>
          </cell>
          <cell r="K281">
            <v>2520</v>
          </cell>
          <cell r="L281">
            <v>240</v>
          </cell>
          <cell r="M281">
            <v>1015</v>
          </cell>
          <cell r="N281">
            <v>405</v>
          </cell>
          <cell r="O281">
            <v>265</v>
          </cell>
          <cell r="P281">
            <v>250</v>
          </cell>
          <cell r="Q281">
            <v>90</v>
          </cell>
          <cell r="R281">
            <v>1015</v>
          </cell>
          <cell r="S281">
            <v>855</v>
          </cell>
          <cell r="T281">
            <v>755</v>
          </cell>
          <cell r="U281">
            <v>275</v>
          </cell>
          <cell r="V281">
            <v>475</v>
          </cell>
          <cell r="W281">
            <v>175</v>
          </cell>
          <cell r="X281">
            <v>215</v>
          </cell>
          <cell r="Y281">
            <v>80</v>
          </cell>
          <cell r="Z281">
            <v>100</v>
          </cell>
          <cell r="AA281">
            <v>45</v>
          </cell>
          <cell r="AB281">
            <v>55</v>
          </cell>
          <cell r="AC281">
            <v>30</v>
          </cell>
          <cell r="AD281">
            <v>25</v>
          </cell>
          <cell r="AE281">
            <v>10</v>
          </cell>
          <cell r="AF281">
            <v>160</v>
          </cell>
          <cell r="AG281">
            <v>125</v>
          </cell>
          <cell r="AH281">
            <v>70</v>
          </cell>
          <cell r="AI281">
            <v>45</v>
          </cell>
          <cell r="AJ281">
            <v>0</v>
          </cell>
          <cell r="AK281">
            <v>40</v>
          </cell>
          <cell r="AL281">
            <v>15</v>
          </cell>
          <cell r="AM281">
            <v>15</v>
          </cell>
          <cell r="AN281">
            <v>0</v>
          </cell>
          <cell r="AO281">
            <v>1200</v>
          </cell>
          <cell r="AP281">
            <v>165</v>
          </cell>
          <cell r="AQ281">
            <v>475</v>
          </cell>
          <cell r="AR281">
            <v>215</v>
          </cell>
          <cell r="AS281">
            <v>280</v>
          </cell>
          <cell r="AT281">
            <v>70</v>
          </cell>
          <cell r="AU281">
            <v>1.2</v>
          </cell>
          <cell r="AV281">
            <v>3430</v>
          </cell>
          <cell r="AW281">
            <v>360</v>
          </cell>
          <cell r="AX281">
            <v>120</v>
          </cell>
          <cell r="AY281">
            <v>55</v>
          </cell>
          <cell r="AZ281">
            <v>175</v>
          </cell>
          <cell r="BA281">
            <v>3070</v>
          </cell>
          <cell r="BB281">
            <v>3</v>
          </cell>
          <cell r="BC281">
            <v>305</v>
          </cell>
          <cell r="BD281">
            <v>110</v>
          </cell>
          <cell r="BE281">
            <v>50</v>
          </cell>
          <cell r="BF281">
            <v>0</v>
          </cell>
          <cell r="BG281">
            <v>55</v>
          </cell>
          <cell r="BH281">
            <v>195</v>
          </cell>
          <cell r="BI281">
            <v>1195</v>
          </cell>
          <cell r="BJ281">
            <v>7.2</v>
          </cell>
          <cell r="BK281">
            <v>8604</v>
          </cell>
          <cell r="BL281">
            <v>3</v>
          </cell>
          <cell r="BM281">
            <v>3585</v>
          </cell>
          <cell r="BN281">
            <v>1195</v>
          </cell>
          <cell r="BO281">
            <v>1050</v>
          </cell>
          <cell r="BP281">
            <v>145</v>
          </cell>
          <cell r="BQ281">
            <v>0</v>
          </cell>
          <cell r="BR281">
            <v>1195</v>
          </cell>
          <cell r="BS281">
            <v>785</v>
          </cell>
          <cell r="BT281">
            <v>345</v>
          </cell>
          <cell r="BU281">
            <v>60</v>
          </cell>
          <cell r="BV281">
            <v>1195</v>
          </cell>
          <cell r="BW281">
            <v>0</v>
          </cell>
          <cell r="BX281">
            <v>185</v>
          </cell>
          <cell r="BY281">
            <v>200</v>
          </cell>
          <cell r="BZ281">
            <v>170</v>
          </cell>
          <cell r="CA281">
            <v>195</v>
          </cell>
          <cell r="CB281">
            <v>385</v>
          </cell>
          <cell r="CC281">
            <v>40</v>
          </cell>
          <cell r="CD281">
            <v>15</v>
          </cell>
          <cell r="CE281">
            <v>10</v>
          </cell>
          <cell r="CF281">
            <v>1195</v>
          </cell>
          <cell r="CG281">
            <v>920</v>
          </cell>
          <cell r="CH281">
            <v>20</v>
          </cell>
          <cell r="CI281">
            <v>90</v>
          </cell>
          <cell r="CJ281">
            <v>10</v>
          </cell>
          <cell r="CK281">
            <v>0</v>
          </cell>
          <cell r="CL281">
            <v>155</v>
          </cell>
          <cell r="CM281">
            <v>0</v>
          </cell>
          <cell r="CN281">
            <v>0</v>
          </cell>
          <cell r="CO281">
            <v>1195</v>
          </cell>
          <cell r="CP281">
            <v>185</v>
          </cell>
          <cell r="CQ281">
            <v>370</v>
          </cell>
          <cell r="CR281">
            <v>240</v>
          </cell>
          <cell r="CS281">
            <v>360</v>
          </cell>
          <cell r="CT281">
            <v>45</v>
          </cell>
          <cell r="CU281">
            <v>3425</v>
          </cell>
          <cell r="CV281">
            <v>2.9</v>
          </cell>
          <cell r="CW281">
            <v>1195</v>
          </cell>
          <cell r="CX281">
            <v>955</v>
          </cell>
          <cell r="CY281">
            <v>30</v>
          </cell>
          <cell r="CZ281">
            <v>210</v>
          </cell>
        </row>
        <row r="282">
          <cell r="A282" t="str">
            <v>4620515.04</v>
          </cell>
          <cell r="B282" t="str">
            <v>0515.04</v>
          </cell>
          <cell r="C282" t="str">
            <v>Pierrefonds-Roxboro</v>
          </cell>
          <cell r="D282">
            <v>2805</v>
          </cell>
          <cell r="E282">
            <v>1000</v>
          </cell>
          <cell r="F282">
            <v>1415</v>
          </cell>
          <cell r="G282">
            <v>65</v>
          </cell>
          <cell r="H282">
            <v>225</v>
          </cell>
          <cell r="I282">
            <v>105</v>
          </cell>
          <cell r="J282">
            <v>2805</v>
          </cell>
          <cell r="K282">
            <v>2515</v>
          </cell>
          <cell r="L282">
            <v>285</v>
          </cell>
          <cell r="M282">
            <v>1005</v>
          </cell>
          <cell r="N282">
            <v>395</v>
          </cell>
          <cell r="O282">
            <v>225</v>
          </cell>
          <cell r="P282">
            <v>275</v>
          </cell>
          <cell r="Q282">
            <v>110</v>
          </cell>
          <cell r="R282">
            <v>1005</v>
          </cell>
          <cell r="S282">
            <v>845</v>
          </cell>
          <cell r="T282">
            <v>680</v>
          </cell>
          <cell r="U282">
            <v>210</v>
          </cell>
          <cell r="V282">
            <v>470</v>
          </cell>
          <cell r="W282">
            <v>150</v>
          </cell>
          <cell r="X282">
            <v>230</v>
          </cell>
          <cell r="Y282">
            <v>90</v>
          </cell>
          <cell r="Z282">
            <v>165</v>
          </cell>
          <cell r="AA282">
            <v>90</v>
          </cell>
          <cell r="AB282">
            <v>75</v>
          </cell>
          <cell r="AC282">
            <v>20</v>
          </cell>
          <cell r="AD282">
            <v>40</v>
          </cell>
          <cell r="AE282">
            <v>20</v>
          </cell>
          <cell r="AF282">
            <v>155</v>
          </cell>
          <cell r="AG282">
            <v>125</v>
          </cell>
          <cell r="AH282">
            <v>80</v>
          </cell>
          <cell r="AI282">
            <v>40</v>
          </cell>
          <cell r="AJ282">
            <v>0</v>
          </cell>
          <cell r="AK282">
            <v>35</v>
          </cell>
          <cell r="AL282">
            <v>20</v>
          </cell>
          <cell r="AM282">
            <v>15</v>
          </cell>
          <cell r="AN282">
            <v>0</v>
          </cell>
          <cell r="AO282">
            <v>1300</v>
          </cell>
          <cell r="AP282">
            <v>260</v>
          </cell>
          <cell r="AQ282">
            <v>550</v>
          </cell>
          <cell r="AR282">
            <v>155</v>
          </cell>
          <cell r="AS282">
            <v>245</v>
          </cell>
          <cell r="AT282">
            <v>95</v>
          </cell>
          <cell r="AU282">
            <v>1.3</v>
          </cell>
          <cell r="AV282">
            <v>3560</v>
          </cell>
          <cell r="AW282">
            <v>400</v>
          </cell>
          <cell r="AX282">
            <v>90</v>
          </cell>
          <cell r="AY282">
            <v>70</v>
          </cell>
          <cell r="AZ282">
            <v>240</v>
          </cell>
          <cell r="BA282">
            <v>3155</v>
          </cell>
          <cell r="BB282">
            <v>3.1</v>
          </cell>
          <cell r="BC282">
            <v>300</v>
          </cell>
          <cell r="BD282">
            <v>95</v>
          </cell>
          <cell r="BE282">
            <v>35</v>
          </cell>
          <cell r="BF282">
            <v>10</v>
          </cell>
          <cell r="BG282">
            <v>50</v>
          </cell>
          <cell r="BH282">
            <v>200</v>
          </cell>
          <cell r="BI282">
            <v>1255</v>
          </cell>
          <cell r="BJ282">
            <v>6.8</v>
          </cell>
          <cell r="BK282">
            <v>8534</v>
          </cell>
          <cell r="BL282">
            <v>2.9</v>
          </cell>
          <cell r="BM282">
            <v>3639.5</v>
          </cell>
          <cell r="BN282">
            <v>1255</v>
          </cell>
          <cell r="BO282">
            <v>930</v>
          </cell>
          <cell r="BP282">
            <v>325</v>
          </cell>
          <cell r="BQ282">
            <v>0</v>
          </cell>
          <cell r="BR282">
            <v>1255</v>
          </cell>
          <cell r="BS282">
            <v>760</v>
          </cell>
          <cell r="BT282">
            <v>440</v>
          </cell>
          <cell r="BU282">
            <v>55</v>
          </cell>
          <cell r="BV282">
            <v>1255</v>
          </cell>
          <cell r="BW282">
            <v>0</v>
          </cell>
          <cell r="BX282">
            <v>70</v>
          </cell>
          <cell r="BY282">
            <v>265</v>
          </cell>
          <cell r="BZ282">
            <v>240</v>
          </cell>
          <cell r="CA282">
            <v>130</v>
          </cell>
          <cell r="CB282">
            <v>320</v>
          </cell>
          <cell r="CC282">
            <v>125</v>
          </cell>
          <cell r="CD282">
            <v>80</v>
          </cell>
          <cell r="CE282">
            <v>20</v>
          </cell>
          <cell r="CF282">
            <v>1255</v>
          </cell>
          <cell r="CG282">
            <v>760</v>
          </cell>
          <cell r="CH282">
            <v>65</v>
          </cell>
          <cell r="CI282">
            <v>135</v>
          </cell>
          <cell r="CJ282">
            <v>10</v>
          </cell>
          <cell r="CK282">
            <v>0</v>
          </cell>
          <cell r="CL282">
            <v>285</v>
          </cell>
          <cell r="CM282">
            <v>0</v>
          </cell>
          <cell r="CN282">
            <v>0</v>
          </cell>
          <cell r="CO282">
            <v>1255</v>
          </cell>
          <cell r="CP282">
            <v>225</v>
          </cell>
          <cell r="CQ282">
            <v>370</v>
          </cell>
          <cell r="CR282">
            <v>240</v>
          </cell>
          <cell r="CS282">
            <v>380</v>
          </cell>
          <cell r="CT282">
            <v>35</v>
          </cell>
          <cell r="CU282">
            <v>3560</v>
          </cell>
          <cell r="CV282">
            <v>2.8</v>
          </cell>
          <cell r="CW282">
            <v>1255</v>
          </cell>
          <cell r="CX282">
            <v>945</v>
          </cell>
          <cell r="CY282">
            <v>25</v>
          </cell>
          <cell r="CZ282">
            <v>285</v>
          </cell>
        </row>
        <row r="283">
          <cell r="A283" t="str">
            <v>4620530.00</v>
          </cell>
          <cell r="B283" t="str">
            <v>0530.00</v>
          </cell>
          <cell r="C283" t="str">
            <v>Pierrefonds-Roxboro</v>
          </cell>
          <cell r="D283">
            <v>4865</v>
          </cell>
          <cell r="E283">
            <v>1610</v>
          </cell>
          <cell r="F283">
            <v>2490</v>
          </cell>
          <cell r="G283">
            <v>85</v>
          </cell>
          <cell r="H283">
            <v>385</v>
          </cell>
          <cell r="I283">
            <v>295</v>
          </cell>
          <cell r="J283">
            <v>4870</v>
          </cell>
          <cell r="K283">
            <v>4395</v>
          </cell>
          <cell r="L283">
            <v>470</v>
          </cell>
          <cell r="M283">
            <v>1735</v>
          </cell>
          <cell r="N283">
            <v>735</v>
          </cell>
          <cell r="O283">
            <v>400</v>
          </cell>
          <cell r="P283">
            <v>410</v>
          </cell>
          <cell r="Q283">
            <v>180</v>
          </cell>
          <cell r="R283">
            <v>1735</v>
          </cell>
          <cell r="S283">
            <v>1470</v>
          </cell>
          <cell r="T283">
            <v>1230</v>
          </cell>
          <cell r="U283">
            <v>485</v>
          </cell>
          <cell r="V283">
            <v>750</v>
          </cell>
          <cell r="W283">
            <v>280</v>
          </cell>
          <cell r="X283">
            <v>330</v>
          </cell>
          <cell r="Y283">
            <v>140</v>
          </cell>
          <cell r="Z283">
            <v>235</v>
          </cell>
          <cell r="AA283">
            <v>100</v>
          </cell>
          <cell r="AB283">
            <v>130</v>
          </cell>
          <cell r="AC283">
            <v>45</v>
          </cell>
          <cell r="AD283">
            <v>55</v>
          </cell>
          <cell r="AE283">
            <v>30</v>
          </cell>
          <cell r="AF283">
            <v>265</v>
          </cell>
          <cell r="AG283">
            <v>215</v>
          </cell>
          <cell r="AH283">
            <v>110</v>
          </cell>
          <cell r="AI283">
            <v>80</v>
          </cell>
          <cell r="AJ283">
            <v>25</v>
          </cell>
          <cell r="AK283">
            <v>55</v>
          </cell>
          <cell r="AL283">
            <v>40</v>
          </cell>
          <cell r="AM283">
            <v>0</v>
          </cell>
          <cell r="AN283">
            <v>15</v>
          </cell>
          <cell r="AO283">
            <v>2140</v>
          </cell>
          <cell r="AP283">
            <v>370</v>
          </cell>
          <cell r="AQ283">
            <v>700</v>
          </cell>
          <cell r="AR283">
            <v>250</v>
          </cell>
          <cell r="AS283">
            <v>495</v>
          </cell>
          <cell r="AT283">
            <v>310</v>
          </cell>
          <cell r="AU283">
            <v>1.2</v>
          </cell>
          <cell r="AV283">
            <v>5940</v>
          </cell>
          <cell r="AW283">
            <v>600</v>
          </cell>
          <cell r="AX283">
            <v>115</v>
          </cell>
          <cell r="AY283">
            <v>100</v>
          </cell>
          <cell r="AZ283">
            <v>380</v>
          </cell>
          <cell r="BA283">
            <v>5340</v>
          </cell>
          <cell r="BB283">
            <v>3.1</v>
          </cell>
          <cell r="BC283">
            <v>890</v>
          </cell>
          <cell r="BD283">
            <v>240</v>
          </cell>
          <cell r="BE283">
            <v>60</v>
          </cell>
          <cell r="BF283">
            <v>10</v>
          </cell>
          <cell r="BG283">
            <v>180</v>
          </cell>
          <cell r="BH283">
            <v>645</v>
          </cell>
          <cell r="BI283">
            <v>2105</v>
          </cell>
          <cell r="BJ283">
            <v>7.4</v>
          </cell>
          <cell r="BK283">
            <v>15577</v>
          </cell>
          <cell r="BL283">
            <v>3.2</v>
          </cell>
          <cell r="BM283">
            <v>6736</v>
          </cell>
          <cell r="BN283">
            <v>2105</v>
          </cell>
          <cell r="BO283">
            <v>1815</v>
          </cell>
          <cell r="BP283">
            <v>285</v>
          </cell>
          <cell r="BQ283">
            <v>0</v>
          </cell>
          <cell r="BR283">
            <v>2105</v>
          </cell>
          <cell r="BS283">
            <v>1120</v>
          </cell>
          <cell r="BT283">
            <v>775</v>
          </cell>
          <cell r="BU283">
            <v>205</v>
          </cell>
          <cell r="BV283">
            <v>2105</v>
          </cell>
          <cell r="BW283">
            <v>40</v>
          </cell>
          <cell r="BX283">
            <v>1280</v>
          </cell>
          <cell r="BY283">
            <v>505</v>
          </cell>
          <cell r="BZ283">
            <v>85</v>
          </cell>
          <cell r="CA283">
            <v>35</v>
          </cell>
          <cell r="CB283">
            <v>0</v>
          </cell>
          <cell r="CC283">
            <v>15</v>
          </cell>
          <cell r="CD283">
            <v>0</v>
          </cell>
          <cell r="CE283">
            <v>125</v>
          </cell>
          <cell r="CF283">
            <v>2105</v>
          </cell>
          <cell r="CG283">
            <v>1655</v>
          </cell>
          <cell r="CH283">
            <v>35</v>
          </cell>
          <cell r="CI283">
            <v>135</v>
          </cell>
          <cell r="CJ283">
            <v>115</v>
          </cell>
          <cell r="CK283">
            <v>0</v>
          </cell>
          <cell r="CL283">
            <v>170</v>
          </cell>
          <cell r="CM283">
            <v>5</v>
          </cell>
          <cell r="CN283">
            <v>0</v>
          </cell>
          <cell r="CO283">
            <v>2105</v>
          </cell>
          <cell r="CP283">
            <v>380</v>
          </cell>
          <cell r="CQ283">
            <v>670</v>
          </cell>
          <cell r="CR283">
            <v>380</v>
          </cell>
          <cell r="CS283">
            <v>585</v>
          </cell>
          <cell r="CT283">
            <v>90</v>
          </cell>
          <cell r="CU283">
            <v>5940</v>
          </cell>
          <cell r="CV283">
            <v>2.8</v>
          </cell>
          <cell r="CW283">
            <v>2105</v>
          </cell>
          <cell r="CX283">
            <v>1630</v>
          </cell>
          <cell r="CY283">
            <v>50</v>
          </cell>
          <cell r="CZ283">
            <v>425</v>
          </cell>
        </row>
        <row r="284">
          <cell r="C284" t="str">
            <v>Pierrefonds-Roxboro</v>
          </cell>
          <cell r="D284">
            <v>51910</v>
          </cell>
          <cell r="E284">
            <v>17795</v>
          </cell>
          <cell r="F284">
            <v>25900</v>
          </cell>
          <cell r="G284">
            <v>1155</v>
          </cell>
          <cell r="H284">
            <v>4385</v>
          </cell>
          <cell r="I284">
            <v>2690</v>
          </cell>
          <cell r="J284">
            <v>51905</v>
          </cell>
          <cell r="K284">
            <v>47200</v>
          </cell>
          <cell r="L284">
            <v>4690</v>
          </cell>
          <cell r="M284">
            <v>18200</v>
          </cell>
          <cell r="N284">
            <v>7390</v>
          </cell>
          <cell r="O284">
            <v>4325</v>
          </cell>
          <cell r="P284">
            <v>4440</v>
          </cell>
          <cell r="Q284">
            <v>2035</v>
          </cell>
          <cell r="R284">
            <v>18200</v>
          </cell>
          <cell r="S284">
            <v>15105</v>
          </cell>
          <cell r="T284">
            <v>12750</v>
          </cell>
          <cell r="U284">
            <v>4360</v>
          </cell>
          <cell r="V284">
            <v>8375</v>
          </cell>
          <cell r="W284">
            <v>2905</v>
          </cell>
          <cell r="X284">
            <v>3745</v>
          </cell>
          <cell r="Y284">
            <v>1710</v>
          </cell>
          <cell r="Z284">
            <v>2340</v>
          </cell>
          <cell r="AA284">
            <v>1220</v>
          </cell>
          <cell r="AB284">
            <v>1125</v>
          </cell>
          <cell r="AC284">
            <v>480</v>
          </cell>
          <cell r="AD284">
            <v>430</v>
          </cell>
          <cell r="AE284">
            <v>200</v>
          </cell>
          <cell r="AF284">
            <v>3075</v>
          </cell>
          <cell r="AG284">
            <v>2490</v>
          </cell>
          <cell r="AH284">
            <v>1435</v>
          </cell>
          <cell r="AI284">
            <v>755</v>
          </cell>
          <cell r="AJ284">
            <v>285</v>
          </cell>
          <cell r="AK284">
            <v>595</v>
          </cell>
          <cell r="AL284">
            <v>360</v>
          </cell>
          <cell r="AM284">
            <v>170</v>
          </cell>
          <cell r="AN284">
            <v>55</v>
          </cell>
          <cell r="AO284">
            <v>23215</v>
          </cell>
          <cell r="AP284">
            <v>4370</v>
          </cell>
          <cell r="AQ284">
            <v>8640</v>
          </cell>
          <cell r="AR284">
            <v>2725</v>
          </cell>
          <cell r="AS284">
            <v>4910</v>
          </cell>
          <cell r="AT284">
            <v>2535</v>
          </cell>
          <cell r="AU284">
            <v>1.2755494505494505</v>
          </cell>
          <cell r="AV284">
            <v>64265</v>
          </cell>
          <cell r="AW284">
            <v>7725</v>
          </cell>
          <cell r="AX284">
            <v>1170</v>
          </cell>
          <cell r="AY284">
            <v>960</v>
          </cell>
          <cell r="AZ284">
            <v>5555</v>
          </cell>
          <cell r="BA284">
            <v>56535</v>
          </cell>
          <cell r="BB284">
            <v>3.1063186813186814</v>
          </cell>
          <cell r="BC284">
            <v>7345</v>
          </cell>
          <cell r="BD284">
            <v>2340</v>
          </cell>
          <cell r="BE284">
            <v>490</v>
          </cell>
          <cell r="BF284">
            <v>90</v>
          </cell>
          <cell r="BG284">
            <v>1780</v>
          </cell>
          <cell r="BH284">
            <v>4975</v>
          </cell>
          <cell r="BI284">
            <v>23730</v>
          </cell>
          <cell r="BJ284">
            <v>6.3885798567214493</v>
          </cell>
          <cell r="BK284">
            <v>151601</v>
          </cell>
          <cell r="BL284">
            <v>2.7731774125579434</v>
          </cell>
          <cell r="BM284">
            <v>65807.5</v>
          </cell>
          <cell r="BN284">
            <v>23740</v>
          </cell>
          <cell r="BO284">
            <v>16780</v>
          </cell>
          <cell r="BP284">
            <v>6950</v>
          </cell>
          <cell r="BQ284">
            <v>0</v>
          </cell>
          <cell r="BR284">
            <v>23720</v>
          </cell>
          <cell r="BS284">
            <v>14820</v>
          </cell>
          <cell r="BT284">
            <v>7290</v>
          </cell>
          <cell r="BU284">
            <v>1600</v>
          </cell>
          <cell r="BV284">
            <v>23740</v>
          </cell>
          <cell r="BW284">
            <v>280</v>
          </cell>
          <cell r="BX284">
            <v>3860</v>
          </cell>
          <cell r="BY284">
            <v>6400</v>
          </cell>
          <cell r="BZ284">
            <v>3740</v>
          </cell>
          <cell r="CA284">
            <v>1575</v>
          </cell>
          <cell r="CB284">
            <v>3100</v>
          </cell>
          <cell r="CC284">
            <v>1825</v>
          </cell>
          <cell r="CD284">
            <v>880</v>
          </cell>
          <cell r="CE284">
            <v>2015</v>
          </cell>
          <cell r="CF284">
            <v>23725</v>
          </cell>
          <cell r="CG284">
            <v>12475</v>
          </cell>
          <cell r="CH284">
            <v>1180</v>
          </cell>
          <cell r="CI284">
            <v>1715</v>
          </cell>
          <cell r="CJ284">
            <v>235</v>
          </cell>
          <cell r="CK284">
            <v>1095</v>
          </cell>
          <cell r="CL284">
            <v>7025</v>
          </cell>
          <cell r="CM284">
            <v>25</v>
          </cell>
          <cell r="CN284">
            <v>10</v>
          </cell>
          <cell r="CO284">
            <v>23745</v>
          </cell>
          <cell r="CP284">
            <v>5560</v>
          </cell>
          <cell r="CQ284">
            <v>6875</v>
          </cell>
          <cell r="CR284">
            <v>4200</v>
          </cell>
          <cell r="CS284">
            <v>6190</v>
          </cell>
          <cell r="CT284">
            <v>905</v>
          </cell>
          <cell r="CU284">
            <v>64285</v>
          </cell>
          <cell r="CV284">
            <v>2.7073068014318804</v>
          </cell>
          <cell r="CW284">
            <v>23730</v>
          </cell>
          <cell r="CX284">
            <v>17265</v>
          </cell>
          <cell r="CY284">
            <v>445</v>
          </cell>
          <cell r="CZ284">
            <v>6030</v>
          </cell>
        </row>
        <row r="287">
          <cell r="A287" t="str">
            <v>4620130.00</v>
          </cell>
          <cell r="B287" t="str">
            <v>0130.00</v>
          </cell>
          <cell r="C287" t="str">
            <v>Plateau Mont-Royal</v>
          </cell>
          <cell r="D287">
            <v>3085</v>
          </cell>
          <cell r="E287">
            <v>2200</v>
          </cell>
          <cell r="F287">
            <v>655</v>
          </cell>
          <cell r="G287">
            <v>35</v>
          </cell>
          <cell r="H287">
            <v>155</v>
          </cell>
          <cell r="I287">
            <v>40</v>
          </cell>
          <cell r="J287">
            <v>3085</v>
          </cell>
          <cell r="K287">
            <v>2860</v>
          </cell>
          <cell r="L287">
            <v>225</v>
          </cell>
          <cell r="M287" t="str">
            <v>-</v>
          </cell>
          <cell r="N287" t="str">
            <v>-</v>
          </cell>
          <cell r="O287" t="str">
            <v>-</v>
          </cell>
          <cell r="P287" t="str">
            <v>-</v>
          </cell>
          <cell r="Q287" t="str">
            <v>-</v>
          </cell>
          <cell r="R287" t="str">
            <v>-</v>
          </cell>
          <cell r="S287" t="str">
            <v>-</v>
          </cell>
          <cell r="T287" t="str">
            <v>-</v>
          </cell>
          <cell r="U287" t="str">
            <v>-</v>
          </cell>
          <cell r="V287" t="str">
            <v>-</v>
          </cell>
          <cell r="W287" t="str">
            <v>-</v>
          </cell>
          <cell r="X287" t="str">
            <v>-</v>
          </cell>
          <cell r="Y287" t="str">
            <v>-</v>
          </cell>
          <cell r="Z287" t="str">
            <v>-</v>
          </cell>
          <cell r="AA287" t="str">
            <v>-</v>
          </cell>
          <cell r="AB287" t="str">
            <v>-</v>
          </cell>
          <cell r="AC287" t="str">
            <v>-</v>
          </cell>
          <cell r="AD287" t="str">
            <v>-</v>
          </cell>
          <cell r="AE287" t="str">
            <v>-</v>
          </cell>
          <cell r="AF287" t="str">
            <v>-</v>
          </cell>
          <cell r="AG287" t="str">
            <v>-</v>
          </cell>
          <cell r="AH287" t="str">
            <v>-</v>
          </cell>
          <cell r="AI287" t="str">
            <v>-</v>
          </cell>
          <cell r="AJ287" t="str">
            <v>-</v>
          </cell>
          <cell r="AK287" t="str">
            <v>-</v>
          </cell>
          <cell r="AL287" t="str">
            <v>-</v>
          </cell>
          <cell r="AM287" t="str">
            <v>-</v>
          </cell>
          <cell r="AN287" t="str">
            <v>-</v>
          </cell>
          <cell r="AO287" t="str">
            <v>-</v>
          </cell>
          <cell r="AP287" t="str">
            <v>-</v>
          </cell>
          <cell r="AQ287" t="str">
            <v>-</v>
          </cell>
          <cell r="AR287" t="str">
            <v>-</v>
          </cell>
          <cell r="AS287" t="str">
            <v>-</v>
          </cell>
          <cell r="AT287" t="str">
            <v>-</v>
          </cell>
          <cell r="AU287" t="str">
            <v>-</v>
          </cell>
          <cell r="AV287" t="str">
            <v>-</v>
          </cell>
          <cell r="AW287" t="str">
            <v>-</v>
          </cell>
          <cell r="AX287" t="str">
            <v>-</v>
          </cell>
          <cell r="AY287" t="str">
            <v>-</v>
          </cell>
          <cell r="AZ287" t="str">
            <v>-</v>
          </cell>
          <cell r="BA287" t="str">
            <v>-</v>
          </cell>
          <cell r="BB287" t="str">
            <v>-</v>
          </cell>
          <cell r="BC287" t="str">
            <v>-</v>
          </cell>
          <cell r="BD287" t="str">
            <v>-</v>
          </cell>
          <cell r="BE287" t="str">
            <v>-</v>
          </cell>
          <cell r="BF287" t="str">
            <v>-</v>
          </cell>
          <cell r="BG287" t="str">
            <v>-</v>
          </cell>
          <cell r="BH287" t="str">
            <v>-</v>
          </cell>
          <cell r="BI287" t="str">
            <v>-</v>
          </cell>
          <cell r="BJ287" t="str">
            <v>-</v>
          </cell>
          <cell r="BK287" t="e">
            <v>#VALUE!</v>
          </cell>
          <cell r="BL287" t="str">
            <v>-</v>
          </cell>
          <cell r="BM287" t="e">
            <v>#VALUE!</v>
          </cell>
          <cell r="BN287" t="str">
            <v>-</v>
          </cell>
          <cell r="BO287" t="str">
            <v>-</v>
          </cell>
          <cell r="BP287" t="str">
            <v>-</v>
          </cell>
          <cell r="BQ287" t="str">
            <v>-</v>
          </cell>
          <cell r="BR287" t="str">
            <v>-</v>
          </cell>
          <cell r="BS287" t="str">
            <v>-</v>
          </cell>
          <cell r="BT287" t="str">
            <v>-</v>
          </cell>
          <cell r="BU287" t="str">
            <v>-</v>
          </cell>
          <cell r="BV287" t="str">
            <v>-</v>
          </cell>
          <cell r="BW287" t="str">
            <v>-</v>
          </cell>
          <cell r="BX287" t="str">
            <v>-</v>
          </cell>
          <cell r="BY287" t="str">
            <v>-</v>
          </cell>
          <cell r="BZ287" t="str">
            <v>-</v>
          </cell>
          <cell r="CA287" t="str">
            <v>-</v>
          </cell>
          <cell r="CB287" t="str">
            <v>-</v>
          </cell>
          <cell r="CC287" t="str">
            <v>-</v>
          </cell>
          <cell r="CD287" t="str">
            <v>-</v>
          </cell>
          <cell r="CE287" t="str">
            <v>-</v>
          </cell>
          <cell r="CF287">
            <v>2040</v>
          </cell>
          <cell r="CG287">
            <v>5</v>
          </cell>
          <cell r="CH287">
            <v>5</v>
          </cell>
          <cell r="CI287">
            <v>30</v>
          </cell>
          <cell r="CJ287">
            <v>5</v>
          </cell>
          <cell r="CK287">
            <v>960</v>
          </cell>
          <cell r="CL287">
            <v>1035</v>
          </cell>
          <cell r="CM287">
            <v>5</v>
          </cell>
          <cell r="CN287">
            <v>0</v>
          </cell>
          <cell r="CO287">
            <v>2035</v>
          </cell>
          <cell r="CP287">
            <v>1340</v>
          </cell>
          <cell r="CQ287">
            <v>470</v>
          </cell>
          <cell r="CR287">
            <v>130</v>
          </cell>
          <cell r="CS287">
            <v>90</v>
          </cell>
          <cell r="CT287">
            <v>5</v>
          </cell>
          <cell r="CU287">
            <v>3080</v>
          </cell>
          <cell r="CV287">
            <v>1.5</v>
          </cell>
          <cell r="CW287" t="str">
            <v>-</v>
          </cell>
          <cell r="CX287" t="str">
            <v>-</v>
          </cell>
          <cell r="CY287" t="str">
            <v>-</v>
          </cell>
          <cell r="CZ287" t="str">
            <v>-</v>
          </cell>
        </row>
        <row r="288">
          <cell r="A288" t="str">
            <v>4620131.00</v>
          </cell>
          <cell r="B288" t="str">
            <v>0131.00</v>
          </cell>
          <cell r="C288" t="str">
            <v>Plateau Mont-Royal</v>
          </cell>
          <cell r="D288">
            <v>3215</v>
          </cell>
          <cell r="E288">
            <v>2010</v>
          </cell>
          <cell r="F288">
            <v>830</v>
          </cell>
          <cell r="G288">
            <v>60</v>
          </cell>
          <cell r="H288">
            <v>220</v>
          </cell>
          <cell r="I288">
            <v>95</v>
          </cell>
          <cell r="J288">
            <v>3215</v>
          </cell>
          <cell r="K288">
            <v>2980</v>
          </cell>
          <cell r="L288">
            <v>235</v>
          </cell>
          <cell r="M288">
            <v>585</v>
          </cell>
          <cell r="N288">
            <v>340</v>
          </cell>
          <cell r="O288">
            <v>140</v>
          </cell>
          <cell r="P288">
            <v>80</v>
          </cell>
          <cell r="Q288">
            <v>25</v>
          </cell>
          <cell r="R288">
            <v>585</v>
          </cell>
          <cell r="S288">
            <v>485</v>
          </cell>
          <cell r="T288">
            <v>370</v>
          </cell>
          <cell r="U288">
            <v>160</v>
          </cell>
          <cell r="V288">
            <v>210</v>
          </cell>
          <cell r="W288">
            <v>105</v>
          </cell>
          <cell r="X288">
            <v>80</v>
          </cell>
          <cell r="Y288">
            <v>20</v>
          </cell>
          <cell r="Z288">
            <v>115</v>
          </cell>
          <cell r="AA288">
            <v>105</v>
          </cell>
          <cell r="AB288">
            <v>10</v>
          </cell>
          <cell r="AC288">
            <v>10</v>
          </cell>
          <cell r="AD288">
            <v>0</v>
          </cell>
          <cell r="AE288">
            <v>0</v>
          </cell>
          <cell r="AF288">
            <v>100</v>
          </cell>
          <cell r="AG288">
            <v>75</v>
          </cell>
          <cell r="AH288">
            <v>50</v>
          </cell>
          <cell r="AI288">
            <v>20</v>
          </cell>
          <cell r="AJ288">
            <v>0</v>
          </cell>
          <cell r="AK288">
            <v>25</v>
          </cell>
          <cell r="AL288">
            <v>20</v>
          </cell>
          <cell r="AM288">
            <v>0</v>
          </cell>
          <cell r="AN288">
            <v>0</v>
          </cell>
          <cell r="AO288">
            <v>480</v>
          </cell>
          <cell r="AP288">
            <v>140</v>
          </cell>
          <cell r="AQ288">
            <v>100</v>
          </cell>
          <cell r="AR288">
            <v>40</v>
          </cell>
          <cell r="AS288">
            <v>120</v>
          </cell>
          <cell r="AT288">
            <v>75</v>
          </cell>
          <cell r="AU288">
            <v>0.8</v>
          </cell>
          <cell r="AV288">
            <v>3440</v>
          </cell>
          <cell r="AW288">
            <v>1880</v>
          </cell>
          <cell r="AX288">
            <v>175</v>
          </cell>
          <cell r="AY288">
            <v>405</v>
          </cell>
          <cell r="AZ288">
            <v>1295</v>
          </cell>
          <cell r="BA288">
            <v>1560</v>
          </cell>
          <cell r="BB288">
            <v>2.6</v>
          </cell>
          <cell r="BC288">
            <v>360</v>
          </cell>
          <cell r="BD288">
            <v>275</v>
          </cell>
          <cell r="BE288">
            <v>10</v>
          </cell>
          <cell r="BF288">
            <v>10</v>
          </cell>
          <cell r="BG288">
            <v>265</v>
          </cell>
          <cell r="BH288">
            <v>90</v>
          </cell>
          <cell r="BI288">
            <v>2130</v>
          </cell>
          <cell r="BJ288">
            <v>3.2</v>
          </cell>
          <cell r="BK288">
            <v>6816</v>
          </cell>
          <cell r="BL288">
            <v>1.1000000000000001</v>
          </cell>
          <cell r="BM288">
            <v>2343</v>
          </cell>
          <cell r="BN288">
            <v>2130</v>
          </cell>
          <cell r="BO288">
            <v>175</v>
          </cell>
          <cell r="BP288">
            <v>1955</v>
          </cell>
          <cell r="BQ288">
            <v>0</v>
          </cell>
          <cell r="BR288">
            <v>2130</v>
          </cell>
          <cell r="BS288">
            <v>1370</v>
          </cell>
          <cell r="BT288">
            <v>580</v>
          </cell>
          <cell r="BU288">
            <v>180</v>
          </cell>
          <cell r="BV288">
            <v>2130</v>
          </cell>
          <cell r="BW288">
            <v>480</v>
          </cell>
          <cell r="BX288">
            <v>260</v>
          </cell>
          <cell r="BY288">
            <v>455</v>
          </cell>
          <cell r="BZ288">
            <v>615</v>
          </cell>
          <cell r="CA288">
            <v>135</v>
          </cell>
          <cell r="CB288">
            <v>90</v>
          </cell>
          <cell r="CC288">
            <v>55</v>
          </cell>
          <cell r="CD288">
            <v>15</v>
          </cell>
          <cell r="CE288">
            <v>25</v>
          </cell>
          <cell r="CF288">
            <v>2135</v>
          </cell>
          <cell r="CG288">
            <v>0</v>
          </cell>
          <cell r="CH288">
            <v>5</v>
          </cell>
          <cell r="CI288">
            <v>10</v>
          </cell>
          <cell r="CJ288">
            <v>30</v>
          </cell>
          <cell r="CK288">
            <v>1545</v>
          </cell>
          <cell r="CL288">
            <v>525</v>
          </cell>
          <cell r="CM288">
            <v>10</v>
          </cell>
          <cell r="CN288">
            <v>0</v>
          </cell>
          <cell r="CO288">
            <v>2135</v>
          </cell>
          <cell r="CP288">
            <v>1305</v>
          </cell>
          <cell r="CQ288">
            <v>530</v>
          </cell>
          <cell r="CR288">
            <v>180</v>
          </cell>
          <cell r="CS288">
            <v>110</v>
          </cell>
          <cell r="CT288">
            <v>10</v>
          </cell>
          <cell r="CU288">
            <v>3440</v>
          </cell>
          <cell r="CV288">
            <v>1.6</v>
          </cell>
          <cell r="CW288">
            <v>2130</v>
          </cell>
          <cell r="CX288">
            <v>590</v>
          </cell>
          <cell r="CY288">
            <v>0</v>
          </cell>
          <cell r="CZ288">
            <v>1540</v>
          </cell>
        </row>
        <row r="289">
          <cell r="A289" t="str">
            <v>4620132.00</v>
          </cell>
          <cell r="B289" t="str">
            <v>0132.00</v>
          </cell>
          <cell r="C289" t="str">
            <v>Plateau Mont-Royal</v>
          </cell>
          <cell r="D289">
            <v>4725</v>
          </cell>
          <cell r="E289">
            <v>2940</v>
          </cell>
          <cell r="F289">
            <v>930</v>
          </cell>
          <cell r="G289">
            <v>115</v>
          </cell>
          <cell r="H289">
            <v>415</v>
          </cell>
          <cell r="I289">
            <v>325</v>
          </cell>
          <cell r="J289">
            <v>4725</v>
          </cell>
          <cell r="K289">
            <v>4265</v>
          </cell>
          <cell r="L289">
            <v>460</v>
          </cell>
          <cell r="M289">
            <v>725</v>
          </cell>
          <cell r="N289">
            <v>460</v>
          </cell>
          <cell r="O289">
            <v>135</v>
          </cell>
          <cell r="P289">
            <v>115</v>
          </cell>
          <cell r="Q289">
            <v>15</v>
          </cell>
          <cell r="R289">
            <v>720</v>
          </cell>
          <cell r="S289">
            <v>630</v>
          </cell>
          <cell r="T289">
            <v>400</v>
          </cell>
          <cell r="U289">
            <v>195</v>
          </cell>
          <cell r="V289">
            <v>205</v>
          </cell>
          <cell r="W289">
            <v>95</v>
          </cell>
          <cell r="X289">
            <v>100</v>
          </cell>
          <cell r="Y289">
            <v>10</v>
          </cell>
          <cell r="Z289">
            <v>225</v>
          </cell>
          <cell r="AA289">
            <v>185</v>
          </cell>
          <cell r="AB289">
            <v>45</v>
          </cell>
          <cell r="AC289">
            <v>20</v>
          </cell>
          <cell r="AD289">
            <v>15</v>
          </cell>
          <cell r="AE289">
            <v>0</v>
          </cell>
          <cell r="AF289">
            <v>90</v>
          </cell>
          <cell r="AG289">
            <v>75</v>
          </cell>
          <cell r="AH289">
            <v>65</v>
          </cell>
          <cell r="AI289">
            <v>10</v>
          </cell>
          <cell r="AJ289">
            <v>0</v>
          </cell>
          <cell r="AK289">
            <v>20</v>
          </cell>
          <cell r="AL289">
            <v>10</v>
          </cell>
          <cell r="AM289">
            <v>10</v>
          </cell>
          <cell r="AN289">
            <v>0</v>
          </cell>
          <cell r="AO289">
            <v>510</v>
          </cell>
          <cell r="AP289">
            <v>155</v>
          </cell>
          <cell r="AQ289">
            <v>115</v>
          </cell>
          <cell r="AR289">
            <v>30</v>
          </cell>
          <cell r="AS289">
            <v>115</v>
          </cell>
          <cell r="AT289">
            <v>100</v>
          </cell>
          <cell r="AU289">
            <v>0.7</v>
          </cell>
          <cell r="AV289">
            <v>4480</v>
          </cell>
          <cell r="AW289">
            <v>2610</v>
          </cell>
          <cell r="AX289">
            <v>85</v>
          </cell>
          <cell r="AY289">
            <v>425</v>
          </cell>
          <cell r="AZ289">
            <v>2105</v>
          </cell>
          <cell r="BA289">
            <v>1860</v>
          </cell>
          <cell r="BB289">
            <v>2.6</v>
          </cell>
          <cell r="BC289">
            <v>520</v>
          </cell>
          <cell r="BD289">
            <v>390</v>
          </cell>
          <cell r="BE289">
            <v>10</v>
          </cell>
          <cell r="BF289">
            <v>10</v>
          </cell>
          <cell r="BG289">
            <v>375</v>
          </cell>
          <cell r="BH289">
            <v>130</v>
          </cell>
          <cell r="BI289">
            <v>3055</v>
          </cell>
          <cell r="BJ289">
            <v>3.3</v>
          </cell>
          <cell r="BK289">
            <v>10081.5</v>
          </cell>
          <cell r="BL289">
            <v>1.1000000000000001</v>
          </cell>
          <cell r="BM289">
            <v>3360.5000000000005</v>
          </cell>
          <cell r="BN289">
            <v>3055</v>
          </cell>
          <cell r="BO289">
            <v>330</v>
          </cell>
          <cell r="BP289">
            <v>2725</v>
          </cell>
          <cell r="BQ289">
            <v>0</v>
          </cell>
          <cell r="BR289">
            <v>3055</v>
          </cell>
          <cell r="BS289">
            <v>2030</v>
          </cell>
          <cell r="BT289">
            <v>830</v>
          </cell>
          <cell r="BU289">
            <v>195</v>
          </cell>
          <cell r="BV289">
            <v>3055</v>
          </cell>
          <cell r="BW289">
            <v>825</v>
          </cell>
          <cell r="BX289">
            <v>445</v>
          </cell>
          <cell r="BY289">
            <v>885</v>
          </cell>
          <cell r="BZ289">
            <v>575</v>
          </cell>
          <cell r="CA289">
            <v>185</v>
          </cell>
          <cell r="CB289">
            <v>125</v>
          </cell>
          <cell r="CC289">
            <v>0</v>
          </cell>
          <cell r="CD289">
            <v>0</v>
          </cell>
          <cell r="CE289">
            <v>0</v>
          </cell>
          <cell r="CF289">
            <v>3060</v>
          </cell>
          <cell r="CG289">
            <v>5</v>
          </cell>
          <cell r="CH289">
            <v>0</v>
          </cell>
          <cell r="CI289">
            <v>45</v>
          </cell>
          <cell r="CJ289">
            <v>110</v>
          </cell>
          <cell r="CK289">
            <v>1635</v>
          </cell>
          <cell r="CL289">
            <v>1255</v>
          </cell>
          <cell r="CM289">
            <v>10</v>
          </cell>
          <cell r="CN289">
            <v>5</v>
          </cell>
          <cell r="CO289">
            <v>3060</v>
          </cell>
          <cell r="CP289">
            <v>2105</v>
          </cell>
          <cell r="CQ289">
            <v>650</v>
          </cell>
          <cell r="CR289">
            <v>180</v>
          </cell>
          <cell r="CS289">
            <v>120</v>
          </cell>
          <cell r="CT289">
            <v>5</v>
          </cell>
          <cell r="CU289">
            <v>4475</v>
          </cell>
          <cell r="CV289">
            <v>1.5</v>
          </cell>
          <cell r="CW289">
            <v>3055</v>
          </cell>
          <cell r="CX289">
            <v>715</v>
          </cell>
          <cell r="CY289">
            <v>0</v>
          </cell>
          <cell r="CZ289">
            <v>2335</v>
          </cell>
        </row>
        <row r="290">
          <cell r="A290" t="str">
            <v>4620133.00</v>
          </cell>
          <cell r="B290" t="str">
            <v>0133.00</v>
          </cell>
          <cell r="C290" t="str">
            <v>Plateau Mont-Royal</v>
          </cell>
          <cell r="D290">
            <v>2270</v>
          </cell>
          <cell r="E290">
            <v>1620</v>
          </cell>
          <cell r="F290">
            <v>380</v>
          </cell>
          <cell r="G290">
            <v>30</v>
          </cell>
          <cell r="H290">
            <v>180</v>
          </cell>
          <cell r="I290">
            <v>55</v>
          </cell>
          <cell r="J290">
            <v>2270</v>
          </cell>
          <cell r="K290">
            <v>1930</v>
          </cell>
          <cell r="L290">
            <v>340</v>
          </cell>
          <cell r="M290">
            <v>390</v>
          </cell>
          <cell r="N290">
            <v>265</v>
          </cell>
          <cell r="O290">
            <v>65</v>
          </cell>
          <cell r="P290">
            <v>35</v>
          </cell>
          <cell r="Q290">
            <v>15</v>
          </cell>
          <cell r="R290">
            <v>390</v>
          </cell>
          <cell r="S290">
            <v>345</v>
          </cell>
          <cell r="T290">
            <v>180</v>
          </cell>
          <cell r="U290">
            <v>95</v>
          </cell>
          <cell r="V290">
            <v>80</v>
          </cell>
          <cell r="W290">
            <v>50</v>
          </cell>
          <cell r="X290">
            <v>15</v>
          </cell>
          <cell r="Y290">
            <v>20</v>
          </cell>
          <cell r="Z290">
            <v>170</v>
          </cell>
          <cell r="AA290">
            <v>140</v>
          </cell>
          <cell r="AB290">
            <v>25</v>
          </cell>
          <cell r="AC290">
            <v>10</v>
          </cell>
          <cell r="AD290">
            <v>10</v>
          </cell>
          <cell r="AE290">
            <v>0</v>
          </cell>
          <cell r="AF290">
            <v>50</v>
          </cell>
          <cell r="AG290">
            <v>40</v>
          </cell>
          <cell r="AH290">
            <v>20</v>
          </cell>
          <cell r="AI290">
            <v>10</v>
          </cell>
          <cell r="AJ290">
            <v>10</v>
          </cell>
          <cell r="AK290">
            <v>10</v>
          </cell>
          <cell r="AL290">
            <v>0</v>
          </cell>
          <cell r="AM290">
            <v>0</v>
          </cell>
          <cell r="AN290">
            <v>0</v>
          </cell>
          <cell r="AO290">
            <v>250</v>
          </cell>
          <cell r="AP290">
            <v>75</v>
          </cell>
          <cell r="AQ290">
            <v>75</v>
          </cell>
          <cell r="AR290">
            <v>10</v>
          </cell>
          <cell r="AS290">
            <v>70</v>
          </cell>
          <cell r="AT290">
            <v>25</v>
          </cell>
          <cell r="AU290">
            <v>0.6</v>
          </cell>
          <cell r="AV290">
            <v>2410</v>
          </cell>
          <cell r="AW290">
            <v>1415</v>
          </cell>
          <cell r="AX290">
            <v>80</v>
          </cell>
          <cell r="AY290">
            <v>460</v>
          </cell>
          <cell r="AZ290">
            <v>880</v>
          </cell>
          <cell r="BA290">
            <v>990</v>
          </cell>
          <cell r="BB290">
            <v>2.5</v>
          </cell>
          <cell r="BC290">
            <v>240</v>
          </cell>
          <cell r="BD290">
            <v>175</v>
          </cell>
          <cell r="BE290">
            <v>10</v>
          </cell>
          <cell r="BF290">
            <v>25</v>
          </cell>
          <cell r="BG290">
            <v>145</v>
          </cell>
          <cell r="BH290">
            <v>60</v>
          </cell>
          <cell r="BI290">
            <v>1480</v>
          </cell>
          <cell r="BJ290">
            <v>3.7</v>
          </cell>
          <cell r="BK290">
            <v>5476</v>
          </cell>
          <cell r="BL290">
            <v>1.4</v>
          </cell>
          <cell r="BM290">
            <v>2072</v>
          </cell>
          <cell r="BN290">
            <v>1480</v>
          </cell>
          <cell r="BO290">
            <v>295</v>
          </cell>
          <cell r="BP290">
            <v>1180</v>
          </cell>
          <cell r="BQ290">
            <v>0</v>
          </cell>
          <cell r="BR290">
            <v>1475</v>
          </cell>
          <cell r="BS290">
            <v>890</v>
          </cell>
          <cell r="BT290">
            <v>400</v>
          </cell>
          <cell r="BU290">
            <v>185</v>
          </cell>
          <cell r="BV290">
            <v>1475</v>
          </cell>
          <cell r="BW290">
            <v>610</v>
          </cell>
          <cell r="BX290">
            <v>165</v>
          </cell>
          <cell r="BY290">
            <v>375</v>
          </cell>
          <cell r="BZ290">
            <v>175</v>
          </cell>
          <cell r="CA290">
            <v>40</v>
          </cell>
          <cell r="CB290">
            <v>60</v>
          </cell>
          <cell r="CC290">
            <v>20</v>
          </cell>
          <cell r="CD290">
            <v>15</v>
          </cell>
          <cell r="CE290">
            <v>10</v>
          </cell>
          <cell r="CF290">
            <v>1480</v>
          </cell>
          <cell r="CG290">
            <v>0</v>
          </cell>
          <cell r="CH290">
            <v>0</v>
          </cell>
          <cell r="CI290">
            <v>50</v>
          </cell>
          <cell r="CJ290">
            <v>135</v>
          </cell>
          <cell r="CK290">
            <v>475</v>
          </cell>
          <cell r="CL290">
            <v>815</v>
          </cell>
          <cell r="CM290">
            <v>0</v>
          </cell>
          <cell r="CN290">
            <v>0</v>
          </cell>
          <cell r="CO290">
            <v>1480</v>
          </cell>
          <cell r="CP290">
            <v>880</v>
          </cell>
          <cell r="CQ290">
            <v>385</v>
          </cell>
          <cell r="CR290">
            <v>140</v>
          </cell>
          <cell r="CS290">
            <v>65</v>
          </cell>
          <cell r="CT290">
            <v>10</v>
          </cell>
          <cell r="CU290">
            <v>2405</v>
          </cell>
          <cell r="CV290">
            <v>1.6</v>
          </cell>
          <cell r="CW290">
            <v>1480</v>
          </cell>
          <cell r="CX290">
            <v>385</v>
          </cell>
          <cell r="CY290">
            <v>10</v>
          </cell>
          <cell r="CZ290">
            <v>1090</v>
          </cell>
        </row>
        <row r="291">
          <cell r="A291" t="str">
            <v>4620134.00</v>
          </cell>
          <cell r="B291" t="str">
            <v>0134.00</v>
          </cell>
          <cell r="C291" t="str">
            <v>Plateau Mont-Royal</v>
          </cell>
          <cell r="D291">
            <v>775</v>
          </cell>
          <cell r="E291">
            <v>530</v>
          </cell>
          <cell r="F291">
            <v>140</v>
          </cell>
          <cell r="G291">
            <v>10</v>
          </cell>
          <cell r="H291">
            <v>85</v>
          </cell>
          <cell r="I291">
            <v>5</v>
          </cell>
          <cell r="J291">
            <v>775</v>
          </cell>
          <cell r="K291">
            <v>595</v>
          </cell>
          <cell r="L291">
            <v>180</v>
          </cell>
          <cell r="M291">
            <v>185</v>
          </cell>
          <cell r="N291">
            <v>135</v>
          </cell>
          <cell r="O291">
            <v>25</v>
          </cell>
          <cell r="P291">
            <v>20</v>
          </cell>
          <cell r="Q291">
            <v>0</v>
          </cell>
          <cell r="R291">
            <v>185</v>
          </cell>
          <cell r="S291">
            <v>160</v>
          </cell>
          <cell r="T291">
            <v>70</v>
          </cell>
          <cell r="U291">
            <v>50</v>
          </cell>
          <cell r="V291">
            <v>15</v>
          </cell>
          <cell r="W291">
            <v>10</v>
          </cell>
          <cell r="X291">
            <v>10</v>
          </cell>
          <cell r="Y291">
            <v>0</v>
          </cell>
          <cell r="Z291">
            <v>90</v>
          </cell>
          <cell r="AA291">
            <v>60</v>
          </cell>
          <cell r="AB291">
            <v>30</v>
          </cell>
          <cell r="AC291">
            <v>15</v>
          </cell>
          <cell r="AD291">
            <v>15</v>
          </cell>
          <cell r="AE291">
            <v>0</v>
          </cell>
          <cell r="AF291">
            <v>20</v>
          </cell>
          <cell r="AG291">
            <v>20</v>
          </cell>
          <cell r="AH291">
            <v>20</v>
          </cell>
          <cell r="AI291">
            <v>0</v>
          </cell>
          <cell r="AJ291">
            <v>0</v>
          </cell>
          <cell r="AK291">
            <v>0</v>
          </cell>
          <cell r="AL291">
            <v>0</v>
          </cell>
          <cell r="AM291">
            <v>0</v>
          </cell>
          <cell r="AN291">
            <v>0</v>
          </cell>
          <cell r="AO291">
            <v>100</v>
          </cell>
          <cell r="AP291">
            <v>15</v>
          </cell>
          <cell r="AQ291">
            <v>45</v>
          </cell>
          <cell r="AR291">
            <v>10</v>
          </cell>
          <cell r="AS291">
            <v>25</v>
          </cell>
          <cell r="AT291">
            <v>0</v>
          </cell>
          <cell r="AU291">
            <v>0.5</v>
          </cell>
          <cell r="AV291">
            <v>835</v>
          </cell>
          <cell r="AW291">
            <v>385</v>
          </cell>
          <cell r="AX291">
            <v>40</v>
          </cell>
          <cell r="AY291">
            <v>70</v>
          </cell>
          <cell r="AZ291">
            <v>280</v>
          </cell>
          <cell r="BA291">
            <v>445</v>
          </cell>
          <cell r="BB291">
            <v>2.4</v>
          </cell>
          <cell r="BC291">
            <v>70</v>
          </cell>
          <cell r="BD291">
            <v>40</v>
          </cell>
          <cell r="BE291">
            <v>0</v>
          </cell>
          <cell r="BF291">
            <v>0</v>
          </cell>
          <cell r="BG291">
            <v>40</v>
          </cell>
          <cell r="BH291">
            <v>30</v>
          </cell>
          <cell r="BI291">
            <v>500</v>
          </cell>
          <cell r="BJ291">
            <v>4.4000000000000004</v>
          </cell>
          <cell r="BK291">
            <v>2200</v>
          </cell>
          <cell r="BL291">
            <v>1.5</v>
          </cell>
          <cell r="BM291">
            <v>750</v>
          </cell>
          <cell r="BN291">
            <v>495</v>
          </cell>
          <cell r="BO291">
            <v>200</v>
          </cell>
          <cell r="BP291">
            <v>300</v>
          </cell>
          <cell r="BQ291">
            <v>0</v>
          </cell>
          <cell r="BR291">
            <v>495</v>
          </cell>
          <cell r="BS291">
            <v>285</v>
          </cell>
          <cell r="BT291">
            <v>105</v>
          </cell>
          <cell r="BU291">
            <v>105</v>
          </cell>
          <cell r="BV291">
            <v>495</v>
          </cell>
          <cell r="BW291">
            <v>385</v>
          </cell>
          <cell r="BX291">
            <v>10</v>
          </cell>
          <cell r="BY291">
            <v>35</v>
          </cell>
          <cell r="BZ291">
            <v>0</v>
          </cell>
          <cell r="CA291">
            <v>15</v>
          </cell>
          <cell r="CB291">
            <v>0</v>
          </cell>
          <cell r="CC291">
            <v>0</v>
          </cell>
          <cell r="CD291">
            <v>0</v>
          </cell>
          <cell r="CE291">
            <v>35</v>
          </cell>
          <cell r="CF291">
            <v>495</v>
          </cell>
          <cell r="CG291">
            <v>0</v>
          </cell>
          <cell r="CH291">
            <v>0</v>
          </cell>
          <cell r="CI291">
            <v>10</v>
          </cell>
          <cell r="CJ291">
            <v>5</v>
          </cell>
          <cell r="CK291">
            <v>25</v>
          </cell>
          <cell r="CL291">
            <v>455</v>
          </cell>
          <cell r="CM291">
            <v>0</v>
          </cell>
          <cell r="CN291">
            <v>0</v>
          </cell>
          <cell r="CO291">
            <v>495</v>
          </cell>
          <cell r="CP291">
            <v>275</v>
          </cell>
          <cell r="CQ291">
            <v>150</v>
          </cell>
          <cell r="CR291">
            <v>45</v>
          </cell>
          <cell r="CS291">
            <v>20</v>
          </cell>
          <cell r="CT291">
            <v>5</v>
          </cell>
          <cell r="CU291">
            <v>835</v>
          </cell>
          <cell r="CV291">
            <v>1.7</v>
          </cell>
          <cell r="CW291">
            <v>500</v>
          </cell>
          <cell r="CX291">
            <v>180</v>
          </cell>
          <cell r="CY291">
            <v>0</v>
          </cell>
          <cell r="CZ291">
            <v>315</v>
          </cell>
        </row>
        <row r="292">
          <cell r="A292" t="str">
            <v>4620135.00</v>
          </cell>
          <cell r="B292" t="str">
            <v>0135.00</v>
          </cell>
          <cell r="C292" t="str">
            <v>Plateau Mont-Royal</v>
          </cell>
          <cell r="D292">
            <v>1490</v>
          </cell>
          <cell r="E292">
            <v>985</v>
          </cell>
          <cell r="F292">
            <v>290</v>
          </cell>
          <cell r="G292">
            <v>30</v>
          </cell>
          <cell r="H292">
            <v>145</v>
          </cell>
          <cell r="I292">
            <v>40</v>
          </cell>
          <cell r="J292">
            <v>1490</v>
          </cell>
          <cell r="K292">
            <v>1135</v>
          </cell>
          <cell r="L292">
            <v>355</v>
          </cell>
          <cell r="M292">
            <v>385</v>
          </cell>
          <cell r="N292">
            <v>255</v>
          </cell>
          <cell r="O292">
            <v>60</v>
          </cell>
          <cell r="P292">
            <v>55</v>
          </cell>
          <cell r="Q292">
            <v>10</v>
          </cell>
          <cell r="R292">
            <v>385</v>
          </cell>
          <cell r="S292">
            <v>325</v>
          </cell>
          <cell r="T292">
            <v>135</v>
          </cell>
          <cell r="U292">
            <v>70</v>
          </cell>
          <cell r="V292">
            <v>70</v>
          </cell>
          <cell r="W292">
            <v>40</v>
          </cell>
          <cell r="X292">
            <v>30</v>
          </cell>
          <cell r="Y292">
            <v>0</v>
          </cell>
          <cell r="Z292">
            <v>185</v>
          </cell>
          <cell r="AA292">
            <v>135</v>
          </cell>
          <cell r="AB292">
            <v>50</v>
          </cell>
          <cell r="AC292">
            <v>10</v>
          </cell>
          <cell r="AD292">
            <v>25</v>
          </cell>
          <cell r="AE292">
            <v>10</v>
          </cell>
          <cell r="AF292">
            <v>60</v>
          </cell>
          <cell r="AG292">
            <v>55</v>
          </cell>
          <cell r="AH292">
            <v>40</v>
          </cell>
          <cell r="AI292">
            <v>10</v>
          </cell>
          <cell r="AJ292">
            <v>0</v>
          </cell>
          <cell r="AK292">
            <v>10</v>
          </cell>
          <cell r="AL292">
            <v>10</v>
          </cell>
          <cell r="AM292">
            <v>0</v>
          </cell>
          <cell r="AN292">
            <v>0</v>
          </cell>
          <cell r="AO292">
            <v>285</v>
          </cell>
          <cell r="AP292">
            <v>85</v>
          </cell>
          <cell r="AQ292">
            <v>100</v>
          </cell>
          <cell r="AR292">
            <v>10</v>
          </cell>
          <cell r="AS292">
            <v>15</v>
          </cell>
          <cell r="AT292">
            <v>70</v>
          </cell>
          <cell r="AU292">
            <v>0.7</v>
          </cell>
          <cell r="AV292">
            <v>1660</v>
          </cell>
          <cell r="AW292">
            <v>660</v>
          </cell>
          <cell r="AX292">
            <v>20</v>
          </cell>
          <cell r="AY292">
            <v>205</v>
          </cell>
          <cell r="AZ292">
            <v>435</v>
          </cell>
          <cell r="BA292">
            <v>995</v>
          </cell>
          <cell r="BB292">
            <v>2.6</v>
          </cell>
          <cell r="BC292">
            <v>120</v>
          </cell>
          <cell r="BD292">
            <v>35</v>
          </cell>
          <cell r="BE292">
            <v>0</v>
          </cell>
          <cell r="BF292">
            <v>0</v>
          </cell>
          <cell r="BG292">
            <v>35</v>
          </cell>
          <cell r="BH292">
            <v>85</v>
          </cell>
          <cell r="BI292">
            <v>915</v>
          </cell>
          <cell r="BJ292">
            <v>4.5999999999999996</v>
          </cell>
          <cell r="BK292">
            <v>4209</v>
          </cell>
          <cell r="BL292">
            <v>1.7</v>
          </cell>
          <cell r="BM292">
            <v>1555.5</v>
          </cell>
          <cell r="BN292">
            <v>910</v>
          </cell>
          <cell r="BO292">
            <v>355</v>
          </cell>
          <cell r="BP292">
            <v>560</v>
          </cell>
          <cell r="BQ292">
            <v>0</v>
          </cell>
          <cell r="BR292">
            <v>915</v>
          </cell>
          <cell r="BS292">
            <v>515</v>
          </cell>
          <cell r="BT292">
            <v>265</v>
          </cell>
          <cell r="BU292">
            <v>130</v>
          </cell>
          <cell r="BV292">
            <v>915</v>
          </cell>
          <cell r="BW292">
            <v>600</v>
          </cell>
          <cell r="BX292">
            <v>115</v>
          </cell>
          <cell r="BY292">
            <v>60</v>
          </cell>
          <cell r="BZ292">
            <v>45</v>
          </cell>
          <cell r="CA292">
            <v>30</v>
          </cell>
          <cell r="CB292">
            <v>30</v>
          </cell>
          <cell r="CC292">
            <v>0</v>
          </cell>
          <cell r="CD292">
            <v>20</v>
          </cell>
          <cell r="CE292">
            <v>0</v>
          </cell>
          <cell r="CF292">
            <v>910</v>
          </cell>
          <cell r="CG292">
            <v>0</v>
          </cell>
          <cell r="CH292">
            <v>5</v>
          </cell>
          <cell r="CI292">
            <v>60</v>
          </cell>
          <cell r="CJ292">
            <v>80</v>
          </cell>
          <cell r="CK292">
            <v>5</v>
          </cell>
          <cell r="CL292">
            <v>755</v>
          </cell>
          <cell r="CM292">
            <v>10</v>
          </cell>
          <cell r="CN292">
            <v>5</v>
          </cell>
          <cell r="CO292">
            <v>915</v>
          </cell>
          <cell r="CP292">
            <v>445</v>
          </cell>
          <cell r="CQ292">
            <v>300</v>
          </cell>
          <cell r="CR292">
            <v>90</v>
          </cell>
          <cell r="CS292">
            <v>70</v>
          </cell>
          <cell r="CT292">
            <v>5</v>
          </cell>
          <cell r="CU292">
            <v>1660</v>
          </cell>
          <cell r="CV292">
            <v>1.8</v>
          </cell>
          <cell r="CW292">
            <v>910</v>
          </cell>
          <cell r="CX292">
            <v>375</v>
          </cell>
          <cell r="CY292">
            <v>10</v>
          </cell>
          <cell r="CZ292">
            <v>530</v>
          </cell>
        </row>
        <row r="293">
          <cell r="A293" t="str">
            <v>4620136.00</v>
          </cell>
          <cell r="B293" t="str">
            <v>0136.00</v>
          </cell>
          <cell r="C293" t="str">
            <v>Plateau Mont-Royal</v>
          </cell>
          <cell r="D293">
            <v>2465</v>
          </cell>
          <cell r="E293">
            <v>1635</v>
          </cell>
          <cell r="F293">
            <v>525</v>
          </cell>
          <cell r="G293">
            <v>50</v>
          </cell>
          <cell r="H293">
            <v>190</v>
          </cell>
          <cell r="I293">
            <v>65</v>
          </cell>
          <cell r="J293">
            <v>2465</v>
          </cell>
          <cell r="K293">
            <v>1990</v>
          </cell>
          <cell r="L293">
            <v>470</v>
          </cell>
          <cell r="M293">
            <v>575</v>
          </cell>
          <cell r="N293">
            <v>365</v>
          </cell>
          <cell r="O293">
            <v>95</v>
          </cell>
          <cell r="P293">
            <v>80</v>
          </cell>
          <cell r="Q293">
            <v>35</v>
          </cell>
          <cell r="R293">
            <v>575</v>
          </cell>
          <cell r="S293">
            <v>500</v>
          </cell>
          <cell r="T293">
            <v>260</v>
          </cell>
          <cell r="U293">
            <v>105</v>
          </cell>
          <cell r="V293">
            <v>155</v>
          </cell>
          <cell r="W293">
            <v>70</v>
          </cell>
          <cell r="X293">
            <v>50</v>
          </cell>
          <cell r="Y293">
            <v>35</v>
          </cell>
          <cell r="Z293">
            <v>240</v>
          </cell>
          <cell r="AA293">
            <v>200</v>
          </cell>
          <cell r="AB293">
            <v>35</v>
          </cell>
          <cell r="AC293">
            <v>0</v>
          </cell>
          <cell r="AD293">
            <v>30</v>
          </cell>
          <cell r="AE293">
            <v>0</v>
          </cell>
          <cell r="AF293">
            <v>75</v>
          </cell>
          <cell r="AG293">
            <v>45</v>
          </cell>
          <cell r="AH293">
            <v>50</v>
          </cell>
          <cell r="AI293">
            <v>0</v>
          </cell>
          <cell r="AJ293">
            <v>0</v>
          </cell>
          <cell r="AK293">
            <v>25</v>
          </cell>
          <cell r="AL293">
            <v>10</v>
          </cell>
          <cell r="AM293">
            <v>20</v>
          </cell>
          <cell r="AN293">
            <v>0</v>
          </cell>
          <cell r="AO293">
            <v>455</v>
          </cell>
          <cell r="AP293">
            <v>120</v>
          </cell>
          <cell r="AQ293">
            <v>160</v>
          </cell>
          <cell r="AR293">
            <v>65</v>
          </cell>
          <cell r="AS293">
            <v>75</v>
          </cell>
          <cell r="AT293">
            <v>40</v>
          </cell>
          <cell r="AU293">
            <v>0.8</v>
          </cell>
          <cell r="AV293">
            <v>2720</v>
          </cell>
          <cell r="AW293">
            <v>1190</v>
          </cell>
          <cell r="AX293">
            <v>85</v>
          </cell>
          <cell r="AY293">
            <v>425</v>
          </cell>
          <cell r="AZ293">
            <v>680</v>
          </cell>
          <cell r="BA293">
            <v>1530</v>
          </cell>
          <cell r="BB293">
            <v>2.7</v>
          </cell>
          <cell r="BC293">
            <v>195</v>
          </cell>
          <cell r="BD293">
            <v>115</v>
          </cell>
          <cell r="BE293">
            <v>25</v>
          </cell>
          <cell r="BF293">
            <v>10</v>
          </cell>
          <cell r="BG293">
            <v>80</v>
          </cell>
          <cell r="BH293">
            <v>80</v>
          </cell>
          <cell r="BI293">
            <v>1470</v>
          </cell>
          <cell r="BJ293">
            <v>4.3</v>
          </cell>
          <cell r="BK293">
            <v>6321</v>
          </cell>
          <cell r="BL293">
            <v>1.6</v>
          </cell>
          <cell r="BM293">
            <v>2352</v>
          </cell>
          <cell r="BN293">
            <v>1470</v>
          </cell>
          <cell r="BO293">
            <v>475</v>
          </cell>
          <cell r="BP293">
            <v>995</v>
          </cell>
          <cell r="BQ293">
            <v>0</v>
          </cell>
          <cell r="BR293">
            <v>1465</v>
          </cell>
          <cell r="BS293">
            <v>735</v>
          </cell>
          <cell r="BT293">
            <v>520</v>
          </cell>
          <cell r="BU293">
            <v>210</v>
          </cell>
          <cell r="BV293">
            <v>1465</v>
          </cell>
          <cell r="BW293">
            <v>755</v>
          </cell>
          <cell r="BX293">
            <v>175</v>
          </cell>
          <cell r="BY293">
            <v>135</v>
          </cell>
          <cell r="BZ293">
            <v>100</v>
          </cell>
          <cell r="CA293">
            <v>55</v>
          </cell>
          <cell r="CB293">
            <v>35</v>
          </cell>
          <cell r="CC293">
            <v>60</v>
          </cell>
          <cell r="CD293">
            <v>90</v>
          </cell>
          <cell r="CE293">
            <v>60</v>
          </cell>
          <cell r="CF293">
            <v>1470</v>
          </cell>
          <cell r="CG293">
            <v>0</v>
          </cell>
          <cell r="CH293">
            <v>0</v>
          </cell>
          <cell r="CI293">
            <v>60</v>
          </cell>
          <cell r="CJ293">
            <v>230</v>
          </cell>
          <cell r="CK293">
            <v>5</v>
          </cell>
          <cell r="CL293">
            <v>1170</v>
          </cell>
          <cell r="CM293">
            <v>5</v>
          </cell>
          <cell r="CN293">
            <v>0</v>
          </cell>
          <cell r="CO293">
            <v>1465</v>
          </cell>
          <cell r="CP293">
            <v>685</v>
          </cell>
          <cell r="CQ293">
            <v>505</v>
          </cell>
          <cell r="CR293">
            <v>160</v>
          </cell>
          <cell r="CS293">
            <v>110</v>
          </cell>
          <cell r="CT293">
            <v>10</v>
          </cell>
          <cell r="CU293">
            <v>2720</v>
          </cell>
          <cell r="CV293">
            <v>1.9</v>
          </cell>
          <cell r="CW293">
            <v>1470</v>
          </cell>
          <cell r="CX293">
            <v>550</v>
          </cell>
          <cell r="CY293">
            <v>10</v>
          </cell>
          <cell r="CZ293">
            <v>905</v>
          </cell>
        </row>
        <row r="294">
          <cell r="A294" t="str">
            <v>4620137.00</v>
          </cell>
          <cell r="B294" t="str">
            <v>0137.00</v>
          </cell>
          <cell r="C294" t="str">
            <v>Plateau Mont-Royal</v>
          </cell>
          <cell r="D294">
            <v>1040</v>
          </cell>
          <cell r="E294">
            <v>735</v>
          </cell>
          <cell r="F294">
            <v>160</v>
          </cell>
          <cell r="G294">
            <v>25</v>
          </cell>
          <cell r="H294">
            <v>85</v>
          </cell>
          <cell r="I294">
            <v>30</v>
          </cell>
          <cell r="J294">
            <v>1040</v>
          </cell>
          <cell r="K294">
            <v>910</v>
          </cell>
          <cell r="L294">
            <v>130</v>
          </cell>
          <cell r="M294">
            <v>175</v>
          </cell>
          <cell r="N294">
            <v>120</v>
          </cell>
          <cell r="O294">
            <v>20</v>
          </cell>
          <cell r="P294">
            <v>20</v>
          </cell>
          <cell r="Q294">
            <v>0</v>
          </cell>
          <cell r="R294">
            <v>175</v>
          </cell>
          <cell r="S294">
            <v>125</v>
          </cell>
          <cell r="T294">
            <v>70</v>
          </cell>
          <cell r="U294">
            <v>35</v>
          </cell>
          <cell r="V294">
            <v>30</v>
          </cell>
          <cell r="W294">
            <v>15</v>
          </cell>
          <cell r="X294">
            <v>10</v>
          </cell>
          <cell r="Y294">
            <v>0</v>
          </cell>
          <cell r="Z294">
            <v>55</v>
          </cell>
          <cell r="AA294">
            <v>55</v>
          </cell>
          <cell r="AB294">
            <v>0</v>
          </cell>
          <cell r="AC294">
            <v>0</v>
          </cell>
          <cell r="AD294">
            <v>0</v>
          </cell>
          <cell r="AE294">
            <v>0</v>
          </cell>
          <cell r="AF294">
            <v>45</v>
          </cell>
          <cell r="AG294">
            <v>40</v>
          </cell>
          <cell r="AH294">
            <v>30</v>
          </cell>
          <cell r="AI294">
            <v>10</v>
          </cell>
          <cell r="AJ294">
            <v>0</v>
          </cell>
          <cell r="AK294">
            <v>10</v>
          </cell>
          <cell r="AL294">
            <v>0</v>
          </cell>
          <cell r="AM294">
            <v>0</v>
          </cell>
          <cell r="AN294">
            <v>10</v>
          </cell>
          <cell r="AO294">
            <v>135</v>
          </cell>
          <cell r="AP294">
            <v>20</v>
          </cell>
          <cell r="AQ294">
            <v>60</v>
          </cell>
          <cell r="AR294">
            <v>30</v>
          </cell>
          <cell r="AS294">
            <v>20</v>
          </cell>
          <cell r="AT294">
            <v>0</v>
          </cell>
          <cell r="AU294">
            <v>0.8</v>
          </cell>
          <cell r="AV294">
            <v>1040</v>
          </cell>
          <cell r="AW294">
            <v>605</v>
          </cell>
          <cell r="AX294">
            <v>0</v>
          </cell>
          <cell r="AY294">
            <v>280</v>
          </cell>
          <cell r="AZ294">
            <v>320</v>
          </cell>
          <cell r="BA294">
            <v>435</v>
          </cell>
          <cell r="BB294">
            <v>2.5</v>
          </cell>
          <cell r="BC294">
            <v>80</v>
          </cell>
          <cell r="BD294">
            <v>45</v>
          </cell>
          <cell r="BE294">
            <v>10</v>
          </cell>
          <cell r="BF294">
            <v>15</v>
          </cell>
          <cell r="BG294">
            <v>25</v>
          </cell>
          <cell r="BH294">
            <v>35</v>
          </cell>
          <cell r="BI294">
            <v>605</v>
          </cell>
          <cell r="BJ294">
            <v>4.0999999999999996</v>
          </cell>
          <cell r="BK294">
            <v>2480.5</v>
          </cell>
          <cell r="BL294">
            <v>1.6</v>
          </cell>
          <cell r="BM294">
            <v>968</v>
          </cell>
          <cell r="BN294">
            <v>605</v>
          </cell>
          <cell r="BO294">
            <v>120</v>
          </cell>
          <cell r="BP294">
            <v>485</v>
          </cell>
          <cell r="BQ294">
            <v>0</v>
          </cell>
          <cell r="BR294">
            <v>605</v>
          </cell>
          <cell r="BS294">
            <v>330</v>
          </cell>
          <cell r="BT294">
            <v>195</v>
          </cell>
          <cell r="BU294">
            <v>85</v>
          </cell>
          <cell r="BV294">
            <v>605</v>
          </cell>
          <cell r="BW294">
            <v>290</v>
          </cell>
          <cell r="BX294">
            <v>90</v>
          </cell>
          <cell r="BY294">
            <v>95</v>
          </cell>
          <cell r="BZ294">
            <v>75</v>
          </cell>
          <cell r="CA294">
            <v>30</v>
          </cell>
          <cell r="CB294">
            <v>20</v>
          </cell>
          <cell r="CC294">
            <v>10</v>
          </cell>
          <cell r="CD294">
            <v>0</v>
          </cell>
          <cell r="CE294">
            <v>0</v>
          </cell>
          <cell r="CF294">
            <v>605</v>
          </cell>
          <cell r="CG294">
            <v>0</v>
          </cell>
          <cell r="CH294">
            <v>0</v>
          </cell>
          <cell r="CI294">
            <v>0</v>
          </cell>
          <cell r="CJ294">
            <v>70</v>
          </cell>
          <cell r="CK294">
            <v>120</v>
          </cell>
          <cell r="CL294">
            <v>410</v>
          </cell>
          <cell r="CM294">
            <v>0</v>
          </cell>
          <cell r="CN294">
            <v>0</v>
          </cell>
          <cell r="CO294">
            <v>605</v>
          </cell>
          <cell r="CP294">
            <v>330</v>
          </cell>
          <cell r="CQ294">
            <v>175</v>
          </cell>
          <cell r="CR294">
            <v>65</v>
          </cell>
          <cell r="CS294">
            <v>35</v>
          </cell>
          <cell r="CT294">
            <v>5</v>
          </cell>
          <cell r="CU294">
            <v>1040</v>
          </cell>
          <cell r="CV294">
            <v>1.7</v>
          </cell>
          <cell r="CW294">
            <v>605</v>
          </cell>
          <cell r="CX294">
            <v>175</v>
          </cell>
          <cell r="CY294">
            <v>0</v>
          </cell>
          <cell r="CZ294">
            <v>430</v>
          </cell>
        </row>
        <row r="295">
          <cell r="A295" t="str">
            <v>4620138.00</v>
          </cell>
          <cell r="B295" t="str">
            <v>0138.00</v>
          </cell>
          <cell r="C295" t="str">
            <v>Plateau Mont-Royal</v>
          </cell>
          <cell r="D295">
            <v>1890</v>
          </cell>
          <cell r="E295">
            <v>1245</v>
          </cell>
          <cell r="F295">
            <v>355</v>
          </cell>
          <cell r="G295">
            <v>40</v>
          </cell>
          <cell r="H295">
            <v>165</v>
          </cell>
          <cell r="I295">
            <v>90</v>
          </cell>
          <cell r="J295">
            <v>1890</v>
          </cell>
          <cell r="K295">
            <v>1525</v>
          </cell>
          <cell r="L295">
            <v>370</v>
          </cell>
          <cell r="M295">
            <v>420</v>
          </cell>
          <cell r="N295">
            <v>275</v>
          </cell>
          <cell r="O295">
            <v>85</v>
          </cell>
          <cell r="P295">
            <v>50</v>
          </cell>
          <cell r="Q295">
            <v>0</v>
          </cell>
          <cell r="R295">
            <v>420</v>
          </cell>
          <cell r="S295">
            <v>360</v>
          </cell>
          <cell r="T295">
            <v>165</v>
          </cell>
          <cell r="U295">
            <v>65</v>
          </cell>
          <cell r="V295">
            <v>105</v>
          </cell>
          <cell r="W295">
            <v>60</v>
          </cell>
          <cell r="X295">
            <v>45</v>
          </cell>
          <cell r="Y295">
            <v>0</v>
          </cell>
          <cell r="Z295">
            <v>195</v>
          </cell>
          <cell r="AA295">
            <v>170</v>
          </cell>
          <cell r="AB295">
            <v>30</v>
          </cell>
          <cell r="AC295">
            <v>25</v>
          </cell>
          <cell r="AD295">
            <v>0</v>
          </cell>
          <cell r="AE295">
            <v>0</v>
          </cell>
          <cell r="AF295">
            <v>60</v>
          </cell>
          <cell r="AG295">
            <v>35</v>
          </cell>
          <cell r="AH295">
            <v>25</v>
          </cell>
          <cell r="AI295">
            <v>0</v>
          </cell>
          <cell r="AJ295">
            <v>10</v>
          </cell>
          <cell r="AK295">
            <v>25</v>
          </cell>
          <cell r="AL295">
            <v>15</v>
          </cell>
          <cell r="AM295">
            <v>0</v>
          </cell>
          <cell r="AN295">
            <v>0</v>
          </cell>
          <cell r="AO295">
            <v>265</v>
          </cell>
          <cell r="AP295">
            <v>75</v>
          </cell>
          <cell r="AQ295">
            <v>65</v>
          </cell>
          <cell r="AR295">
            <v>10</v>
          </cell>
          <cell r="AS295">
            <v>35</v>
          </cell>
          <cell r="AT295">
            <v>80</v>
          </cell>
          <cell r="AU295">
            <v>0.6</v>
          </cell>
          <cell r="AV295">
            <v>1990</v>
          </cell>
          <cell r="AW295">
            <v>940</v>
          </cell>
          <cell r="AX295">
            <v>55</v>
          </cell>
          <cell r="AY295">
            <v>415</v>
          </cell>
          <cell r="AZ295">
            <v>470</v>
          </cell>
          <cell r="BA295">
            <v>1055</v>
          </cell>
          <cell r="BB295">
            <v>2.5</v>
          </cell>
          <cell r="BC295">
            <v>230</v>
          </cell>
          <cell r="BD295">
            <v>155</v>
          </cell>
          <cell r="BE295">
            <v>15</v>
          </cell>
          <cell r="BF295">
            <v>0</v>
          </cell>
          <cell r="BG295">
            <v>140</v>
          </cell>
          <cell r="BH295">
            <v>75</v>
          </cell>
          <cell r="BI295">
            <v>1055</v>
          </cell>
          <cell r="BJ295">
            <v>4.8</v>
          </cell>
          <cell r="BK295">
            <v>5064</v>
          </cell>
          <cell r="BL295">
            <v>1.9</v>
          </cell>
          <cell r="BM295">
            <v>2004.5</v>
          </cell>
          <cell r="BN295">
            <v>1055</v>
          </cell>
          <cell r="BO295">
            <v>355</v>
          </cell>
          <cell r="BP295">
            <v>700</v>
          </cell>
          <cell r="BQ295">
            <v>0</v>
          </cell>
          <cell r="BR295">
            <v>1055</v>
          </cell>
          <cell r="BS295">
            <v>625</v>
          </cell>
          <cell r="BT295">
            <v>330</v>
          </cell>
          <cell r="BU295">
            <v>100</v>
          </cell>
          <cell r="BV295">
            <v>1055</v>
          </cell>
          <cell r="BW295">
            <v>605</v>
          </cell>
          <cell r="BX295">
            <v>110</v>
          </cell>
          <cell r="BY295">
            <v>85</v>
          </cell>
          <cell r="BZ295">
            <v>50</v>
          </cell>
          <cell r="CA295">
            <v>15</v>
          </cell>
          <cell r="CB295">
            <v>60</v>
          </cell>
          <cell r="CC295">
            <v>45</v>
          </cell>
          <cell r="CD295">
            <v>35</v>
          </cell>
          <cell r="CE295">
            <v>50</v>
          </cell>
          <cell r="CF295">
            <v>1055</v>
          </cell>
          <cell r="CG295">
            <v>5</v>
          </cell>
          <cell r="CH295">
            <v>5</v>
          </cell>
          <cell r="CI295">
            <v>0</v>
          </cell>
          <cell r="CJ295">
            <v>5</v>
          </cell>
          <cell r="CK295">
            <v>115</v>
          </cell>
          <cell r="CL295">
            <v>920</v>
          </cell>
          <cell r="CM295">
            <v>5</v>
          </cell>
          <cell r="CN295">
            <v>0</v>
          </cell>
          <cell r="CO295">
            <v>1055</v>
          </cell>
          <cell r="CP295">
            <v>465</v>
          </cell>
          <cell r="CQ295">
            <v>355</v>
          </cell>
          <cell r="CR295">
            <v>155</v>
          </cell>
          <cell r="CS295">
            <v>65</v>
          </cell>
          <cell r="CT295">
            <v>10</v>
          </cell>
          <cell r="CU295">
            <v>1990</v>
          </cell>
          <cell r="CV295">
            <v>1.9</v>
          </cell>
          <cell r="CW295">
            <v>1055</v>
          </cell>
          <cell r="CX295">
            <v>390</v>
          </cell>
          <cell r="CY295">
            <v>20</v>
          </cell>
          <cell r="CZ295">
            <v>650</v>
          </cell>
        </row>
        <row r="296">
          <cell r="A296" t="str">
            <v>4620139.00</v>
          </cell>
          <cell r="B296" t="str">
            <v>0139.00</v>
          </cell>
          <cell r="C296" t="str">
            <v>Plateau Mont-Royal</v>
          </cell>
          <cell r="D296">
            <v>2785</v>
          </cell>
          <cell r="E296">
            <v>1920</v>
          </cell>
          <cell r="F296">
            <v>525</v>
          </cell>
          <cell r="G296">
            <v>60</v>
          </cell>
          <cell r="H296">
            <v>230</v>
          </cell>
          <cell r="I296">
            <v>45</v>
          </cell>
          <cell r="J296">
            <v>2785</v>
          </cell>
          <cell r="K296">
            <v>2140</v>
          </cell>
          <cell r="L296">
            <v>645</v>
          </cell>
          <cell r="M296">
            <v>730</v>
          </cell>
          <cell r="N296">
            <v>465</v>
          </cell>
          <cell r="O296">
            <v>165</v>
          </cell>
          <cell r="P296">
            <v>75</v>
          </cell>
          <cell r="Q296">
            <v>25</v>
          </cell>
          <cell r="R296">
            <v>730</v>
          </cell>
          <cell r="S296">
            <v>590</v>
          </cell>
          <cell r="T296">
            <v>260</v>
          </cell>
          <cell r="U296">
            <v>115</v>
          </cell>
          <cell r="V296">
            <v>145</v>
          </cell>
          <cell r="W296">
            <v>55</v>
          </cell>
          <cell r="X296">
            <v>65</v>
          </cell>
          <cell r="Y296">
            <v>20</v>
          </cell>
          <cell r="Z296">
            <v>330</v>
          </cell>
          <cell r="AA296">
            <v>255</v>
          </cell>
          <cell r="AB296">
            <v>75</v>
          </cell>
          <cell r="AC296">
            <v>65</v>
          </cell>
          <cell r="AD296">
            <v>10</v>
          </cell>
          <cell r="AE296">
            <v>10</v>
          </cell>
          <cell r="AF296">
            <v>145</v>
          </cell>
          <cell r="AG296">
            <v>125</v>
          </cell>
          <cell r="AH296">
            <v>80</v>
          </cell>
          <cell r="AI296">
            <v>45</v>
          </cell>
          <cell r="AJ296">
            <v>0</v>
          </cell>
          <cell r="AK296">
            <v>20</v>
          </cell>
          <cell r="AL296">
            <v>20</v>
          </cell>
          <cell r="AM296">
            <v>0</v>
          </cell>
          <cell r="AN296">
            <v>0</v>
          </cell>
          <cell r="AO296">
            <v>550</v>
          </cell>
          <cell r="AP296">
            <v>140</v>
          </cell>
          <cell r="AQ296">
            <v>195</v>
          </cell>
          <cell r="AR296">
            <v>25</v>
          </cell>
          <cell r="AS296">
            <v>100</v>
          </cell>
          <cell r="AT296">
            <v>85</v>
          </cell>
          <cell r="AU296">
            <v>0.8</v>
          </cell>
          <cell r="AV296">
            <v>3100</v>
          </cell>
          <cell r="AW296">
            <v>1235</v>
          </cell>
          <cell r="AX296">
            <v>25</v>
          </cell>
          <cell r="AY296">
            <v>425</v>
          </cell>
          <cell r="AZ296">
            <v>775</v>
          </cell>
          <cell r="BA296">
            <v>1865</v>
          </cell>
          <cell r="BB296">
            <v>2.6</v>
          </cell>
          <cell r="BC296">
            <v>175</v>
          </cell>
          <cell r="BD296">
            <v>65</v>
          </cell>
          <cell r="BE296">
            <v>0</v>
          </cell>
          <cell r="BF296">
            <v>0</v>
          </cell>
          <cell r="BG296">
            <v>60</v>
          </cell>
          <cell r="BH296">
            <v>110</v>
          </cell>
          <cell r="BI296">
            <v>1675</v>
          </cell>
          <cell r="BJ296">
            <v>4.2</v>
          </cell>
          <cell r="BK296">
            <v>7035</v>
          </cell>
          <cell r="BL296">
            <v>1.6</v>
          </cell>
          <cell r="BM296">
            <v>2680</v>
          </cell>
          <cell r="BN296">
            <v>1675</v>
          </cell>
          <cell r="BO296">
            <v>660</v>
          </cell>
          <cell r="BP296">
            <v>1015</v>
          </cell>
          <cell r="BQ296">
            <v>0</v>
          </cell>
          <cell r="BR296">
            <v>1670</v>
          </cell>
          <cell r="BS296">
            <v>950</v>
          </cell>
          <cell r="BT296">
            <v>555</v>
          </cell>
          <cell r="BU296">
            <v>170</v>
          </cell>
          <cell r="BV296">
            <v>1670</v>
          </cell>
          <cell r="BW296">
            <v>750</v>
          </cell>
          <cell r="BX296">
            <v>185</v>
          </cell>
          <cell r="BY296">
            <v>185</v>
          </cell>
          <cell r="BZ296">
            <v>85</v>
          </cell>
          <cell r="CA296">
            <v>60</v>
          </cell>
          <cell r="CB296">
            <v>40</v>
          </cell>
          <cell r="CC296">
            <v>70</v>
          </cell>
          <cell r="CD296">
            <v>165</v>
          </cell>
          <cell r="CE296">
            <v>130</v>
          </cell>
          <cell r="CF296">
            <v>1670</v>
          </cell>
          <cell r="CG296">
            <v>0</v>
          </cell>
          <cell r="CH296">
            <v>5</v>
          </cell>
          <cell r="CI296">
            <v>100</v>
          </cell>
          <cell r="CJ296">
            <v>145</v>
          </cell>
          <cell r="CK296">
            <v>125</v>
          </cell>
          <cell r="CL296">
            <v>1295</v>
          </cell>
          <cell r="CM296">
            <v>5</v>
          </cell>
          <cell r="CN296">
            <v>0</v>
          </cell>
          <cell r="CO296">
            <v>1670</v>
          </cell>
          <cell r="CP296">
            <v>780</v>
          </cell>
          <cell r="CQ296">
            <v>575</v>
          </cell>
          <cell r="CR296">
            <v>185</v>
          </cell>
          <cell r="CS296">
            <v>120</v>
          </cell>
          <cell r="CT296">
            <v>15</v>
          </cell>
          <cell r="CU296">
            <v>3100</v>
          </cell>
          <cell r="CV296">
            <v>1.9</v>
          </cell>
          <cell r="CW296">
            <v>1670</v>
          </cell>
          <cell r="CX296">
            <v>700</v>
          </cell>
          <cell r="CY296">
            <v>15</v>
          </cell>
          <cell r="CZ296">
            <v>955</v>
          </cell>
        </row>
        <row r="297">
          <cell r="A297" t="str">
            <v>4620140.00</v>
          </cell>
          <cell r="B297" t="str">
            <v>0140.00</v>
          </cell>
          <cell r="C297" t="str">
            <v>Plateau Mont-Royal</v>
          </cell>
          <cell r="D297">
            <v>1250</v>
          </cell>
          <cell r="E297">
            <v>830</v>
          </cell>
          <cell r="F297">
            <v>235</v>
          </cell>
          <cell r="G297">
            <v>20</v>
          </cell>
          <cell r="H297">
            <v>125</v>
          </cell>
          <cell r="I297">
            <v>40</v>
          </cell>
          <cell r="J297">
            <v>1250</v>
          </cell>
          <cell r="K297">
            <v>925</v>
          </cell>
          <cell r="L297">
            <v>325</v>
          </cell>
          <cell r="M297">
            <v>305</v>
          </cell>
          <cell r="N297">
            <v>170</v>
          </cell>
          <cell r="O297">
            <v>90</v>
          </cell>
          <cell r="P297">
            <v>35</v>
          </cell>
          <cell r="Q297">
            <v>15</v>
          </cell>
          <cell r="R297">
            <v>305</v>
          </cell>
          <cell r="S297">
            <v>270</v>
          </cell>
          <cell r="T297">
            <v>125</v>
          </cell>
          <cell r="U297">
            <v>45</v>
          </cell>
          <cell r="V297">
            <v>75</v>
          </cell>
          <cell r="W297">
            <v>55</v>
          </cell>
          <cell r="X297">
            <v>15</v>
          </cell>
          <cell r="Y297">
            <v>0</v>
          </cell>
          <cell r="Z297">
            <v>145</v>
          </cell>
          <cell r="AA297">
            <v>110</v>
          </cell>
          <cell r="AB297">
            <v>40</v>
          </cell>
          <cell r="AC297">
            <v>20</v>
          </cell>
          <cell r="AD297">
            <v>15</v>
          </cell>
          <cell r="AE297">
            <v>0</v>
          </cell>
          <cell r="AF297">
            <v>35</v>
          </cell>
          <cell r="AG297">
            <v>25</v>
          </cell>
          <cell r="AH297">
            <v>0</v>
          </cell>
          <cell r="AI297">
            <v>15</v>
          </cell>
          <cell r="AJ297">
            <v>10</v>
          </cell>
          <cell r="AK297">
            <v>15</v>
          </cell>
          <cell r="AL297">
            <v>15</v>
          </cell>
          <cell r="AM297">
            <v>0</v>
          </cell>
          <cell r="AN297">
            <v>0</v>
          </cell>
          <cell r="AO297">
            <v>235</v>
          </cell>
          <cell r="AP297">
            <v>65</v>
          </cell>
          <cell r="AQ297">
            <v>90</v>
          </cell>
          <cell r="AR297">
            <v>35</v>
          </cell>
          <cell r="AS297">
            <v>35</v>
          </cell>
          <cell r="AT297">
            <v>15</v>
          </cell>
          <cell r="AU297">
            <v>0.8</v>
          </cell>
          <cell r="AV297">
            <v>1330</v>
          </cell>
          <cell r="AW297">
            <v>515</v>
          </cell>
          <cell r="AX297">
            <v>25</v>
          </cell>
          <cell r="AY297">
            <v>165</v>
          </cell>
          <cell r="AZ297">
            <v>335</v>
          </cell>
          <cell r="BA297">
            <v>810</v>
          </cell>
          <cell r="BB297">
            <v>2.7</v>
          </cell>
          <cell r="BC297">
            <v>120</v>
          </cell>
          <cell r="BD297">
            <v>65</v>
          </cell>
          <cell r="BE297">
            <v>0</v>
          </cell>
          <cell r="BF297">
            <v>10</v>
          </cell>
          <cell r="BG297">
            <v>55</v>
          </cell>
          <cell r="BH297">
            <v>50</v>
          </cell>
          <cell r="BI297">
            <v>710</v>
          </cell>
          <cell r="BJ297">
            <v>5.2</v>
          </cell>
          <cell r="BK297">
            <v>3692</v>
          </cell>
          <cell r="BL297">
            <v>1.8</v>
          </cell>
          <cell r="BM297">
            <v>1278</v>
          </cell>
          <cell r="BN297">
            <v>710</v>
          </cell>
          <cell r="BO297">
            <v>335</v>
          </cell>
          <cell r="BP297">
            <v>375</v>
          </cell>
          <cell r="BQ297">
            <v>0</v>
          </cell>
          <cell r="BR297">
            <v>715</v>
          </cell>
          <cell r="BS297">
            <v>350</v>
          </cell>
          <cell r="BT297">
            <v>280</v>
          </cell>
          <cell r="BU297">
            <v>80</v>
          </cell>
          <cell r="BV297">
            <v>715</v>
          </cell>
          <cell r="BW297">
            <v>600</v>
          </cell>
          <cell r="BX297">
            <v>40</v>
          </cell>
          <cell r="BY297">
            <v>10</v>
          </cell>
          <cell r="BZ297">
            <v>15</v>
          </cell>
          <cell r="CA297">
            <v>40</v>
          </cell>
          <cell r="CB297">
            <v>10</v>
          </cell>
          <cell r="CC297">
            <v>0</v>
          </cell>
          <cell r="CD297">
            <v>0</v>
          </cell>
          <cell r="CE297">
            <v>0</v>
          </cell>
          <cell r="CF297">
            <v>715</v>
          </cell>
          <cell r="CG297">
            <v>0</v>
          </cell>
          <cell r="CH297">
            <v>0</v>
          </cell>
          <cell r="CI297">
            <v>15</v>
          </cell>
          <cell r="CJ297">
            <v>135</v>
          </cell>
          <cell r="CK297">
            <v>0</v>
          </cell>
          <cell r="CL297">
            <v>560</v>
          </cell>
          <cell r="CM297">
            <v>5</v>
          </cell>
          <cell r="CN297">
            <v>0</v>
          </cell>
          <cell r="CO297">
            <v>715</v>
          </cell>
          <cell r="CP297">
            <v>310</v>
          </cell>
          <cell r="CQ297">
            <v>270</v>
          </cell>
          <cell r="CR297">
            <v>70</v>
          </cell>
          <cell r="CS297">
            <v>65</v>
          </cell>
          <cell r="CT297">
            <v>0</v>
          </cell>
          <cell r="CU297">
            <v>1325</v>
          </cell>
          <cell r="CV297">
            <v>1.9</v>
          </cell>
          <cell r="CW297">
            <v>710</v>
          </cell>
          <cell r="CX297">
            <v>310</v>
          </cell>
          <cell r="CY297">
            <v>0</v>
          </cell>
          <cell r="CZ297">
            <v>410</v>
          </cell>
        </row>
        <row r="298">
          <cell r="A298" t="str">
            <v>4620141.00</v>
          </cell>
          <cell r="B298" t="str">
            <v>0141.00</v>
          </cell>
          <cell r="C298" t="str">
            <v>Plateau Mont-Royal</v>
          </cell>
          <cell r="D298">
            <v>1390</v>
          </cell>
          <cell r="E298">
            <v>990</v>
          </cell>
          <cell r="F298">
            <v>220</v>
          </cell>
          <cell r="G298">
            <v>25</v>
          </cell>
          <cell r="H298">
            <v>135</v>
          </cell>
          <cell r="I298">
            <v>25</v>
          </cell>
          <cell r="J298">
            <v>1390</v>
          </cell>
          <cell r="K298">
            <v>1010</v>
          </cell>
          <cell r="L298">
            <v>380</v>
          </cell>
          <cell r="M298">
            <v>345</v>
          </cell>
          <cell r="N298">
            <v>200</v>
          </cell>
          <cell r="O298">
            <v>75</v>
          </cell>
          <cell r="P298">
            <v>70</v>
          </cell>
          <cell r="Q298">
            <v>0</v>
          </cell>
          <cell r="R298">
            <v>345</v>
          </cell>
          <cell r="S298">
            <v>275</v>
          </cell>
          <cell r="T298">
            <v>100</v>
          </cell>
          <cell r="U298">
            <v>40</v>
          </cell>
          <cell r="V298">
            <v>65</v>
          </cell>
          <cell r="W298">
            <v>20</v>
          </cell>
          <cell r="X298">
            <v>35</v>
          </cell>
          <cell r="Y298">
            <v>10</v>
          </cell>
          <cell r="Z298">
            <v>175</v>
          </cell>
          <cell r="AA298">
            <v>100</v>
          </cell>
          <cell r="AB298">
            <v>70</v>
          </cell>
          <cell r="AC298">
            <v>40</v>
          </cell>
          <cell r="AD298">
            <v>30</v>
          </cell>
          <cell r="AE298">
            <v>0</v>
          </cell>
          <cell r="AF298">
            <v>70</v>
          </cell>
          <cell r="AG298">
            <v>50</v>
          </cell>
          <cell r="AH298">
            <v>35</v>
          </cell>
          <cell r="AI298">
            <v>15</v>
          </cell>
          <cell r="AJ298">
            <v>0</v>
          </cell>
          <cell r="AK298">
            <v>20</v>
          </cell>
          <cell r="AL298">
            <v>20</v>
          </cell>
          <cell r="AM298">
            <v>0</v>
          </cell>
          <cell r="AN298">
            <v>0</v>
          </cell>
          <cell r="AO298">
            <v>295</v>
          </cell>
          <cell r="AP298">
            <v>75</v>
          </cell>
          <cell r="AQ298">
            <v>120</v>
          </cell>
          <cell r="AR298">
            <v>15</v>
          </cell>
          <cell r="AS298">
            <v>60</v>
          </cell>
          <cell r="AT298">
            <v>30</v>
          </cell>
          <cell r="AU298">
            <v>0.8</v>
          </cell>
          <cell r="AV298">
            <v>1580</v>
          </cell>
          <cell r="AW298">
            <v>660</v>
          </cell>
          <cell r="AX298">
            <v>15</v>
          </cell>
          <cell r="AY298">
            <v>250</v>
          </cell>
          <cell r="AZ298">
            <v>390</v>
          </cell>
          <cell r="BA298">
            <v>920</v>
          </cell>
          <cell r="BB298">
            <v>2.6</v>
          </cell>
          <cell r="BC298">
            <v>95</v>
          </cell>
          <cell r="BD298">
            <v>50</v>
          </cell>
          <cell r="BE298">
            <v>10</v>
          </cell>
          <cell r="BF298">
            <v>20</v>
          </cell>
          <cell r="BG298">
            <v>25</v>
          </cell>
          <cell r="BH298">
            <v>40</v>
          </cell>
          <cell r="BI298">
            <v>850</v>
          </cell>
          <cell r="BJ298">
            <v>5.0999999999999996</v>
          </cell>
          <cell r="BK298">
            <v>4335</v>
          </cell>
          <cell r="BL298">
            <v>1.9</v>
          </cell>
          <cell r="BM298">
            <v>1615</v>
          </cell>
          <cell r="BN298">
            <v>850</v>
          </cell>
          <cell r="BO298">
            <v>390</v>
          </cell>
          <cell r="BP298">
            <v>460</v>
          </cell>
          <cell r="BQ298">
            <v>0</v>
          </cell>
          <cell r="BR298">
            <v>850</v>
          </cell>
          <cell r="BS298">
            <v>380</v>
          </cell>
          <cell r="BT298">
            <v>330</v>
          </cell>
          <cell r="BU298">
            <v>135</v>
          </cell>
          <cell r="BV298">
            <v>855</v>
          </cell>
          <cell r="BW298">
            <v>565</v>
          </cell>
          <cell r="BX298">
            <v>115</v>
          </cell>
          <cell r="BY298">
            <v>45</v>
          </cell>
          <cell r="BZ298">
            <v>15</v>
          </cell>
          <cell r="CA298">
            <v>35</v>
          </cell>
          <cell r="CB298">
            <v>40</v>
          </cell>
          <cell r="CC298">
            <v>10</v>
          </cell>
          <cell r="CD298">
            <v>30</v>
          </cell>
          <cell r="CE298">
            <v>10</v>
          </cell>
          <cell r="CF298">
            <v>850</v>
          </cell>
          <cell r="CG298">
            <v>0</v>
          </cell>
          <cell r="CH298">
            <v>0</v>
          </cell>
          <cell r="CI298">
            <v>35</v>
          </cell>
          <cell r="CJ298">
            <v>105</v>
          </cell>
          <cell r="CK298">
            <v>0</v>
          </cell>
          <cell r="CL298">
            <v>705</v>
          </cell>
          <cell r="CM298">
            <v>0</v>
          </cell>
          <cell r="CN298">
            <v>0</v>
          </cell>
          <cell r="CO298">
            <v>850</v>
          </cell>
          <cell r="CP298">
            <v>400</v>
          </cell>
          <cell r="CQ298">
            <v>275</v>
          </cell>
          <cell r="CR298">
            <v>110</v>
          </cell>
          <cell r="CS298">
            <v>70</v>
          </cell>
          <cell r="CT298">
            <v>0</v>
          </cell>
          <cell r="CU298">
            <v>1580</v>
          </cell>
          <cell r="CV298">
            <v>1.9</v>
          </cell>
          <cell r="CW298">
            <v>855</v>
          </cell>
          <cell r="CX298">
            <v>345</v>
          </cell>
          <cell r="CY298">
            <v>0</v>
          </cell>
          <cell r="CZ298">
            <v>505</v>
          </cell>
        </row>
        <row r="299">
          <cell r="A299" t="str">
            <v>4620142.00</v>
          </cell>
          <cell r="B299" t="str">
            <v>0142.00</v>
          </cell>
          <cell r="C299" t="str">
            <v>Plateau Mont-Royal</v>
          </cell>
          <cell r="D299">
            <v>1410</v>
          </cell>
          <cell r="E299">
            <v>960</v>
          </cell>
          <cell r="F299">
            <v>200</v>
          </cell>
          <cell r="G299">
            <v>30</v>
          </cell>
          <cell r="H299">
            <v>170</v>
          </cell>
          <cell r="I299">
            <v>45</v>
          </cell>
          <cell r="J299">
            <v>1415</v>
          </cell>
          <cell r="K299">
            <v>1095</v>
          </cell>
          <cell r="L299">
            <v>320</v>
          </cell>
          <cell r="M299">
            <v>360</v>
          </cell>
          <cell r="N299">
            <v>230</v>
          </cell>
          <cell r="O299">
            <v>75</v>
          </cell>
          <cell r="P299">
            <v>35</v>
          </cell>
          <cell r="Q299">
            <v>25</v>
          </cell>
          <cell r="R299">
            <v>360</v>
          </cell>
          <cell r="S299">
            <v>280</v>
          </cell>
          <cell r="T299">
            <v>105</v>
          </cell>
          <cell r="U299">
            <v>40</v>
          </cell>
          <cell r="V299">
            <v>65</v>
          </cell>
          <cell r="W299">
            <v>35</v>
          </cell>
          <cell r="X299">
            <v>10</v>
          </cell>
          <cell r="Y299">
            <v>20</v>
          </cell>
          <cell r="Z299">
            <v>175</v>
          </cell>
          <cell r="AA299">
            <v>130</v>
          </cell>
          <cell r="AB299">
            <v>45</v>
          </cell>
          <cell r="AC299">
            <v>30</v>
          </cell>
          <cell r="AD299">
            <v>10</v>
          </cell>
          <cell r="AE299">
            <v>10</v>
          </cell>
          <cell r="AF299">
            <v>80</v>
          </cell>
          <cell r="AG299">
            <v>65</v>
          </cell>
          <cell r="AH299">
            <v>40</v>
          </cell>
          <cell r="AI299">
            <v>15</v>
          </cell>
          <cell r="AJ299">
            <v>15</v>
          </cell>
          <cell r="AK299">
            <v>10</v>
          </cell>
          <cell r="AL299">
            <v>10</v>
          </cell>
          <cell r="AM299">
            <v>0</v>
          </cell>
          <cell r="AN299">
            <v>0</v>
          </cell>
          <cell r="AO299">
            <v>320</v>
          </cell>
          <cell r="AP299">
            <v>95</v>
          </cell>
          <cell r="AQ299">
            <v>90</v>
          </cell>
          <cell r="AR299">
            <v>40</v>
          </cell>
          <cell r="AS299">
            <v>60</v>
          </cell>
          <cell r="AT299">
            <v>30</v>
          </cell>
          <cell r="AU299">
            <v>0.9</v>
          </cell>
          <cell r="AV299">
            <v>1560</v>
          </cell>
          <cell r="AW299">
            <v>595</v>
          </cell>
          <cell r="AX299">
            <v>15</v>
          </cell>
          <cell r="AY299">
            <v>110</v>
          </cell>
          <cell r="AZ299">
            <v>475</v>
          </cell>
          <cell r="BA299">
            <v>965</v>
          </cell>
          <cell r="BB299">
            <v>2.7</v>
          </cell>
          <cell r="BC299">
            <v>145</v>
          </cell>
          <cell r="BD299">
            <v>90</v>
          </cell>
          <cell r="BE299">
            <v>0</v>
          </cell>
          <cell r="BF299">
            <v>0</v>
          </cell>
          <cell r="BG299">
            <v>90</v>
          </cell>
          <cell r="BH299">
            <v>50</v>
          </cell>
          <cell r="BI299">
            <v>890</v>
          </cell>
          <cell r="BJ299">
            <v>4.2</v>
          </cell>
          <cell r="BK299">
            <v>3738</v>
          </cell>
          <cell r="BL299">
            <v>1.5</v>
          </cell>
          <cell r="BM299">
            <v>1335</v>
          </cell>
          <cell r="BN299">
            <v>890</v>
          </cell>
          <cell r="BO299">
            <v>335</v>
          </cell>
          <cell r="BP299">
            <v>555</v>
          </cell>
          <cell r="BQ299">
            <v>0</v>
          </cell>
          <cell r="BR299">
            <v>890</v>
          </cell>
          <cell r="BS299">
            <v>425</v>
          </cell>
          <cell r="BT299">
            <v>315</v>
          </cell>
          <cell r="BU299">
            <v>145</v>
          </cell>
          <cell r="BV299">
            <v>890</v>
          </cell>
          <cell r="BW299">
            <v>470</v>
          </cell>
          <cell r="BX299">
            <v>130</v>
          </cell>
          <cell r="BY299">
            <v>100</v>
          </cell>
          <cell r="BZ299">
            <v>70</v>
          </cell>
          <cell r="CA299">
            <v>40</v>
          </cell>
          <cell r="CB299">
            <v>15</v>
          </cell>
          <cell r="CC299">
            <v>25</v>
          </cell>
          <cell r="CD299">
            <v>30</v>
          </cell>
          <cell r="CE299">
            <v>10</v>
          </cell>
          <cell r="CF299">
            <v>890</v>
          </cell>
          <cell r="CG299">
            <v>5</v>
          </cell>
          <cell r="CH299">
            <v>5</v>
          </cell>
          <cell r="CI299">
            <v>0</v>
          </cell>
          <cell r="CJ299">
            <v>60</v>
          </cell>
          <cell r="CK299">
            <v>120</v>
          </cell>
          <cell r="CL299">
            <v>695</v>
          </cell>
          <cell r="CM299">
            <v>10</v>
          </cell>
          <cell r="CN299">
            <v>0</v>
          </cell>
          <cell r="CO299">
            <v>890</v>
          </cell>
          <cell r="CP299">
            <v>465</v>
          </cell>
          <cell r="CQ299">
            <v>270</v>
          </cell>
          <cell r="CR299">
            <v>90</v>
          </cell>
          <cell r="CS299">
            <v>55</v>
          </cell>
          <cell r="CT299">
            <v>10</v>
          </cell>
          <cell r="CU299">
            <v>1560</v>
          </cell>
          <cell r="CV299">
            <v>1.7</v>
          </cell>
          <cell r="CW299">
            <v>885</v>
          </cell>
          <cell r="CX299">
            <v>355</v>
          </cell>
          <cell r="CY299">
            <v>0</v>
          </cell>
          <cell r="CZ299">
            <v>530</v>
          </cell>
        </row>
        <row r="300">
          <cell r="A300" t="str">
            <v>4620143.00</v>
          </cell>
          <cell r="B300" t="str">
            <v>0143.00</v>
          </cell>
          <cell r="C300" t="str">
            <v>Plateau Mont-Royal</v>
          </cell>
          <cell r="D300">
            <v>2155</v>
          </cell>
          <cell r="E300">
            <v>1320</v>
          </cell>
          <cell r="F300">
            <v>350</v>
          </cell>
          <cell r="G300">
            <v>55</v>
          </cell>
          <cell r="H300">
            <v>310</v>
          </cell>
          <cell r="I300">
            <v>120</v>
          </cell>
          <cell r="J300">
            <v>2155</v>
          </cell>
          <cell r="K300">
            <v>1790</v>
          </cell>
          <cell r="L300">
            <v>370</v>
          </cell>
          <cell r="M300">
            <v>435</v>
          </cell>
          <cell r="N300">
            <v>310</v>
          </cell>
          <cell r="O300">
            <v>50</v>
          </cell>
          <cell r="P300">
            <v>65</v>
          </cell>
          <cell r="Q300">
            <v>10</v>
          </cell>
          <cell r="R300">
            <v>435</v>
          </cell>
          <cell r="S300">
            <v>365</v>
          </cell>
          <cell r="T300">
            <v>180</v>
          </cell>
          <cell r="U300">
            <v>125</v>
          </cell>
          <cell r="V300">
            <v>55</v>
          </cell>
          <cell r="W300">
            <v>40</v>
          </cell>
          <cell r="X300">
            <v>15</v>
          </cell>
          <cell r="Y300">
            <v>0</v>
          </cell>
          <cell r="Z300">
            <v>185</v>
          </cell>
          <cell r="AA300">
            <v>125</v>
          </cell>
          <cell r="AB300">
            <v>65</v>
          </cell>
          <cell r="AC300">
            <v>10</v>
          </cell>
          <cell r="AD300">
            <v>45</v>
          </cell>
          <cell r="AE300">
            <v>10</v>
          </cell>
          <cell r="AF300">
            <v>70</v>
          </cell>
          <cell r="AG300">
            <v>55</v>
          </cell>
          <cell r="AH300">
            <v>50</v>
          </cell>
          <cell r="AI300">
            <v>0</v>
          </cell>
          <cell r="AJ300">
            <v>0</v>
          </cell>
          <cell r="AK300">
            <v>15</v>
          </cell>
          <cell r="AL300">
            <v>15</v>
          </cell>
          <cell r="AM300">
            <v>0</v>
          </cell>
          <cell r="AN300">
            <v>0</v>
          </cell>
          <cell r="AO300">
            <v>290</v>
          </cell>
          <cell r="AP300">
            <v>75</v>
          </cell>
          <cell r="AQ300">
            <v>105</v>
          </cell>
          <cell r="AR300">
            <v>40</v>
          </cell>
          <cell r="AS300">
            <v>15</v>
          </cell>
          <cell r="AT300">
            <v>55</v>
          </cell>
          <cell r="AU300">
            <v>0.7</v>
          </cell>
          <cell r="AV300">
            <v>2275</v>
          </cell>
          <cell r="AW300">
            <v>1185</v>
          </cell>
          <cell r="AX300">
            <v>50</v>
          </cell>
          <cell r="AY300">
            <v>175</v>
          </cell>
          <cell r="AZ300">
            <v>960</v>
          </cell>
          <cell r="BA300">
            <v>1090</v>
          </cell>
          <cell r="BB300">
            <v>2.5</v>
          </cell>
          <cell r="BC300">
            <v>470</v>
          </cell>
          <cell r="BD300">
            <v>385</v>
          </cell>
          <cell r="BE300">
            <v>30</v>
          </cell>
          <cell r="BF300">
            <v>0</v>
          </cell>
          <cell r="BG300">
            <v>355</v>
          </cell>
          <cell r="BH300">
            <v>85</v>
          </cell>
          <cell r="BI300">
            <v>1485</v>
          </cell>
          <cell r="BJ300">
            <v>3.6</v>
          </cell>
          <cell r="BK300">
            <v>5346</v>
          </cell>
          <cell r="BL300">
            <v>1.2</v>
          </cell>
          <cell r="BM300">
            <v>1782</v>
          </cell>
          <cell r="BN300">
            <v>1485</v>
          </cell>
          <cell r="BO300">
            <v>260</v>
          </cell>
          <cell r="BP300">
            <v>1225</v>
          </cell>
          <cell r="BQ300">
            <v>0</v>
          </cell>
          <cell r="BR300">
            <v>1485</v>
          </cell>
          <cell r="BS300">
            <v>1015</v>
          </cell>
          <cell r="BT300">
            <v>300</v>
          </cell>
          <cell r="BU300">
            <v>165</v>
          </cell>
          <cell r="BV300">
            <v>1485</v>
          </cell>
          <cell r="BW300">
            <v>560</v>
          </cell>
          <cell r="BX300">
            <v>125</v>
          </cell>
          <cell r="BY300">
            <v>330</v>
          </cell>
          <cell r="BZ300">
            <v>350</v>
          </cell>
          <cell r="CA300">
            <v>55</v>
          </cell>
          <cell r="CB300">
            <v>35</v>
          </cell>
          <cell r="CC300">
            <v>0</v>
          </cell>
          <cell r="CD300">
            <v>0</v>
          </cell>
          <cell r="CE300">
            <v>25</v>
          </cell>
          <cell r="CF300">
            <v>1485</v>
          </cell>
          <cell r="CG300">
            <v>0</v>
          </cell>
          <cell r="CH300">
            <v>0</v>
          </cell>
          <cell r="CI300">
            <v>5</v>
          </cell>
          <cell r="CJ300">
            <v>20</v>
          </cell>
          <cell r="CK300">
            <v>615</v>
          </cell>
          <cell r="CL300">
            <v>830</v>
          </cell>
          <cell r="CM300">
            <v>10</v>
          </cell>
          <cell r="CN300">
            <v>0</v>
          </cell>
          <cell r="CO300">
            <v>1485</v>
          </cell>
          <cell r="CP300">
            <v>960</v>
          </cell>
          <cell r="CQ300">
            <v>360</v>
          </cell>
          <cell r="CR300">
            <v>95</v>
          </cell>
          <cell r="CS300">
            <v>60</v>
          </cell>
          <cell r="CT300">
            <v>5</v>
          </cell>
          <cell r="CU300">
            <v>2275</v>
          </cell>
          <cell r="CV300">
            <v>1.5</v>
          </cell>
          <cell r="CW300">
            <v>1485</v>
          </cell>
          <cell r="CX300">
            <v>435</v>
          </cell>
          <cell r="CY300">
            <v>0</v>
          </cell>
          <cell r="CZ300">
            <v>1050</v>
          </cell>
        </row>
        <row r="301">
          <cell r="A301" t="str">
            <v>4620144.00</v>
          </cell>
          <cell r="B301" t="str">
            <v>0144.00</v>
          </cell>
          <cell r="C301" t="str">
            <v>Plateau Mont-Royal</v>
          </cell>
          <cell r="D301">
            <v>3115</v>
          </cell>
          <cell r="E301">
            <v>2135</v>
          </cell>
          <cell r="F301">
            <v>525</v>
          </cell>
          <cell r="G301">
            <v>70</v>
          </cell>
          <cell r="H301">
            <v>320</v>
          </cell>
          <cell r="I301">
            <v>70</v>
          </cell>
          <cell r="J301">
            <v>3115</v>
          </cell>
          <cell r="K301">
            <v>2420</v>
          </cell>
          <cell r="L301">
            <v>700</v>
          </cell>
          <cell r="M301">
            <v>700</v>
          </cell>
          <cell r="N301">
            <v>475</v>
          </cell>
          <cell r="O301">
            <v>150</v>
          </cell>
          <cell r="P301">
            <v>55</v>
          </cell>
          <cell r="Q301">
            <v>20</v>
          </cell>
          <cell r="R301">
            <v>700</v>
          </cell>
          <cell r="S301">
            <v>610</v>
          </cell>
          <cell r="T301">
            <v>255</v>
          </cell>
          <cell r="U301">
            <v>145</v>
          </cell>
          <cell r="V301">
            <v>110</v>
          </cell>
          <cell r="W301">
            <v>75</v>
          </cell>
          <cell r="X301">
            <v>25</v>
          </cell>
          <cell r="Y301">
            <v>10</v>
          </cell>
          <cell r="Z301">
            <v>350</v>
          </cell>
          <cell r="AA301">
            <v>280</v>
          </cell>
          <cell r="AB301">
            <v>75</v>
          </cell>
          <cell r="AC301">
            <v>40</v>
          </cell>
          <cell r="AD301">
            <v>25</v>
          </cell>
          <cell r="AE301">
            <v>10</v>
          </cell>
          <cell r="AF301">
            <v>95</v>
          </cell>
          <cell r="AG301">
            <v>50</v>
          </cell>
          <cell r="AH301">
            <v>45</v>
          </cell>
          <cell r="AI301">
            <v>0</v>
          </cell>
          <cell r="AJ301">
            <v>0</v>
          </cell>
          <cell r="AK301">
            <v>40</v>
          </cell>
          <cell r="AL301">
            <v>0</v>
          </cell>
          <cell r="AM301">
            <v>40</v>
          </cell>
          <cell r="AN301">
            <v>0</v>
          </cell>
          <cell r="AO301">
            <v>420</v>
          </cell>
          <cell r="AP301">
            <v>150</v>
          </cell>
          <cell r="AQ301">
            <v>105</v>
          </cell>
          <cell r="AR301">
            <v>40</v>
          </cell>
          <cell r="AS301">
            <v>70</v>
          </cell>
          <cell r="AT301">
            <v>55</v>
          </cell>
          <cell r="AU301">
            <v>0.6</v>
          </cell>
          <cell r="AV301">
            <v>3330</v>
          </cell>
          <cell r="AW301">
            <v>1600</v>
          </cell>
          <cell r="AX301">
            <v>60</v>
          </cell>
          <cell r="AY301">
            <v>380</v>
          </cell>
          <cell r="AZ301">
            <v>1155</v>
          </cell>
          <cell r="BA301">
            <v>1730</v>
          </cell>
          <cell r="BB301">
            <v>2.5</v>
          </cell>
          <cell r="BC301">
            <v>245</v>
          </cell>
          <cell r="BD301">
            <v>145</v>
          </cell>
          <cell r="BE301">
            <v>20</v>
          </cell>
          <cell r="BF301">
            <v>0</v>
          </cell>
          <cell r="BG301">
            <v>125</v>
          </cell>
          <cell r="BH301">
            <v>100</v>
          </cell>
          <cell r="BI301">
            <v>2020</v>
          </cell>
          <cell r="BJ301">
            <v>4.0999999999999996</v>
          </cell>
          <cell r="BK301">
            <v>8282</v>
          </cell>
          <cell r="BL301">
            <v>1.4</v>
          </cell>
          <cell r="BM301">
            <v>2828</v>
          </cell>
          <cell r="BN301">
            <v>2020</v>
          </cell>
          <cell r="BO301">
            <v>555</v>
          </cell>
          <cell r="BP301">
            <v>1465</v>
          </cell>
          <cell r="BQ301">
            <v>0</v>
          </cell>
          <cell r="BR301">
            <v>2020</v>
          </cell>
          <cell r="BS301">
            <v>1155</v>
          </cell>
          <cell r="BT301">
            <v>610</v>
          </cell>
          <cell r="BU301">
            <v>255</v>
          </cell>
          <cell r="BV301">
            <v>2020</v>
          </cell>
          <cell r="BW301">
            <v>915</v>
          </cell>
          <cell r="BX301">
            <v>230</v>
          </cell>
          <cell r="BY301">
            <v>400</v>
          </cell>
          <cell r="BZ301">
            <v>260</v>
          </cell>
          <cell r="CA301">
            <v>120</v>
          </cell>
          <cell r="CB301">
            <v>45</v>
          </cell>
          <cell r="CC301">
            <v>40</v>
          </cell>
          <cell r="CD301">
            <v>0</v>
          </cell>
          <cell r="CE301">
            <v>0</v>
          </cell>
          <cell r="CF301">
            <v>2020</v>
          </cell>
          <cell r="CG301">
            <v>5</v>
          </cell>
          <cell r="CH301">
            <v>0</v>
          </cell>
          <cell r="CI301">
            <v>15</v>
          </cell>
          <cell r="CJ301">
            <v>20</v>
          </cell>
          <cell r="CK301">
            <v>380</v>
          </cell>
          <cell r="CL301">
            <v>1600</v>
          </cell>
          <cell r="CM301">
            <v>5</v>
          </cell>
          <cell r="CN301">
            <v>0</v>
          </cell>
          <cell r="CO301">
            <v>2020</v>
          </cell>
          <cell r="CP301">
            <v>1160</v>
          </cell>
          <cell r="CQ301">
            <v>580</v>
          </cell>
          <cell r="CR301">
            <v>145</v>
          </cell>
          <cell r="CS301">
            <v>130</v>
          </cell>
          <cell r="CT301">
            <v>10</v>
          </cell>
          <cell r="CU301">
            <v>3330</v>
          </cell>
          <cell r="CV301">
            <v>1.6</v>
          </cell>
          <cell r="CW301">
            <v>2020</v>
          </cell>
          <cell r="CX301">
            <v>705</v>
          </cell>
          <cell r="CY301">
            <v>0</v>
          </cell>
          <cell r="CZ301">
            <v>1315</v>
          </cell>
        </row>
        <row r="302">
          <cell r="A302" t="str">
            <v>4620146.00</v>
          </cell>
          <cell r="B302" t="str">
            <v>0146.00</v>
          </cell>
          <cell r="C302" t="str">
            <v>Plateau Mont-Royal</v>
          </cell>
          <cell r="D302">
            <v>2085</v>
          </cell>
          <cell r="E302">
            <v>1475</v>
          </cell>
          <cell r="F302">
            <v>285</v>
          </cell>
          <cell r="G302">
            <v>45</v>
          </cell>
          <cell r="H302">
            <v>230</v>
          </cell>
          <cell r="I302">
            <v>50</v>
          </cell>
          <cell r="J302">
            <v>2085</v>
          </cell>
          <cell r="K302">
            <v>1545</v>
          </cell>
          <cell r="L302">
            <v>540</v>
          </cell>
          <cell r="M302">
            <v>550</v>
          </cell>
          <cell r="N302">
            <v>400</v>
          </cell>
          <cell r="O302">
            <v>120</v>
          </cell>
          <cell r="P302">
            <v>25</v>
          </cell>
          <cell r="Q302">
            <v>10</v>
          </cell>
          <cell r="R302">
            <v>550</v>
          </cell>
          <cell r="S302">
            <v>405</v>
          </cell>
          <cell r="T302">
            <v>135</v>
          </cell>
          <cell r="U302">
            <v>80</v>
          </cell>
          <cell r="V302">
            <v>60</v>
          </cell>
          <cell r="W302">
            <v>40</v>
          </cell>
          <cell r="X302">
            <v>20</v>
          </cell>
          <cell r="Y302">
            <v>0</v>
          </cell>
          <cell r="Z302">
            <v>270</v>
          </cell>
          <cell r="AA302">
            <v>225</v>
          </cell>
          <cell r="AB302">
            <v>50</v>
          </cell>
          <cell r="AC302">
            <v>40</v>
          </cell>
          <cell r="AD302">
            <v>10</v>
          </cell>
          <cell r="AE302">
            <v>0</v>
          </cell>
          <cell r="AF302">
            <v>140</v>
          </cell>
          <cell r="AG302">
            <v>105</v>
          </cell>
          <cell r="AH302">
            <v>75</v>
          </cell>
          <cell r="AI302">
            <v>35</v>
          </cell>
          <cell r="AJ302">
            <v>0</v>
          </cell>
          <cell r="AK302">
            <v>25</v>
          </cell>
          <cell r="AL302">
            <v>20</v>
          </cell>
          <cell r="AM302">
            <v>0</v>
          </cell>
          <cell r="AN302">
            <v>0</v>
          </cell>
          <cell r="AO302">
            <v>320</v>
          </cell>
          <cell r="AP302">
            <v>90</v>
          </cell>
          <cell r="AQ302">
            <v>110</v>
          </cell>
          <cell r="AR302">
            <v>35</v>
          </cell>
          <cell r="AS302">
            <v>30</v>
          </cell>
          <cell r="AT302">
            <v>45</v>
          </cell>
          <cell r="AU302">
            <v>0.6</v>
          </cell>
          <cell r="AV302">
            <v>2285</v>
          </cell>
          <cell r="AW302">
            <v>1010</v>
          </cell>
          <cell r="AX302">
            <v>0</v>
          </cell>
          <cell r="AY302">
            <v>150</v>
          </cell>
          <cell r="AZ302">
            <v>855</v>
          </cell>
          <cell r="BA302">
            <v>1275</v>
          </cell>
          <cell r="BB302">
            <v>2.2999999999999998</v>
          </cell>
          <cell r="BC302">
            <v>140</v>
          </cell>
          <cell r="BD302">
            <v>105</v>
          </cell>
          <cell r="BE302">
            <v>0</v>
          </cell>
          <cell r="BF302">
            <v>0</v>
          </cell>
          <cell r="BG302">
            <v>105</v>
          </cell>
          <cell r="BH302">
            <v>35</v>
          </cell>
          <cell r="BI302">
            <v>1430</v>
          </cell>
          <cell r="BJ302">
            <v>4.2</v>
          </cell>
          <cell r="BK302">
            <v>6006</v>
          </cell>
          <cell r="BL302">
            <v>1.4</v>
          </cell>
          <cell r="BM302">
            <v>2001.9999999999998</v>
          </cell>
          <cell r="BN302">
            <v>1430</v>
          </cell>
          <cell r="BO302">
            <v>385</v>
          </cell>
          <cell r="BP302">
            <v>1045</v>
          </cell>
          <cell r="BQ302">
            <v>0</v>
          </cell>
          <cell r="BR302">
            <v>1430</v>
          </cell>
          <cell r="BS302">
            <v>755</v>
          </cell>
          <cell r="BT302">
            <v>485</v>
          </cell>
          <cell r="BU302">
            <v>195</v>
          </cell>
          <cell r="BV302">
            <v>1430</v>
          </cell>
          <cell r="BW302">
            <v>685</v>
          </cell>
          <cell r="BX302">
            <v>220</v>
          </cell>
          <cell r="BY302">
            <v>305</v>
          </cell>
          <cell r="BZ302">
            <v>70</v>
          </cell>
          <cell r="CA302">
            <v>55</v>
          </cell>
          <cell r="CB302">
            <v>30</v>
          </cell>
          <cell r="CC302">
            <v>40</v>
          </cell>
          <cell r="CD302">
            <v>10</v>
          </cell>
          <cell r="CE302">
            <v>15</v>
          </cell>
          <cell r="CF302">
            <v>1435</v>
          </cell>
          <cell r="CG302">
            <v>0</v>
          </cell>
          <cell r="CH302">
            <v>5</v>
          </cell>
          <cell r="CI302">
            <v>40</v>
          </cell>
          <cell r="CJ302">
            <v>130</v>
          </cell>
          <cell r="CK302">
            <v>155</v>
          </cell>
          <cell r="CL302">
            <v>1070</v>
          </cell>
          <cell r="CM302">
            <v>25</v>
          </cell>
          <cell r="CN302">
            <v>0</v>
          </cell>
          <cell r="CO302">
            <v>1430</v>
          </cell>
          <cell r="CP302">
            <v>855</v>
          </cell>
          <cell r="CQ302">
            <v>395</v>
          </cell>
          <cell r="CR302">
            <v>115</v>
          </cell>
          <cell r="CS302">
            <v>65</v>
          </cell>
          <cell r="CT302">
            <v>5</v>
          </cell>
          <cell r="CU302">
            <v>2280</v>
          </cell>
          <cell r="CV302">
            <v>1.6</v>
          </cell>
          <cell r="CW302">
            <v>1435</v>
          </cell>
          <cell r="CX302">
            <v>480</v>
          </cell>
          <cell r="CY302">
            <v>35</v>
          </cell>
          <cell r="CZ302">
            <v>920</v>
          </cell>
        </row>
        <row r="303">
          <cell r="A303" t="str">
            <v>4620147.00</v>
          </cell>
          <cell r="B303" t="str">
            <v>0147.00</v>
          </cell>
          <cell r="C303" t="str">
            <v>Plateau Mont-Royal</v>
          </cell>
          <cell r="D303">
            <v>2425</v>
          </cell>
          <cell r="E303">
            <v>1690</v>
          </cell>
          <cell r="F303">
            <v>340</v>
          </cell>
          <cell r="G303">
            <v>55</v>
          </cell>
          <cell r="H303">
            <v>270</v>
          </cell>
          <cell r="I303">
            <v>75</v>
          </cell>
          <cell r="J303">
            <v>2425</v>
          </cell>
          <cell r="K303">
            <v>1790</v>
          </cell>
          <cell r="L303">
            <v>630</v>
          </cell>
          <cell r="M303">
            <v>585</v>
          </cell>
          <cell r="N303">
            <v>370</v>
          </cell>
          <cell r="O303">
            <v>115</v>
          </cell>
          <cell r="P303">
            <v>80</v>
          </cell>
          <cell r="Q303">
            <v>15</v>
          </cell>
          <cell r="R303">
            <v>580</v>
          </cell>
          <cell r="S303">
            <v>485</v>
          </cell>
          <cell r="T303">
            <v>165</v>
          </cell>
          <cell r="U303">
            <v>85</v>
          </cell>
          <cell r="V303">
            <v>75</v>
          </cell>
          <cell r="W303">
            <v>35</v>
          </cell>
          <cell r="X303">
            <v>25</v>
          </cell>
          <cell r="Y303">
            <v>15</v>
          </cell>
          <cell r="Z303">
            <v>315</v>
          </cell>
          <cell r="AA303">
            <v>210</v>
          </cell>
          <cell r="AB303">
            <v>110</v>
          </cell>
          <cell r="AC303">
            <v>50</v>
          </cell>
          <cell r="AD303">
            <v>60</v>
          </cell>
          <cell r="AE303">
            <v>0</v>
          </cell>
          <cell r="AF303">
            <v>100</v>
          </cell>
          <cell r="AG303">
            <v>70</v>
          </cell>
          <cell r="AH303">
            <v>45</v>
          </cell>
          <cell r="AI303">
            <v>25</v>
          </cell>
          <cell r="AJ303">
            <v>0</v>
          </cell>
          <cell r="AK303">
            <v>25</v>
          </cell>
          <cell r="AL303">
            <v>25</v>
          </cell>
          <cell r="AM303">
            <v>10</v>
          </cell>
          <cell r="AN303">
            <v>0</v>
          </cell>
          <cell r="AO303">
            <v>425</v>
          </cell>
          <cell r="AP303">
            <v>100</v>
          </cell>
          <cell r="AQ303">
            <v>210</v>
          </cell>
          <cell r="AR303">
            <v>40</v>
          </cell>
          <cell r="AS303">
            <v>35</v>
          </cell>
          <cell r="AT303">
            <v>40</v>
          </cell>
          <cell r="AU303">
            <v>0.7</v>
          </cell>
          <cell r="AV303">
            <v>2690</v>
          </cell>
          <cell r="AW303">
            <v>1195</v>
          </cell>
          <cell r="AX303">
            <v>35</v>
          </cell>
          <cell r="AY303">
            <v>390</v>
          </cell>
          <cell r="AZ303">
            <v>770</v>
          </cell>
          <cell r="BA303">
            <v>1490</v>
          </cell>
          <cell r="BB303">
            <v>2.6</v>
          </cell>
          <cell r="BC303">
            <v>210</v>
          </cell>
          <cell r="BD303">
            <v>120</v>
          </cell>
          <cell r="BE303">
            <v>10</v>
          </cell>
          <cell r="BF303">
            <v>30</v>
          </cell>
          <cell r="BG303">
            <v>85</v>
          </cell>
          <cell r="BH303">
            <v>95</v>
          </cell>
          <cell r="BI303">
            <v>1530</v>
          </cell>
          <cell r="BJ303">
            <v>4.4000000000000004</v>
          </cell>
          <cell r="BK303">
            <v>6732.0000000000009</v>
          </cell>
          <cell r="BL303">
            <v>1.5</v>
          </cell>
          <cell r="BM303">
            <v>2295</v>
          </cell>
          <cell r="BN303">
            <v>1530</v>
          </cell>
          <cell r="BO303">
            <v>295</v>
          </cell>
          <cell r="BP303">
            <v>1235</v>
          </cell>
          <cell r="BQ303">
            <v>0</v>
          </cell>
          <cell r="BR303">
            <v>1530</v>
          </cell>
          <cell r="BS303">
            <v>830</v>
          </cell>
          <cell r="BT303">
            <v>545</v>
          </cell>
          <cell r="BU303">
            <v>155</v>
          </cell>
          <cell r="BV303">
            <v>1530</v>
          </cell>
          <cell r="BW303">
            <v>865</v>
          </cell>
          <cell r="BX303">
            <v>235</v>
          </cell>
          <cell r="BY303">
            <v>230</v>
          </cell>
          <cell r="BZ303">
            <v>90</v>
          </cell>
          <cell r="CA303">
            <v>40</v>
          </cell>
          <cell r="CB303">
            <v>25</v>
          </cell>
          <cell r="CC303">
            <v>15</v>
          </cell>
          <cell r="CD303">
            <v>30</v>
          </cell>
          <cell r="CE303">
            <v>0</v>
          </cell>
          <cell r="CF303">
            <v>1530</v>
          </cell>
          <cell r="CG303">
            <v>5</v>
          </cell>
          <cell r="CH303">
            <v>5</v>
          </cell>
          <cell r="CI303">
            <v>5</v>
          </cell>
          <cell r="CJ303">
            <v>50</v>
          </cell>
          <cell r="CK303">
            <v>160</v>
          </cell>
          <cell r="CL303">
            <v>1265</v>
          </cell>
          <cell r="CM303">
            <v>40</v>
          </cell>
          <cell r="CN303">
            <v>5</v>
          </cell>
          <cell r="CO303">
            <v>1530</v>
          </cell>
          <cell r="CP303">
            <v>770</v>
          </cell>
          <cell r="CQ303">
            <v>495</v>
          </cell>
          <cell r="CR303">
            <v>155</v>
          </cell>
          <cell r="CS303">
            <v>105</v>
          </cell>
          <cell r="CT303">
            <v>0</v>
          </cell>
          <cell r="CU303">
            <v>2685</v>
          </cell>
          <cell r="CV303">
            <v>1.8</v>
          </cell>
          <cell r="CW303">
            <v>1530</v>
          </cell>
          <cell r="CX303">
            <v>580</v>
          </cell>
          <cell r="CY303">
            <v>0</v>
          </cell>
          <cell r="CZ303">
            <v>945</v>
          </cell>
        </row>
        <row r="304">
          <cell r="A304" t="str">
            <v>4620148.00</v>
          </cell>
          <cell r="B304" t="str">
            <v>0148.00</v>
          </cell>
          <cell r="C304" t="str">
            <v>Plateau Mont-Royal</v>
          </cell>
          <cell r="D304">
            <v>1100</v>
          </cell>
          <cell r="E304">
            <v>690</v>
          </cell>
          <cell r="F304">
            <v>145</v>
          </cell>
          <cell r="G304">
            <v>35</v>
          </cell>
          <cell r="H304">
            <v>110</v>
          </cell>
          <cell r="I304">
            <v>120</v>
          </cell>
          <cell r="J304">
            <v>1100</v>
          </cell>
          <cell r="K304">
            <v>890</v>
          </cell>
          <cell r="L304">
            <v>210</v>
          </cell>
          <cell r="M304">
            <v>220</v>
          </cell>
          <cell r="N304">
            <v>125</v>
          </cell>
          <cell r="O304">
            <v>40</v>
          </cell>
          <cell r="P304">
            <v>45</v>
          </cell>
          <cell r="Q304">
            <v>0</v>
          </cell>
          <cell r="R304">
            <v>215</v>
          </cell>
          <cell r="S304">
            <v>140</v>
          </cell>
          <cell r="T304">
            <v>45</v>
          </cell>
          <cell r="U304">
            <v>10</v>
          </cell>
          <cell r="V304">
            <v>40</v>
          </cell>
          <cell r="W304">
            <v>10</v>
          </cell>
          <cell r="X304">
            <v>25</v>
          </cell>
          <cell r="Y304">
            <v>0</v>
          </cell>
          <cell r="Z304">
            <v>100</v>
          </cell>
          <cell r="AA304">
            <v>65</v>
          </cell>
          <cell r="AB304">
            <v>30</v>
          </cell>
          <cell r="AC304">
            <v>15</v>
          </cell>
          <cell r="AD304">
            <v>15</v>
          </cell>
          <cell r="AE304">
            <v>0</v>
          </cell>
          <cell r="AF304">
            <v>70</v>
          </cell>
          <cell r="AG304">
            <v>55</v>
          </cell>
          <cell r="AH304">
            <v>35</v>
          </cell>
          <cell r="AI304">
            <v>15</v>
          </cell>
          <cell r="AJ304">
            <v>10</v>
          </cell>
          <cell r="AK304">
            <v>20</v>
          </cell>
          <cell r="AL304">
            <v>20</v>
          </cell>
          <cell r="AM304">
            <v>0</v>
          </cell>
          <cell r="AN304">
            <v>0</v>
          </cell>
          <cell r="AO304">
            <v>215</v>
          </cell>
          <cell r="AP304">
            <v>30</v>
          </cell>
          <cell r="AQ304">
            <v>70</v>
          </cell>
          <cell r="AR304">
            <v>45</v>
          </cell>
          <cell r="AS304">
            <v>45</v>
          </cell>
          <cell r="AT304">
            <v>25</v>
          </cell>
          <cell r="AU304">
            <v>1</v>
          </cell>
          <cell r="AV304">
            <v>975</v>
          </cell>
          <cell r="AW304">
            <v>400</v>
          </cell>
          <cell r="AX304">
            <v>10</v>
          </cell>
          <cell r="AY304">
            <v>185</v>
          </cell>
          <cell r="AZ304">
            <v>200</v>
          </cell>
          <cell r="BA304">
            <v>580</v>
          </cell>
          <cell r="BB304">
            <v>2.7</v>
          </cell>
          <cell r="BC304">
            <v>70</v>
          </cell>
          <cell r="BD304">
            <v>35</v>
          </cell>
          <cell r="BE304">
            <v>0</v>
          </cell>
          <cell r="BF304">
            <v>10</v>
          </cell>
          <cell r="BG304">
            <v>30</v>
          </cell>
          <cell r="BH304">
            <v>30</v>
          </cell>
          <cell r="BI304">
            <v>485</v>
          </cell>
          <cell r="BJ304">
            <v>5.0999999999999996</v>
          </cell>
          <cell r="BK304">
            <v>2473.5</v>
          </cell>
          <cell r="BL304">
            <v>2</v>
          </cell>
          <cell r="BM304">
            <v>970</v>
          </cell>
          <cell r="BN304">
            <v>485</v>
          </cell>
          <cell r="BO304">
            <v>175</v>
          </cell>
          <cell r="BP304">
            <v>310</v>
          </cell>
          <cell r="BQ304">
            <v>0</v>
          </cell>
          <cell r="BR304">
            <v>485</v>
          </cell>
          <cell r="BS304">
            <v>190</v>
          </cell>
          <cell r="BT304">
            <v>190</v>
          </cell>
          <cell r="BU304">
            <v>105</v>
          </cell>
          <cell r="BV304">
            <v>485</v>
          </cell>
          <cell r="BW304">
            <v>305</v>
          </cell>
          <cell r="BX304">
            <v>90</v>
          </cell>
          <cell r="BY304">
            <v>50</v>
          </cell>
          <cell r="BZ304">
            <v>10</v>
          </cell>
          <cell r="CA304">
            <v>0</v>
          </cell>
          <cell r="CB304">
            <v>0</v>
          </cell>
          <cell r="CC304">
            <v>0</v>
          </cell>
          <cell r="CD304">
            <v>0</v>
          </cell>
          <cell r="CE304">
            <v>15</v>
          </cell>
          <cell r="CF304">
            <v>485</v>
          </cell>
          <cell r="CG304">
            <v>5</v>
          </cell>
          <cell r="CH304">
            <v>0</v>
          </cell>
          <cell r="CI304">
            <v>0</v>
          </cell>
          <cell r="CJ304">
            <v>30</v>
          </cell>
          <cell r="CK304">
            <v>0</v>
          </cell>
          <cell r="CL304">
            <v>450</v>
          </cell>
          <cell r="CM304">
            <v>0</v>
          </cell>
          <cell r="CN304">
            <v>0</v>
          </cell>
          <cell r="CO304">
            <v>485</v>
          </cell>
          <cell r="CP304">
            <v>180</v>
          </cell>
          <cell r="CQ304">
            <v>180</v>
          </cell>
          <cell r="CR304">
            <v>70</v>
          </cell>
          <cell r="CS304">
            <v>55</v>
          </cell>
          <cell r="CT304">
            <v>0</v>
          </cell>
          <cell r="CU304">
            <v>975</v>
          </cell>
          <cell r="CV304">
            <v>2</v>
          </cell>
          <cell r="CW304">
            <v>485</v>
          </cell>
          <cell r="CX304">
            <v>220</v>
          </cell>
          <cell r="CY304">
            <v>0</v>
          </cell>
          <cell r="CZ304">
            <v>270</v>
          </cell>
        </row>
        <row r="305">
          <cell r="A305" t="str">
            <v>4620149.00</v>
          </cell>
          <cell r="B305" t="str">
            <v>0149.00</v>
          </cell>
          <cell r="C305" t="str">
            <v>Plateau Mont-Royal</v>
          </cell>
          <cell r="D305">
            <v>3040</v>
          </cell>
          <cell r="E305">
            <v>2145</v>
          </cell>
          <cell r="F305">
            <v>440</v>
          </cell>
          <cell r="G305">
            <v>45</v>
          </cell>
          <cell r="H305">
            <v>275</v>
          </cell>
          <cell r="I305">
            <v>135</v>
          </cell>
          <cell r="J305">
            <v>3040</v>
          </cell>
          <cell r="K305">
            <v>2340</v>
          </cell>
          <cell r="L305">
            <v>695</v>
          </cell>
          <cell r="M305">
            <v>645</v>
          </cell>
          <cell r="N305">
            <v>450</v>
          </cell>
          <cell r="O305">
            <v>100</v>
          </cell>
          <cell r="P305">
            <v>80</v>
          </cell>
          <cell r="Q305">
            <v>15</v>
          </cell>
          <cell r="R305">
            <v>645</v>
          </cell>
          <cell r="S305">
            <v>570</v>
          </cell>
          <cell r="T305">
            <v>215</v>
          </cell>
          <cell r="U305">
            <v>95</v>
          </cell>
          <cell r="V305">
            <v>120</v>
          </cell>
          <cell r="W305">
            <v>50</v>
          </cell>
          <cell r="X305">
            <v>60</v>
          </cell>
          <cell r="Y305">
            <v>0</v>
          </cell>
          <cell r="Z305">
            <v>355</v>
          </cell>
          <cell r="AA305">
            <v>290</v>
          </cell>
          <cell r="AB305">
            <v>65</v>
          </cell>
          <cell r="AC305">
            <v>35</v>
          </cell>
          <cell r="AD305">
            <v>20</v>
          </cell>
          <cell r="AE305">
            <v>0</v>
          </cell>
          <cell r="AF305">
            <v>75</v>
          </cell>
          <cell r="AG305">
            <v>60</v>
          </cell>
          <cell r="AH305">
            <v>45</v>
          </cell>
          <cell r="AI305">
            <v>15</v>
          </cell>
          <cell r="AJ305">
            <v>0</v>
          </cell>
          <cell r="AK305">
            <v>10</v>
          </cell>
          <cell r="AL305">
            <v>10</v>
          </cell>
          <cell r="AM305">
            <v>0</v>
          </cell>
          <cell r="AN305">
            <v>0</v>
          </cell>
          <cell r="AO305">
            <v>380</v>
          </cell>
          <cell r="AP305">
            <v>145</v>
          </cell>
          <cell r="AQ305">
            <v>135</v>
          </cell>
          <cell r="AR305">
            <v>25</v>
          </cell>
          <cell r="AS305">
            <v>50</v>
          </cell>
          <cell r="AT305">
            <v>25</v>
          </cell>
          <cell r="AU305">
            <v>0.6</v>
          </cell>
          <cell r="AV305">
            <v>3165</v>
          </cell>
          <cell r="AW305">
            <v>1570</v>
          </cell>
          <cell r="AX305">
            <v>45</v>
          </cell>
          <cell r="AY305">
            <v>610</v>
          </cell>
          <cell r="AZ305">
            <v>910</v>
          </cell>
          <cell r="BA305">
            <v>1595</v>
          </cell>
          <cell r="BB305">
            <v>2.5</v>
          </cell>
          <cell r="BC305">
            <v>285</v>
          </cell>
          <cell r="BD305">
            <v>215</v>
          </cell>
          <cell r="BE305">
            <v>15</v>
          </cell>
          <cell r="BF305">
            <v>45</v>
          </cell>
          <cell r="BG305">
            <v>160</v>
          </cell>
          <cell r="BH305">
            <v>70</v>
          </cell>
          <cell r="BI305">
            <v>1820</v>
          </cell>
          <cell r="BJ305">
            <v>4.3</v>
          </cell>
          <cell r="BK305">
            <v>7826</v>
          </cell>
          <cell r="BL305">
            <v>1.6</v>
          </cell>
          <cell r="BM305">
            <v>2912</v>
          </cell>
          <cell r="BN305">
            <v>1820</v>
          </cell>
          <cell r="BO305">
            <v>555</v>
          </cell>
          <cell r="BP305">
            <v>1260</v>
          </cell>
          <cell r="BQ305">
            <v>0</v>
          </cell>
          <cell r="BR305">
            <v>1820</v>
          </cell>
          <cell r="BS305">
            <v>925</v>
          </cell>
          <cell r="BT305">
            <v>580</v>
          </cell>
          <cell r="BU305">
            <v>315</v>
          </cell>
          <cell r="BV305">
            <v>1820</v>
          </cell>
          <cell r="BW305">
            <v>860</v>
          </cell>
          <cell r="BX305">
            <v>200</v>
          </cell>
          <cell r="BY305">
            <v>290</v>
          </cell>
          <cell r="BZ305">
            <v>410</v>
          </cell>
          <cell r="CA305">
            <v>40</v>
          </cell>
          <cell r="CB305">
            <v>0</v>
          </cell>
          <cell r="CC305">
            <v>0</v>
          </cell>
          <cell r="CD305">
            <v>10</v>
          </cell>
          <cell r="CE305">
            <v>0</v>
          </cell>
          <cell r="CF305">
            <v>1820</v>
          </cell>
          <cell r="CG305">
            <v>0</v>
          </cell>
          <cell r="CH305">
            <v>0</v>
          </cell>
          <cell r="CI305">
            <v>5</v>
          </cell>
          <cell r="CJ305">
            <v>80</v>
          </cell>
          <cell r="CK305">
            <v>625</v>
          </cell>
          <cell r="CL305">
            <v>1110</v>
          </cell>
          <cell r="CM305">
            <v>0</v>
          </cell>
          <cell r="CN305">
            <v>0</v>
          </cell>
          <cell r="CO305">
            <v>1815</v>
          </cell>
          <cell r="CP305">
            <v>920</v>
          </cell>
          <cell r="CQ305">
            <v>595</v>
          </cell>
          <cell r="CR305">
            <v>195</v>
          </cell>
          <cell r="CS305">
            <v>100</v>
          </cell>
          <cell r="CT305">
            <v>5</v>
          </cell>
          <cell r="CU305">
            <v>3165</v>
          </cell>
          <cell r="CV305">
            <v>1.7</v>
          </cell>
          <cell r="CW305">
            <v>1820</v>
          </cell>
          <cell r="CX305">
            <v>640</v>
          </cell>
          <cell r="CY305">
            <v>0</v>
          </cell>
          <cell r="CZ305">
            <v>1175</v>
          </cell>
        </row>
        <row r="306">
          <cell r="A306" t="str">
            <v>4620150.00</v>
          </cell>
          <cell r="B306" t="str">
            <v>0150.00</v>
          </cell>
          <cell r="C306" t="str">
            <v>Plateau Mont-Royal</v>
          </cell>
          <cell r="D306">
            <v>2215</v>
          </cell>
          <cell r="E306">
            <v>1515</v>
          </cell>
          <cell r="F306">
            <v>320</v>
          </cell>
          <cell r="G306">
            <v>50</v>
          </cell>
          <cell r="H306">
            <v>215</v>
          </cell>
          <cell r="I306">
            <v>120</v>
          </cell>
          <cell r="J306">
            <v>2215</v>
          </cell>
          <cell r="K306">
            <v>1785</v>
          </cell>
          <cell r="L306">
            <v>430</v>
          </cell>
          <cell r="M306">
            <v>430</v>
          </cell>
          <cell r="N306">
            <v>280</v>
          </cell>
          <cell r="O306">
            <v>85</v>
          </cell>
          <cell r="P306">
            <v>45</v>
          </cell>
          <cell r="Q306">
            <v>10</v>
          </cell>
          <cell r="R306">
            <v>430</v>
          </cell>
          <cell r="S306">
            <v>350</v>
          </cell>
          <cell r="T306">
            <v>135</v>
          </cell>
          <cell r="U306">
            <v>60</v>
          </cell>
          <cell r="V306">
            <v>75</v>
          </cell>
          <cell r="W306">
            <v>25</v>
          </cell>
          <cell r="X306">
            <v>35</v>
          </cell>
          <cell r="Y306">
            <v>10</v>
          </cell>
          <cell r="Z306">
            <v>210</v>
          </cell>
          <cell r="AA306">
            <v>150</v>
          </cell>
          <cell r="AB306">
            <v>60</v>
          </cell>
          <cell r="AC306">
            <v>50</v>
          </cell>
          <cell r="AD306">
            <v>10</v>
          </cell>
          <cell r="AE306">
            <v>0</v>
          </cell>
          <cell r="AF306">
            <v>80</v>
          </cell>
          <cell r="AG306">
            <v>75</v>
          </cell>
          <cell r="AH306">
            <v>65</v>
          </cell>
          <cell r="AI306">
            <v>10</v>
          </cell>
          <cell r="AJ306">
            <v>0</v>
          </cell>
          <cell r="AK306">
            <v>0</v>
          </cell>
          <cell r="AL306">
            <v>0</v>
          </cell>
          <cell r="AM306">
            <v>0</v>
          </cell>
          <cell r="AN306">
            <v>0</v>
          </cell>
          <cell r="AO306">
            <v>295</v>
          </cell>
          <cell r="AP306">
            <v>95</v>
          </cell>
          <cell r="AQ306">
            <v>135</v>
          </cell>
          <cell r="AR306">
            <v>30</v>
          </cell>
          <cell r="AS306">
            <v>10</v>
          </cell>
          <cell r="AT306">
            <v>25</v>
          </cell>
          <cell r="AU306">
            <v>0.7</v>
          </cell>
          <cell r="AV306">
            <v>2270</v>
          </cell>
          <cell r="AW306">
            <v>1195</v>
          </cell>
          <cell r="AX306">
            <v>75</v>
          </cell>
          <cell r="AY306">
            <v>350</v>
          </cell>
          <cell r="AZ306">
            <v>765</v>
          </cell>
          <cell r="BA306">
            <v>1070</v>
          </cell>
          <cell r="BB306">
            <v>2.5</v>
          </cell>
          <cell r="BC306">
            <v>110</v>
          </cell>
          <cell r="BD306">
            <v>50</v>
          </cell>
          <cell r="BE306">
            <v>10</v>
          </cell>
          <cell r="BF306">
            <v>0</v>
          </cell>
          <cell r="BG306">
            <v>40</v>
          </cell>
          <cell r="BH306">
            <v>55</v>
          </cell>
          <cell r="BI306">
            <v>1370</v>
          </cell>
          <cell r="BJ306">
            <v>4</v>
          </cell>
          <cell r="BK306">
            <v>5480</v>
          </cell>
          <cell r="BL306">
            <v>1.5</v>
          </cell>
          <cell r="BM306">
            <v>2055</v>
          </cell>
          <cell r="BN306">
            <v>1370</v>
          </cell>
          <cell r="BO306">
            <v>280</v>
          </cell>
          <cell r="BP306">
            <v>1085</v>
          </cell>
          <cell r="BQ306">
            <v>0</v>
          </cell>
          <cell r="BR306">
            <v>1370</v>
          </cell>
          <cell r="BS306">
            <v>785</v>
          </cell>
          <cell r="BT306">
            <v>445</v>
          </cell>
          <cell r="BU306">
            <v>140</v>
          </cell>
          <cell r="BV306">
            <v>1370</v>
          </cell>
          <cell r="BW306">
            <v>445</v>
          </cell>
          <cell r="BX306">
            <v>220</v>
          </cell>
          <cell r="BY306">
            <v>355</v>
          </cell>
          <cell r="BZ306">
            <v>145</v>
          </cell>
          <cell r="CA306">
            <v>45</v>
          </cell>
          <cell r="CB306">
            <v>55</v>
          </cell>
          <cell r="CC306">
            <v>25</v>
          </cell>
          <cell r="CD306">
            <v>50</v>
          </cell>
          <cell r="CE306">
            <v>30</v>
          </cell>
          <cell r="CF306">
            <v>1370</v>
          </cell>
          <cell r="CG306">
            <v>5</v>
          </cell>
          <cell r="CH306">
            <v>0</v>
          </cell>
          <cell r="CI306">
            <v>0</v>
          </cell>
          <cell r="CJ306">
            <v>25</v>
          </cell>
          <cell r="CK306">
            <v>0</v>
          </cell>
          <cell r="CL306">
            <v>1330</v>
          </cell>
          <cell r="CM306">
            <v>0</v>
          </cell>
          <cell r="CN306">
            <v>0</v>
          </cell>
          <cell r="CO306">
            <v>1375</v>
          </cell>
          <cell r="CP306">
            <v>770</v>
          </cell>
          <cell r="CQ306">
            <v>405</v>
          </cell>
          <cell r="CR306">
            <v>130</v>
          </cell>
          <cell r="CS306">
            <v>65</v>
          </cell>
          <cell r="CT306">
            <v>5</v>
          </cell>
          <cell r="CU306">
            <v>2270</v>
          </cell>
          <cell r="CV306">
            <v>1.7</v>
          </cell>
          <cell r="CW306">
            <v>1370</v>
          </cell>
          <cell r="CX306">
            <v>430</v>
          </cell>
          <cell r="CY306">
            <v>0</v>
          </cell>
          <cell r="CZ306">
            <v>945</v>
          </cell>
        </row>
        <row r="307">
          <cell r="A307" t="str">
            <v>4620151.00</v>
          </cell>
          <cell r="B307" t="str">
            <v>0151.00</v>
          </cell>
          <cell r="C307" t="str">
            <v>Plateau Mont-Royal</v>
          </cell>
          <cell r="D307">
            <v>1900</v>
          </cell>
          <cell r="E307">
            <v>1330</v>
          </cell>
          <cell r="F307">
            <v>235</v>
          </cell>
          <cell r="G307">
            <v>40</v>
          </cell>
          <cell r="H307">
            <v>170</v>
          </cell>
          <cell r="I307">
            <v>120</v>
          </cell>
          <cell r="J307">
            <v>1900</v>
          </cell>
          <cell r="K307">
            <v>1360</v>
          </cell>
          <cell r="L307">
            <v>535</v>
          </cell>
          <cell r="M307">
            <v>470</v>
          </cell>
          <cell r="N307">
            <v>325</v>
          </cell>
          <cell r="O307">
            <v>85</v>
          </cell>
          <cell r="P307">
            <v>40</v>
          </cell>
          <cell r="Q307">
            <v>20</v>
          </cell>
          <cell r="R307">
            <v>470</v>
          </cell>
          <cell r="S307">
            <v>395</v>
          </cell>
          <cell r="T307">
            <v>115</v>
          </cell>
          <cell r="U307">
            <v>60</v>
          </cell>
          <cell r="V307">
            <v>50</v>
          </cell>
          <cell r="W307">
            <v>15</v>
          </cell>
          <cell r="X307">
            <v>20</v>
          </cell>
          <cell r="Y307">
            <v>20</v>
          </cell>
          <cell r="Z307">
            <v>275</v>
          </cell>
          <cell r="AA307">
            <v>205</v>
          </cell>
          <cell r="AB307">
            <v>75</v>
          </cell>
          <cell r="AC307">
            <v>50</v>
          </cell>
          <cell r="AD307">
            <v>20</v>
          </cell>
          <cell r="AE307">
            <v>0</v>
          </cell>
          <cell r="AF307">
            <v>75</v>
          </cell>
          <cell r="AG307">
            <v>45</v>
          </cell>
          <cell r="AH307">
            <v>30</v>
          </cell>
          <cell r="AI307">
            <v>20</v>
          </cell>
          <cell r="AJ307">
            <v>0</v>
          </cell>
          <cell r="AK307">
            <v>25</v>
          </cell>
          <cell r="AL307">
            <v>25</v>
          </cell>
          <cell r="AM307">
            <v>0</v>
          </cell>
          <cell r="AN307">
            <v>0</v>
          </cell>
          <cell r="AO307">
            <v>305</v>
          </cell>
          <cell r="AP307">
            <v>115</v>
          </cell>
          <cell r="AQ307">
            <v>110</v>
          </cell>
          <cell r="AR307">
            <v>10</v>
          </cell>
          <cell r="AS307">
            <v>30</v>
          </cell>
          <cell r="AT307">
            <v>35</v>
          </cell>
          <cell r="AU307">
            <v>0.6</v>
          </cell>
          <cell r="AV307">
            <v>1995</v>
          </cell>
          <cell r="AW307">
            <v>820</v>
          </cell>
          <cell r="AX307">
            <v>70</v>
          </cell>
          <cell r="AY307">
            <v>240</v>
          </cell>
          <cell r="AZ307">
            <v>515</v>
          </cell>
          <cell r="BA307">
            <v>1170</v>
          </cell>
          <cell r="BB307">
            <v>2.5</v>
          </cell>
          <cell r="BC307">
            <v>150</v>
          </cell>
          <cell r="BD307">
            <v>80</v>
          </cell>
          <cell r="BE307">
            <v>10</v>
          </cell>
          <cell r="BF307">
            <v>15</v>
          </cell>
          <cell r="BG307">
            <v>60</v>
          </cell>
          <cell r="BH307">
            <v>70</v>
          </cell>
          <cell r="BI307">
            <v>1120</v>
          </cell>
          <cell r="BJ307">
            <v>4.7</v>
          </cell>
          <cell r="BK307">
            <v>5264</v>
          </cell>
          <cell r="BL307">
            <v>1.7</v>
          </cell>
          <cell r="BM307">
            <v>1904</v>
          </cell>
          <cell r="BN307">
            <v>1120</v>
          </cell>
          <cell r="BO307">
            <v>290</v>
          </cell>
          <cell r="BP307">
            <v>825</v>
          </cell>
          <cell r="BQ307">
            <v>0</v>
          </cell>
          <cell r="BR307">
            <v>1120</v>
          </cell>
          <cell r="BS307">
            <v>555</v>
          </cell>
          <cell r="BT307">
            <v>400</v>
          </cell>
          <cell r="BU307">
            <v>160</v>
          </cell>
          <cell r="BV307">
            <v>1120</v>
          </cell>
          <cell r="BW307">
            <v>700</v>
          </cell>
          <cell r="BX307">
            <v>180</v>
          </cell>
          <cell r="BY307">
            <v>65</v>
          </cell>
          <cell r="BZ307">
            <v>55</v>
          </cell>
          <cell r="CA307">
            <v>45</v>
          </cell>
          <cell r="CB307">
            <v>10</v>
          </cell>
          <cell r="CC307">
            <v>20</v>
          </cell>
          <cell r="CD307">
            <v>0</v>
          </cell>
          <cell r="CE307">
            <v>35</v>
          </cell>
          <cell r="CF307">
            <v>1120</v>
          </cell>
          <cell r="CG307">
            <v>5</v>
          </cell>
          <cell r="CH307">
            <v>0</v>
          </cell>
          <cell r="CI307">
            <v>5</v>
          </cell>
          <cell r="CJ307">
            <v>40</v>
          </cell>
          <cell r="CK307">
            <v>80</v>
          </cell>
          <cell r="CL307">
            <v>990</v>
          </cell>
          <cell r="CM307">
            <v>5</v>
          </cell>
          <cell r="CN307">
            <v>0</v>
          </cell>
          <cell r="CO307">
            <v>1115</v>
          </cell>
          <cell r="CP307">
            <v>535</v>
          </cell>
          <cell r="CQ307">
            <v>380</v>
          </cell>
          <cell r="CR307">
            <v>140</v>
          </cell>
          <cell r="CS307">
            <v>65</v>
          </cell>
          <cell r="CT307">
            <v>0</v>
          </cell>
          <cell r="CU307">
            <v>1995</v>
          </cell>
          <cell r="CV307">
            <v>1.8</v>
          </cell>
          <cell r="CW307">
            <v>1120</v>
          </cell>
          <cell r="CX307">
            <v>475</v>
          </cell>
          <cell r="CY307">
            <v>0</v>
          </cell>
          <cell r="CZ307">
            <v>645</v>
          </cell>
        </row>
        <row r="308">
          <cell r="A308" t="str">
            <v>4620152.00</v>
          </cell>
          <cell r="B308" t="str">
            <v>0152.00</v>
          </cell>
          <cell r="C308" t="str">
            <v>Plateau Mont-Royal</v>
          </cell>
          <cell r="D308">
            <v>1345</v>
          </cell>
          <cell r="E308">
            <v>960</v>
          </cell>
          <cell r="F308">
            <v>195</v>
          </cell>
          <cell r="G308">
            <v>30</v>
          </cell>
          <cell r="H308">
            <v>110</v>
          </cell>
          <cell r="I308">
            <v>45</v>
          </cell>
          <cell r="J308">
            <v>1345</v>
          </cell>
          <cell r="K308">
            <v>1030</v>
          </cell>
          <cell r="L308">
            <v>320</v>
          </cell>
          <cell r="M308">
            <v>330</v>
          </cell>
          <cell r="N308">
            <v>205</v>
          </cell>
          <cell r="O308">
            <v>75</v>
          </cell>
          <cell r="P308">
            <v>30</v>
          </cell>
          <cell r="Q308">
            <v>15</v>
          </cell>
          <cell r="R308">
            <v>330</v>
          </cell>
          <cell r="S308">
            <v>250</v>
          </cell>
          <cell r="T308">
            <v>100</v>
          </cell>
          <cell r="U308">
            <v>60</v>
          </cell>
          <cell r="V308">
            <v>40</v>
          </cell>
          <cell r="W308">
            <v>20</v>
          </cell>
          <cell r="X308">
            <v>15</v>
          </cell>
          <cell r="Y308">
            <v>0</v>
          </cell>
          <cell r="Z308">
            <v>155</v>
          </cell>
          <cell r="AA308">
            <v>85</v>
          </cell>
          <cell r="AB308">
            <v>70</v>
          </cell>
          <cell r="AC308">
            <v>35</v>
          </cell>
          <cell r="AD308">
            <v>10</v>
          </cell>
          <cell r="AE308">
            <v>15</v>
          </cell>
          <cell r="AF308">
            <v>75</v>
          </cell>
          <cell r="AG308">
            <v>55</v>
          </cell>
          <cell r="AH308">
            <v>50</v>
          </cell>
          <cell r="AI308">
            <v>10</v>
          </cell>
          <cell r="AJ308">
            <v>0</v>
          </cell>
          <cell r="AK308">
            <v>20</v>
          </cell>
          <cell r="AL308">
            <v>10</v>
          </cell>
          <cell r="AM308">
            <v>10</v>
          </cell>
          <cell r="AN308">
            <v>0</v>
          </cell>
          <cell r="AO308">
            <v>260</v>
          </cell>
          <cell r="AP308">
            <v>100</v>
          </cell>
          <cell r="AQ308">
            <v>55</v>
          </cell>
          <cell r="AR308">
            <v>35</v>
          </cell>
          <cell r="AS308">
            <v>75</v>
          </cell>
          <cell r="AT308">
            <v>0</v>
          </cell>
          <cell r="AU308">
            <v>0.8</v>
          </cell>
          <cell r="AV308">
            <v>1495</v>
          </cell>
          <cell r="AW308">
            <v>650</v>
          </cell>
          <cell r="AX308">
            <v>20</v>
          </cell>
          <cell r="AY308">
            <v>170</v>
          </cell>
          <cell r="AZ308">
            <v>460</v>
          </cell>
          <cell r="BA308">
            <v>840</v>
          </cell>
          <cell r="BB308">
            <v>2.6</v>
          </cell>
          <cell r="BC308">
            <v>115</v>
          </cell>
          <cell r="BD308">
            <v>50</v>
          </cell>
          <cell r="BE308">
            <v>0</v>
          </cell>
          <cell r="BF308">
            <v>0</v>
          </cell>
          <cell r="BG308">
            <v>45</v>
          </cell>
          <cell r="BH308">
            <v>55</v>
          </cell>
          <cell r="BI308">
            <v>855</v>
          </cell>
          <cell r="BJ308">
            <v>4.5</v>
          </cell>
          <cell r="BK308">
            <v>3847.5</v>
          </cell>
          <cell r="BL308">
            <v>1.7</v>
          </cell>
          <cell r="BM308">
            <v>1453.5</v>
          </cell>
          <cell r="BN308">
            <v>855</v>
          </cell>
          <cell r="BO308">
            <v>160</v>
          </cell>
          <cell r="BP308">
            <v>700</v>
          </cell>
          <cell r="BQ308">
            <v>0</v>
          </cell>
          <cell r="BR308">
            <v>860</v>
          </cell>
          <cell r="BS308">
            <v>430</v>
          </cell>
          <cell r="BT308">
            <v>300</v>
          </cell>
          <cell r="BU308">
            <v>125</v>
          </cell>
          <cell r="BV308">
            <v>855</v>
          </cell>
          <cell r="BW308">
            <v>445</v>
          </cell>
          <cell r="BX308">
            <v>230</v>
          </cell>
          <cell r="BY308">
            <v>80</v>
          </cell>
          <cell r="BZ308">
            <v>40</v>
          </cell>
          <cell r="CA308">
            <v>35</v>
          </cell>
          <cell r="CB308">
            <v>15</v>
          </cell>
          <cell r="CC308">
            <v>0</v>
          </cell>
          <cell r="CD308">
            <v>10</v>
          </cell>
          <cell r="CE308">
            <v>0</v>
          </cell>
          <cell r="CF308">
            <v>860</v>
          </cell>
          <cell r="CG308">
            <v>0</v>
          </cell>
          <cell r="CH308">
            <v>5</v>
          </cell>
          <cell r="CI308">
            <v>0</v>
          </cell>
          <cell r="CJ308">
            <v>20</v>
          </cell>
          <cell r="CK308">
            <v>0</v>
          </cell>
          <cell r="CL308">
            <v>840</v>
          </cell>
          <cell r="CM308">
            <v>0</v>
          </cell>
          <cell r="CN308">
            <v>0</v>
          </cell>
          <cell r="CO308">
            <v>860</v>
          </cell>
          <cell r="CP308">
            <v>430</v>
          </cell>
          <cell r="CQ308">
            <v>285</v>
          </cell>
          <cell r="CR308">
            <v>90</v>
          </cell>
          <cell r="CS308">
            <v>45</v>
          </cell>
          <cell r="CT308">
            <v>5</v>
          </cell>
          <cell r="CU308">
            <v>1495</v>
          </cell>
          <cell r="CV308">
            <v>1.7</v>
          </cell>
          <cell r="CW308">
            <v>855</v>
          </cell>
          <cell r="CX308">
            <v>330</v>
          </cell>
          <cell r="CY308">
            <v>0</v>
          </cell>
          <cell r="CZ308">
            <v>530</v>
          </cell>
        </row>
        <row r="309">
          <cell r="A309" t="str">
            <v>4620153.00</v>
          </cell>
          <cell r="B309" t="str">
            <v>0153.00</v>
          </cell>
          <cell r="C309" t="str">
            <v>Plateau Mont-Royal</v>
          </cell>
          <cell r="D309">
            <v>775</v>
          </cell>
          <cell r="E309">
            <v>520</v>
          </cell>
          <cell r="F309">
            <v>145</v>
          </cell>
          <cell r="G309">
            <v>15</v>
          </cell>
          <cell r="H309">
            <v>70</v>
          </cell>
          <cell r="I309">
            <v>25</v>
          </cell>
          <cell r="J309">
            <v>775</v>
          </cell>
          <cell r="K309">
            <v>625</v>
          </cell>
          <cell r="L309">
            <v>150</v>
          </cell>
          <cell r="M309">
            <v>190</v>
          </cell>
          <cell r="N309">
            <v>105</v>
          </cell>
          <cell r="O309">
            <v>60</v>
          </cell>
          <cell r="P309">
            <v>25</v>
          </cell>
          <cell r="Q309">
            <v>0</v>
          </cell>
          <cell r="R309">
            <v>195</v>
          </cell>
          <cell r="S309">
            <v>140</v>
          </cell>
          <cell r="T309">
            <v>65</v>
          </cell>
          <cell r="U309">
            <v>45</v>
          </cell>
          <cell r="V309">
            <v>15</v>
          </cell>
          <cell r="W309">
            <v>15</v>
          </cell>
          <cell r="X309">
            <v>0</v>
          </cell>
          <cell r="Y309">
            <v>0</v>
          </cell>
          <cell r="Z309">
            <v>75</v>
          </cell>
          <cell r="AA309">
            <v>45</v>
          </cell>
          <cell r="AB309">
            <v>30</v>
          </cell>
          <cell r="AC309">
            <v>15</v>
          </cell>
          <cell r="AD309">
            <v>15</v>
          </cell>
          <cell r="AE309">
            <v>0</v>
          </cell>
          <cell r="AF309">
            <v>55</v>
          </cell>
          <cell r="AG309">
            <v>50</v>
          </cell>
          <cell r="AH309">
            <v>15</v>
          </cell>
          <cell r="AI309">
            <v>25</v>
          </cell>
          <cell r="AJ309">
            <v>0</v>
          </cell>
          <cell r="AK309">
            <v>0</v>
          </cell>
          <cell r="AL309">
            <v>0</v>
          </cell>
          <cell r="AM309">
            <v>0</v>
          </cell>
          <cell r="AN309">
            <v>0</v>
          </cell>
          <cell r="AO309">
            <v>165</v>
          </cell>
          <cell r="AP309">
            <v>40</v>
          </cell>
          <cell r="AQ309">
            <v>80</v>
          </cell>
          <cell r="AR309">
            <v>10</v>
          </cell>
          <cell r="AS309">
            <v>15</v>
          </cell>
          <cell r="AT309">
            <v>20</v>
          </cell>
          <cell r="AU309">
            <v>0.9</v>
          </cell>
          <cell r="AV309">
            <v>805</v>
          </cell>
          <cell r="AW309">
            <v>310</v>
          </cell>
          <cell r="AX309">
            <v>25</v>
          </cell>
          <cell r="AY309">
            <v>60</v>
          </cell>
          <cell r="AZ309">
            <v>230</v>
          </cell>
          <cell r="BA309">
            <v>495</v>
          </cell>
          <cell r="BB309">
            <v>2.6</v>
          </cell>
          <cell r="BC309">
            <v>85</v>
          </cell>
          <cell r="BD309">
            <v>75</v>
          </cell>
          <cell r="BE309">
            <v>20</v>
          </cell>
          <cell r="BF309">
            <v>0</v>
          </cell>
          <cell r="BG309">
            <v>55</v>
          </cell>
          <cell r="BH309">
            <v>10</v>
          </cell>
          <cell r="BI309">
            <v>450</v>
          </cell>
          <cell r="BJ309">
            <v>4.0999999999999996</v>
          </cell>
          <cell r="BK309">
            <v>1844.9999999999998</v>
          </cell>
          <cell r="BL309">
            <v>1.7</v>
          </cell>
          <cell r="BM309">
            <v>765</v>
          </cell>
          <cell r="BN309">
            <v>450</v>
          </cell>
          <cell r="BO309">
            <v>70</v>
          </cell>
          <cell r="BP309">
            <v>380</v>
          </cell>
          <cell r="BQ309">
            <v>0</v>
          </cell>
          <cell r="BR309">
            <v>450</v>
          </cell>
          <cell r="BS309">
            <v>195</v>
          </cell>
          <cell r="BT309">
            <v>165</v>
          </cell>
          <cell r="BU309">
            <v>85</v>
          </cell>
          <cell r="BV309">
            <v>450</v>
          </cell>
          <cell r="BW309">
            <v>110</v>
          </cell>
          <cell r="BX309">
            <v>240</v>
          </cell>
          <cell r="BY309">
            <v>70</v>
          </cell>
          <cell r="BZ309">
            <v>20</v>
          </cell>
          <cell r="CA309">
            <v>10</v>
          </cell>
          <cell r="CB309">
            <v>0</v>
          </cell>
          <cell r="CC309">
            <v>10</v>
          </cell>
          <cell r="CD309">
            <v>0</v>
          </cell>
          <cell r="CE309">
            <v>0</v>
          </cell>
          <cell r="CF309">
            <v>450</v>
          </cell>
          <cell r="CG309">
            <v>5</v>
          </cell>
          <cell r="CH309">
            <v>0</v>
          </cell>
          <cell r="CI309">
            <v>0</v>
          </cell>
          <cell r="CJ309">
            <v>35</v>
          </cell>
          <cell r="CK309">
            <v>80</v>
          </cell>
          <cell r="CL309">
            <v>320</v>
          </cell>
          <cell r="CM309">
            <v>10</v>
          </cell>
          <cell r="CN309">
            <v>5</v>
          </cell>
          <cell r="CO309">
            <v>450</v>
          </cell>
          <cell r="CP309">
            <v>225</v>
          </cell>
          <cell r="CQ309">
            <v>140</v>
          </cell>
          <cell r="CR309">
            <v>45</v>
          </cell>
          <cell r="CS309">
            <v>35</v>
          </cell>
          <cell r="CT309">
            <v>5</v>
          </cell>
          <cell r="CU309">
            <v>805</v>
          </cell>
          <cell r="CV309">
            <v>1.8</v>
          </cell>
          <cell r="CW309">
            <v>450</v>
          </cell>
          <cell r="CX309">
            <v>190</v>
          </cell>
          <cell r="CY309">
            <v>0</v>
          </cell>
          <cell r="CZ309">
            <v>260</v>
          </cell>
        </row>
        <row r="310">
          <cell r="A310" t="str">
            <v>4620154.00</v>
          </cell>
          <cell r="B310" t="str">
            <v>0154.00</v>
          </cell>
          <cell r="C310" t="str">
            <v>Plateau Mont-Royal</v>
          </cell>
          <cell r="D310">
            <v>560</v>
          </cell>
          <cell r="E310">
            <v>400</v>
          </cell>
          <cell r="F310">
            <v>70</v>
          </cell>
          <cell r="G310">
            <v>10</v>
          </cell>
          <cell r="H310">
            <v>55</v>
          </cell>
          <cell r="I310">
            <v>20</v>
          </cell>
          <cell r="J310">
            <v>560</v>
          </cell>
          <cell r="K310">
            <v>435</v>
          </cell>
          <cell r="L310">
            <v>125</v>
          </cell>
          <cell r="M310">
            <v>150</v>
          </cell>
          <cell r="N310">
            <v>125</v>
          </cell>
          <cell r="O310">
            <v>20</v>
          </cell>
          <cell r="P310">
            <v>0</v>
          </cell>
          <cell r="Q310">
            <v>0</v>
          </cell>
          <cell r="R310">
            <v>150</v>
          </cell>
          <cell r="S310">
            <v>110</v>
          </cell>
          <cell r="T310">
            <v>40</v>
          </cell>
          <cell r="U310">
            <v>25</v>
          </cell>
          <cell r="V310">
            <v>15</v>
          </cell>
          <cell r="W310">
            <v>15</v>
          </cell>
          <cell r="X310">
            <v>0</v>
          </cell>
          <cell r="Y310">
            <v>0</v>
          </cell>
          <cell r="Z310">
            <v>65</v>
          </cell>
          <cell r="AA310">
            <v>60</v>
          </cell>
          <cell r="AB310">
            <v>0</v>
          </cell>
          <cell r="AC310">
            <v>0</v>
          </cell>
          <cell r="AD310">
            <v>10</v>
          </cell>
          <cell r="AE310">
            <v>0</v>
          </cell>
          <cell r="AF310">
            <v>40</v>
          </cell>
          <cell r="AG310">
            <v>40</v>
          </cell>
          <cell r="AH310">
            <v>40</v>
          </cell>
          <cell r="AI310">
            <v>0</v>
          </cell>
          <cell r="AJ310">
            <v>0</v>
          </cell>
          <cell r="AK310">
            <v>0</v>
          </cell>
          <cell r="AL310">
            <v>0</v>
          </cell>
          <cell r="AM310">
            <v>0</v>
          </cell>
          <cell r="AN310">
            <v>0</v>
          </cell>
          <cell r="AO310">
            <v>70</v>
          </cell>
          <cell r="AP310">
            <v>0</v>
          </cell>
          <cell r="AQ310">
            <v>20</v>
          </cell>
          <cell r="AR310">
            <v>10</v>
          </cell>
          <cell r="AS310">
            <v>0</v>
          </cell>
          <cell r="AT310">
            <v>30</v>
          </cell>
          <cell r="AU310">
            <v>0.4</v>
          </cell>
          <cell r="AV310">
            <v>605</v>
          </cell>
          <cell r="AW310">
            <v>280</v>
          </cell>
          <cell r="AX310">
            <v>0</v>
          </cell>
          <cell r="AY310">
            <v>115</v>
          </cell>
          <cell r="AZ310">
            <v>165</v>
          </cell>
          <cell r="BA310">
            <v>325</v>
          </cell>
          <cell r="BB310">
            <v>2.2000000000000002</v>
          </cell>
          <cell r="BC310">
            <v>35</v>
          </cell>
          <cell r="BD310">
            <v>10</v>
          </cell>
          <cell r="BE310">
            <v>0</v>
          </cell>
          <cell r="BF310">
            <v>0</v>
          </cell>
          <cell r="BG310">
            <v>10</v>
          </cell>
          <cell r="BH310">
            <v>25</v>
          </cell>
          <cell r="BI310">
            <v>355</v>
          </cell>
          <cell r="BJ310">
            <v>3.9</v>
          </cell>
          <cell r="BK310">
            <v>1384.5</v>
          </cell>
          <cell r="BL310">
            <v>1.5</v>
          </cell>
          <cell r="BM310">
            <v>532.5</v>
          </cell>
          <cell r="BN310">
            <v>355</v>
          </cell>
          <cell r="BO310">
            <v>50</v>
          </cell>
          <cell r="BP310">
            <v>305</v>
          </cell>
          <cell r="BQ310">
            <v>0</v>
          </cell>
          <cell r="BR310">
            <v>355</v>
          </cell>
          <cell r="BS310">
            <v>245</v>
          </cell>
          <cell r="BT310">
            <v>85</v>
          </cell>
          <cell r="BU310">
            <v>20</v>
          </cell>
          <cell r="BV310">
            <v>355</v>
          </cell>
          <cell r="BW310">
            <v>90</v>
          </cell>
          <cell r="BX310">
            <v>100</v>
          </cell>
          <cell r="BY310">
            <v>15</v>
          </cell>
          <cell r="BZ310">
            <v>40</v>
          </cell>
          <cell r="CA310">
            <v>40</v>
          </cell>
          <cell r="CB310">
            <v>25</v>
          </cell>
          <cell r="CC310">
            <v>15</v>
          </cell>
          <cell r="CD310">
            <v>0</v>
          </cell>
          <cell r="CE310">
            <v>30</v>
          </cell>
          <cell r="CF310">
            <v>355</v>
          </cell>
          <cell r="CG310">
            <v>0</v>
          </cell>
          <cell r="CH310">
            <v>0</v>
          </cell>
          <cell r="CI310">
            <v>5</v>
          </cell>
          <cell r="CJ310">
            <v>60</v>
          </cell>
          <cell r="CK310">
            <v>0</v>
          </cell>
          <cell r="CL310">
            <v>280</v>
          </cell>
          <cell r="CM310">
            <v>5</v>
          </cell>
          <cell r="CN310">
            <v>0</v>
          </cell>
          <cell r="CO310">
            <v>355</v>
          </cell>
          <cell r="CP310">
            <v>195</v>
          </cell>
          <cell r="CQ310">
            <v>105</v>
          </cell>
          <cell r="CR310">
            <v>50</v>
          </cell>
          <cell r="CS310">
            <v>10</v>
          </cell>
          <cell r="CT310">
            <v>5</v>
          </cell>
          <cell r="CU310">
            <v>605</v>
          </cell>
          <cell r="CV310">
            <v>1.7</v>
          </cell>
          <cell r="CW310">
            <v>355</v>
          </cell>
          <cell r="CX310">
            <v>150</v>
          </cell>
          <cell r="CY310">
            <v>0</v>
          </cell>
          <cell r="CZ310">
            <v>205</v>
          </cell>
        </row>
        <row r="311">
          <cell r="A311" t="str">
            <v>4620155.00</v>
          </cell>
          <cell r="B311" t="str">
            <v>0155.00</v>
          </cell>
          <cell r="C311" t="str">
            <v>Plateau Mont-Royal</v>
          </cell>
          <cell r="D311">
            <v>1580</v>
          </cell>
          <cell r="E311">
            <v>1100</v>
          </cell>
          <cell r="F311">
            <v>210</v>
          </cell>
          <cell r="G311">
            <v>30</v>
          </cell>
          <cell r="H311">
            <v>165</v>
          </cell>
          <cell r="I311">
            <v>75</v>
          </cell>
          <cell r="J311">
            <v>1580</v>
          </cell>
          <cell r="K311">
            <v>1180</v>
          </cell>
          <cell r="L311">
            <v>400</v>
          </cell>
          <cell r="M311">
            <v>405</v>
          </cell>
          <cell r="N311">
            <v>255</v>
          </cell>
          <cell r="O311">
            <v>110</v>
          </cell>
          <cell r="P311">
            <v>30</v>
          </cell>
          <cell r="Q311">
            <v>10</v>
          </cell>
          <cell r="R311">
            <v>405</v>
          </cell>
          <cell r="S311">
            <v>320</v>
          </cell>
          <cell r="T311">
            <v>125</v>
          </cell>
          <cell r="U311">
            <v>60</v>
          </cell>
          <cell r="V311">
            <v>70</v>
          </cell>
          <cell r="W311">
            <v>50</v>
          </cell>
          <cell r="X311">
            <v>15</v>
          </cell>
          <cell r="Y311">
            <v>10</v>
          </cell>
          <cell r="Z311">
            <v>195</v>
          </cell>
          <cell r="AA311">
            <v>130</v>
          </cell>
          <cell r="AB311">
            <v>60</v>
          </cell>
          <cell r="AC311">
            <v>40</v>
          </cell>
          <cell r="AD311">
            <v>15</v>
          </cell>
          <cell r="AE311">
            <v>0</v>
          </cell>
          <cell r="AF311">
            <v>80</v>
          </cell>
          <cell r="AG311">
            <v>65</v>
          </cell>
          <cell r="AH311">
            <v>50</v>
          </cell>
          <cell r="AI311">
            <v>10</v>
          </cell>
          <cell r="AJ311">
            <v>0</v>
          </cell>
          <cell r="AK311">
            <v>20</v>
          </cell>
          <cell r="AL311">
            <v>15</v>
          </cell>
          <cell r="AM311">
            <v>0</v>
          </cell>
          <cell r="AN311">
            <v>0</v>
          </cell>
          <cell r="AO311">
            <v>270</v>
          </cell>
          <cell r="AP311">
            <v>75</v>
          </cell>
          <cell r="AQ311">
            <v>90</v>
          </cell>
          <cell r="AR311">
            <v>30</v>
          </cell>
          <cell r="AS311">
            <v>45</v>
          </cell>
          <cell r="AT311">
            <v>35</v>
          </cell>
          <cell r="AU311">
            <v>0.7</v>
          </cell>
          <cell r="AV311">
            <v>1725</v>
          </cell>
          <cell r="AW311">
            <v>725</v>
          </cell>
          <cell r="AX311">
            <v>40</v>
          </cell>
          <cell r="AY311">
            <v>140</v>
          </cell>
          <cell r="AZ311">
            <v>545</v>
          </cell>
          <cell r="BA311">
            <v>995</v>
          </cell>
          <cell r="BB311">
            <v>2.5</v>
          </cell>
          <cell r="BC311">
            <v>145</v>
          </cell>
          <cell r="BD311">
            <v>60</v>
          </cell>
          <cell r="BE311">
            <v>0</v>
          </cell>
          <cell r="BF311">
            <v>0</v>
          </cell>
          <cell r="BG311">
            <v>55</v>
          </cell>
          <cell r="BH311">
            <v>85</v>
          </cell>
          <cell r="BI311">
            <v>1035</v>
          </cell>
          <cell r="BJ311">
            <v>4.4000000000000004</v>
          </cell>
          <cell r="BK311">
            <v>4554</v>
          </cell>
          <cell r="BL311">
            <v>1.6</v>
          </cell>
          <cell r="BM311">
            <v>1656</v>
          </cell>
          <cell r="BN311">
            <v>1030</v>
          </cell>
          <cell r="BO311">
            <v>170</v>
          </cell>
          <cell r="BP311">
            <v>860</v>
          </cell>
          <cell r="BQ311">
            <v>0</v>
          </cell>
          <cell r="BR311">
            <v>1035</v>
          </cell>
          <cell r="BS311">
            <v>510</v>
          </cell>
          <cell r="BT311">
            <v>355</v>
          </cell>
          <cell r="BU311">
            <v>170</v>
          </cell>
          <cell r="BV311">
            <v>1030</v>
          </cell>
          <cell r="BW311">
            <v>635</v>
          </cell>
          <cell r="BX311">
            <v>170</v>
          </cell>
          <cell r="BY311">
            <v>120</v>
          </cell>
          <cell r="BZ311">
            <v>30</v>
          </cell>
          <cell r="CA311">
            <v>35</v>
          </cell>
          <cell r="CB311">
            <v>40</v>
          </cell>
          <cell r="CC311">
            <v>0</v>
          </cell>
          <cell r="CD311">
            <v>0</v>
          </cell>
          <cell r="CE311">
            <v>0</v>
          </cell>
          <cell r="CF311">
            <v>1030</v>
          </cell>
          <cell r="CG311">
            <v>0</v>
          </cell>
          <cell r="CH311">
            <v>5</v>
          </cell>
          <cell r="CI311">
            <v>0</v>
          </cell>
          <cell r="CJ311">
            <v>25</v>
          </cell>
          <cell r="CK311">
            <v>90</v>
          </cell>
          <cell r="CL311">
            <v>910</v>
          </cell>
          <cell r="CM311">
            <v>0</v>
          </cell>
          <cell r="CN311">
            <v>0</v>
          </cell>
          <cell r="CO311">
            <v>1035</v>
          </cell>
          <cell r="CP311">
            <v>555</v>
          </cell>
          <cell r="CQ311">
            <v>330</v>
          </cell>
          <cell r="CR311">
            <v>105</v>
          </cell>
          <cell r="CS311">
            <v>40</v>
          </cell>
          <cell r="CT311">
            <v>5</v>
          </cell>
          <cell r="CU311">
            <v>1725</v>
          </cell>
          <cell r="CV311">
            <v>1.7</v>
          </cell>
          <cell r="CW311">
            <v>1030</v>
          </cell>
          <cell r="CX311">
            <v>400</v>
          </cell>
          <cell r="CY311">
            <v>0</v>
          </cell>
          <cell r="CZ311">
            <v>630</v>
          </cell>
        </row>
        <row r="312">
          <cell r="A312" t="str">
            <v>4620156.00</v>
          </cell>
          <cell r="B312" t="str">
            <v>0156.00</v>
          </cell>
          <cell r="C312" t="str">
            <v>Plateau Mont-Royal</v>
          </cell>
          <cell r="D312">
            <v>1730</v>
          </cell>
          <cell r="E312">
            <v>1210</v>
          </cell>
          <cell r="F312">
            <v>250</v>
          </cell>
          <cell r="G312">
            <v>40</v>
          </cell>
          <cell r="H312">
            <v>160</v>
          </cell>
          <cell r="I312">
            <v>65</v>
          </cell>
          <cell r="J312">
            <v>1730</v>
          </cell>
          <cell r="K312">
            <v>1300</v>
          </cell>
          <cell r="L312">
            <v>430</v>
          </cell>
          <cell r="M312">
            <v>420</v>
          </cell>
          <cell r="N312">
            <v>305</v>
          </cell>
          <cell r="O312">
            <v>60</v>
          </cell>
          <cell r="P312">
            <v>55</v>
          </cell>
          <cell r="Q312">
            <v>10</v>
          </cell>
          <cell r="R312">
            <v>420</v>
          </cell>
          <cell r="S312">
            <v>315</v>
          </cell>
          <cell r="T312">
            <v>100</v>
          </cell>
          <cell r="U312">
            <v>60</v>
          </cell>
          <cell r="V312">
            <v>40</v>
          </cell>
          <cell r="W312">
            <v>10</v>
          </cell>
          <cell r="X312">
            <v>30</v>
          </cell>
          <cell r="Y312">
            <v>0</v>
          </cell>
          <cell r="Z312">
            <v>220</v>
          </cell>
          <cell r="AA312">
            <v>180</v>
          </cell>
          <cell r="AB312">
            <v>40</v>
          </cell>
          <cell r="AC312">
            <v>20</v>
          </cell>
          <cell r="AD312">
            <v>15</v>
          </cell>
          <cell r="AE312">
            <v>0</v>
          </cell>
          <cell r="AF312">
            <v>100</v>
          </cell>
          <cell r="AG312">
            <v>90</v>
          </cell>
          <cell r="AH312">
            <v>60</v>
          </cell>
          <cell r="AI312">
            <v>15</v>
          </cell>
          <cell r="AJ312">
            <v>10</v>
          </cell>
          <cell r="AK312">
            <v>0</v>
          </cell>
          <cell r="AL312">
            <v>10</v>
          </cell>
          <cell r="AM312">
            <v>10</v>
          </cell>
          <cell r="AN312">
            <v>0</v>
          </cell>
          <cell r="AO312">
            <v>285</v>
          </cell>
          <cell r="AP312">
            <v>60</v>
          </cell>
          <cell r="AQ312">
            <v>140</v>
          </cell>
          <cell r="AR312">
            <v>25</v>
          </cell>
          <cell r="AS312">
            <v>30</v>
          </cell>
          <cell r="AT312">
            <v>35</v>
          </cell>
          <cell r="AU312">
            <v>0.7</v>
          </cell>
          <cell r="AV312">
            <v>1930</v>
          </cell>
          <cell r="AW312">
            <v>905</v>
          </cell>
          <cell r="AX312">
            <v>95</v>
          </cell>
          <cell r="AY312">
            <v>260</v>
          </cell>
          <cell r="AZ312">
            <v>550</v>
          </cell>
          <cell r="BA312">
            <v>1025</v>
          </cell>
          <cell r="BB312">
            <v>2.4</v>
          </cell>
          <cell r="BC312">
            <v>195</v>
          </cell>
          <cell r="BD312">
            <v>115</v>
          </cell>
          <cell r="BE312">
            <v>25</v>
          </cell>
          <cell r="BF312">
            <v>20</v>
          </cell>
          <cell r="BG312">
            <v>65</v>
          </cell>
          <cell r="BH312">
            <v>85</v>
          </cell>
          <cell r="BI312">
            <v>1100</v>
          </cell>
          <cell r="BJ312">
            <v>4.4000000000000004</v>
          </cell>
          <cell r="BK312">
            <v>4840</v>
          </cell>
          <cell r="BL312">
            <v>1.6</v>
          </cell>
          <cell r="BM312">
            <v>1760</v>
          </cell>
          <cell r="BN312">
            <v>1105</v>
          </cell>
          <cell r="BO312">
            <v>240</v>
          </cell>
          <cell r="BP312">
            <v>860</v>
          </cell>
          <cell r="BQ312">
            <v>0</v>
          </cell>
          <cell r="BR312">
            <v>1100</v>
          </cell>
          <cell r="BS312">
            <v>570</v>
          </cell>
          <cell r="BT312">
            <v>415</v>
          </cell>
          <cell r="BU312">
            <v>110</v>
          </cell>
          <cell r="BV312">
            <v>1100</v>
          </cell>
          <cell r="BW312">
            <v>715</v>
          </cell>
          <cell r="BX312">
            <v>205</v>
          </cell>
          <cell r="BY312">
            <v>90</v>
          </cell>
          <cell r="BZ312">
            <v>10</v>
          </cell>
          <cell r="CA312">
            <v>30</v>
          </cell>
          <cell r="CB312">
            <v>15</v>
          </cell>
          <cell r="CC312">
            <v>10</v>
          </cell>
          <cell r="CD312">
            <v>0</v>
          </cell>
          <cell r="CE312">
            <v>25</v>
          </cell>
          <cell r="CF312">
            <v>1100</v>
          </cell>
          <cell r="CG312">
            <v>0</v>
          </cell>
          <cell r="CH312">
            <v>0</v>
          </cell>
          <cell r="CI312">
            <v>0</v>
          </cell>
          <cell r="CJ312">
            <v>205</v>
          </cell>
          <cell r="CK312">
            <v>55</v>
          </cell>
          <cell r="CL312">
            <v>825</v>
          </cell>
          <cell r="CM312">
            <v>15</v>
          </cell>
          <cell r="CN312">
            <v>0</v>
          </cell>
          <cell r="CO312">
            <v>1100</v>
          </cell>
          <cell r="CP312">
            <v>545</v>
          </cell>
          <cell r="CQ312">
            <v>370</v>
          </cell>
          <cell r="CR312">
            <v>110</v>
          </cell>
          <cell r="CS312">
            <v>70</v>
          </cell>
          <cell r="CT312">
            <v>5</v>
          </cell>
          <cell r="CU312">
            <v>1930</v>
          </cell>
          <cell r="CV312">
            <v>1.8</v>
          </cell>
          <cell r="CW312">
            <v>1100</v>
          </cell>
          <cell r="CX312">
            <v>420</v>
          </cell>
          <cell r="CY312">
            <v>0</v>
          </cell>
          <cell r="CZ312">
            <v>680</v>
          </cell>
        </row>
        <row r="313">
          <cell r="A313" t="str">
            <v>4620157.00</v>
          </cell>
          <cell r="B313" t="str">
            <v>0157.00</v>
          </cell>
          <cell r="C313" t="str">
            <v>Plateau Mont-Royal</v>
          </cell>
          <cell r="D313">
            <v>1800</v>
          </cell>
          <cell r="E313">
            <v>1235</v>
          </cell>
          <cell r="F313">
            <v>285</v>
          </cell>
          <cell r="G313">
            <v>30</v>
          </cell>
          <cell r="H313">
            <v>170</v>
          </cell>
          <cell r="I313">
            <v>75</v>
          </cell>
          <cell r="J313">
            <v>1800</v>
          </cell>
          <cell r="K313">
            <v>1320</v>
          </cell>
          <cell r="L313">
            <v>480</v>
          </cell>
          <cell r="M313">
            <v>495</v>
          </cell>
          <cell r="N313">
            <v>355</v>
          </cell>
          <cell r="O313">
            <v>75</v>
          </cell>
          <cell r="P313">
            <v>45</v>
          </cell>
          <cell r="Q313">
            <v>15</v>
          </cell>
          <cell r="R313">
            <v>490</v>
          </cell>
          <cell r="S313">
            <v>385</v>
          </cell>
          <cell r="T313">
            <v>150</v>
          </cell>
          <cell r="U313">
            <v>85</v>
          </cell>
          <cell r="V313">
            <v>65</v>
          </cell>
          <cell r="W313">
            <v>40</v>
          </cell>
          <cell r="X313">
            <v>20</v>
          </cell>
          <cell r="Y313">
            <v>0</v>
          </cell>
          <cell r="Z313">
            <v>235</v>
          </cell>
          <cell r="AA313">
            <v>170</v>
          </cell>
          <cell r="AB313">
            <v>65</v>
          </cell>
          <cell r="AC313">
            <v>25</v>
          </cell>
          <cell r="AD313">
            <v>25</v>
          </cell>
          <cell r="AE313">
            <v>15</v>
          </cell>
          <cell r="AF313">
            <v>105</v>
          </cell>
          <cell r="AG313">
            <v>75</v>
          </cell>
          <cell r="AH313">
            <v>65</v>
          </cell>
          <cell r="AI313">
            <v>10</v>
          </cell>
          <cell r="AJ313">
            <v>0</v>
          </cell>
          <cell r="AK313">
            <v>35</v>
          </cell>
          <cell r="AL313">
            <v>35</v>
          </cell>
          <cell r="AM313">
            <v>0</v>
          </cell>
          <cell r="AN313">
            <v>0</v>
          </cell>
          <cell r="AO313">
            <v>345</v>
          </cell>
          <cell r="AP313">
            <v>80</v>
          </cell>
          <cell r="AQ313">
            <v>130</v>
          </cell>
          <cell r="AR313">
            <v>55</v>
          </cell>
          <cell r="AS313">
            <v>50</v>
          </cell>
          <cell r="AT313">
            <v>30</v>
          </cell>
          <cell r="AU313">
            <v>0.7</v>
          </cell>
          <cell r="AV313">
            <v>1990</v>
          </cell>
          <cell r="AW313">
            <v>770</v>
          </cell>
          <cell r="AX313">
            <v>0</v>
          </cell>
          <cell r="AY313">
            <v>240</v>
          </cell>
          <cell r="AZ313">
            <v>525</v>
          </cell>
          <cell r="BA313">
            <v>1225</v>
          </cell>
          <cell r="BB313">
            <v>2.5</v>
          </cell>
          <cell r="BC313">
            <v>185</v>
          </cell>
          <cell r="BD313">
            <v>135</v>
          </cell>
          <cell r="BE313">
            <v>0</v>
          </cell>
          <cell r="BF313">
            <v>20</v>
          </cell>
          <cell r="BG313">
            <v>115</v>
          </cell>
          <cell r="BH313">
            <v>50</v>
          </cell>
          <cell r="BI313">
            <v>1085</v>
          </cell>
          <cell r="BJ313">
            <v>4.9000000000000004</v>
          </cell>
          <cell r="BK313">
            <v>5316.5</v>
          </cell>
          <cell r="BL313">
            <v>1.7</v>
          </cell>
          <cell r="BM313">
            <v>1844.5</v>
          </cell>
          <cell r="BN313">
            <v>1090</v>
          </cell>
          <cell r="BO313">
            <v>350</v>
          </cell>
          <cell r="BP313">
            <v>740</v>
          </cell>
          <cell r="BQ313">
            <v>0</v>
          </cell>
          <cell r="BR313">
            <v>1090</v>
          </cell>
          <cell r="BS313">
            <v>570</v>
          </cell>
          <cell r="BT313">
            <v>395</v>
          </cell>
          <cell r="BU313">
            <v>115</v>
          </cell>
          <cell r="BV313">
            <v>1085</v>
          </cell>
          <cell r="BW313">
            <v>815</v>
          </cell>
          <cell r="BX313">
            <v>155</v>
          </cell>
          <cell r="BY313">
            <v>70</v>
          </cell>
          <cell r="BZ313">
            <v>30</v>
          </cell>
          <cell r="CA313">
            <v>0</v>
          </cell>
          <cell r="CB313">
            <v>0</v>
          </cell>
          <cell r="CC313">
            <v>10</v>
          </cell>
          <cell r="CD313">
            <v>0</v>
          </cell>
          <cell r="CE313">
            <v>10</v>
          </cell>
          <cell r="CF313">
            <v>1090</v>
          </cell>
          <cell r="CG313">
            <v>0</v>
          </cell>
          <cell r="CH313">
            <v>0</v>
          </cell>
          <cell r="CI313">
            <v>35</v>
          </cell>
          <cell r="CJ313">
            <v>135</v>
          </cell>
          <cell r="CK313">
            <v>5</v>
          </cell>
          <cell r="CL313">
            <v>910</v>
          </cell>
          <cell r="CM313">
            <v>5</v>
          </cell>
          <cell r="CN313">
            <v>5</v>
          </cell>
          <cell r="CO313">
            <v>1085</v>
          </cell>
          <cell r="CP313">
            <v>510</v>
          </cell>
          <cell r="CQ313">
            <v>380</v>
          </cell>
          <cell r="CR313">
            <v>115</v>
          </cell>
          <cell r="CS313">
            <v>75</v>
          </cell>
          <cell r="CT313">
            <v>10</v>
          </cell>
          <cell r="CU313">
            <v>1995</v>
          </cell>
          <cell r="CV313">
            <v>1.8</v>
          </cell>
          <cell r="CW313">
            <v>1090</v>
          </cell>
          <cell r="CX313">
            <v>460</v>
          </cell>
          <cell r="CY313">
            <v>20</v>
          </cell>
          <cell r="CZ313">
            <v>610</v>
          </cell>
        </row>
        <row r="314">
          <cell r="A314" t="str">
            <v>4620158.00</v>
          </cell>
          <cell r="B314" t="str">
            <v>0158.00</v>
          </cell>
          <cell r="C314" t="str">
            <v>Plateau Mont-Royal</v>
          </cell>
          <cell r="D314">
            <v>1845</v>
          </cell>
          <cell r="E314">
            <v>1315</v>
          </cell>
          <cell r="F314">
            <v>240</v>
          </cell>
          <cell r="G314">
            <v>35</v>
          </cell>
          <cell r="H314">
            <v>180</v>
          </cell>
          <cell r="I314">
            <v>80</v>
          </cell>
          <cell r="J314">
            <v>1845</v>
          </cell>
          <cell r="K314">
            <v>1355</v>
          </cell>
          <cell r="L314">
            <v>495</v>
          </cell>
          <cell r="M314">
            <v>440</v>
          </cell>
          <cell r="N314">
            <v>300</v>
          </cell>
          <cell r="O314">
            <v>85</v>
          </cell>
          <cell r="P314">
            <v>35</v>
          </cell>
          <cell r="Q314">
            <v>20</v>
          </cell>
          <cell r="R314">
            <v>440</v>
          </cell>
          <cell r="S314">
            <v>365</v>
          </cell>
          <cell r="T314">
            <v>120</v>
          </cell>
          <cell r="U314">
            <v>70</v>
          </cell>
          <cell r="V314">
            <v>50</v>
          </cell>
          <cell r="W314">
            <v>20</v>
          </cell>
          <cell r="X314">
            <v>20</v>
          </cell>
          <cell r="Y314">
            <v>10</v>
          </cell>
          <cell r="Z314">
            <v>245</v>
          </cell>
          <cell r="AA314">
            <v>170</v>
          </cell>
          <cell r="AB314">
            <v>75</v>
          </cell>
          <cell r="AC314">
            <v>50</v>
          </cell>
          <cell r="AD314">
            <v>15</v>
          </cell>
          <cell r="AE314">
            <v>10</v>
          </cell>
          <cell r="AF314">
            <v>75</v>
          </cell>
          <cell r="AG314">
            <v>60</v>
          </cell>
          <cell r="AH314">
            <v>40</v>
          </cell>
          <cell r="AI314">
            <v>20</v>
          </cell>
          <cell r="AJ314">
            <v>0</v>
          </cell>
          <cell r="AK314">
            <v>15</v>
          </cell>
          <cell r="AL314">
            <v>10</v>
          </cell>
          <cell r="AM314">
            <v>0</v>
          </cell>
          <cell r="AN314">
            <v>0</v>
          </cell>
          <cell r="AO314">
            <v>295</v>
          </cell>
          <cell r="AP314">
            <v>95</v>
          </cell>
          <cell r="AQ314">
            <v>110</v>
          </cell>
          <cell r="AR314">
            <v>25</v>
          </cell>
          <cell r="AS314">
            <v>45</v>
          </cell>
          <cell r="AT314">
            <v>15</v>
          </cell>
          <cell r="AU314">
            <v>0.7</v>
          </cell>
          <cell r="AV314">
            <v>2050</v>
          </cell>
          <cell r="AW314">
            <v>950</v>
          </cell>
          <cell r="AX314">
            <v>10</v>
          </cell>
          <cell r="AY314">
            <v>235</v>
          </cell>
          <cell r="AZ314">
            <v>700</v>
          </cell>
          <cell r="BA314">
            <v>1105</v>
          </cell>
          <cell r="BB314">
            <v>2.5</v>
          </cell>
          <cell r="BC314">
            <v>205</v>
          </cell>
          <cell r="BD314">
            <v>145</v>
          </cell>
          <cell r="BE314">
            <v>0</v>
          </cell>
          <cell r="BF314">
            <v>0</v>
          </cell>
          <cell r="BG314">
            <v>145</v>
          </cell>
          <cell r="BH314">
            <v>65</v>
          </cell>
          <cell r="BI314">
            <v>1255</v>
          </cell>
          <cell r="BJ314">
            <v>4.2</v>
          </cell>
          <cell r="BK314">
            <v>5271</v>
          </cell>
          <cell r="BL314">
            <v>1.5</v>
          </cell>
          <cell r="BM314">
            <v>1882.5</v>
          </cell>
          <cell r="BN314">
            <v>1250</v>
          </cell>
          <cell r="BO314">
            <v>275</v>
          </cell>
          <cell r="BP314">
            <v>975</v>
          </cell>
          <cell r="BQ314">
            <v>0</v>
          </cell>
          <cell r="BR314">
            <v>1250</v>
          </cell>
          <cell r="BS314">
            <v>700</v>
          </cell>
          <cell r="BT314">
            <v>410</v>
          </cell>
          <cell r="BU314">
            <v>140</v>
          </cell>
          <cell r="BV314">
            <v>1250</v>
          </cell>
          <cell r="BW314">
            <v>665</v>
          </cell>
          <cell r="BX314">
            <v>170</v>
          </cell>
          <cell r="BY314">
            <v>190</v>
          </cell>
          <cell r="BZ314">
            <v>60</v>
          </cell>
          <cell r="CA314">
            <v>65</v>
          </cell>
          <cell r="CB314">
            <v>0</v>
          </cell>
          <cell r="CC314">
            <v>25</v>
          </cell>
          <cell r="CD314">
            <v>0</v>
          </cell>
          <cell r="CE314">
            <v>55</v>
          </cell>
          <cell r="CF314">
            <v>1255</v>
          </cell>
          <cell r="CG314">
            <v>0</v>
          </cell>
          <cell r="CH314">
            <v>0</v>
          </cell>
          <cell r="CI314">
            <v>30</v>
          </cell>
          <cell r="CJ314">
            <v>165</v>
          </cell>
          <cell r="CK314">
            <v>170</v>
          </cell>
          <cell r="CL314">
            <v>880</v>
          </cell>
          <cell r="CM314">
            <v>0</v>
          </cell>
          <cell r="CN314">
            <v>0</v>
          </cell>
          <cell r="CO314">
            <v>1250</v>
          </cell>
          <cell r="CP314">
            <v>700</v>
          </cell>
          <cell r="CQ314">
            <v>390</v>
          </cell>
          <cell r="CR314">
            <v>95</v>
          </cell>
          <cell r="CS314">
            <v>65</v>
          </cell>
          <cell r="CT314">
            <v>5</v>
          </cell>
          <cell r="CU314">
            <v>2055</v>
          </cell>
          <cell r="CV314">
            <v>1.6</v>
          </cell>
          <cell r="CW314">
            <v>1255</v>
          </cell>
          <cell r="CX314">
            <v>430</v>
          </cell>
          <cell r="CY314">
            <v>0</v>
          </cell>
          <cell r="CZ314">
            <v>820</v>
          </cell>
        </row>
        <row r="315">
          <cell r="A315" t="str">
            <v>4620159.00</v>
          </cell>
          <cell r="B315" t="str">
            <v>0159.00</v>
          </cell>
          <cell r="C315" t="str">
            <v>Plateau Mont-Royal</v>
          </cell>
          <cell r="D315">
            <v>1605</v>
          </cell>
          <cell r="E315">
            <v>1110</v>
          </cell>
          <cell r="F315">
            <v>240</v>
          </cell>
          <cell r="G315">
            <v>45</v>
          </cell>
          <cell r="H315">
            <v>155</v>
          </cell>
          <cell r="I315">
            <v>50</v>
          </cell>
          <cell r="J315">
            <v>1600</v>
          </cell>
          <cell r="K315">
            <v>1085</v>
          </cell>
          <cell r="L315">
            <v>515</v>
          </cell>
          <cell r="M315">
            <v>480</v>
          </cell>
          <cell r="N315">
            <v>325</v>
          </cell>
          <cell r="O315">
            <v>60</v>
          </cell>
          <cell r="P315">
            <v>85</v>
          </cell>
          <cell r="Q315">
            <v>0</v>
          </cell>
          <cell r="R315">
            <v>480</v>
          </cell>
          <cell r="S315">
            <v>385</v>
          </cell>
          <cell r="T315">
            <v>105</v>
          </cell>
          <cell r="U315">
            <v>55</v>
          </cell>
          <cell r="V315">
            <v>60</v>
          </cell>
          <cell r="W315">
            <v>25</v>
          </cell>
          <cell r="X315">
            <v>30</v>
          </cell>
          <cell r="Y315">
            <v>10</v>
          </cell>
          <cell r="Z315">
            <v>280</v>
          </cell>
          <cell r="AA315">
            <v>205</v>
          </cell>
          <cell r="AB315">
            <v>70</v>
          </cell>
          <cell r="AC315">
            <v>25</v>
          </cell>
          <cell r="AD315">
            <v>45</v>
          </cell>
          <cell r="AE315">
            <v>0</v>
          </cell>
          <cell r="AF315">
            <v>95</v>
          </cell>
          <cell r="AG315">
            <v>90</v>
          </cell>
          <cell r="AH315">
            <v>65</v>
          </cell>
          <cell r="AI315">
            <v>10</v>
          </cell>
          <cell r="AJ315">
            <v>10</v>
          </cell>
          <cell r="AK315">
            <v>0</v>
          </cell>
          <cell r="AL315">
            <v>10</v>
          </cell>
          <cell r="AM315">
            <v>0</v>
          </cell>
          <cell r="AN315">
            <v>0</v>
          </cell>
          <cell r="AO315">
            <v>345</v>
          </cell>
          <cell r="AP315">
            <v>110</v>
          </cell>
          <cell r="AQ315">
            <v>115</v>
          </cell>
          <cell r="AR315">
            <v>50</v>
          </cell>
          <cell r="AS315">
            <v>35</v>
          </cell>
          <cell r="AT315">
            <v>35</v>
          </cell>
          <cell r="AU315">
            <v>0.7</v>
          </cell>
          <cell r="AV315">
            <v>1835</v>
          </cell>
          <cell r="AW315">
            <v>630</v>
          </cell>
          <cell r="AX315">
            <v>45</v>
          </cell>
          <cell r="AY315">
            <v>170</v>
          </cell>
          <cell r="AZ315">
            <v>415</v>
          </cell>
          <cell r="BA315">
            <v>1210</v>
          </cell>
          <cell r="BB315">
            <v>2.5</v>
          </cell>
          <cell r="BC315">
            <v>125</v>
          </cell>
          <cell r="BD315">
            <v>55</v>
          </cell>
          <cell r="BE315">
            <v>0</v>
          </cell>
          <cell r="BF315">
            <v>15</v>
          </cell>
          <cell r="BG315">
            <v>45</v>
          </cell>
          <cell r="BH315">
            <v>65</v>
          </cell>
          <cell r="BI315">
            <v>980</v>
          </cell>
          <cell r="BJ315">
            <v>5</v>
          </cell>
          <cell r="BK315">
            <v>4900</v>
          </cell>
          <cell r="BL315">
            <v>1.8</v>
          </cell>
          <cell r="BM315">
            <v>1764</v>
          </cell>
          <cell r="BN315">
            <v>985</v>
          </cell>
          <cell r="BO315">
            <v>375</v>
          </cell>
          <cell r="BP315">
            <v>605</v>
          </cell>
          <cell r="BQ315">
            <v>0</v>
          </cell>
          <cell r="BR315">
            <v>980</v>
          </cell>
          <cell r="BS315">
            <v>560</v>
          </cell>
          <cell r="BT315">
            <v>305</v>
          </cell>
          <cell r="BU315">
            <v>115</v>
          </cell>
          <cell r="BV315">
            <v>980</v>
          </cell>
          <cell r="BW315">
            <v>775</v>
          </cell>
          <cell r="BX315">
            <v>130</v>
          </cell>
          <cell r="BY315">
            <v>50</v>
          </cell>
          <cell r="BZ315">
            <v>10</v>
          </cell>
          <cell r="CA315">
            <v>0</v>
          </cell>
          <cell r="CB315">
            <v>0</v>
          </cell>
          <cell r="CC315">
            <v>0</v>
          </cell>
          <cell r="CD315">
            <v>15</v>
          </cell>
          <cell r="CE315">
            <v>0</v>
          </cell>
          <cell r="CF315">
            <v>985</v>
          </cell>
          <cell r="CG315">
            <v>0</v>
          </cell>
          <cell r="CH315">
            <v>5</v>
          </cell>
          <cell r="CI315">
            <v>55</v>
          </cell>
          <cell r="CJ315">
            <v>245</v>
          </cell>
          <cell r="CK315">
            <v>0</v>
          </cell>
          <cell r="CL315">
            <v>675</v>
          </cell>
          <cell r="CM315">
            <v>10</v>
          </cell>
          <cell r="CN315">
            <v>0</v>
          </cell>
          <cell r="CO315">
            <v>980</v>
          </cell>
          <cell r="CP315">
            <v>435</v>
          </cell>
          <cell r="CQ315">
            <v>360</v>
          </cell>
          <cell r="CR315">
            <v>100</v>
          </cell>
          <cell r="CS315">
            <v>90</v>
          </cell>
          <cell r="CT315">
            <v>5</v>
          </cell>
          <cell r="CU315">
            <v>1835</v>
          </cell>
          <cell r="CV315">
            <v>1.9</v>
          </cell>
          <cell r="CW315">
            <v>980</v>
          </cell>
          <cell r="CX315">
            <v>480</v>
          </cell>
          <cell r="CY315">
            <v>0</v>
          </cell>
          <cell r="CZ315">
            <v>505</v>
          </cell>
        </row>
        <row r="316">
          <cell r="A316" t="str">
            <v>4620160.00</v>
          </cell>
          <cell r="B316" t="str">
            <v>0160.00</v>
          </cell>
          <cell r="C316" t="str">
            <v>Plateau Mont-Royal</v>
          </cell>
          <cell r="D316">
            <v>1585</v>
          </cell>
          <cell r="E316">
            <v>1140</v>
          </cell>
          <cell r="F316">
            <v>205</v>
          </cell>
          <cell r="G316">
            <v>40</v>
          </cell>
          <cell r="H316">
            <v>135</v>
          </cell>
          <cell r="I316">
            <v>65</v>
          </cell>
          <cell r="J316">
            <v>1585</v>
          </cell>
          <cell r="K316">
            <v>1210</v>
          </cell>
          <cell r="L316">
            <v>375</v>
          </cell>
          <cell r="M316">
            <v>360</v>
          </cell>
          <cell r="N316">
            <v>245</v>
          </cell>
          <cell r="O316">
            <v>85</v>
          </cell>
          <cell r="P316">
            <v>20</v>
          </cell>
          <cell r="Q316">
            <v>0</v>
          </cell>
          <cell r="R316">
            <v>355</v>
          </cell>
          <cell r="S316">
            <v>265</v>
          </cell>
          <cell r="T316">
            <v>100</v>
          </cell>
          <cell r="U316">
            <v>65</v>
          </cell>
          <cell r="V316">
            <v>35</v>
          </cell>
          <cell r="W316">
            <v>30</v>
          </cell>
          <cell r="X316">
            <v>0</v>
          </cell>
          <cell r="Y316">
            <v>0</v>
          </cell>
          <cell r="Z316">
            <v>170</v>
          </cell>
          <cell r="AA316">
            <v>105</v>
          </cell>
          <cell r="AB316">
            <v>65</v>
          </cell>
          <cell r="AC316">
            <v>45</v>
          </cell>
          <cell r="AD316">
            <v>15</v>
          </cell>
          <cell r="AE316">
            <v>0</v>
          </cell>
          <cell r="AF316">
            <v>90</v>
          </cell>
          <cell r="AG316">
            <v>55</v>
          </cell>
          <cell r="AH316">
            <v>40</v>
          </cell>
          <cell r="AI316">
            <v>0</v>
          </cell>
          <cell r="AJ316">
            <v>0</v>
          </cell>
          <cell r="AK316">
            <v>35</v>
          </cell>
          <cell r="AL316">
            <v>30</v>
          </cell>
          <cell r="AM316">
            <v>10</v>
          </cell>
          <cell r="AN316">
            <v>0</v>
          </cell>
          <cell r="AO316">
            <v>235</v>
          </cell>
          <cell r="AP316">
            <v>100</v>
          </cell>
          <cell r="AQ316">
            <v>40</v>
          </cell>
          <cell r="AR316">
            <v>10</v>
          </cell>
          <cell r="AS316">
            <v>40</v>
          </cell>
          <cell r="AT316">
            <v>45</v>
          </cell>
          <cell r="AU316">
            <v>0.7</v>
          </cell>
          <cell r="AV316">
            <v>1680</v>
          </cell>
          <cell r="AW316">
            <v>820</v>
          </cell>
          <cell r="AX316">
            <v>10</v>
          </cell>
          <cell r="AY316">
            <v>200</v>
          </cell>
          <cell r="AZ316">
            <v>605</v>
          </cell>
          <cell r="BA316">
            <v>865</v>
          </cell>
          <cell r="BB316">
            <v>2.4</v>
          </cell>
          <cell r="BC316">
            <v>155</v>
          </cell>
          <cell r="BD316">
            <v>100</v>
          </cell>
          <cell r="BE316">
            <v>0</v>
          </cell>
          <cell r="BF316">
            <v>0</v>
          </cell>
          <cell r="BG316">
            <v>100</v>
          </cell>
          <cell r="BH316">
            <v>55</v>
          </cell>
          <cell r="BI316">
            <v>1045</v>
          </cell>
          <cell r="BJ316">
            <v>3.9</v>
          </cell>
          <cell r="BK316">
            <v>4075.5</v>
          </cell>
          <cell r="BL316">
            <v>1.4</v>
          </cell>
          <cell r="BM316">
            <v>1463</v>
          </cell>
          <cell r="BN316">
            <v>1050</v>
          </cell>
          <cell r="BO316">
            <v>335</v>
          </cell>
          <cell r="BP316">
            <v>715</v>
          </cell>
          <cell r="BQ316">
            <v>0</v>
          </cell>
          <cell r="BR316">
            <v>1045</v>
          </cell>
          <cell r="BS316">
            <v>565</v>
          </cell>
          <cell r="BT316">
            <v>365</v>
          </cell>
          <cell r="BU316">
            <v>110</v>
          </cell>
          <cell r="BV316">
            <v>1045</v>
          </cell>
          <cell r="BW316">
            <v>535</v>
          </cell>
          <cell r="BX316">
            <v>125</v>
          </cell>
          <cell r="BY316">
            <v>125</v>
          </cell>
          <cell r="BZ316">
            <v>105</v>
          </cell>
          <cell r="CA316">
            <v>20</v>
          </cell>
          <cell r="CB316">
            <v>20</v>
          </cell>
          <cell r="CC316">
            <v>15</v>
          </cell>
          <cell r="CD316">
            <v>80</v>
          </cell>
          <cell r="CE316">
            <v>10</v>
          </cell>
          <cell r="CF316">
            <v>1050</v>
          </cell>
          <cell r="CG316">
            <v>0</v>
          </cell>
          <cell r="CH316">
            <v>0</v>
          </cell>
          <cell r="CI316">
            <v>45</v>
          </cell>
          <cell r="CJ316">
            <v>160</v>
          </cell>
          <cell r="CK316">
            <v>175</v>
          </cell>
          <cell r="CL316">
            <v>665</v>
          </cell>
          <cell r="CM316">
            <v>0</v>
          </cell>
          <cell r="CN316">
            <v>0</v>
          </cell>
          <cell r="CO316">
            <v>1050</v>
          </cell>
          <cell r="CP316">
            <v>600</v>
          </cell>
          <cell r="CQ316">
            <v>320</v>
          </cell>
          <cell r="CR316">
            <v>85</v>
          </cell>
          <cell r="CS316">
            <v>45</v>
          </cell>
          <cell r="CT316">
            <v>5</v>
          </cell>
          <cell r="CU316">
            <v>1680</v>
          </cell>
          <cell r="CV316">
            <v>1.6</v>
          </cell>
          <cell r="CW316">
            <v>1045</v>
          </cell>
          <cell r="CX316">
            <v>350</v>
          </cell>
          <cell r="CY316">
            <v>0</v>
          </cell>
          <cell r="CZ316">
            <v>695</v>
          </cell>
        </row>
        <row r="317">
          <cell r="A317" t="str">
            <v>4620161.00</v>
          </cell>
          <cell r="B317" t="str">
            <v>0161.00</v>
          </cell>
          <cell r="C317" t="str">
            <v>Plateau Mont-Royal</v>
          </cell>
          <cell r="D317">
            <v>1705</v>
          </cell>
          <cell r="E317">
            <v>1055</v>
          </cell>
          <cell r="F317">
            <v>385</v>
          </cell>
          <cell r="G317">
            <v>50</v>
          </cell>
          <cell r="H317">
            <v>145</v>
          </cell>
          <cell r="I317">
            <v>70</v>
          </cell>
          <cell r="J317">
            <v>1705</v>
          </cell>
          <cell r="K317">
            <v>1360</v>
          </cell>
          <cell r="L317">
            <v>345</v>
          </cell>
          <cell r="M317">
            <v>475</v>
          </cell>
          <cell r="N317">
            <v>295</v>
          </cell>
          <cell r="O317">
            <v>75</v>
          </cell>
          <cell r="P317">
            <v>80</v>
          </cell>
          <cell r="Q317">
            <v>25</v>
          </cell>
          <cell r="R317">
            <v>475</v>
          </cell>
          <cell r="S317">
            <v>355</v>
          </cell>
          <cell r="T317">
            <v>165</v>
          </cell>
          <cell r="U317">
            <v>70</v>
          </cell>
          <cell r="V317">
            <v>90</v>
          </cell>
          <cell r="W317">
            <v>40</v>
          </cell>
          <cell r="X317">
            <v>45</v>
          </cell>
          <cell r="Y317">
            <v>10</v>
          </cell>
          <cell r="Z317">
            <v>190</v>
          </cell>
          <cell r="AA317">
            <v>140</v>
          </cell>
          <cell r="AB317">
            <v>55</v>
          </cell>
          <cell r="AC317">
            <v>15</v>
          </cell>
          <cell r="AD317">
            <v>35</v>
          </cell>
          <cell r="AE317">
            <v>10</v>
          </cell>
          <cell r="AF317">
            <v>120</v>
          </cell>
          <cell r="AG317">
            <v>105</v>
          </cell>
          <cell r="AH317">
            <v>75</v>
          </cell>
          <cell r="AI317">
            <v>20</v>
          </cell>
          <cell r="AJ317">
            <v>10</v>
          </cell>
          <cell r="AK317">
            <v>20</v>
          </cell>
          <cell r="AL317">
            <v>15</v>
          </cell>
          <cell r="AM317">
            <v>0</v>
          </cell>
          <cell r="AN317">
            <v>0</v>
          </cell>
          <cell r="AO317">
            <v>440</v>
          </cell>
          <cell r="AP317">
            <v>140</v>
          </cell>
          <cell r="AQ317">
            <v>115</v>
          </cell>
          <cell r="AR317">
            <v>45</v>
          </cell>
          <cell r="AS317">
            <v>65</v>
          </cell>
          <cell r="AT317">
            <v>70</v>
          </cell>
          <cell r="AU317">
            <v>0.9</v>
          </cell>
          <cell r="AV317">
            <v>1950</v>
          </cell>
          <cell r="AW317">
            <v>680</v>
          </cell>
          <cell r="AX317">
            <v>55</v>
          </cell>
          <cell r="AY317">
            <v>180</v>
          </cell>
          <cell r="AZ317">
            <v>445</v>
          </cell>
          <cell r="BA317">
            <v>1270</v>
          </cell>
          <cell r="BB317">
            <v>2.6</v>
          </cell>
          <cell r="BC317">
            <v>130</v>
          </cell>
          <cell r="BD317">
            <v>80</v>
          </cell>
          <cell r="BE317">
            <v>10</v>
          </cell>
          <cell r="BF317">
            <v>20</v>
          </cell>
          <cell r="BG317">
            <v>50</v>
          </cell>
          <cell r="BH317">
            <v>50</v>
          </cell>
          <cell r="BI317">
            <v>1010</v>
          </cell>
          <cell r="BJ317">
            <v>4.2</v>
          </cell>
          <cell r="BK317">
            <v>4242</v>
          </cell>
          <cell r="BL317">
            <v>1.7</v>
          </cell>
          <cell r="BM317">
            <v>1717</v>
          </cell>
          <cell r="BN317">
            <v>1010</v>
          </cell>
          <cell r="BO317">
            <v>305</v>
          </cell>
          <cell r="BP317">
            <v>705</v>
          </cell>
          <cell r="BQ317">
            <v>0</v>
          </cell>
          <cell r="BR317">
            <v>1010</v>
          </cell>
          <cell r="BS317">
            <v>600</v>
          </cell>
          <cell r="BT317">
            <v>310</v>
          </cell>
          <cell r="BU317">
            <v>100</v>
          </cell>
          <cell r="BV317">
            <v>1010</v>
          </cell>
          <cell r="BW317">
            <v>430</v>
          </cell>
          <cell r="BX317">
            <v>200</v>
          </cell>
          <cell r="BY317">
            <v>70</v>
          </cell>
          <cell r="BZ317">
            <v>85</v>
          </cell>
          <cell r="CA317">
            <v>40</v>
          </cell>
          <cell r="CB317">
            <v>30</v>
          </cell>
          <cell r="CC317">
            <v>60</v>
          </cell>
          <cell r="CD317">
            <v>75</v>
          </cell>
          <cell r="CE317">
            <v>20</v>
          </cell>
          <cell r="CF317">
            <v>1010</v>
          </cell>
          <cell r="CG317">
            <v>0</v>
          </cell>
          <cell r="CH317">
            <v>5</v>
          </cell>
          <cell r="CI317">
            <v>30</v>
          </cell>
          <cell r="CJ317">
            <v>100</v>
          </cell>
          <cell r="CK317">
            <v>40</v>
          </cell>
          <cell r="CL317">
            <v>810</v>
          </cell>
          <cell r="CM317">
            <v>15</v>
          </cell>
          <cell r="CN317">
            <v>5</v>
          </cell>
          <cell r="CO317">
            <v>1010</v>
          </cell>
          <cell r="CP317">
            <v>450</v>
          </cell>
          <cell r="CQ317">
            <v>335</v>
          </cell>
          <cell r="CR317">
            <v>105</v>
          </cell>
          <cell r="CS317">
            <v>110</v>
          </cell>
          <cell r="CT317">
            <v>5</v>
          </cell>
          <cell r="CU317">
            <v>1950</v>
          </cell>
          <cell r="CV317">
            <v>1.9</v>
          </cell>
          <cell r="CW317">
            <v>1010</v>
          </cell>
          <cell r="CX317">
            <v>475</v>
          </cell>
          <cell r="CY317">
            <v>0</v>
          </cell>
          <cell r="CZ317">
            <v>535</v>
          </cell>
        </row>
        <row r="318">
          <cell r="A318" t="str">
            <v>4620162.00</v>
          </cell>
          <cell r="B318" t="str">
            <v>0162.00</v>
          </cell>
          <cell r="C318" t="str">
            <v>Plateau Mont-Royal</v>
          </cell>
          <cell r="D318">
            <v>1505</v>
          </cell>
          <cell r="E318">
            <v>1065</v>
          </cell>
          <cell r="F318">
            <v>200</v>
          </cell>
          <cell r="G318">
            <v>35</v>
          </cell>
          <cell r="H318">
            <v>150</v>
          </cell>
          <cell r="I318">
            <v>55</v>
          </cell>
          <cell r="J318">
            <v>1505</v>
          </cell>
          <cell r="K318">
            <v>1200</v>
          </cell>
          <cell r="L318">
            <v>310</v>
          </cell>
          <cell r="M318">
            <v>345</v>
          </cell>
          <cell r="N318">
            <v>240</v>
          </cell>
          <cell r="O318">
            <v>60</v>
          </cell>
          <cell r="P318">
            <v>40</v>
          </cell>
          <cell r="Q318">
            <v>0</v>
          </cell>
          <cell r="R318">
            <v>345</v>
          </cell>
          <cell r="S318">
            <v>260</v>
          </cell>
          <cell r="T318">
            <v>90</v>
          </cell>
          <cell r="U318">
            <v>25</v>
          </cell>
          <cell r="V318">
            <v>60</v>
          </cell>
          <cell r="W318">
            <v>35</v>
          </cell>
          <cell r="X318">
            <v>25</v>
          </cell>
          <cell r="Y318">
            <v>10</v>
          </cell>
          <cell r="Z318">
            <v>165</v>
          </cell>
          <cell r="AA318">
            <v>150</v>
          </cell>
          <cell r="AB318">
            <v>15</v>
          </cell>
          <cell r="AC318">
            <v>0</v>
          </cell>
          <cell r="AD318">
            <v>10</v>
          </cell>
          <cell r="AE318">
            <v>0</v>
          </cell>
          <cell r="AF318">
            <v>85</v>
          </cell>
          <cell r="AG318">
            <v>70</v>
          </cell>
          <cell r="AH318">
            <v>45</v>
          </cell>
          <cell r="AI318">
            <v>25</v>
          </cell>
          <cell r="AJ318">
            <v>0</v>
          </cell>
          <cell r="AK318">
            <v>10</v>
          </cell>
          <cell r="AL318">
            <v>10</v>
          </cell>
          <cell r="AM318">
            <v>0</v>
          </cell>
          <cell r="AN318">
            <v>0</v>
          </cell>
          <cell r="AO318">
            <v>235</v>
          </cell>
          <cell r="AP318">
            <v>40</v>
          </cell>
          <cell r="AQ318">
            <v>75</v>
          </cell>
          <cell r="AR318">
            <v>35</v>
          </cell>
          <cell r="AS318">
            <v>35</v>
          </cell>
          <cell r="AT318">
            <v>45</v>
          </cell>
          <cell r="AU318">
            <v>0.7</v>
          </cell>
          <cell r="AV318">
            <v>1525</v>
          </cell>
          <cell r="AW318">
            <v>680</v>
          </cell>
          <cell r="AX318">
            <v>25</v>
          </cell>
          <cell r="AY318">
            <v>170</v>
          </cell>
          <cell r="AZ318">
            <v>485</v>
          </cell>
          <cell r="BA318">
            <v>840</v>
          </cell>
          <cell r="BB318">
            <v>2.4</v>
          </cell>
          <cell r="BC318">
            <v>95</v>
          </cell>
          <cell r="BD318">
            <v>45</v>
          </cell>
          <cell r="BE318">
            <v>0</v>
          </cell>
          <cell r="BF318">
            <v>0</v>
          </cell>
          <cell r="BG318">
            <v>45</v>
          </cell>
          <cell r="BH318">
            <v>50</v>
          </cell>
          <cell r="BI318">
            <v>915</v>
          </cell>
          <cell r="BJ318">
            <v>4</v>
          </cell>
          <cell r="BK318">
            <v>3660</v>
          </cell>
          <cell r="BL318">
            <v>1.4</v>
          </cell>
          <cell r="BM318">
            <v>1281</v>
          </cell>
          <cell r="BN318">
            <v>915</v>
          </cell>
          <cell r="BO318">
            <v>265</v>
          </cell>
          <cell r="BP318">
            <v>655</v>
          </cell>
          <cell r="BQ318">
            <v>0</v>
          </cell>
          <cell r="BR318">
            <v>915</v>
          </cell>
          <cell r="BS318">
            <v>580</v>
          </cell>
          <cell r="BT318">
            <v>240</v>
          </cell>
          <cell r="BU318">
            <v>90</v>
          </cell>
          <cell r="BV318">
            <v>915</v>
          </cell>
          <cell r="BW318">
            <v>365</v>
          </cell>
          <cell r="BX318">
            <v>145</v>
          </cell>
          <cell r="BY318">
            <v>175</v>
          </cell>
          <cell r="BZ318">
            <v>20</v>
          </cell>
          <cell r="CA318">
            <v>70</v>
          </cell>
          <cell r="CB318">
            <v>15</v>
          </cell>
          <cell r="CC318">
            <v>30</v>
          </cell>
          <cell r="CD318">
            <v>70</v>
          </cell>
          <cell r="CE318">
            <v>25</v>
          </cell>
          <cell r="CF318">
            <v>915</v>
          </cell>
          <cell r="CG318">
            <v>0</v>
          </cell>
          <cell r="CH318">
            <v>0</v>
          </cell>
          <cell r="CI318">
            <v>10</v>
          </cell>
          <cell r="CJ318">
            <v>45</v>
          </cell>
          <cell r="CK318">
            <v>65</v>
          </cell>
          <cell r="CL318">
            <v>780</v>
          </cell>
          <cell r="CM318">
            <v>10</v>
          </cell>
          <cell r="CN318">
            <v>0</v>
          </cell>
          <cell r="CO318">
            <v>915</v>
          </cell>
          <cell r="CP318">
            <v>495</v>
          </cell>
          <cell r="CQ318">
            <v>285</v>
          </cell>
          <cell r="CR318">
            <v>95</v>
          </cell>
          <cell r="CS318">
            <v>40</v>
          </cell>
          <cell r="CT318">
            <v>5</v>
          </cell>
          <cell r="CU318">
            <v>1520</v>
          </cell>
          <cell r="CV318">
            <v>1.7</v>
          </cell>
          <cell r="CW318">
            <v>915</v>
          </cell>
          <cell r="CX318">
            <v>345</v>
          </cell>
          <cell r="CY318">
            <v>0</v>
          </cell>
          <cell r="CZ318">
            <v>570</v>
          </cell>
        </row>
        <row r="319">
          <cell r="A319" t="str">
            <v>4620163.00</v>
          </cell>
          <cell r="B319" t="str">
            <v>0163.00</v>
          </cell>
          <cell r="C319" t="str">
            <v>Plateau Mont-Royal</v>
          </cell>
          <cell r="D319">
            <v>2695</v>
          </cell>
          <cell r="E319">
            <v>1675</v>
          </cell>
          <cell r="F319">
            <v>665</v>
          </cell>
          <cell r="G319">
            <v>60</v>
          </cell>
          <cell r="H319">
            <v>215</v>
          </cell>
          <cell r="I319">
            <v>90</v>
          </cell>
          <cell r="J319">
            <v>2695</v>
          </cell>
          <cell r="K319">
            <v>2240</v>
          </cell>
          <cell r="L319">
            <v>455</v>
          </cell>
          <cell r="M319">
            <v>660</v>
          </cell>
          <cell r="N319">
            <v>375</v>
          </cell>
          <cell r="O319">
            <v>150</v>
          </cell>
          <cell r="P319">
            <v>95</v>
          </cell>
          <cell r="Q319">
            <v>35</v>
          </cell>
          <cell r="R319">
            <v>660</v>
          </cell>
          <cell r="S319">
            <v>525</v>
          </cell>
          <cell r="T319">
            <v>330</v>
          </cell>
          <cell r="U319">
            <v>165</v>
          </cell>
          <cell r="V319">
            <v>165</v>
          </cell>
          <cell r="W319">
            <v>75</v>
          </cell>
          <cell r="X319">
            <v>50</v>
          </cell>
          <cell r="Y319">
            <v>40</v>
          </cell>
          <cell r="Z319">
            <v>195</v>
          </cell>
          <cell r="AA319">
            <v>135</v>
          </cell>
          <cell r="AB319">
            <v>65</v>
          </cell>
          <cell r="AC319">
            <v>30</v>
          </cell>
          <cell r="AD319">
            <v>35</v>
          </cell>
          <cell r="AE319">
            <v>0</v>
          </cell>
          <cell r="AF319">
            <v>130</v>
          </cell>
          <cell r="AG319">
            <v>125</v>
          </cell>
          <cell r="AH319">
            <v>65</v>
          </cell>
          <cell r="AI319">
            <v>50</v>
          </cell>
          <cell r="AJ319">
            <v>10</v>
          </cell>
          <cell r="AK319">
            <v>10</v>
          </cell>
          <cell r="AL319">
            <v>10</v>
          </cell>
          <cell r="AM319">
            <v>0</v>
          </cell>
          <cell r="AN319">
            <v>0</v>
          </cell>
          <cell r="AO319">
            <v>615</v>
          </cell>
          <cell r="AP319">
            <v>175</v>
          </cell>
          <cell r="AQ319">
            <v>175</v>
          </cell>
          <cell r="AR319">
            <v>65</v>
          </cell>
          <cell r="AS319">
            <v>85</v>
          </cell>
          <cell r="AT319">
            <v>115</v>
          </cell>
          <cell r="AU319">
            <v>0.9</v>
          </cell>
          <cell r="AV319">
            <v>3055</v>
          </cell>
          <cell r="AW319">
            <v>1255</v>
          </cell>
          <cell r="AX319">
            <v>85</v>
          </cell>
          <cell r="AY319">
            <v>590</v>
          </cell>
          <cell r="AZ319">
            <v>575</v>
          </cell>
          <cell r="BA319">
            <v>1805</v>
          </cell>
          <cell r="BB319">
            <v>2.7</v>
          </cell>
          <cell r="BC319">
            <v>265</v>
          </cell>
          <cell r="BD319">
            <v>90</v>
          </cell>
          <cell r="BE319">
            <v>30</v>
          </cell>
          <cell r="BF319">
            <v>10</v>
          </cell>
          <cell r="BG319">
            <v>50</v>
          </cell>
          <cell r="BH319">
            <v>175</v>
          </cell>
          <cell r="BI319">
            <v>1480</v>
          </cell>
          <cell r="BJ319">
            <v>5.4</v>
          </cell>
          <cell r="BK319">
            <v>7992.0000000000009</v>
          </cell>
          <cell r="BL319">
            <v>2.1</v>
          </cell>
          <cell r="BM319">
            <v>3108</v>
          </cell>
          <cell r="BN319">
            <v>1475</v>
          </cell>
          <cell r="BO319">
            <v>475</v>
          </cell>
          <cell r="BP319">
            <v>1005</v>
          </cell>
          <cell r="BQ319">
            <v>0</v>
          </cell>
          <cell r="BR319">
            <v>1480</v>
          </cell>
          <cell r="BS319">
            <v>755</v>
          </cell>
          <cell r="BT319">
            <v>500</v>
          </cell>
          <cell r="BU319">
            <v>220</v>
          </cell>
          <cell r="BV319">
            <v>1480</v>
          </cell>
          <cell r="BW319">
            <v>1115</v>
          </cell>
          <cell r="BX319">
            <v>180</v>
          </cell>
          <cell r="BY319">
            <v>65</v>
          </cell>
          <cell r="BZ319">
            <v>55</v>
          </cell>
          <cell r="CA319">
            <v>10</v>
          </cell>
          <cell r="CB319">
            <v>10</v>
          </cell>
          <cell r="CC319">
            <v>10</v>
          </cell>
          <cell r="CD319">
            <v>25</v>
          </cell>
          <cell r="CE319">
            <v>10</v>
          </cell>
          <cell r="CF319">
            <v>1480</v>
          </cell>
          <cell r="CG319">
            <v>0</v>
          </cell>
          <cell r="CH319">
            <v>0</v>
          </cell>
          <cell r="CI319">
            <v>5</v>
          </cell>
          <cell r="CJ319">
            <v>45</v>
          </cell>
          <cell r="CK319">
            <v>80</v>
          </cell>
          <cell r="CL319">
            <v>1345</v>
          </cell>
          <cell r="CM319">
            <v>0</v>
          </cell>
          <cell r="CN319">
            <v>0</v>
          </cell>
          <cell r="CO319">
            <v>1475</v>
          </cell>
          <cell r="CP319">
            <v>565</v>
          </cell>
          <cell r="CQ319">
            <v>505</v>
          </cell>
          <cell r="CR319">
            <v>225</v>
          </cell>
          <cell r="CS319">
            <v>170</v>
          </cell>
          <cell r="CT319">
            <v>15</v>
          </cell>
          <cell r="CU319">
            <v>3055</v>
          </cell>
          <cell r="CV319">
            <v>2.1</v>
          </cell>
          <cell r="CW319">
            <v>1475</v>
          </cell>
          <cell r="CX319">
            <v>650</v>
          </cell>
          <cell r="CY319">
            <v>0</v>
          </cell>
          <cell r="CZ319">
            <v>825</v>
          </cell>
        </row>
        <row r="320">
          <cell r="A320" t="str">
            <v>4620164.00</v>
          </cell>
          <cell r="B320" t="str">
            <v>0164.00</v>
          </cell>
          <cell r="C320" t="str">
            <v>Plateau Mont-Royal</v>
          </cell>
          <cell r="D320">
            <v>1120</v>
          </cell>
          <cell r="E320">
            <v>685</v>
          </cell>
          <cell r="F320">
            <v>245</v>
          </cell>
          <cell r="G320">
            <v>25</v>
          </cell>
          <cell r="H320">
            <v>125</v>
          </cell>
          <cell r="I320">
            <v>40</v>
          </cell>
          <cell r="J320">
            <v>1120</v>
          </cell>
          <cell r="K320">
            <v>865</v>
          </cell>
          <cell r="L320">
            <v>250</v>
          </cell>
          <cell r="M320">
            <v>265</v>
          </cell>
          <cell r="N320">
            <v>170</v>
          </cell>
          <cell r="O320">
            <v>45</v>
          </cell>
          <cell r="P320">
            <v>40</v>
          </cell>
          <cell r="Q320">
            <v>10</v>
          </cell>
          <cell r="R320">
            <v>265</v>
          </cell>
          <cell r="S320">
            <v>245</v>
          </cell>
          <cell r="T320">
            <v>130</v>
          </cell>
          <cell r="U320">
            <v>55</v>
          </cell>
          <cell r="V320">
            <v>75</v>
          </cell>
          <cell r="W320">
            <v>40</v>
          </cell>
          <cell r="X320">
            <v>30</v>
          </cell>
          <cell r="Y320">
            <v>10</v>
          </cell>
          <cell r="Z320">
            <v>110</v>
          </cell>
          <cell r="AA320">
            <v>95</v>
          </cell>
          <cell r="AB320">
            <v>15</v>
          </cell>
          <cell r="AC320">
            <v>0</v>
          </cell>
          <cell r="AD320">
            <v>10</v>
          </cell>
          <cell r="AE320">
            <v>0</v>
          </cell>
          <cell r="AF320">
            <v>20</v>
          </cell>
          <cell r="AG320">
            <v>20</v>
          </cell>
          <cell r="AH320">
            <v>20</v>
          </cell>
          <cell r="AI320">
            <v>0</v>
          </cell>
          <cell r="AJ320">
            <v>0</v>
          </cell>
          <cell r="AK320">
            <v>0</v>
          </cell>
          <cell r="AL320">
            <v>0</v>
          </cell>
          <cell r="AM320">
            <v>0</v>
          </cell>
          <cell r="AN320">
            <v>0</v>
          </cell>
          <cell r="AO320">
            <v>185</v>
          </cell>
          <cell r="AP320">
            <v>65</v>
          </cell>
          <cell r="AQ320">
            <v>50</v>
          </cell>
          <cell r="AR320">
            <v>0</v>
          </cell>
          <cell r="AS320">
            <v>40</v>
          </cell>
          <cell r="AT320">
            <v>25</v>
          </cell>
          <cell r="AU320">
            <v>0.7</v>
          </cell>
          <cell r="AV320">
            <v>1230</v>
          </cell>
          <cell r="AW320">
            <v>540</v>
          </cell>
          <cell r="AX320">
            <v>30</v>
          </cell>
          <cell r="AY320">
            <v>125</v>
          </cell>
          <cell r="AZ320">
            <v>380</v>
          </cell>
          <cell r="BA320">
            <v>695</v>
          </cell>
          <cell r="BB320">
            <v>2.6</v>
          </cell>
          <cell r="BC320">
            <v>125</v>
          </cell>
          <cell r="BD320">
            <v>75</v>
          </cell>
          <cell r="BE320">
            <v>15</v>
          </cell>
          <cell r="BF320">
            <v>0</v>
          </cell>
          <cell r="BG320">
            <v>60</v>
          </cell>
          <cell r="BH320">
            <v>55</v>
          </cell>
          <cell r="BI320">
            <v>715</v>
          </cell>
          <cell r="BJ320">
            <v>4.4000000000000004</v>
          </cell>
          <cell r="BK320">
            <v>3146.0000000000005</v>
          </cell>
          <cell r="BL320">
            <v>1.6</v>
          </cell>
          <cell r="BM320">
            <v>1144</v>
          </cell>
          <cell r="BN320">
            <v>715</v>
          </cell>
          <cell r="BO320">
            <v>205</v>
          </cell>
          <cell r="BP320">
            <v>515</v>
          </cell>
          <cell r="BQ320">
            <v>0</v>
          </cell>
          <cell r="BR320">
            <v>715</v>
          </cell>
          <cell r="BS320">
            <v>370</v>
          </cell>
          <cell r="BT320">
            <v>255</v>
          </cell>
          <cell r="BU320">
            <v>90</v>
          </cell>
          <cell r="BV320">
            <v>715</v>
          </cell>
          <cell r="BW320">
            <v>375</v>
          </cell>
          <cell r="BX320">
            <v>95</v>
          </cell>
          <cell r="BY320">
            <v>170</v>
          </cell>
          <cell r="BZ320">
            <v>50</v>
          </cell>
          <cell r="CA320">
            <v>10</v>
          </cell>
          <cell r="CB320">
            <v>10</v>
          </cell>
          <cell r="CC320">
            <v>0</v>
          </cell>
          <cell r="CD320">
            <v>0</v>
          </cell>
          <cell r="CE320">
            <v>0</v>
          </cell>
          <cell r="CF320">
            <v>715</v>
          </cell>
          <cell r="CG320">
            <v>0</v>
          </cell>
          <cell r="CH320">
            <v>0</v>
          </cell>
          <cell r="CI320">
            <v>5</v>
          </cell>
          <cell r="CJ320">
            <v>5</v>
          </cell>
          <cell r="CK320">
            <v>170</v>
          </cell>
          <cell r="CL320">
            <v>540</v>
          </cell>
          <cell r="CM320">
            <v>0</v>
          </cell>
          <cell r="CN320">
            <v>0</v>
          </cell>
          <cell r="CO320">
            <v>715</v>
          </cell>
          <cell r="CP320">
            <v>380</v>
          </cell>
          <cell r="CQ320">
            <v>230</v>
          </cell>
          <cell r="CR320">
            <v>60</v>
          </cell>
          <cell r="CS320">
            <v>45</v>
          </cell>
          <cell r="CT320">
            <v>5</v>
          </cell>
          <cell r="CU320">
            <v>1230</v>
          </cell>
          <cell r="CV320">
            <v>1.7</v>
          </cell>
          <cell r="CW320">
            <v>720</v>
          </cell>
          <cell r="CX320">
            <v>265</v>
          </cell>
          <cell r="CY320">
            <v>0</v>
          </cell>
          <cell r="CZ320">
            <v>455</v>
          </cell>
        </row>
        <row r="321">
          <cell r="A321" t="str">
            <v>4620165.00</v>
          </cell>
          <cell r="B321" t="str">
            <v>0165.00</v>
          </cell>
          <cell r="C321" t="str">
            <v>Plateau Mont-Royal</v>
          </cell>
          <cell r="D321">
            <v>1875</v>
          </cell>
          <cell r="E321">
            <v>1100</v>
          </cell>
          <cell r="F321">
            <v>530</v>
          </cell>
          <cell r="G321">
            <v>30</v>
          </cell>
          <cell r="H321">
            <v>160</v>
          </cell>
          <cell r="I321">
            <v>50</v>
          </cell>
          <cell r="J321">
            <v>1875</v>
          </cell>
          <cell r="K321">
            <v>1595</v>
          </cell>
          <cell r="L321">
            <v>280</v>
          </cell>
          <cell r="M321">
            <v>460</v>
          </cell>
          <cell r="N321">
            <v>215</v>
          </cell>
          <cell r="O321">
            <v>105</v>
          </cell>
          <cell r="P321">
            <v>70</v>
          </cell>
          <cell r="Q321">
            <v>70</v>
          </cell>
          <cell r="R321">
            <v>460</v>
          </cell>
          <cell r="S321">
            <v>380</v>
          </cell>
          <cell r="T321">
            <v>265</v>
          </cell>
          <cell r="U321">
            <v>70</v>
          </cell>
          <cell r="V321">
            <v>200</v>
          </cell>
          <cell r="W321">
            <v>85</v>
          </cell>
          <cell r="X321">
            <v>60</v>
          </cell>
          <cell r="Y321">
            <v>55</v>
          </cell>
          <cell r="Z321">
            <v>115</v>
          </cell>
          <cell r="AA321">
            <v>75</v>
          </cell>
          <cell r="AB321">
            <v>40</v>
          </cell>
          <cell r="AC321">
            <v>20</v>
          </cell>
          <cell r="AD321">
            <v>10</v>
          </cell>
          <cell r="AE321">
            <v>15</v>
          </cell>
          <cell r="AF321">
            <v>80</v>
          </cell>
          <cell r="AG321">
            <v>60</v>
          </cell>
          <cell r="AH321">
            <v>50</v>
          </cell>
          <cell r="AI321">
            <v>0</v>
          </cell>
          <cell r="AJ321">
            <v>10</v>
          </cell>
          <cell r="AK321">
            <v>20</v>
          </cell>
          <cell r="AL321">
            <v>20</v>
          </cell>
          <cell r="AM321">
            <v>0</v>
          </cell>
          <cell r="AN321">
            <v>0</v>
          </cell>
          <cell r="AO321">
            <v>660</v>
          </cell>
          <cell r="AP321">
            <v>285</v>
          </cell>
          <cell r="AQ321">
            <v>190</v>
          </cell>
          <cell r="AR321">
            <v>60</v>
          </cell>
          <cell r="AS321">
            <v>60</v>
          </cell>
          <cell r="AT321">
            <v>55</v>
          </cell>
          <cell r="AU321">
            <v>1.4</v>
          </cell>
          <cell r="AV321">
            <v>2405</v>
          </cell>
          <cell r="AW321">
            <v>900</v>
          </cell>
          <cell r="AX321">
            <v>90</v>
          </cell>
          <cell r="AY321">
            <v>345</v>
          </cell>
          <cell r="AZ321">
            <v>465</v>
          </cell>
          <cell r="BA321">
            <v>1500</v>
          </cell>
          <cell r="BB321">
            <v>3.3</v>
          </cell>
          <cell r="BC321">
            <v>155</v>
          </cell>
          <cell r="BD321">
            <v>85</v>
          </cell>
          <cell r="BE321">
            <v>0</v>
          </cell>
          <cell r="BF321">
            <v>0</v>
          </cell>
          <cell r="BG321">
            <v>80</v>
          </cell>
          <cell r="BH321">
            <v>70</v>
          </cell>
          <cell r="BI321">
            <v>1100</v>
          </cell>
          <cell r="BJ321">
            <v>4.9000000000000004</v>
          </cell>
          <cell r="BK321">
            <v>5390</v>
          </cell>
          <cell r="BL321">
            <v>2</v>
          </cell>
          <cell r="BM321">
            <v>2200</v>
          </cell>
          <cell r="BN321">
            <v>1100</v>
          </cell>
          <cell r="BO321">
            <v>205</v>
          </cell>
          <cell r="BP321">
            <v>895</v>
          </cell>
          <cell r="BQ321">
            <v>0</v>
          </cell>
          <cell r="BR321">
            <v>1100</v>
          </cell>
          <cell r="BS321">
            <v>545</v>
          </cell>
          <cell r="BT321">
            <v>360</v>
          </cell>
          <cell r="BU321">
            <v>190</v>
          </cell>
          <cell r="BV321">
            <v>1100</v>
          </cell>
          <cell r="BW321">
            <v>730</v>
          </cell>
          <cell r="BX321">
            <v>185</v>
          </cell>
          <cell r="BY321">
            <v>115</v>
          </cell>
          <cell r="BZ321">
            <v>35</v>
          </cell>
          <cell r="CA321">
            <v>15</v>
          </cell>
          <cell r="CB321">
            <v>0</v>
          </cell>
          <cell r="CC321">
            <v>10</v>
          </cell>
          <cell r="CD321">
            <v>0</v>
          </cell>
          <cell r="CE321">
            <v>0</v>
          </cell>
          <cell r="CF321">
            <v>1100</v>
          </cell>
          <cell r="CG321">
            <v>0</v>
          </cell>
          <cell r="CH321">
            <v>0</v>
          </cell>
          <cell r="CI321">
            <v>45</v>
          </cell>
          <cell r="CJ321">
            <v>0</v>
          </cell>
          <cell r="CK321">
            <v>15</v>
          </cell>
          <cell r="CL321">
            <v>1040</v>
          </cell>
          <cell r="CM321">
            <v>5</v>
          </cell>
          <cell r="CN321">
            <v>0</v>
          </cell>
          <cell r="CO321">
            <v>1100</v>
          </cell>
          <cell r="CP321">
            <v>490</v>
          </cell>
          <cell r="CQ321">
            <v>320</v>
          </cell>
          <cell r="CR321">
            <v>130</v>
          </cell>
          <cell r="CS321">
            <v>95</v>
          </cell>
          <cell r="CT321">
            <v>60</v>
          </cell>
          <cell r="CU321">
            <v>2405</v>
          </cell>
          <cell r="CV321">
            <v>2.2000000000000002</v>
          </cell>
          <cell r="CW321">
            <v>1100</v>
          </cell>
          <cell r="CX321">
            <v>450</v>
          </cell>
          <cell r="CY321">
            <v>0</v>
          </cell>
          <cell r="CZ321">
            <v>645</v>
          </cell>
        </row>
        <row r="322">
          <cell r="A322" t="str">
            <v>4620167.00</v>
          </cell>
          <cell r="B322" t="str">
            <v>0167.00</v>
          </cell>
          <cell r="C322" t="str">
            <v>Plateau Mont-Royal</v>
          </cell>
          <cell r="D322">
            <v>2030</v>
          </cell>
          <cell r="E322">
            <v>1295</v>
          </cell>
          <cell r="F322">
            <v>480</v>
          </cell>
          <cell r="G322">
            <v>35</v>
          </cell>
          <cell r="H322">
            <v>165</v>
          </cell>
          <cell r="I322">
            <v>45</v>
          </cell>
          <cell r="J322">
            <v>2030</v>
          </cell>
          <cell r="K322">
            <v>1640</v>
          </cell>
          <cell r="L322">
            <v>390</v>
          </cell>
          <cell r="M322">
            <v>580</v>
          </cell>
          <cell r="N322">
            <v>305</v>
          </cell>
          <cell r="O322">
            <v>110</v>
          </cell>
          <cell r="P322">
            <v>120</v>
          </cell>
          <cell r="Q322">
            <v>40</v>
          </cell>
          <cell r="R322">
            <v>575</v>
          </cell>
          <cell r="S322">
            <v>440</v>
          </cell>
          <cell r="T322">
            <v>215</v>
          </cell>
          <cell r="U322">
            <v>50</v>
          </cell>
          <cell r="V322">
            <v>160</v>
          </cell>
          <cell r="W322">
            <v>45</v>
          </cell>
          <cell r="X322">
            <v>75</v>
          </cell>
          <cell r="Y322">
            <v>40</v>
          </cell>
          <cell r="Z322">
            <v>225</v>
          </cell>
          <cell r="AA322">
            <v>180</v>
          </cell>
          <cell r="AB322">
            <v>45</v>
          </cell>
          <cell r="AC322">
            <v>10</v>
          </cell>
          <cell r="AD322">
            <v>30</v>
          </cell>
          <cell r="AE322">
            <v>0</v>
          </cell>
          <cell r="AF322">
            <v>135</v>
          </cell>
          <cell r="AG322">
            <v>120</v>
          </cell>
          <cell r="AH322">
            <v>70</v>
          </cell>
          <cell r="AI322">
            <v>35</v>
          </cell>
          <cell r="AJ322">
            <v>10</v>
          </cell>
          <cell r="AK322">
            <v>20</v>
          </cell>
          <cell r="AL322">
            <v>10</v>
          </cell>
          <cell r="AM322">
            <v>15</v>
          </cell>
          <cell r="AN322">
            <v>0</v>
          </cell>
          <cell r="AO322">
            <v>650</v>
          </cell>
          <cell r="AP322">
            <v>195</v>
          </cell>
          <cell r="AQ322">
            <v>225</v>
          </cell>
          <cell r="AR322">
            <v>80</v>
          </cell>
          <cell r="AS322">
            <v>80</v>
          </cell>
          <cell r="AT322">
            <v>70</v>
          </cell>
          <cell r="AU322">
            <v>1.1000000000000001</v>
          </cell>
          <cell r="AV322">
            <v>2450</v>
          </cell>
          <cell r="AW322">
            <v>780</v>
          </cell>
          <cell r="AX322">
            <v>65</v>
          </cell>
          <cell r="AY322">
            <v>235</v>
          </cell>
          <cell r="AZ322">
            <v>480</v>
          </cell>
          <cell r="BA322">
            <v>1670</v>
          </cell>
          <cell r="BB322">
            <v>2.9</v>
          </cell>
          <cell r="BC322">
            <v>140</v>
          </cell>
          <cell r="BD322">
            <v>80</v>
          </cell>
          <cell r="BE322">
            <v>10</v>
          </cell>
          <cell r="BF322">
            <v>20</v>
          </cell>
          <cell r="BG322">
            <v>55</v>
          </cell>
          <cell r="BH322">
            <v>60</v>
          </cell>
          <cell r="BI322">
            <v>1170</v>
          </cell>
          <cell r="BJ322">
            <v>5</v>
          </cell>
          <cell r="BK322">
            <v>5850</v>
          </cell>
          <cell r="BL322">
            <v>1.9</v>
          </cell>
          <cell r="BM322">
            <v>2223</v>
          </cell>
          <cell r="BN322">
            <v>1170</v>
          </cell>
          <cell r="BO322">
            <v>280</v>
          </cell>
          <cell r="BP322">
            <v>885</v>
          </cell>
          <cell r="BQ322">
            <v>0</v>
          </cell>
          <cell r="BR322">
            <v>1165</v>
          </cell>
          <cell r="BS322">
            <v>375</v>
          </cell>
          <cell r="BT322">
            <v>565</v>
          </cell>
          <cell r="BU322">
            <v>225</v>
          </cell>
          <cell r="BV322">
            <v>1165</v>
          </cell>
          <cell r="BW322">
            <v>740</v>
          </cell>
          <cell r="BX322">
            <v>245</v>
          </cell>
          <cell r="BY322">
            <v>75</v>
          </cell>
          <cell r="BZ322">
            <v>45</v>
          </cell>
          <cell r="CA322">
            <v>25</v>
          </cell>
          <cell r="CB322">
            <v>10</v>
          </cell>
          <cell r="CC322">
            <v>10</v>
          </cell>
          <cell r="CD322">
            <v>0</v>
          </cell>
          <cell r="CE322">
            <v>10</v>
          </cell>
          <cell r="CF322">
            <v>1170</v>
          </cell>
          <cell r="CG322">
            <v>0</v>
          </cell>
          <cell r="CH322">
            <v>5</v>
          </cell>
          <cell r="CI322">
            <v>15</v>
          </cell>
          <cell r="CJ322">
            <v>100</v>
          </cell>
          <cell r="CK322">
            <v>0</v>
          </cell>
          <cell r="CL322">
            <v>1030</v>
          </cell>
          <cell r="CM322">
            <v>20</v>
          </cell>
          <cell r="CN322">
            <v>0</v>
          </cell>
          <cell r="CO322">
            <v>1170</v>
          </cell>
          <cell r="CP322">
            <v>480</v>
          </cell>
          <cell r="CQ322">
            <v>370</v>
          </cell>
          <cell r="CR322">
            <v>160</v>
          </cell>
          <cell r="CS322">
            <v>130</v>
          </cell>
          <cell r="CT322">
            <v>20</v>
          </cell>
          <cell r="CU322">
            <v>2450</v>
          </cell>
          <cell r="CV322">
            <v>2.1</v>
          </cell>
          <cell r="CW322">
            <v>1165</v>
          </cell>
          <cell r="CX322">
            <v>555</v>
          </cell>
          <cell r="CY322">
            <v>10</v>
          </cell>
          <cell r="CZ322">
            <v>600</v>
          </cell>
        </row>
        <row r="323">
          <cell r="A323" t="str">
            <v>4620168.00</v>
          </cell>
          <cell r="B323" t="str">
            <v>0168.00</v>
          </cell>
          <cell r="C323" t="str">
            <v>Plateau Mont-Royal</v>
          </cell>
          <cell r="D323">
            <v>2065</v>
          </cell>
          <cell r="E323">
            <v>1195</v>
          </cell>
          <cell r="F323">
            <v>610</v>
          </cell>
          <cell r="G323">
            <v>45</v>
          </cell>
          <cell r="H323">
            <v>150</v>
          </cell>
          <cell r="I323">
            <v>55</v>
          </cell>
          <cell r="J323">
            <v>2065</v>
          </cell>
          <cell r="K323">
            <v>1700</v>
          </cell>
          <cell r="L323">
            <v>365</v>
          </cell>
          <cell r="M323">
            <v>560</v>
          </cell>
          <cell r="N323">
            <v>305</v>
          </cell>
          <cell r="O323">
            <v>110</v>
          </cell>
          <cell r="P323">
            <v>70</v>
          </cell>
          <cell r="Q323">
            <v>75</v>
          </cell>
          <cell r="R323">
            <v>565</v>
          </cell>
          <cell r="S323">
            <v>490</v>
          </cell>
          <cell r="T323">
            <v>280</v>
          </cell>
          <cell r="U323">
            <v>90</v>
          </cell>
          <cell r="V323">
            <v>190</v>
          </cell>
          <cell r="W323">
            <v>55</v>
          </cell>
          <cell r="X323">
            <v>60</v>
          </cell>
          <cell r="Y323">
            <v>75</v>
          </cell>
          <cell r="Z323">
            <v>205</v>
          </cell>
          <cell r="AA323">
            <v>160</v>
          </cell>
          <cell r="AB323">
            <v>45</v>
          </cell>
          <cell r="AC323">
            <v>30</v>
          </cell>
          <cell r="AD323">
            <v>10</v>
          </cell>
          <cell r="AE323">
            <v>0</v>
          </cell>
          <cell r="AF323">
            <v>75</v>
          </cell>
          <cell r="AG323">
            <v>70</v>
          </cell>
          <cell r="AH323">
            <v>45</v>
          </cell>
          <cell r="AI323">
            <v>20</v>
          </cell>
          <cell r="AJ323">
            <v>0</v>
          </cell>
          <cell r="AK323">
            <v>0</v>
          </cell>
          <cell r="AL323">
            <v>0</v>
          </cell>
          <cell r="AM323">
            <v>0</v>
          </cell>
          <cell r="AN323">
            <v>0</v>
          </cell>
          <cell r="AO323">
            <v>725</v>
          </cell>
          <cell r="AP323">
            <v>185</v>
          </cell>
          <cell r="AQ323">
            <v>335</v>
          </cell>
          <cell r="AR323">
            <v>80</v>
          </cell>
          <cell r="AS323">
            <v>75</v>
          </cell>
          <cell r="AT323">
            <v>50</v>
          </cell>
          <cell r="AU323">
            <v>1.3</v>
          </cell>
          <cell r="AV323">
            <v>2565</v>
          </cell>
          <cell r="AW323">
            <v>785</v>
          </cell>
          <cell r="AX323">
            <v>95</v>
          </cell>
          <cell r="AY323">
            <v>295</v>
          </cell>
          <cell r="AZ323">
            <v>395</v>
          </cell>
          <cell r="BA323">
            <v>1780</v>
          </cell>
          <cell r="BB323">
            <v>3.2</v>
          </cell>
          <cell r="BC323">
            <v>155</v>
          </cell>
          <cell r="BD323">
            <v>85</v>
          </cell>
          <cell r="BE323">
            <v>0</v>
          </cell>
          <cell r="BF323">
            <v>10</v>
          </cell>
          <cell r="BG323">
            <v>75</v>
          </cell>
          <cell r="BH323">
            <v>75</v>
          </cell>
          <cell r="BI323">
            <v>1080</v>
          </cell>
          <cell r="BJ323">
            <v>5.5</v>
          </cell>
          <cell r="BK323">
            <v>5940</v>
          </cell>
          <cell r="BL323">
            <v>2.2999999999999998</v>
          </cell>
          <cell r="BM323">
            <v>2484</v>
          </cell>
          <cell r="BN323">
            <v>1080</v>
          </cell>
          <cell r="BO323">
            <v>370</v>
          </cell>
          <cell r="BP323">
            <v>705</v>
          </cell>
          <cell r="BQ323">
            <v>0</v>
          </cell>
          <cell r="BR323">
            <v>1075</v>
          </cell>
          <cell r="BS323">
            <v>475</v>
          </cell>
          <cell r="BT323">
            <v>445</v>
          </cell>
          <cell r="BU323">
            <v>155</v>
          </cell>
          <cell r="BV323">
            <v>1075</v>
          </cell>
          <cell r="BW323">
            <v>745</v>
          </cell>
          <cell r="BX323">
            <v>180</v>
          </cell>
          <cell r="BY323">
            <v>50</v>
          </cell>
          <cell r="BZ323">
            <v>25</v>
          </cell>
          <cell r="CA323">
            <v>0</v>
          </cell>
          <cell r="CB323">
            <v>0</v>
          </cell>
          <cell r="CC323">
            <v>45</v>
          </cell>
          <cell r="CD323">
            <v>10</v>
          </cell>
          <cell r="CE323">
            <v>25</v>
          </cell>
          <cell r="CF323">
            <v>1080</v>
          </cell>
          <cell r="CG323">
            <v>0</v>
          </cell>
          <cell r="CH323">
            <v>0</v>
          </cell>
          <cell r="CI323">
            <v>35</v>
          </cell>
          <cell r="CJ323">
            <v>100</v>
          </cell>
          <cell r="CK323">
            <v>30</v>
          </cell>
          <cell r="CL323">
            <v>910</v>
          </cell>
          <cell r="CM323">
            <v>5</v>
          </cell>
          <cell r="CN323">
            <v>0</v>
          </cell>
          <cell r="CO323">
            <v>1075</v>
          </cell>
          <cell r="CP323">
            <v>375</v>
          </cell>
          <cell r="CQ323">
            <v>370</v>
          </cell>
          <cell r="CR323">
            <v>145</v>
          </cell>
          <cell r="CS323">
            <v>140</v>
          </cell>
          <cell r="CT323">
            <v>55</v>
          </cell>
          <cell r="CU323">
            <v>2565</v>
          </cell>
          <cell r="CV323">
            <v>2.4</v>
          </cell>
          <cell r="CW323">
            <v>1075</v>
          </cell>
          <cell r="CX323">
            <v>540</v>
          </cell>
          <cell r="CY323">
            <v>10</v>
          </cell>
          <cell r="CZ323">
            <v>525</v>
          </cell>
        </row>
        <row r="324">
          <cell r="A324" t="str">
            <v>4620169.00</v>
          </cell>
          <cell r="B324" t="str">
            <v>0169.00</v>
          </cell>
          <cell r="C324" t="str">
            <v>Plateau Mont-Royal</v>
          </cell>
          <cell r="D324">
            <v>1880</v>
          </cell>
          <cell r="E324">
            <v>1070</v>
          </cell>
          <cell r="F324">
            <v>510</v>
          </cell>
          <cell r="G324">
            <v>45</v>
          </cell>
          <cell r="H324">
            <v>180</v>
          </cell>
          <cell r="I324">
            <v>80</v>
          </cell>
          <cell r="J324">
            <v>1880</v>
          </cell>
          <cell r="K324">
            <v>1515</v>
          </cell>
          <cell r="L324">
            <v>370</v>
          </cell>
          <cell r="M324">
            <v>535</v>
          </cell>
          <cell r="N324">
            <v>285</v>
          </cell>
          <cell r="O324">
            <v>150</v>
          </cell>
          <cell r="P324">
            <v>75</v>
          </cell>
          <cell r="Q324">
            <v>25</v>
          </cell>
          <cell r="R324">
            <v>540</v>
          </cell>
          <cell r="S324">
            <v>425</v>
          </cell>
          <cell r="T324">
            <v>235</v>
          </cell>
          <cell r="U324">
            <v>90</v>
          </cell>
          <cell r="V324">
            <v>140</v>
          </cell>
          <cell r="W324">
            <v>75</v>
          </cell>
          <cell r="X324">
            <v>50</v>
          </cell>
          <cell r="Y324">
            <v>20</v>
          </cell>
          <cell r="Z324">
            <v>190</v>
          </cell>
          <cell r="AA324">
            <v>110</v>
          </cell>
          <cell r="AB324">
            <v>85</v>
          </cell>
          <cell r="AC324">
            <v>55</v>
          </cell>
          <cell r="AD324">
            <v>25</v>
          </cell>
          <cell r="AE324">
            <v>10</v>
          </cell>
          <cell r="AF324">
            <v>110</v>
          </cell>
          <cell r="AG324">
            <v>105</v>
          </cell>
          <cell r="AH324">
            <v>80</v>
          </cell>
          <cell r="AI324">
            <v>20</v>
          </cell>
          <cell r="AJ324">
            <v>0</v>
          </cell>
          <cell r="AK324">
            <v>10</v>
          </cell>
          <cell r="AL324">
            <v>10</v>
          </cell>
          <cell r="AM324">
            <v>0</v>
          </cell>
          <cell r="AN324">
            <v>0</v>
          </cell>
          <cell r="AO324">
            <v>495</v>
          </cell>
          <cell r="AP324">
            <v>125</v>
          </cell>
          <cell r="AQ324">
            <v>220</v>
          </cell>
          <cell r="AR324">
            <v>25</v>
          </cell>
          <cell r="AS324">
            <v>65</v>
          </cell>
          <cell r="AT324">
            <v>60</v>
          </cell>
          <cell r="AU324">
            <v>0.9</v>
          </cell>
          <cell r="AV324">
            <v>2135</v>
          </cell>
          <cell r="AW324">
            <v>675</v>
          </cell>
          <cell r="AX324">
            <v>95</v>
          </cell>
          <cell r="AY324">
            <v>255</v>
          </cell>
          <cell r="AZ324">
            <v>330</v>
          </cell>
          <cell r="BA324">
            <v>1460</v>
          </cell>
          <cell r="BB324">
            <v>2.7</v>
          </cell>
          <cell r="BC324">
            <v>225</v>
          </cell>
          <cell r="BD324">
            <v>85</v>
          </cell>
          <cell r="BE324">
            <v>20</v>
          </cell>
          <cell r="BF324">
            <v>0</v>
          </cell>
          <cell r="BG324">
            <v>60</v>
          </cell>
          <cell r="BH324">
            <v>140</v>
          </cell>
          <cell r="BI324">
            <v>975</v>
          </cell>
          <cell r="BJ324">
            <v>5.7</v>
          </cell>
          <cell r="BK324">
            <v>5557.5</v>
          </cell>
          <cell r="BL324">
            <v>2.2000000000000002</v>
          </cell>
          <cell r="BM324">
            <v>2145</v>
          </cell>
          <cell r="BN324">
            <v>975</v>
          </cell>
          <cell r="BO324">
            <v>375</v>
          </cell>
          <cell r="BP324">
            <v>600</v>
          </cell>
          <cell r="BQ324">
            <v>0</v>
          </cell>
          <cell r="BR324">
            <v>975</v>
          </cell>
          <cell r="BS324">
            <v>440</v>
          </cell>
          <cell r="BT324">
            <v>390</v>
          </cell>
          <cell r="BU324">
            <v>145</v>
          </cell>
          <cell r="BV324">
            <v>975</v>
          </cell>
          <cell r="BW324">
            <v>735</v>
          </cell>
          <cell r="BX324">
            <v>155</v>
          </cell>
          <cell r="BY324">
            <v>35</v>
          </cell>
          <cell r="BZ324">
            <v>20</v>
          </cell>
          <cell r="CA324">
            <v>0</v>
          </cell>
          <cell r="CB324">
            <v>15</v>
          </cell>
          <cell r="CC324">
            <v>0</v>
          </cell>
          <cell r="CD324">
            <v>15</v>
          </cell>
          <cell r="CE324">
            <v>0</v>
          </cell>
          <cell r="CF324">
            <v>980</v>
          </cell>
          <cell r="CG324">
            <v>0</v>
          </cell>
          <cell r="CH324">
            <v>5</v>
          </cell>
          <cell r="CI324">
            <v>90</v>
          </cell>
          <cell r="CJ324">
            <v>15</v>
          </cell>
          <cell r="CK324">
            <v>0</v>
          </cell>
          <cell r="CL324">
            <v>855</v>
          </cell>
          <cell r="CM324">
            <v>5</v>
          </cell>
          <cell r="CN324">
            <v>0</v>
          </cell>
          <cell r="CO324">
            <v>980</v>
          </cell>
          <cell r="CP324">
            <v>325</v>
          </cell>
          <cell r="CQ324">
            <v>345</v>
          </cell>
          <cell r="CR324">
            <v>175</v>
          </cell>
          <cell r="CS324">
            <v>125</v>
          </cell>
          <cell r="CT324">
            <v>20</v>
          </cell>
          <cell r="CU324">
            <v>2135</v>
          </cell>
          <cell r="CV324">
            <v>2.2000000000000002</v>
          </cell>
          <cell r="CW324">
            <v>980</v>
          </cell>
          <cell r="CX324">
            <v>510</v>
          </cell>
          <cell r="CY324">
            <v>10</v>
          </cell>
          <cell r="CZ324">
            <v>450</v>
          </cell>
        </row>
        <row r="325">
          <cell r="A325" t="str">
            <v>4620170.00</v>
          </cell>
          <cell r="B325" t="str">
            <v>0170.00</v>
          </cell>
          <cell r="C325" t="str">
            <v>Plateau Mont-Royal</v>
          </cell>
          <cell r="D325">
            <v>1835</v>
          </cell>
          <cell r="E325">
            <v>1060</v>
          </cell>
          <cell r="F325">
            <v>510</v>
          </cell>
          <cell r="G325">
            <v>55</v>
          </cell>
          <cell r="H325">
            <v>160</v>
          </cell>
          <cell r="I325">
            <v>60</v>
          </cell>
          <cell r="J325">
            <v>1840</v>
          </cell>
          <cell r="K325">
            <v>1530</v>
          </cell>
          <cell r="L325">
            <v>305</v>
          </cell>
          <cell r="M325">
            <v>480</v>
          </cell>
          <cell r="N325">
            <v>245</v>
          </cell>
          <cell r="O325">
            <v>130</v>
          </cell>
          <cell r="P325">
            <v>80</v>
          </cell>
          <cell r="Q325">
            <v>25</v>
          </cell>
          <cell r="R325">
            <v>485</v>
          </cell>
          <cell r="S325">
            <v>390</v>
          </cell>
          <cell r="T325">
            <v>260</v>
          </cell>
          <cell r="U325">
            <v>85</v>
          </cell>
          <cell r="V325">
            <v>175</v>
          </cell>
          <cell r="W325">
            <v>90</v>
          </cell>
          <cell r="X325">
            <v>55</v>
          </cell>
          <cell r="Y325">
            <v>25</v>
          </cell>
          <cell r="Z325">
            <v>125</v>
          </cell>
          <cell r="AA325">
            <v>90</v>
          </cell>
          <cell r="AB325">
            <v>40</v>
          </cell>
          <cell r="AC325">
            <v>15</v>
          </cell>
          <cell r="AD325">
            <v>25</v>
          </cell>
          <cell r="AE325">
            <v>0</v>
          </cell>
          <cell r="AF325">
            <v>95</v>
          </cell>
          <cell r="AG325">
            <v>65</v>
          </cell>
          <cell r="AH325">
            <v>45</v>
          </cell>
          <cell r="AI325">
            <v>20</v>
          </cell>
          <cell r="AJ325">
            <v>0</v>
          </cell>
          <cell r="AK325">
            <v>30</v>
          </cell>
          <cell r="AL325">
            <v>30</v>
          </cell>
          <cell r="AM325">
            <v>0</v>
          </cell>
          <cell r="AN325">
            <v>0</v>
          </cell>
          <cell r="AO325">
            <v>485</v>
          </cell>
          <cell r="AP325">
            <v>75</v>
          </cell>
          <cell r="AQ325">
            <v>180</v>
          </cell>
          <cell r="AR325">
            <v>40</v>
          </cell>
          <cell r="AS325">
            <v>130</v>
          </cell>
          <cell r="AT325">
            <v>60</v>
          </cell>
          <cell r="AU325">
            <v>1</v>
          </cell>
          <cell r="AV325">
            <v>2115</v>
          </cell>
          <cell r="AW325">
            <v>760</v>
          </cell>
          <cell r="AX325">
            <v>10</v>
          </cell>
          <cell r="AY325">
            <v>345</v>
          </cell>
          <cell r="AZ325">
            <v>405</v>
          </cell>
          <cell r="BA325">
            <v>1360</v>
          </cell>
          <cell r="BB325">
            <v>2.8</v>
          </cell>
          <cell r="BC325">
            <v>210</v>
          </cell>
          <cell r="BD325">
            <v>85</v>
          </cell>
          <cell r="BE325">
            <v>10</v>
          </cell>
          <cell r="BF325">
            <v>45</v>
          </cell>
          <cell r="BG325">
            <v>30</v>
          </cell>
          <cell r="BH325">
            <v>125</v>
          </cell>
          <cell r="BI325">
            <v>1030</v>
          </cell>
          <cell r="BJ325">
            <v>5</v>
          </cell>
          <cell r="BK325">
            <v>5150</v>
          </cell>
          <cell r="BL325">
            <v>2</v>
          </cell>
          <cell r="BM325">
            <v>2060</v>
          </cell>
          <cell r="BN325">
            <v>1030</v>
          </cell>
          <cell r="BO325">
            <v>295</v>
          </cell>
          <cell r="BP325">
            <v>735</v>
          </cell>
          <cell r="BQ325">
            <v>0</v>
          </cell>
          <cell r="BR325">
            <v>1030</v>
          </cell>
          <cell r="BS325">
            <v>530</v>
          </cell>
          <cell r="BT325">
            <v>335</v>
          </cell>
          <cell r="BU325">
            <v>165</v>
          </cell>
          <cell r="BV325">
            <v>1025</v>
          </cell>
          <cell r="BW325">
            <v>570</v>
          </cell>
          <cell r="BX325">
            <v>225</v>
          </cell>
          <cell r="BY325">
            <v>115</v>
          </cell>
          <cell r="BZ325">
            <v>40</v>
          </cell>
          <cell r="CA325">
            <v>45</v>
          </cell>
          <cell r="CB325">
            <v>10</v>
          </cell>
          <cell r="CC325">
            <v>0</v>
          </cell>
          <cell r="CD325">
            <v>10</v>
          </cell>
          <cell r="CE325">
            <v>15</v>
          </cell>
          <cell r="CF325">
            <v>1030</v>
          </cell>
          <cell r="CG325">
            <v>0</v>
          </cell>
          <cell r="CH325">
            <v>0</v>
          </cell>
          <cell r="CI325">
            <v>0</v>
          </cell>
          <cell r="CJ325">
            <v>125</v>
          </cell>
          <cell r="CK325">
            <v>0</v>
          </cell>
          <cell r="CL325">
            <v>875</v>
          </cell>
          <cell r="CM325">
            <v>15</v>
          </cell>
          <cell r="CN325">
            <v>0</v>
          </cell>
          <cell r="CO325">
            <v>1030</v>
          </cell>
          <cell r="CP325">
            <v>410</v>
          </cell>
          <cell r="CQ325">
            <v>340</v>
          </cell>
          <cell r="CR325">
            <v>145</v>
          </cell>
          <cell r="CS325">
            <v>125</v>
          </cell>
          <cell r="CT325">
            <v>10</v>
          </cell>
          <cell r="CU325">
            <v>2115</v>
          </cell>
          <cell r="CV325">
            <v>2.1</v>
          </cell>
          <cell r="CW325">
            <v>1030</v>
          </cell>
          <cell r="CX325">
            <v>465</v>
          </cell>
          <cell r="CY325">
            <v>10</v>
          </cell>
          <cell r="CZ325">
            <v>555</v>
          </cell>
        </row>
        <row r="326">
          <cell r="A326" t="str">
            <v>4620171.00</v>
          </cell>
          <cell r="B326" t="str">
            <v>0171.00</v>
          </cell>
          <cell r="C326" t="str">
            <v>Plateau Mont-Royal</v>
          </cell>
          <cell r="D326">
            <v>4005</v>
          </cell>
          <cell r="E326">
            <v>2595</v>
          </cell>
          <cell r="F326">
            <v>645</v>
          </cell>
          <cell r="G326">
            <v>100</v>
          </cell>
          <cell r="H326">
            <v>435</v>
          </cell>
          <cell r="I326">
            <v>230</v>
          </cell>
          <cell r="J326">
            <v>4005</v>
          </cell>
          <cell r="K326">
            <v>3200</v>
          </cell>
          <cell r="L326">
            <v>800</v>
          </cell>
          <cell r="M326">
            <v>935</v>
          </cell>
          <cell r="N326">
            <v>610</v>
          </cell>
          <cell r="O326">
            <v>210</v>
          </cell>
          <cell r="P326">
            <v>95</v>
          </cell>
          <cell r="Q326">
            <v>25</v>
          </cell>
          <cell r="R326">
            <v>940</v>
          </cell>
          <cell r="S326">
            <v>725</v>
          </cell>
          <cell r="T326">
            <v>320</v>
          </cell>
          <cell r="U326">
            <v>170</v>
          </cell>
          <cell r="V326">
            <v>150</v>
          </cell>
          <cell r="W326">
            <v>90</v>
          </cell>
          <cell r="X326">
            <v>50</v>
          </cell>
          <cell r="Y326">
            <v>10</v>
          </cell>
          <cell r="Z326">
            <v>405</v>
          </cell>
          <cell r="AA326">
            <v>300</v>
          </cell>
          <cell r="AB326">
            <v>105</v>
          </cell>
          <cell r="AC326">
            <v>65</v>
          </cell>
          <cell r="AD326">
            <v>40</v>
          </cell>
          <cell r="AE326">
            <v>10</v>
          </cell>
          <cell r="AF326">
            <v>215</v>
          </cell>
          <cell r="AG326">
            <v>185</v>
          </cell>
          <cell r="AH326">
            <v>115</v>
          </cell>
          <cell r="AI326">
            <v>50</v>
          </cell>
          <cell r="AJ326">
            <v>20</v>
          </cell>
          <cell r="AK326">
            <v>25</v>
          </cell>
          <cell r="AL326">
            <v>25</v>
          </cell>
          <cell r="AM326">
            <v>0</v>
          </cell>
          <cell r="AN326">
            <v>0</v>
          </cell>
          <cell r="AO326">
            <v>700</v>
          </cell>
          <cell r="AP326">
            <v>180</v>
          </cell>
          <cell r="AQ326">
            <v>225</v>
          </cell>
          <cell r="AR326">
            <v>60</v>
          </cell>
          <cell r="AS326">
            <v>95</v>
          </cell>
          <cell r="AT326">
            <v>145</v>
          </cell>
          <cell r="AU326">
            <v>0.8</v>
          </cell>
          <cell r="AV326">
            <v>4035</v>
          </cell>
          <cell r="AW326">
            <v>1670</v>
          </cell>
          <cell r="AX326">
            <v>70</v>
          </cell>
          <cell r="AY326">
            <v>375</v>
          </cell>
          <cell r="AZ326">
            <v>1225</v>
          </cell>
          <cell r="BA326">
            <v>2365</v>
          </cell>
          <cell r="BB326">
            <v>2.5</v>
          </cell>
          <cell r="BC326">
            <v>365</v>
          </cell>
          <cell r="BD326">
            <v>185</v>
          </cell>
          <cell r="BE326">
            <v>0</v>
          </cell>
          <cell r="BF326">
            <v>0</v>
          </cell>
          <cell r="BG326">
            <v>170</v>
          </cell>
          <cell r="BH326">
            <v>180</v>
          </cell>
          <cell r="BI326">
            <v>2335</v>
          </cell>
          <cell r="BJ326">
            <v>4.0999999999999996</v>
          </cell>
          <cell r="BK326">
            <v>9573.5</v>
          </cell>
          <cell r="BL326">
            <v>1.6</v>
          </cell>
          <cell r="BM326">
            <v>3736</v>
          </cell>
          <cell r="BN326">
            <v>2330</v>
          </cell>
          <cell r="BO326">
            <v>755</v>
          </cell>
          <cell r="BP326">
            <v>1580</v>
          </cell>
          <cell r="BQ326">
            <v>0</v>
          </cell>
          <cell r="BR326">
            <v>2335</v>
          </cell>
          <cell r="BS326">
            <v>1475</v>
          </cell>
          <cell r="BT326">
            <v>625</v>
          </cell>
          <cell r="BU326">
            <v>235</v>
          </cell>
          <cell r="BV326">
            <v>2330</v>
          </cell>
          <cell r="BW326">
            <v>770</v>
          </cell>
          <cell r="BX326">
            <v>245</v>
          </cell>
          <cell r="BY326">
            <v>190</v>
          </cell>
          <cell r="BZ326">
            <v>160</v>
          </cell>
          <cell r="CA326">
            <v>165</v>
          </cell>
          <cell r="CB326">
            <v>150</v>
          </cell>
          <cell r="CC326">
            <v>220</v>
          </cell>
          <cell r="CD326">
            <v>280</v>
          </cell>
          <cell r="CE326">
            <v>155</v>
          </cell>
          <cell r="CF326">
            <v>2335</v>
          </cell>
          <cell r="CG326">
            <v>5</v>
          </cell>
          <cell r="CH326">
            <v>10</v>
          </cell>
          <cell r="CI326">
            <v>15</v>
          </cell>
          <cell r="CJ326">
            <v>105</v>
          </cell>
          <cell r="CK326">
            <v>285</v>
          </cell>
          <cell r="CL326">
            <v>1910</v>
          </cell>
          <cell r="CM326">
            <v>10</v>
          </cell>
          <cell r="CN326">
            <v>5</v>
          </cell>
          <cell r="CO326">
            <v>2340</v>
          </cell>
          <cell r="CP326">
            <v>1225</v>
          </cell>
          <cell r="CQ326">
            <v>720</v>
          </cell>
          <cell r="CR326">
            <v>250</v>
          </cell>
          <cell r="CS326">
            <v>135</v>
          </cell>
          <cell r="CT326">
            <v>10</v>
          </cell>
          <cell r="CU326">
            <v>4045</v>
          </cell>
          <cell r="CV326">
            <v>1.7</v>
          </cell>
          <cell r="CW326">
            <v>2330</v>
          </cell>
          <cell r="CX326">
            <v>915</v>
          </cell>
          <cell r="CY326">
            <v>15</v>
          </cell>
          <cell r="CZ326">
            <v>1410</v>
          </cell>
        </row>
        <row r="327">
          <cell r="A327" t="str">
            <v>4620172.00</v>
          </cell>
          <cell r="B327" t="str">
            <v>0172.00</v>
          </cell>
          <cell r="C327" t="str">
            <v>Plateau Mont-Royal</v>
          </cell>
          <cell r="D327">
            <v>1890</v>
          </cell>
          <cell r="E327">
            <v>1425</v>
          </cell>
          <cell r="F327">
            <v>230</v>
          </cell>
          <cell r="G327">
            <v>45</v>
          </cell>
          <cell r="H327">
            <v>160</v>
          </cell>
          <cell r="I327">
            <v>35</v>
          </cell>
          <cell r="J327">
            <v>1890</v>
          </cell>
          <cell r="K327">
            <v>1460</v>
          </cell>
          <cell r="L327">
            <v>425</v>
          </cell>
          <cell r="M327">
            <v>375</v>
          </cell>
          <cell r="N327">
            <v>285</v>
          </cell>
          <cell r="O327">
            <v>45</v>
          </cell>
          <cell r="P327">
            <v>30</v>
          </cell>
          <cell r="Q327">
            <v>10</v>
          </cell>
          <cell r="R327">
            <v>375</v>
          </cell>
          <cell r="S327">
            <v>330</v>
          </cell>
          <cell r="T327">
            <v>115</v>
          </cell>
          <cell r="U327">
            <v>60</v>
          </cell>
          <cell r="V327">
            <v>55</v>
          </cell>
          <cell r="W327">
            <v>35</v>
          </cell>
          <cell r="X327">
            <v>25</v>
          </cell>
          <cell r="Y327">
            <v>0</v>
          </cell>
          <cell r="Z327">
            <v>215</v>
          </cell>
          <cell r="AA327">
            <v>205</v>
          </cell>
          <cell r="AB327">
            <v>0</v>
          </cell>
          <cell r="AC327">
            <v>0</v>
          </cell>
          <cell r="AD327">
            <v>10</v>
          </cell>
          <cell r="AE327">
            <v>0</v>
          </cell>
          <cell r="AF327">
            <v>45</v>
          </cell>
          <cell r="AG327">
            <v>35</v>
          </cell>
          <cell r="AH327">
            <v>15</v>
          </cell>
          <cell r="AI327">
            <v>20</v>
          </cell>
          <cell r="AJ327">
            <v>0</v>
          </cell>
          <cell r="AK327">
            <v>15</v>
          </cell>
          <cell r="AL327">
            <v>10</v>
          </cell>
          <cell r="AM327">
            <v>0</v>
          </cell>
          <cell r="AN327">
            <v>10</v>
          </cell>
          <cell r="AO327">
            <v>185</v>
          </cell>
          <cell r="AP327">
            <v>65</v>
          </cell>
          <cell r="AQ327">
            <v>85</v>
          </cell>
          <cell r="AR327">
            <v>0</v>
          </cell>
          <cell r="AS327">
            <v>20</v>
          </cell>
          <cell r="AT327">
            <v>15</v>
          </cell>
          <cell r="AU327">
            <v>0.5</v>
          </cell>
          <cell r="AV327">
            <v>2040</v>
          </cell>
          <cell r="AW327">
            <v>1150</v>
          </cell>
          <cell r="AX327">
            <v>75</v>
          </cell>
          <cell r="AY327">
            <v>245</v>
          </cell>
          <cell r="AZ327">
            <v>840</v>
          </cell>
          <cell r="BA327">
            <v>890</v>
          </cell>
          <cell r="BB327">
            <v>2.4</v>
          </cell>
          <cell r="BC327">
            <v>95</v>
          </cell>
          <cell r="BD327">
            <v>70</v>
          </cell>
          <cell r="BE327">
            <v>0</v>
          </cell>
          <cell r="BF327">
            <v>0</v>
          </cell>
          <cell r="BG327">
            <v>70</v>
          </cell>
          <cell r="BH327">
            <v>25</v>
          </cell>
          <cell r="BI327">
            <v>1330</v>
          </cell>
          <cell r="BJ327">
            <v>3.7</v>
          </cell>
          <cell r="BK327">
            <v>4921</v>
          </cell>
          <cell r="BL327">
            <v>1.2</v>
          </cell>
          <cell r="BM327">
            <v>1596</v>
          </cell>
          <cell r="BN327">
            <v>1330</v>
          </cell>
          <cell r="BO327">
            <v>245</v>
          </cell>
          <cell r="BP327">
            <v>1085</v>
          </cell>
          <cell r="BQ327">
            <v>0</v>
          </cell>
          <cell r="BR327">
            <v>1335</v>
          </cell>
          <cell r="BS327">
            <v>695</v>
          </cell>
          <cell r="BT327">
            <v>445</v>
          </cell>
          <cell r="BU327">
            <v>190</v>
          </cell>
          <cell r="BV327">
            <v>1335</v>
          </cell>
          <cell r="BW327">
            <v>475</v>
          </cell>
          <cell r="BX327">
            <v>250</v>
          </cell>
          <cell r="BY327">
            <v>270</v>
          </cell>
          <cell r="BZ327">
            <v>120</v>
          </cell>
          <cell r="CA327">
            <v>40</v>
          </cell>
          <cell r="CB327">
            <v>10</v>
          </cell>
          <cell r="CC327">
            <v>20</v>
          </cell>
          <cell r="CD327">
            <v>20</v>
          </cell>
          <cell r="CE327">
            <v>135</v>
          </cell>
          <cell r="CF327">
            <v>1330</v>
          </cell>
          <cell r="CG327">
            <v>5</v>
          </cell>
          <cell r="CH327">
            <v>0</v>
          </cell>
          <cell r="CI327">
            <v>5</v>
          </cell>
          <cell r="CJ327">
            <v>5</v>
          </cell>
          <cell r="CK327">
            <v>5</v>
          </cell>
          <cell r="CL327">
            <v>1315</v>
          </cell>
          <cell r="CM327">
            <v>5</v>
          </cell>
          <cell r="CN327">
            <v>0</v>
          </cell>
          <cell r="CO327">
            <v>1335</v>
          </cell>
          <cell r="CP327">
            <v>840</v>
          </cell>
          <cell r="CQ327">
            <v>350</v>
          </cell>
          <cell r="CR327">
            <v>90</v>
          </cell>
          <cell r="CS327">
            <v>50</v>
          </cell>
          <cell r="CT327">
            <v>0</v>
          </cell>
          <cell r="CU327">
            <v>2045</v>
          </cell>
          <cell r="CV327">
            <v>1.5</v>
          </cell>
          <cell r="CW327">
            <v>1335</v>
          </cell>
          <cell r="CX327">
            <v>375</v>
          </cell>
          <cell r="CY327">
            <v>0</v>
          </cell>
          <cell r="CZ327">
            <v>955</v>
          </cell>
        </row>
        <row r="328">
          <cell r="A328" t="str">
            <v>4620173.00</v>
          </cell>
          <cell r="B328" t="str">
            <v>0173.00</v>
          </cell>
          <cell r="C328" t="str">
            <v>Plateau Mont-Royal</v>
          </cell>
          <cell r="D328">
            <v>1650</v>
          </cell>
          <cell r="E328">
            <v>1200</v>
          </cell>
          <cell r="F328">
            <v>250</v>
          </cell>
          <cell r="G328">
            <v>40</v>
          </cell>
          <cell r="H328">
            <v>115</v>
          </cell>
          <cell r="I328">
            <v>45</v>
          </cell>
          <cell r="J328">
            <v>1645</v>
          </cell>
          <cell r="K328">
            <v>1235</v>
          </cell>
          <cell r="L328">
            <v>410</v>
          </cell>
          <cell r="M328">
            <v>420</v>
          </cell>
          <cell r="N328">
            <v>300</v>
          </cell>
          <cell r="O328">
            <v>85</v>
          </cell>
          <cell r="P328">
            <v>25</v>
          </cell>
          <cell r="Q328">
            <v>15</v>
          </cell>
          <cell r="R328">
            <v>420</v>
          </cell>
          <cell r="S328">
            <v>345</v>
          </cell>
          <cell r="T328">
            <v>145</v>
          </cell>
          <cell r="U328">
            <v>80</v>
          </cell>
          <cell r="V328">
            <v>60</v>
          </cell>
          <cell r="W328">
            <v>30</v>
          </cell>
          <cell r="X328">
            <v>20</v>
          </cell>
          <cell r="Y328">
            <v>15</v>
          </cell>
          <cell r="Z328">
            <v>200</v>
          </cell>
          <cell r="AA328">
            <v>155</v>
          </cell>
          <cell r="AB328">
            <v>45</v>
          </cell>
          <cell r="AC328">
            <v>50</v>
          </cell>
          <cell r="AD328">
            <v>0</v>
          </cell>
          <cell r="AE328">
            <v>0</v>
          </cell>
          <cell r="AF328">
            <v>75</v>
          </cell>
          <cell r="AG328">
            <v>50</v>
          </cell>
          <cell r="AH328">
            <v>50</v>
          </cell>
          <cell r="AI328">
            <v>10</v>
          </cell>
          <cell r="AJ328">
            <v>0</v>
          </cell>
          <cell r="AK328">
            <v>20</v>
          </cell>
          <cell r="AL328">
            <v>10</v>
          </cell>
          <cell r="AM328">
            <v>10</v>
          </cell>
          <cell r="AN328">
            <v>0</v>
          </cell>
          <cell r="AO328">
            <v>240</v>
          </cell>
          <cell r="AP328">
            <v>85</v>
          </cell>
          <cell r="AQ328">
            <v>70</v>
          </cell>
          <cell r="AR328">
            <v>10</v>
          </cell>
          <cell r="AS328">
            <v>40</v>
          </cell>
          <cell r="AT328">
            <v>30</v>
          </cell>
          <cell r="AU328">
            <v>0.6</v>
          </cell>
          <cell r="AV328">
            <v>1760</v>
          </cell>
          <cell r="AW328">
            <v>750</v>
          </cell>
          <cell r="AX328">
            <v>30</v>
          </cell>
          <cell r="AY328">
            <v>175</v>
          </cell>
          <cell r="AZ328">
            <v>550</v>
          </cell>
          <cell r="BA328">
            <v>1005</v>
          </cell>
          <cell r="BB328">
            <v>2.4</v>
          </cell>
          <cell r="BC328">
            <v>135</v>
          </cell>
          <cell r="BD328">
            <v>35</v>
          </cell>
          <cell r="BE328">
            <v>0</v>
          </cell>
          <cell r="BF328">
            <v>0</v>
          </cell>
          <cell r="BG328">
            <v>35</v>
          </cell>
          <cell r="BH328">
            <v>110</v>
          </cell>
          <cell r="BI328">
            <v>1045</v>
          </cell>
          <cell r="BJ328">
            <v>4.4000000000000004</v>
          </cell>
          <cell r="BK328">
            <v>4598</v>
          </cell>
          <cell r="BL328">
            <v>1.6</v>
          </cell>
          <cell r="BM328">
            <v>1672</v>
          </cell>
          <cell r="BN328">
            <v>1045</v>
          </cell>
          <cell r="BO328">
            <v>300</v>
          </cell>
          <cell r="BP328">
            <v>745</v>
          </cell>
          <cell r="BQ328">
            <v>0</v>
          </cell>
          <cell r="BR328">
            <v>1045</v>
          </cell>
          <cell r="BS328">
            <v>555</v>
          </cell>
          <cell r="BT328">
            <v>340</v>
          </cell>
          <cell r="BU328">
            <v>150</v>
          </cell>
          <cell r="BV328">
            <v>1045</v>
          </cell>
          <cell r="BW328">
            <v>400</v>
          </cell>
          <cell r="BX328">
            <v>250</v>
          </cell>
          <cell r="BY328">
            <v>125</v>
          </cell>
          <cell r="BZ328">
            <v>75</v>
          </cell>
          <cell r="CA328">
            <v>55</v>
          </cell>
          <cell r="CB328">
            <v>20</v>
          </cell>
          <cell r="CC328">
            <v>0</v>
          </cell>
          <cell r="CD328">
            <v>10</v>
          </cell>
          <cell r="CE328">
            <v>105</v>
          </cell>
          <cell r="CF328">
            <v>1050</v>
          </cell>
          <cell r="CG328">
            <v>0</v>
          </cell>
          <cell r="CH328">
            <v>0</v>
          </cell>
          <cell r="CI328">
            <v>5</v>
          </cell>
          <cell r="CJ328">
            <v>45</v>
          </cell>
          <cell r="CK328">
            <v>50</v>
          </cell>
          <cell r="CL328">
            <v>945</v>
          </cell>
          <cell r="CM328">
            <v>0</v>
          </cell>
          <cell r="CN328">
            <v>0</v>
          </cell>
          <cell r="CO328">
            <v>1050</v>
          </cell>
          <cell r="CP328">
            <v>560</v>
          </cell>
          <cell r="CQ328">
            <v>340</v>
          </cell>
          <cell r="CR328">
            <v>95</v>
          </cell>
          <cell r="CS328">
            <v>50</v>
          </cell>
          <cell r="CT328">
            <v>5</v>
          </cell>
          <cell r="CU328">
            <v>1760</v>
          </cell>
          <cell r="CV328">
            <v>1.7</v>
          </cell>
          <cell r="CW328">
            <v>1045</v>
          </cell>
          <cell r="CX328">
            <v>420</v>
          </cell>
          <cell r="CY328">
            <v>0</v>
          </cell>
          <cell r="CZ328">
            <v>630</v>
          </cell>
        </row>
        <row r="329">
          <cell r="A329" t="str">
            <v>4620174.00</v>
          </cell>
          <cell r="B329" t="str">
            <v>0174.00</v>
          </cell>
          <cell r="C329" t="str">
            <v>Plateau Mont-Royal</v>
          </cell>
          <cell r="D329">
            <v>1500</v>
          </cell>
          <cell r="E329">
            <v>1050</v>
          </cell>
          <cell r="F329">
            <v>225</v>
          </cell>
          <cell r="G329">
            <v>35</v>
          </cell>
          <cell r="H329">
            <v>140</v>
          </cell>
          <cell r="I329">
            <v>50</v>
          </cell>
          <cell r="J329">
            <v>1500</v>
          </cell>
          <cell r="K329">
            <v>1115</v>
          </cell>
          <cell r="L329">
            <v>380</v>
          </cell>
          <cell r="M329">
            <v>350</v>
          </cell>
          <cell r="N329">
            <v>230</v>
          </cell>
          <cell r="O329">
            <v>65</v>
          </cell>
          <cell r="P329">
            <v>50</v>
          </cell>
          <cell r="Q329">
            <v>0</v>
          </cell>
          <cell r="R329">
            <v>350</v>
          </cell>
          <cell r="S329">
            <v>275</v>
          </cell>
          <cell r="T329">
            <v>80</v>
          </cell>
          <cell r="U329">
            <v>45</v>
          </cell>
          <cell r="V329">
            <v>35</v>
          </cell>
          <cell r="W329">
            <v>25</v>
          </cell>
          <cell r="X329">
            <v>0</v>
          </cell>
          <cell r="Y329">
            <v>10</v>
          </cell>
          <cell r="Z329">
            <v>195</v>
          </cell>
          <cell r="AA329">
            <v>115</v>
          </cell>
          <cell r="AB329">
            <v>80</v>
          </cell>
          <cell r="AC329">
            <v>40</v>
          </cell>
          <cell r="AD329">
            <v>40</v>
          </cell>
          <cell r="AE329">
            <v>0</v>
          </cell>
          <cell r="AF329">
            <v>70</v>
          </cell>
          <cell r="AG329">
            <v>65</v>
          </cell>
          <cell r="AH329">
            <v>65</v>
          </cell>
          <cell r="AI329">
            <v>0</v>
          </cell>
          <cell r="AJ329">
            <v>0</v>
          </cell>
          <cell r="AK329">
            <v>0</v>
          </cell>
          <cell r="AL329">
            <v>0</v>
          </cell>
          <cell r="AM329">
            <v>0</v>
          </cell>
          <cell r="AN329">
            <v>0</v>
          </cell>
          <cell r="AO329">
            <v>295</v>
          </cell>
          <cell r="AP329">
            <v>45</v>
          </cell>
          <cell r="AQ329">
            <v>120</v>
          </cell>
          <cell r="AR329">
            <v>35</v>
          </cell>
          <cell r="AS329">
            <v>70</v>
          </cell>
          <cell r="AT329">
            <v>30</v>
          </cell>
          <cell r="AU329">
            <v>0.8</v>
          </cell>
          <cell r="AV329">
            <v>1645</v>
          </cell>
          <cell r="AW329">
            <v>725</v>
          </cell>
          <cell r="AX329">
            <v>20</v>
          </cell>
          <cell r="AY329">
            <v>135</v>
          </cell>
          <cell r="AZ329">
            <v>565</v>
          </cell>
          <cell r="BA329">
            <v>925</v>
          </cell>
          <cell r="BB329">
            <v>2.6</v>
          </cell>
          <cell r="BC329">
            <v>130</v>
          </cell>
          <cell r="BD329">
            <v>80</v>
          </cell>
          <cell r="BE329">
            <v>0</v>
          </cell>
          <cell r="BF329">
            <v>10</v>
          </cell>
          <cell r="BG329">
            <v>75</v>
          </cell>
          <cell r="BH329">
            <v>50</v>
          </cell>
          <cell r="BI329">
            <v>990</v>
          </cell>
          <cell r="BJ329">
            <v>4.4000000000000004</v>
          </cell>
          <cell r="BK329">
            <v>4356</v>
          </cell>
          <cell r="BL329">
            <v>1.5</v>
          </cell>
          <cell r="BM329">
            <v>1485</v>
          </cell>
          <cell r="BN329">
            <v>995</v>
          </cell>
          <cell r="BO329">
            <v>330</v>
          </cell>
          <cell r="BP329">
            <v>660</v>
          </cell>
          <cell r="BQ329">
            <v>0</v>
          </cell>
          <cell r="BR329">
            <v>995</v>
          </cell>
          <cell r="BS329">
            <v>570</v>
          </cell>
          <cell r="BT329">
            <v>345</v>
          </cell>
          <cell r="BU329">
            <v>75</v>
          </cell>
          <cell r="BV329">
            <v>995</v>
          </cell>
          <cell r="BW329">
            <v>555</v>
          </cell>
          <cell r="BX329">
            <v>185</v>
          </cell>
          <cell r="BY329">
            <v>85</v>
          </cell>
          <cell r="BZ329">
            <v>25</v>
          </cell>
          <cell r="CA329">
            <v>35</v>
          </cell>
          <cell r="CB329">
            <v>15</v>
          </cell>
          <cell r="CC329">
            <v>15</v>
          </cell>
          <cell r="CD329">
            <v>25</v>
          </cell>
          <cell r="CE329">
            <v>50</v>
          </cell>
          <cell r="CF329">
            <v>995</v>
          </cell>
          <cell r="CG329">
            <v>0</v>
          </cell>
          <cell r="CH329">
            <v>0</v>
          </cell>
          <cell r="CI329">
            <v>30</v>
          </cell>
          <cell r="CJ329">
            <v>0</v>
          </cell>
          <cell r="CK329">
            <v>5</v>
          </cell>
          <cell r="CL329">
            <v>955</v>
          </cell>
          <cell r="CM329">
            <v>5</v>
          </cell>
          <cell r="CN329">
            <v>0</v>
          </cell>
          <cell r="CO329">
            <v>990</v>
          </cell>
          <cell r="CP329">
            <v>555</v>
          </cell>
          <cell r="CQ329">
            <v>300</v>
          </cell>
          <cell r="CR329">
            <v>80</v>
          </cell>
          <cell r="CS329">
            <v>45</v>
          </cell>
          <cell r="CT329">
            <v>5</v>
          </cell>
          <cell r="CU329">
            <v>1650</v>
          </cell>
          <cell r="CV329">
            <v>1.7</v>
          </cell>
          <cell r="CW329">
            <v>995</v>
          </cell>
          <cell r="CX329">
            <v>350</v>
          </cell>
          <cell r="CY329">
            <v>0</v>
          </cell>
          <cell r="CZ329">
            <v>640</v>
          </cell>
        </row>
        <row r="330">
          <cell r="A330" t="str">
            <v>4620175.00</v>
          </cell>
          <cell r="B330" t="str">
            <v>0175.00</v>
          </cell>
          <cell r="C330" t="str">
            <v>Plateau Mont-Royal</v>
          </cell>
          <cell r="D330">
            <v>1630</v>
          </cell>
          <cell r="E330">
            <v>1195</v>
          </cell>
          <cell r="F330">
            <v>210</v>
          </cell>
          <cell r="G330">
            <v>25</v>
          </cell>
          <cell r="H330">
            <v>160</v>
          </cell>
          <cell r="I330">
            <v>40</v>
          </cell>
          <cell r="J330">
            <v>1630</v>
          </cell>
          <cell r="K330">
            <v>1145</v>
          </cell>
          <cell r="L330">
            <v>480</v>
          </cell>
          <cell r="M330">
            <v>425</v>
          </cell>
          <cell r="N330">
            <v>265</v>
          </cell>
          <cell r="O330">
            <v>100</v>
          </cell>
          <cell r="P330">
            <v>55</v>
          </cell>
          <cell r="Q330">
            <v>10</v>
          </cell>
          <cell r="R330">
            <v>425</v>
          </cell>
          <cell r="S330">
            <v>340</v>
          </cell>
          <cell r="T330">
            <v>100</v>
          </cell>
          <cell r="U330">
            <v>60</v>
          </cell>
          <cell r="V330">
            <v>30</v>
          </cell>
          <cell r="W330">
            <v>15</v>
          </cell>
          <cell r="X330">
            <v>10</v>
          </cell>
          <cell r="Y330">
            <v>10</v>
          </cell>
          <cell r="Z330">
            <v>245</v>
          </cell>
          <cell r="AA330">
            <v>140</v>
          </cell>
          <cell r="AB330">
            <v>110</v>
          </cell>
          <cell r="AC330">
            <v>55</v>
          </cell>
          <cell r="AD330">
            <v>45</v>
          </cell>
          <cell r="AE330">
            <v>0</v>
          </cell>
          <cell r="AF330">
            <v>85</v>
          </cell>
          <cell r="AG330">
            <v>55</v>
          </cell>
          <cell r="AH330">
            <v>40</v>
          </cell>
          <cell r="AI330">
            <v>15</v>
          </cell>
          <cell r="AJ330">
            <v>0</v>
          </cell>
          <cell r="AK330">
            <v>25</v>
          </cell>
          <cell r="AL330">
            <v>20</v>
          </cell>
          <cell r="AM330">
            <v>10</v>
          </cell>
          <cell r="AN330">
            <v>0</v>
          </cell>
          <cell r="AO330">
            <v>320</v>
          </cell>
          <cell r="AP330">
            <v>150</v>
          </cell>
          <cell r="AQ330">
            <v>105</v>
          </cell>
          <cell r="AR330">
            <v>35</v>
          </cell>
          <cell r="AS330">
            <v>15</v>
          </cell>
          <cell r="AT330">
            <v>10</v>
          </cell>
          <cell r="AU330">
            <v>0.8</v>
          </cell>
          <cell r="AV330">
            <v>1855</v>
          </cell>
          <cell r="AW330">
            <v>765</v>
          </cell>
          <cell r="AX330">
            <v>80</v>
          </cell>
          <cell r="AY330">
            <v>175</v>
          </cell>
          <cell r="AZ330">
            <v>510</v>
          </cell>
          <cell r="BA330">
            <v>1090</v>
          </cell>
          <cell r="BB330">
            <v>2.6</v>
          </cell>
          <cell r="BC330">
            <v>65</v>
          </cell>
          <cell r="BD330">
            <v>45</v>
          </cell>
          <cell r="BE330">
            <v>10</v>
          </cell>
          <cell r="BF330">
            <v>0</v>
          </cell>
          <cell r="BG330">
            <v>40</v>
          </cell>
          <cell r="BH330">
            <v>20</v>
          </cell>
          <cell r="BI330">
            <v>1045</v>
          </cell>
          <cell r="BJ330">
            <v>4.8</v>
          </cell>
          <cell r="BK330">
            <v>5016</v>
          </cell>
          <cell r="BL330">
            <v>1.7</v>
          </cell>
          <cell r="BM330">
            <v>1776.5</v>
          </cell>
          <cell r="BN330">
            <v>1045</v>
          </cell>
          <cell r="BO330">
            <v>340</v>
          </cell>
          <cell r="BP330">
            <v>710</v>
          </cell>
          <cell r="BQ330">
            <v>0</v>
          </cell>
          <cell r="BR330">
            <v>1045</v>
          </cell>
          <cell r="BS330">
            <v>500</v>
          </cell>
          <cell r="BT330">
            <v>445</v>
          </cell>
          <cell r="BU330">
            <v>95</v>
          </cell>
          <cell r="BV330">
            <v>1045</v>
          </cell>
          <cell r="BW330">
            <v>555</v>
          </cell>
          <cell r="BX330">
            <v>200</v>
          </cell>
          <cell r="BY330">
            <v>85</v>
          </cell>
          <cell r="BZ330">
            <v>25</v>
          </cell>
          <cell r="CA330">
            <v>15</v>
          </cell>
          <cell r="CB330">
            <v>15</v>
          </cell>
          <cell r="CC330">
            <v>10</v>
          </cell>
          <cell r="CD330">
            <v>55</v>
          </cell>
          <cell r="CE330">
            <v>90</v>
          </cell>
          <cell r="CF330">
            <v>1045</v>
          </cell>
          <cell r="CG330">
            <v>0</v>
          </cell>
          <cell r="CH330">
            <v>0</v>
          </cell>
          <cell r="CI330">
            <v>15</v>
          </cell>
          <cell r="CJ330">
            <v>60</v>
          </cell>
          <cell r="CK330">
            <v>0</v>
          </cell>
          <cell r="CL330">
            <v>960</v>
          </cell>
          <cell r="CM330">
            <v>10</v>
          </cell>
          <cell r="CN330">
            <v>0</v>
          </cell>
          <cell r="CO330">
            <v>1045</v>
          </cell>
          <cell r="CP330">
            <v>525</v>
          </cell>
          <cell r="CQ330">
            <v>330</v>
          </cell>
          <cell r="CR330">
            <v>110</v>
          </cell>
          <cell r="CS330">
            <v>75</v>
          </cell>
          <cell r="CT330">
            <v>5</v>
          </cell>
          <cell r="CU330">
            <v>1855</v>
          </cell>
          <cell r="CV330">
            <v>1.8</v>
          </cell>
          <cell r="CW330">
            <v>1045</v>
          </cell>
          <cell r="CX330">
            <v>425</v>
          </cell>
          <cell r="CY330">
            <v>0</v>
          </cell>
          <cell r="CZ330">
            <v>620</v>
          </cell>
        </row>
        <row r="331">
          <cell r="A331" t="str">
            <v>4620176.00</v>
          </cell>
          <cell r="B331" t="str">
            <v>0176.00</v>
          </cell>
          <cell r="C331" t="str">
            <v>Plateau Mont-Royal</v>
          </cell>
          <cell r="D331">
            <v>1440</v>
          </cell>
          <cell r="E331">
            <v>1065</v>
          </cell>
          <cell r="F331">
            <v>170</v>
          </cell>
          <cell r="G331">
            <v>30</v>
          </cell>
          <cell r="H331">
            <v>130</v>
          </cell>
          <cell r="I331">
            <v>45</v>
          </cell>
          <cell r="J331">
            <v>1445</v>
          </cell>
          <cell r="K331">
            <v>1025</v>
          </cell>
          <cell r="L331">
            <v>410</v>
          </cell>
          <cell r="M331">
            <v>325</v>
          </cell>
          <cell r="N331">
            <v>205</v>
          </cell>
          <cell r="O331">
            <v>80</v>
          </cell>
          <cell r="P331">
            <v>25</v>
          </cell>
          <cell r="Q331">
            <v>15</v>
          </cell>
          <cell r="R331">
            <v>325</v>
          </cell>
          <cell r="S331">
            <v>275</v>
          </cell>
          <cell r="T331">
            <v>80</v>
          </cell>
          <cell r="U331">
            <v>25</v>
          </cell>
          <cell r="V331">
            <v>50</v>
          </cell>
          <cell r="W331">
            <v>20</v>
          </cell>
          <cell r="X331">
            <v>15</v>
          </cell>
          <cell r="Y331">
            <v>15</v>
          </cell>
          <cell r="Z331">
            <v>190</v>
          </cell>
          <cell r="AA331">
            <v>130</v>
          </cell>
          <cell r="AB331">
            <v>65</v>
          </cell>
          <cell r="AC331">
            <v>50</v>
          </cell>
          <cell r="AD331">
            <v>10</v>
          </cell>
          <cell r="AE331">
            <v>0</v>
          </cell>
          <cell r="AF331">
            <v>55</v>
          </cell>
          <cell r="AG331">
            <v>40</v>
          </cell>
          <cell r="AH331">
            <v>40</v>
          </cell>
          <cell r="AI331">
            <v>10</v>
          </cell>
          <cell r="AJ331">
            <v>0</v>
          </cell>
          <cell r="AK331">
            <v>15</v>
          </cell>
          <cell r="AL331">
            <v>10</v>
          </cell>
          <cell r="AM331">
            <v>10</v>
          </cell>
          <cell r="AN331">
            <v>0</v>
          </cell>
          <cell r="AO331">
            <v>235</v>
          </cell>
          <cell r="AP331">
            <v>85</v>
          </cell>
          <cell r="AQ331">
            <v>90</v>
          </cell>
          <cell r="AR331">
            <v>25</v>
          </cell>
          <cell r="AS331">
            <v>10</v>
          </cell>
          <cell r="AT331">
            <v>15</v>
          </cell>
          <cell r="AU331">
            <v>0.7</v>
          </cell>
          <cell r="AV331">
            <v>1565</v>
          </cell>
          <cell r="AW331">
            <v>730</v>
          </cell>
          <cell r="AX331">
            <v>65</v>
          </cell>
          <cell r="AY331">
            <v>200</v>
          </cell>
          <cell r="AZ331">
            <v>465</v>
          </cell>
          <cell r="BA331">
            <v>835</v>
          </cell>
          <cell r="BB331">
            <v>2.5</v>
          </cell>
          <cell r="BC331">
            <v>90</v>
          </cell>
          <cell r="BD331">
            <v>55</v>
          </cell>
          <cell r="BE331">
            <v>0</v>
          </cell>
          <cell r="BF331">
            <v>0</v>
          </cell>
          <cell r="BG331">
            <v>50</v>
          </cell>
          <cell r="BH331">
            <v>35</v>
          </cell>
          <cell r="BI331">
            <v>895</v>
          </cell>
          <cell r="BJ331">
            <v>4.7</v>
          </cell>
          <cell r="BK331">
            <v>4206.5</v>
          </cell>
          <cell r="BL331">
            <v>1.6</v>
          </cell>
          <cell r="BM331">
            <v>1432</v>
          </cell>
          <cell r="BN331">
            <v>890</v>
          </cell>
          <cell r="BO331">
            <v>175</v>
          </cell>
          <cell r="BP331">
            <v>715</v>
          </cell>
          <cell r="BQ331">
            <v>0</v>
          </cell>
          <cell r="BR331">
            <v>890</v>
          </cell>
          <cell r="BS331">
            <v>395</v>
          </cell>
          <cell r="BT331">
            <v>320</v>
          </cell>
          <cell r="BU331">
            <v>175</v>
          </cell>
          <cell r="BV331">
            <v>895</v>
          </cell>
          <cell r="BW331">
            <v>590</v>
          </cell>
          <cell r="BX331">
            <v>155</v>
          </cell>
          <cell r="BY331">
            <v>75</v>
          </cell>
          <cell r="BZ331">
            <v>20</v>
          </cell>
          <cell r="CA331">
            <v>0</v>
          </cell>
          <cell r="CB331">
            <v>50</v>
          </cell>
          <cell r="CC331">
            <v>0</v>
          </cell>
          <cell r="CD331">
            <v>0</v>
          </cell>
          <cell r="CE331">
            <v>0</v>
          </cell>
          <cell r="CF331">
            <v>895</v>
          </cell>
          <cell r="CG331">
            <v>0</v>
          </cell>
          <cell r="CH331">
            <v>5</v>
          </cell>
          <cell r="CI331">
            <v>5</v>
          </cell>
          <cell r="CJ331">
            <v>15</v>
          </cell>
          <cell r="CK331">
            <v>0</v>
          </cell>
          <cell r="CL331">
            <v>875</v>
          </cell>
          <cell r="CM331">
            <v>0</v>
          </cell>
          <cell r="CN331">
            <v>0</v>
          </cell>
          <cell r="CO331">
            <v>895</v>
          </cell>
          <cell r="CP331">
            <v>450</v>
          </cell>
          <cell r="CQ331">
            <v>300</v>
          </cell>
          <cell r="CR331">
            <v>70</v>
          </cell>
          <cell r="CS331">
            <v>70</v>
          </cell>
          <cell r="CT331">
            <v>0</v>
          </cell>
          <cell r="CU331">
            <v>1565</v>
          </cell>
          <cell r="CV331">
            <v>1.7</v>
          </cell>
          <cell r="CW331">
            <v>895</v>
          </cell>
          <cell r="CX331">
            <v>330</v>
          </cell>
          <cell r="CY331">
            <v>0</v>
          </cell>
          <cell r="CZ331">
            <v>565</v>
          </cell>
        </row>
        <row r="332">
          <cell r="A332" t="str">
            <v>4620177.00</v>
          </cell>
          <cell r="B332" t="str">
            <v>0177.00</v>
          </cell>
          <cell r="C332" t="str">
            <v>Plateau Mont-Royal</v>
          </cell>
          <cell r="D332">
            <v>1090</v>
          </cell>
          <cell r="E332">
            <v>820</v>
          </cell>
          <cell r="F332">
            <v>125</v>
          </cell>
          <cell r="G332">
            <v>20</v>
          </cell>
          <cell r="H332">
            <v>100</v>
          </cell>
          <cell r="I332">
            <v>30</v>
          </cell>
          <cell r="J332">
            <v>1090</v>
          </cell>
          <cell r="K332">
            <v>750</v>
          </cell>
          <cell r="L332">
            <v>340</v>
          </cell>
          <cell r="M332">
            <v>285</v>
          </cell>
          <cell r="N332">
            <v>195</v>
          </cell>
          <cell r="O332">
            <v>50</v>
          </cell>
          <cell r="P332">
            <v>30</v>
          </cell>
          <cell r="Q332">
            <v>10</v>
          </cell>
          <cell r="R332">
            <v>290</v>
          </cell>
          <cell r="S332">
            <v>250</v>
          </cell>
          <cell r="T332">
            <v>70</v>
          </cell>
          <cell r="U332">
            <v>30</v>
          </cell>
          <cell r="V332">
            <v>35</v>
          </cell>
          <cell r="W332">
            <v>15</v>
          </cell>
          <cell r="X332">
            <v>10</v>
          </cell>
          <cell r="Y332">
            <v>10</v>
          </cell>
          <cell r="Z332">
            <v>180</v>
          </cell>
          <cell r="AA332">
            <v>135</v>
          </cell>
          <cell r="AB332">
            <v>45</v>
          </cell>
          <cell r="AC332">
            <v>25</v>
          </cell>
          <cell r="AD332">
            <v>25</v>
          </cell>
          <cell r="AE332">
            <v>0</v>
          </cell>
          <cell r="AF332">
            <v>40</v>
          </cell>
          <cell r="AG332">
            <v>25</v>
          </cell>
          <cell r="AH332">
            <v>15</v>
          </cell>
          <cell r="AI332">
            <v>10</v>
          </cell>
          <cell r="AJ332">
            <v>0</v>
          </cell>
          <cell r="AK332">
            <v>15</v>
          </cell>
          <cell r="AL332">
            <v>15</v>
          </cell>
          <cell r="AM332">
            <v>0</v>
          </cell>
          <cell r="AN332">
            <v>0</v>
          </cell>
          <cell r="AO332">
            <v>180</v>
          </cell>
          <cell r="AP332">
            <v>55</v>
          </cell>
          <cell r="AQ332">
            <v>75</v>
          </cell>
          <cell r="AR332">
            <v>0</v>
          </cell>
          <cell r="AS332">
            <v>30</v>
          </cell>
          <cell r="AT332">
            <v>20</v>
          </cell>
          <cell r="AU332">
            <v>0.6</v>
          </cell>
          <cell r="AV332">
            <v>1240</v>
          </cell>
          <cell r="AW332">
            <v>525</v>
          </cell>
          <cell r="AX332">
            <v>15</v>
          </cell>
          <cell r="AY332">
            <v>170</v>
          </cell>
          <cell r="AZ332">
            <v>340</v>
          </cell>
          <cell r="BA332">
            <v>715</v>
          </cell>
          <cell r="BB332">
            <v>2.5</v>
          </cell>
          <cell r="BC332">
            <v>85</v>
          </cell>
          <cell r="BD332">
            <v>35</v>
          </cell>
          <cell r="BE332">
            <v>0</v>
          </cell>
          <cell r="BF332">
            <v>15</v>
          </cell>
          <cell r="BG332">
            <v>20</v>
          </cell>
          <cell r="BH332">
            <v>50</v>
          </cell>
          <cell r="BI332">
            <v>710</v>
          </cell>
          <cell r="BJ332">
            <v>4.5</v>
          </cell>
          <cell r="BK332">
            <v>3195</v>
          </cell>
          <cell r="BL332">
            <v>1.6</v>
          </cell>
          <cell r="BM332">
            <v>1136</v>
          </cell>
          <cell r="BN332">
            <v>710</v>
          </cell>
          <cell r="BO332">
            <v>135</v>
          </cell>
          <cell r="BP332">
            <v>575</v>
          </cell>
          <cell r="BQ332">
            <v>0</v>
          </cell>
          <cell r="BR332">
            <v>710</v>
          </cell>
          <cell r="BS332">
            <v>320</v>
          </cell>
          <cell r="BT332">
            <v>305</v>
          </cell>
          <cell r="BU332">
            <v>90</v>
          </cell>
          <cell r="BV332">
            <v>710</v>
          </cell>
          <cell r="BW332">
            <v>420</v>
          </cell>
          <cell r="BX332">
            <v>155</v>
          </cell>
          <cell r="BY332">
            <v>45</v>
          </cell>
          <cell r="BZ332">
            <v>65</v>
          </cell>
          <cell r="CA332">
            <v>10</v>
          </cell>
          <cell r="CB332">
            <v>15</v>
          </cell>
          <cell r="CC332">
            <v>0</v>
          </cell>
          <cell r="CD332">
            <v>0</v>
          </cell>
          <cell r="CE332">
            <v>0</v>
          </cell>
          <cell r="CF332">
            <v>710</v>
          </cell>
          <cell r="CG332">
            <v>0</v>
          </cell>
          <cell r="CH332">
            <v>0</v>
          </cell>
          <cell r="CI332">
            <v>15</v>
          </cell>
          <cell r="CJ332">
            <v>90</v>
          </cell>
          <cell r="CK332">
            <v>10</v>
          </cell>
          <cell r="CL332">
            <v>585</v>
          </cell>
          <cell r="CM332">
            <v>0</v>
          </cell>
          <cell r="CN332">
            <v>5</v>
          </cell>
          <cell r="CO332">
            <v>710</v>
          </cell>
          <cell r="CP332">
            <v>360</v>
          </cell>
          <cell r="CQ332">
            <v>230</v>
          </cell>
          <cell r="CR332">
            <v>80</v>
          </cell>
          <cell r="CS332">
            <v>35</v>
          </cell>
          <cell r="CT332">
            <v>5</v>
          </cell>
          <cell r="CU332">
            <v>1245</v>
          </cell>
          <cell r="CV332">
            <v>1.8</v>
          </cell>
          <cell r="CW332">
            <v>710</v>
          </cell>
          <cell r="CX332">
            <v>285</v>
          </cell>
          <cell r="CY332">
            <v>0</v>
          </cell>
          <cell r="CZ332">
            <v>425</v>
          </cell>
        </row>
        <row r="333">
          <cell r="A333" t="str">
            <v>4620178.00</v>
          </cell>
          <cell r="B333" t="str">
            <v>0178.00</v>
          </cell>
          <cell r="C333" t="str">
            <v>Plateau Mont-Royal</v>
          </cell>
          <cell r="D333">
            <v>2140</v>
          </cell>
          <cell r="E333">
            <v>1625</v>
          </cell>
          <cell r="F333">
            <v>230</v>
          </cell>
          <cell r="G333">
            <v>45</v>
          </cell>
          <cell r="H333">
            <v>180</v>
          </cell>
          <cell r="I333">
            <v>60</v>
          </cell>
          <cell r="J333">
            <v>2135</v>
          </cell>
          <cell r="K333">
            <v>1520</v>
          </cell>
          <cell r="L333">
            <v>620</v>
          </cell>
          <cell r="M333">
            <v>530</v>
          </cell>
          <cell r="N333">
            <v>365</v>
          </cell>
          <cell r="O333">
            <v>100</v>
          </cell>
          <cell r="P333">
            <v>55</v>
          </cell>
          <cell r="Q333">
            <v>10</v>
          </cell>
          <cell r="R333">
            <v>530</v>
          </cell>
          <cell r="S333">
            <v>410</v>
          </cell>
          <cell r="T333">
            <v>100</v>
          </cell>
          <cell r="U333">
            <v>40</v>
          </cell>
          <cell r="V333">
            <v>60</v>
          </cell>
          <cell r="W333">
            <v>35</v>
          </cell>
          <cell r="X333">
            <v>20</v>
          </cell>
          <cell r="Y333">
            <v>10</v>
          </cell>
          <cell r="Z333">
            <v>310</v>
          </cell>
          <cell r="AA333">
            <v>260</v>
          </cell>
          <cell r="AB333">
            <v>50</v>
          </cell>
          <cell r="AC333">
            <v>25</v>
          </cell>
          <cell r="AD333">
            <v>25</v>
          </cell>
          <cell r="AE333">
            <v>0</v>
          </cell>
          <cell r="AF333">
            <v>115</v>
          </cell>
          <cell r="AG333">
            <v>85</v>
          </cell>
          <cell r="AH333">
            <v>55</v>
          </cell>
          <cell r="AI333">
            <v>20</v>
          </cell>
          <cell r="AJ333">
            <v>10</v>
          </cell>
          <cell r="AK333">
            <v>30</v>
          </cell>
          <cell r="AL333">
            <v>10</v>
          </cell>
          <cell r="AM333">
            <v>20</v>
          </cell>
          <cell r="AN333">
            <v>0</v>
          </cell>
          <cell r="AO333">
            <v>365</v>
          </cell>
          <cell r="AP333">
            <v>115</v>
          </cell>
          <cell r="AQ333">
            <v>125</v>
          </cell>
          <cell r="AR333">
            <v>45</v>
          </cell>
          <cell r="AS333">
            <v>60</v>
          </cell>
          <cell r="AT333">
            <v>10</v>
          </cell>
          <cell r="AU333">
            <v>0.7</v>
          </cell>
          <cell r="AV333">
            <v>2375</v>
          </cell>
          <cell r="AW333">
            <v>1070</v>
          </cell>
          <cell r="AX333">
            <v>55</v>
          </cell>
          <cell r="AY333">
            <v>310</v>
          </cell>
          <cell r="AZ333">
            <v>705</v>
          </cell>
          <cell r="BA333">
            <v>1305</v>
          </cell>
          <cell r="BB333">
            <v>2.5</v>
          </cell>
          <cell r="BC333">
            <v>100</v>
          </cell>
          <cell r="BD333">
            <v>85</v>
          </cell>
          <cell r="BE333">
            <v>20</v>
          </cell>
          <cell r="BF333">
            <v>0</v>
          </cell>
          <cell r="BG333">
            <v>60</v>
          </cell>
          <cell r="BH333">
            <v>20</v>
          </cell>
          <cell r="BI333">
            <v>1375</v>
          </cell>
          <cell r="BJ333">
            <v>4.5</v>
          </cell>
          <cell r="BK333">
            <v>6187.5</v>
          </cell>
          <cell r="BL333">
            <v>1.6</v>
          </cell>
          <cell r="BM333">
            <v>2200</v>
          </cell>
          <cell r="BN333">
            <v>1380</v>
          </cell>
          <cell r="BO333">
            <v>210</v>
          </cell>
          <cell r="BP333">
            <v>1170</v>
          </cell>
          <cell r="BQ333">
            <v>0</v>
          </cell>
          <cell r="BR333">
            <v>1380</v>
          </cell>
          <cell r="BS333">
            <v>760</v>
          </cell>
          <cell r="BT333">
            <v>440</v>
          </cell>
          <cell r="BU333">
            <v>180</v>
          </cell>
          <cell r="BV333">
            <v>1375</v>
          </cell>
          <cell r="BW333">
            <v>820</v>
          </cell>
          <cell r="BX333">
            <v>370</v>
          </cell>
          <cell r="BY333">
            <v>105</v>
          </cell>
          <cell r="BZ333">
            <v>50</v>
          </cell>
          <cell r="CA333">
            <v>25</v>
          </cell>
          <cell r="CB333">
            <v>0</v>
          </cell>
          <cell r="CC333">
            <v>0</v>
          </cell>
          <cell r="CD333">
            <v>0</v>
          </cell>
          <cell r="CE333">
            <v>0</v>
          </cell>
          <cell r="CF333">
            <v>1380</v>
          </cell>
          <cell r="CG333">
            <v>0</v>
          </cell>
          <cell r="CH333">
            <v>0</v>
          </cell>
          <cell r="CI333">
            <v>5</v>
          </cell>
          <cell r="CJ333">
            <v>50</v>
          </cell>
          <cell r="CK333">
            <v>0</v>
          </cell>
          <cell r="CL333">
            <v>1325</v>
          </cell>
          <cell r="CM333">
            <v>0</v>
          </cell>
          <cell r="CN333">
            <v>0</v>
          </cell>
          <cell r="CO333">
            <v>1380</v>
          </cell>
          <cell r="CP333">
            <v>700</v>
          </cell>
          <cell r="CQ333">
            <v>465</v>
          </cell>
          <cell r="CR333">
            <v>130</v>
          </cell>
          <cell r="CS333">
            <v>75</v>
          </cell>
          <cell r="CT333">
            <v>5</v>
          </cell>
          <cell r="CU333">
            <v>2375</v>
          </cell>
          <cell r="CV333">
            <v>1.7</v>
          </cell>
          <cell r="CW333">
            <v>1375</v>
          </cell>
          <cell r="CX333">
            <v>525</v>
          </cell>
          <cell r="CY333">
            <v>0</v>
          </cell>
          <cell r="CZ333">
            <v>850</v>
          </cell>
        </row>
        <row r="334">
          <cell r="C334" t="str">
            <v>Plateau Mont-Royal</v>
          </cell>
          <cell r="D334">
            <v>90705</v>
          </cell>
          <cell r="E334">
            <v>61065</v>
          </cell>
          <cell r="F334">
            <v>16145</v>
          </cell>
          <cell r="G334">
            <v>1920</v>
          </cell>
          <cell r="H334">
            <v>8270</v>
          </cell>
          <cell r="I334">
            <v>3290</v>
          </cell>
          <cell r="J334">
            <v>90705</v>
          </cell>
          <cell r="K334">
            <v>71915</v>
          </cell>
          <cell r="L334">
            <v>18770</v>
          </cell>
          <cell r="M334">
            <v>20490</v>
          </cell>
          <cell r="N334">
            <v>13125</v>
          </cell>
          <cell r="O334">
            <v>4075</v>
          </cell>
          <cell r="P334">
            <v>2465</v>
          </cell>
          <cell r="Q334">
            <v>735</v>
          </cell>
          <cell r="R334">
            <v>20490</v>
          </cell>
          <cell r="S334">
            <v>16660</v>
          </cell>
          <cell r="T334">
            <v>7370</v>
          </cell>
          <cell r="U334">
            <v>3410</v>
          </cell>
          <cell r="V334">
            <v>3925</v>
          </cell>
          <cell r="W334">
            <v>1930</v>
          </cell>
          <cell r="X334">
            <v>1420</v>
          </cell>
          <cell r="Y334">
            <v>585</v>
          </cell>
          <cell r="Z334">
            <v>9260</v>
          </cell>
          <cell r="AA334">
            <v>6920</v>
          </cell>
          <cell r="AB334">
            <v>2365</v>
          </cell>
          <cell r="AC334">
            <v>1275</v>
          </cell>
          <cell r="AD334">
            <v>915</v>
          </cell>
          <cell r="AE334">
            <v>135</v>
          </cell>
          <cell r="AF334">
            <v>3800</v>
          </cell>
          <cell r="AG334">
            <v>3025</v>
          </cell>
          <cell r="AH334">
            <v>2160</v>
          </cell>
          <cell r="AI334">
            <v>695</v>
          </cell>
          <cell r="AJ334">
            <v>145</v>
          </cell>
          <cell r="AK334">
            <v>740</v>
          </cell>
          <cell r="AL334">
            <v>570</v>
          </cell>
          <cell r="AM334">
            <v>175</v>
          </cell>
          <cell r="AN334">
            <v>20</v>
          </cell>
          <cell r="AO334">
            <v>15810</v>
          </cell>
          <cell r="AP334">
            <v>4585</v>
          </cell>
          <cell r="AQ334">
            <v>5435</v>
          </cell>
          <cell r="AR334">
            <v>1475</v>
          </cell>
          <cell r="AS334">
            <v>2325</v>
          </cell>
          <cell r="AT334">
            <v>1925</v>
          </cell>
          <cell r="AU334">
            <v>0.77159590043923865</v>
          </cell>
          <cell r="AV334">
            <v>95190</v>
          </cell>
          <cell r="AW334">
            <v>42145</v>
          </cell>
          <cell r="AX334">
            <v>2170</v>
          </cell>
          <cell r="AY334">
            <v>12030</v>
          </cell>
          <cell r="AZ334">
            <v>27925</v>
          </cell>
          <cell r="BA334">
            <v>53025</v>
          </cell>
          <cell r="BB334">
            <v>2.5878477306002927</v>
          </cell>
          <cell r="BC334">
            <v>7840</v>
          </cell>
          <cell r="BD334">
            <v>4680</v>
          </cell>
          <cell r="BE334">
            <v>355</v>
          </cell>
          <cell r="BF334">
            <v>385</v>
          </cell>
          <cell r="BG334">
            <v>3955</v>
          </cell>
          <cell r="BH334">
            <v>3160</v>
          </cell>
          <cell r="BI334">
            <v>53955</v>
          </cell>
          <cell r="BJ334">
            <v>4.3345843758687792</v>
          </cell>
          <cell r="BK334">
            <v>233872.5</v>
          </cell>
          <cell r="BL334">
            <v>1.5860995273839311</v>
          </cell>
          <cell r="BM334">
            <v>85578</v>
          </cell>
          <cell r="BN334">
            <v>53950</v>
          </cell>
          <cell r="BO334">
            <v>14110</v>
          </cell>
          <cell r="BP334">
            <v>39835</v>
          </cell>
          <cell r="BQ334">
            <v>0</v>
          </cell>
          <cell r="BR334">
            <v>53945</v>
          </cell>
          <cell r="BS334">
            <v>29380</v>
          </cell>
          <cell r="BT334">
            <v>17720</v>
          </cell>
          <cell r="BU334">
            <v>6770</v>
          </cell>
          <cell r="BV334">
            <v>53925</v>
          </cell>
          <cell r="BW334">
            <v>27445</v>
          </cell>
          <cell r="BX334">
            <v>8285</v>
          </cell>
          <cell r="BY334">
            <v>7150</v>
          </cell>
          <cell r="BZ334">
            <v>4470</v>
          </cell>
          <cell r="CA334">
            <v>1875</v>
          </cell>
          <cell r="CB334">
            <v>1215</v>
          </cell>
          <cell r="CC334">
            <v>950</v>
          </cell>
          <cell r="CD334">
            <v>1200</v>
          </cell>
          <cell r="CE334">
            <v>1220</v>
          </cell>
          <cell r="CF334">
            <v>56035</v>
          </cell>
          <cell r="CG334">
            <v>60</v>
          </cell>
          <cell r="CH334">
            <v>85</v>
          </cell>
          <cell r="CI334">
            <v>990</v>
          </cell>
          <cell r="CJ334">
            <v>3465</v>
          </cell>
          <cell r="CK334">
            <v>8475</v>
          </cell>
          <cell r="CL334">
            <v>42600</v>
          </cell>
          <cell r="CM334">
            <v>300</v>
          </cell>
          <cell r="CN334">
            <v>40</v>
          </cell>
          <cell r="CO334">
            <v>56005</v>
          </cell>
          <cell r="CP334">
            <v>29315</v>
          </cell>
          <cell r="CQ334">
            <v>17115</v>
          </cell>
          <cell r="CR334">
            <v>5585</v>
          </cell>
          <cell r="CS334">
            <v>3630</v>
          </cell>
          <cell r="CT334">
            <v>400</v>
          </cell>
          <cell r="CU334">
            <v>98275</v>
          </cell>
          <cell r="CV334">
            <v>1.7547540398178734</v>
          </cell>
          <cell r="CW334">
            <v>53950</v>
          </cell>
          <cell r="CX334">
            <v>20125</v>
          </cell>
          <cell r="CY334">
            <v>175</v>
          </cell>
          <cell r="CZ334">
            <v>33650</v>
          </cell>
        </row>
        <row r="337">
          <cell r="A337" t="str">
            <v>4620450.00</v>
          </cell>
          <cell r="B337" t="str">
            <v>0450.00</v>
          </cell>
          <cell r="C337" t="str">
            <v>POINTE-CLAIRE</v>
          </cell>
          <cell r="D337">
            <v>6085</v>
          </cell>
          <cell r="E337">
            <v>1830</v>
          </cell>
          <cell r="F337">
            <v>2910</v>
          </cell>
          <cell r="G337">
            <v>120</v>
          </cell>
          <cell r="H337">
            <v>590</v>
          </cell>
          <cell r="I337">
            <v>640</v>
          </cell>
          <cell r="J337">
            <v>6085</v>
          </cell>
          <cell r="K337">
            <v>5565</v>
          </cell>
          <cell r="L337">
            <v>520</v>
          </cell>
          <cell r="M337">
            <v>1935</v>
          </cell>
          <cell r="N337">
            <v>995</v>
          </cell>
          <cell r="O337">
            <v>365</v>
          </cell>
          <cell r="P337">
            <v>370</v>
          </cell>
          <cell r="Q337">
            <v>200</v>
          </cell>
          <cell r="R337">
            <v>1935</v>
          </cell>
          <cell r="S337">
            <v>1670</v>
          </cell>
          <cell r="T337">
            <v>1415</v>
          </cell>
          <cell r="U337">
            <v>670</v>
          </cell>
          <cell r="V337">
            <v>745</v>
          </cell>
          <cell r="W337">
            <v>245</v>
          </cell>
          <cell r="X337">
            <v>330</v>
          </cell>
          <cell r="Y337">
            <v>170</v>
          </cell>
          <cell r="Z337">
            <v>255</v>
          </cell>
          <cell r="AA337">
            <v>150</v>
          </cell>
          <cell r="AB337">
            <v>110</v>
          </cell>
          <cell r="AC337">
            <v>50</v>
          </cell>
          <cell r="AD337">
            <v>30</v>
          </cell>
          <cell r="AE337">
            <v>25</v>
          </cell>
          <cell r="AF337">
            <v>265</v>
          </cell>
          <cell r="AG337">
            <v>185</v>
          </cell>
          <cell r="AH337">
            <v>115</v>
          </cell>
          <cell r="AI337">
            <v>55</v>
          </cell>
          <cell r="AJ337">
            <v>10</v>
          </cell>
          <cell r="AK337">
            <v>80</v>
          </cell>
          <cell r="AL337">
            <v>65</v>
          </cell>
          <cell r="AM337">
            <v>10</v>
          </cell>
          <cell r="AN337">
            <v>0</v>
          </cell>
          <cell r="AO337">
            <v>2025</v>
          </cell>
          <cell r="AP337">
            <v>355</v>
          </cell>
          <cell r="AQ337">
            <v>695</v>
          </cell>
          <cell r="AR337">
            <v>285</v>
          </cell>
          <cell r="AS337">
            <v>435</v>
          </cell>
          <cell r="AT337">
            <v>260</v>
          </cell>
          <cell r="AU337">
            <v>1</v>
          </cell>
          <cell r="AV337">
            <v>6930</v>
          </cell>
          <cell r="AW337">
            <v>1295</v>
          </cell>
          <cell r="AX337">
            <v>80</v>
          </cell>
          <cell r="AY337">
            <v>130</v>
          </cell>
          <cell r="AZ337">
            <v>1090</v>
          </cell>
          <cell r="BA337">
            <v>5635</v>
          </cell>
          <cell r="BB337">
            <v>2.9</v>
          </cell>
          <cell r="BC337">
            <v>1630</v>
          </cell>
          <cell r="BD337">
            <v>645</v>
          </cell>
          <cell r="BE337">
            <v>40</v>
          </cell>
          <cell r="BF337">
            <v>15</v>
          </cell>
          <cell r="BG337">
            <v>590</v>
          </cell>
          <cell r="BH337">
            <v>985</v>
          </cell>
          <cell r="BI337">
            <v>3095</v>
          </cell>
          <cell r="BJ337">
            <v>6.6</v>
          </cell>
          <cell r="BK337">
            <v>20427</v>
          </cell>
          <cell r="BL337">
            <v>2.7</v>
          </cell>
          <cell r="BM337">
            <v>8356.5</v>
          </cell>
          <cell r="BN337">
            <v>3095</v>
          </cell>
          <cell r="BO337">
            <v>2060</v>
          </cell>
          <cell r="BP337">
            <v>1030</v>
          </cell>
          <cell r="BQ337">
            <v>0</v>
          </cell>
          <cell r="BR337">
            <v>3095</v>
          </cell>
          <cell r="BS337">
            <v>1875</v>
          </cell>
          <cell r="BT337">
            <v>860</v>
          </cell>
          <cell r="BU337">
            <v>365</v>
          </cell>
          <cell r="BV337">
            <v>3095</v>
          </cell>
          <cell r="BW337">
            <v>785</v>
          </cell>
          <cell r="BX337">
            <v>970</v>
          </cell>
          <cell r="BY337">
            <v>425</v>
          </cell>
          <cell r="BZ337">
            <v>315</v>
          </cell>
          <cell r="CA337">
            <v>290</v>
          </cell>
          <cell r="CB337">
            <v>130</v>
          </cell>
          <cell r="CC337">
            <v>75</v>
          </cell>
          <cell r="CD337">
            <v>25</v>
          </cell>
          <cell r="CE337">
            <v>85</v>
          </cell>
          <cell r="CF337">
            <v>3095</v>
          </cell>
          <cell r="CG337">
            <v>1710</v>
          </cell>
          <cell r="CH337">
            <v>75</v>
          </cell>
          <cell r="CI337">
            <v>115</v>
          </cell>
          <cell r="CJ337">
            <v>75</v>
          </cell>
          <cell r="CK337">
            <v>740</v>
          </cell>
          <cell r="CL337">
            <v>375</v>
          </cell>
          <cell r="CM337">
            <v>10</v>
          </cell>
          <cell r="CN337">
            <v>5</v>
          </cell>
          <cell r="CO337">
            <v>3095</v>
          </cell>
          <cell r="CP337">
            <v>1090</v>
          </cell>
          <cell r="CQ337">
            <v>1035</v>
          </cell>
          <cell r="CR337">
            <v>385</v>
          </cell>
          <cell r="CS337">
            <v>540</v>
          </cell>
          <cell r="CT337">
            <v>40</v>
          </cell>
          <cell r="CU337">
            <v>6930</v>
          </cell>
          <cell r="CV337">
            <v>2.2000000000000002</v>
          </cell>
          <cell r="CW337">
            <v>3095</v>
          </cell>
          <cell r="CX337">
            <v>1925</v>
          </cell>
          <cell r="CY337">
            <v>0</v>
          </cell>
          <cell r="CZ337">
            <v>1165</v>
          </cell>
        </row>
        <row r="338">
          <cell r="A338" t="str">
            <v>4620451.00</v>
          </cell>
          <cell r="B338" t="str">
            <v>0451.00</v>
          </cell>
          <cell r="C338" t="str">
            <v>POINTE-CLAIRE</v>
          </cell>
          <cell r="D338">
            <v>5540</v>
          </cell>
          <cell r="E338">
            <v>1705</v>
          </cell>
          <cell r="F338">
            <v>2715</v>
          </cell>
          <cell r="G338">
            <v>100</v>
          </cell>
          <cell r="H338">
            <v>525</v>
          </cell>
          <cell r="I338">
            <v>495</v>
          </cell>
          <cell r="J338">
            <v>5540</v>
          </cell>
          <cell r="K338">
            <v>5025</v>
          </cell>
          <cell r="L338">
            <v>510</v>
          </cell>
          <cell r="M338">
            <v>1860</v>
          </cell>
          <cell r="N338">
            <v>805</v>
          </cell>
          <cell r="O338">
            <v>385</v>
          </cell>
          <cell r="P338">
            <v>490</v>
          </cell>
          <cell r="Q338">
            <v>180</v>
          </cell>
          <cell r="R338">
            <v>1855</v>
          </cell>
          <cell r="S338">
            <v>1595</v>
          </cell>
          <cell r="T338">
            <v>1335</v>
          </cell>
          <cell r="U338">
            <v>495</v>
          </cell>
          <cell r="V338">
            <v>835</v>
          </cell>
          <cell r="W338">
            <v>270</v>
          </cell>
          <cell r="X338">
            <v>405</v>
          </cell>
          <cell r="Y338">
            <v>160</v>
          </cell>
          <cell r="Z338">
            <v>260</v>
          </cell>
          <cell r="AA338">
            <v>115</v>
          </cell>
          <cell r="AB338">
            <v>145</v>
          </cell>
          <cell r="AC338">
            <v>65</v>
          </cell>
          <cell r="AD338">
            <v>60</v>
          </cell>
          <cell r="AE338">
            <v>20</v>
          </cell>
          <cell r="AF338">
            <v>265</v>
          </cell>
          <cell r="AG338">
            <v>215</v>
          </cell>
          <cell r="AH338">
            <v>165</v>
          </cell>
          <cell r="AI338">
            <v>50</v>
          </cell>
          <cell r="AJ338">
            <v>10</v>
          </cell>
          <cell r="AK338">
            <v>50</v>
          </cell>
          <cell r="AL338">
            <v>30</v>
          </cell>
          <cell r="AM338">
            <v>0</v>
          </cell>
          <cell r="AN338">
            <v>15</v>
          </cell>
          <cell r="AO338">
            <v>2210</v>
          </cell>
          <cell r="AP338">
            <v>430</v>
          </cell>
          <cell r="AQ338">
            <v>775</v>
          </cell>
          <cell r="AR338">
            <v>290</v>
          </cell>
          <cell r="AS338">
            <v>540</v>
          </cell>
          <cell r="AT338">
            <v>180</v>
          </cell>
          <cell r="AU338">
            <v>1.2</v>
          </cell>
          <cell r="AV338">
            <v>6720</v>
          </cell>
          <cell r="AW338">
            <v>1060</v>
          </cell>
          <cell r="AX338">
            <v>115</v>
          </cell>
          <cell r="AY338">
            <v>110</v>
          </cell>
          <cell r="AZ338">
            <v>830</v>
          </cell>
          <cell r="BA338">
            <v>5660</v>
          </cell>
          <cell r="BB338">
            <v>3.1</v>
          </cell>
          <cell r="BC338">
            <v>1165</v>
          </cell>
          <cell r="BD338">
            <v>570</v>
          </cell>
          <cell r="BE338">
            <v>65</v>
          </cell>
          <cell r="BF338">
            <v>10</v>
          </cell>
          <cell r="BG338">
            <v>500</v>
          </cell>
          <cell r="BH338">
            <v>595</v>
          </cell>
          <cell r="BI338">
            <v>2725</v>
          </cell>
          <cell r="BJ338">
            <v>6.6</v>
          </cell>
          <cell r="BK338">
            <v>17985</v>
          </cell>
          <cell r="BL338">
            <v>2.7</v>
          </cell>
          <cell r="BM338">
            <v>7357.5000000000009</v>
          </cell>
          <cell r="BN338">
            <v>2725</v>
          </cell>
          <cell r="BO338">
            <v>1955</v>
          </cell>
          <cell r="BP338">
            <v>770</v>
          </cell>
          <cell r="BQ338">
            <v>0</v>
          </cell>
          <cell r="BR338">
            <v>2725</v>
          </cell>
          <cell r="BS338">
            <v>1505</v>
          </cell>
          <cell r="BT338">
            <v>1015</v>
          </cell>
          <cell r="BU338">
            <v>200</v>
          </cell>
          <cell r="BV338">
            <v>2725</v>
          </cell>
          <cell r="BW338">
            <v>305</v>
          </cell>
          <cell r="BX338">
            <v>1200</v>
          </cell>
          <cell r="BY338">
            <v>285</v>
          </cell>
          <cell r="BZ338">
            <v>155</v>
          </cell>
          <cell r="CA338">
            <v>85</v>
          </cell>
          <cell r="CB338">
            <v>200</v>
          </cell>
          <cell r="CC338">
            <v>80</v>
          </cell>
          <cell r="CD338">
            <v>100</v>
          </cell>
          <cell r="CE338">
            <v>300</v>
          </cell>
          <cell r="CF338">
            <v>2725</v>
          </cell>
          <cell r="CG338">
            <v>1630</v>
          </cell>
          <cell r="CH338">
            <v>105</v>
          </cell>
          <cell r="CI338">
            <v>375</v>
          </cell>
          <cell r="CJ338">
            <v>0</v>
          </cell>
          <cell r="CK338">
            <v>460</v>
          </cell>
          <cell r="CL338">
            <v>155</v>
          </cell>
          <cell r="CM338">
            <v>5</v>
          </cell>
          <cell r="CN338">
            <v>0</v>
          </cell>
          <cell r="CO338">
            <v>2725</v>
          </cell>
          <cell r="CP338">
            <v>830</v>
          </cell>
          <cell r="CQ338">
            <v>785</v>
          </cell>
          <cell r="CR338">
            <v>405</v>
          </cell>
          <cell r="CS338">
            <v>645</v>
          </cell>
          <cell r="CT338">
            <v>60</v>
          </cell>
          <cell r="CU338">
            <v>6720</v>
          </cell>
          <cell r="CV338">
            <v>2.5</v>
          </cell>
          <cell r="CW338">
            <v>2725</v>
          </cell>
          <cell r="CX338">
            <v>1805</v>
          </cell>
          <cell r="CY338">
            <v>25</v>
          </cell>
          <cell r="CZ338">
            <v>890</v>
          </cell>
        </row>
        <row r="339">
          <cell r="A339" t="str">
            <v>4620452.00</v>
          </cell>
          <cell r="B339" t="str">
            <v>0452.00</v>
          </cell>
          <cell r="C339" t="str">
            <v>POINTE-CLAIRE</v>
          </cell>
          <cell r="D339">
            <v>5775</v>
          </cell>
          <cell r="E339">
            <v>1865</v>
          </cell>
          <cell r="F339">
            <v>2630</v>
          </cell>
          <cell r="G339">
            <v>165</v>
          </cell>
          <cell r="H339">
            <v>525</v>
          </cell>
          <cell r="I339">
            <v>595</v>
          </cell>
          <cell r="J339">
            <v>5775</v>
          </cell>
          <cell r="K339">
            <v>5325</v>
          </cell>
          <cell r="L339">
            <v>455</v>
          </cell>
          <cell r="M339">
            <v>1900</v>
          </cell>
          <cell r="N339">
            <v>900</v>
          </cell>
          <cell r="O339">
            <v>420</v>
          </cell>
          <cell r="P339">
            <v>395</v>
          </cell>
          <cell r="Q339">
            <v>185</v>
          </cell>
          <cell r="R339">
            <v>1905</v>
          </cell>
          <cell r="S339">
            <v>1510</v>
          </cell>
          <cell r="T339">
            <v>1285</v>
          </cell>
          <cell r="U339">
            <v>585</v>
          </cell>
          <cell r="V339">
            <v>705</v>
          </cell>
          <cell r="W339">
            <v>235</v>
          </cell>
          <cell r="X339">
            <v>295</v>
          </cell>
          <cell r="Y339">
            <v>165</v>
          </cell>
          <cell r="Z339">
            <v>225</v>
          </cell>
          <cell r="AA339">
            <v>110</v>
          </cell>
          <cell r="AB339">
            <v>115</v>
          </cell>
          <cell r="AC339">
            <v>50</v>
          </cell>
          <cell r="AD339">
            <v>50</v>
          </cell>
          <cell r="AE339">
            <v>20</v>
          </cell>
          <cell r="AF339">
            <v>390</v>
          </cell>
          <cell r="AG339">
            <v>305</v>
          </cell>
          <cell r="AH339">
            <v>140</v>
          </cell>
          <cell r="AI339">
            <v>120</v>
          </cell>
          <cell r="AJ339">
            <v>45</v>
          </cell>
          <cell r="AK339">
            <v>85</v>
          </cell>
          <cell r="AL339">
            <v>65</v>
          </cell>
          <cell r="AM339">
            <v>15</v>
          </cell>
          <cell r="AN339">
            <v>10</v>
          </cell>
          <cell r="AO339">
            <v>2200</v>
          </cell>
          <cell r="AP339">
            <v>290</v>
          </cell>
          <cell r="AQ339">
            <v>800</v>
          </cell>
          <cell r="AR339">
            <v>340</v>
          </cell>
          <cell r="AS339">
            <v>470</v>
          </cell>
          <cell r="AT339">
            <v>305</v>
          </cell>
          <cell r="AU339">
            <v>1.2</v>
          </cell>
          <cell r="AV339">
            <v>6820</v>
          </cell>
          <cell r="AW339">
            <v>1205</v>
          </cell>
          <cell r="AX339">
            <v>95</v>
          </cell>
          <cell r="AY339">
            <v>65</v>
          </cell>
          <cell r="AZ339">
            <v>1040</v>
          </cell>
          <cell r="BA339">
            <v>5615</v>
          </cell>
          <cell r="BB339">
            <v>2.9</v>
          </cell>
          <cell r="BC339">
            <v>1410</v>
          </cell>
          <cell r="BD339">
            <v>615</v>
          </cell>
          <cell r="BE339">
            <v>30</v>
          </cell>
          <cell r="BF339">
            <v>15</v>
          </cell>
          <cell r="BG339">
            <v>575</v>
          </cell>
          <cell r="BH339">
            <v>795</v>
          </cell>
          <cell r="BI339">
            <v>2955</v>
          </cell>
          <cell r="BJ339">
            <v>6</v>
          </cell>
          <cell r="BK339">
            <v>17730</v>
          </cell>
          <cell r="BL339">
            <v>2.5</v>
          </cell>
          <cell r="BM339">
            <v>7387.5</v>
          </cell>
          <cell r="BN339">
            <v>2955</v>
          </cell>
          <cell r="BO339">
            <v>1430</v>
          </cell>
          <cell r="BP339">
            <v>1525</v>
          </cell>
          <cell r="BQ339">
            <v>0</v>
          </cell>
          <cell r="BR339">
            <v>2950</v>
          </cell>
          <cell r="BS339">
            <v>1880</v>
          </cell>
          <cell r="BT339">
            <v>730</v>
          </cell>
          <cell r="BU339">
            <v>335</v>
          </cell>
          <cell r="BV339">
            <v>2950</v>
          </cell>
          <cell r="BW339">
            <v>65</v>
          </cell>
          <cell r="BX339">
            <v>665</v>
          </cell>
          <cell r="BY339">
            <v>860</v>
          </cell>
          <cell r="BZ339">
            <v>435</v>
          </cell>
          <cell r="CA339">
            <v>255</v>
          </cell>
          <cell r="CB339">
            <v>320</v>
          </cell>
          <cell r="CC339">
            <v>25</v>
          </cell>
          <cell r="CD339">
            <v>25</v>
          </cell>
          <cell r="CE339">
            <v>300</v>
          </cell>
          <cell r="CF339">
            <v>2955</v>
          </cell>
          <cell r="CG339">
            <v>1145</v>
          </cell>
          <cell r="CH339">
            <v>55</v>
          </cell>
          <cell r="CI339">
            <v>385</v>
          </cell>
          <cell r="CJ339">
            <v>0</v>
          </cell>
          <cell r="CK339">
            <v>970</v>
          </cell>
          <cell r="CL339">
            <v>395</v>
          </cell>
          <cell r="CM339">
            <v>0</v>
          </cell>
          <cell r="CN339">
            <v>0</v>
          </cell>
          <cell r="CO339">
            <v>2955</v>
          </cell>
          <cell r="CP339">
            <v>1045</v>
          </cell>
          <cell r="CQ339">
            <v>865</v>
          </cell>
          <cell r="CR339">
            <v>420</v>
          </cell>
          <cell r="CS339">
            <v>575</v>
          </cell>
          <cell r="CT339">
            <v>50</v>
          </cell>
          <cell r="CU339">
            <v>6820</v>
          </cell>
          <cell r="CV339">
            <v>2.2999999999999998</v>
          </cell>
          <cell r="CW339">
            <v>2955</v>
          </cell>
          <cell r="CX339">
            <v>1845</v>
          </cell>
          <cell r="CY339">
            <v>30</v>
          </cell>
          <cell r="CZ339">
            <v>1080</v>
          </cell>
        </row>
        <row r="340">
          <cell r="A340" t="str">
            <v>4620453.01</v>
          </cell>
          <cell r="B340" t="str">
            <v>0453.01</v>
          </cell>
          <cell r="C340" t="str">
            <v>POINTE-CLAIRE</v>
          </cell>
          <cell r="D340">
            <v>4150</v>
          </cell>
          <cell r="E340">
            <v>1295</v>
          </cell>
          <cell r="F340">
            <v>2255</v>
          </cell>
          <cell r="G340">
            <v>80</v>
          </cell>
          <cell r="H340">
            <v>290</v>
          </cell>
          <cell r="I340">
            <v>225</v>
          </cell>
          <cell r="J340">
            <v>4145</v>
          </cell>
          <cell r="K340">
            <v>3860</v>
          </cell>
          <cell r="L340">
            <v>285</v>
          </cell>
          <cell r="M340">
            <v>1500</v>
          </cell>
          <cell r="N340">
            <v>590</v>
          </cell>
          <cell r="O340">
            <v>355</v>
          </cell>
          <cell r="P340">
            <v>395</v>
          </cell>
          <cell r="Q340">
            <v>155</v>
          </cell>
          <cell r="R340">
            <v>1500</v>
          </cell>
          <cell r="S340">
            <v>1260</v>
          </cell>
          <cell r="T340">
            <v>1120</v>
          </cell>
          <cell r="U340">
            <v>420</v>
          </cell>
          <cell r="V340">
            <v>700</v>
          </cell>
          <cell r="W340">
            <v>235</v>
          </cell>
          <cell r="X340">
            <v>320</v>
          </cell>
          <cell r="Y340">
            <v>150</v>
          </cell>
          <cell r="Z340">
            <v>140</v>
          </cell>
          <cell r="AA340">
            <v>55</v>
          </cell>
          <cell r="AB340">
            <v>85</v>
          </cell>
          <cell r="AC340">
            <v>35</v>
          </cell>
          <cell r="AD340">
            <v>45</v>
          </cell>
          <cell r="AE340">
            <v>10</v>
          </cell>
          <cell r="AF340">
            <v>240</v>
          </cell>
          <cell r="AG340">
            <v>190</v>
          </cell>
          <cell r="AH340">
            <v>100</v>
          </cell>
          <cell r="AI340">
            <v>60</v>
          </cell>
          <cell r="AJ340">
            <v>25</v>
          </cell>
          <cell r="AK340">
            <v>45</v>
          </cell>
          <cell r="AL340">
            <v>15</v>
          </cell>
          <cell r="AM340">
            <v>25</v>
          </cell>
          <cell r="AN340">
            <v>10</v>
          </cell>
          <cell r="AO340">
            <v>1895</v>
          </cell>
          <cell r="AP340">
            <v>300</v>
          </cell>
          <cell r="AQ340">
            <v>685</v>
          </cell>
          <cell r="AR340">
            <v>240</v>
          </cell>
          <cell r="AS340">
            <v>450</v>
          </cell>
          <cell r="AT340">
            <v>215</v>
          </cell>
          <cell r="AU340">
            <v>1.3</v>
          </cell>
          <cell r="AV340">
            <v>5125</v>
          </cell>
          <cell r="AW340">
            <v>470</v>
          </cell>
          <cell r="AX340">
            <v>70</v>
          </cell>
          <cell r="AY340">
            <v>85</v>
          </cell>
          <cell r="AZ340">
            <v>310</v>
          </cell>
          <cell r="BA340">
            <v>4655</v>
          </cell>
          <cell r="BB340">
            <v>3.1</v>
          </cell>
          <cell r="BC340">
            <v>670</v>
          </cell>
          <cell r="BD340">
            <v>170</v>
          </cell>
          <cell r="BE340">
            <v>35</v>
          </cell>
          <cell r="BF340">
            <v>0</v>
          </cell>
          <cell r="BG340">
            <v>135</v>
          </cell>
          <cell r="BH340">
            <v>500</v>
          </cell>
          <cell r="BI340">
            <v>1825</v>
          </cell>
          <cell r="BJ340">
            <v>7.4</v>
          </cell>
          <cell r="BK340">
            <v>13505</v>
          </cell>
          <cell r="BL340">
            <v>3.1</v>
          </cell>
          <cell r="BM340">
            <v>5657.5</v>
          </cell>
          <cell r="BN340">
            <v>1820</v>
          </cell>
          <cell r="BO340">
            <v>1575</v>
          </cell>
          <cell r="BP340">
            <v>245</v>
          </cell>
          <cell r="BQ340">
            <v>0</v>
          </cell>
          <cell r="BR340">
            <v>1825</v>
          </cell>
          <cell r="BS340">
            <v>850</v>
          </cell>
          <cell r="BT340">
            <v>785</v>
          </cell>
          <cell r="BU340">
            <v>185</v>
          </cell>
          <cell r="BV340">
            <v>1825</v>
          </cell>
          <cell r="BW340">
            <v>35</v>
          </cell>
          <cell r="BX340">
            <v>1025</v>
          </cell>
          <cell r="BY340">
            <v>340</v>
          </cell>
          <cell r="BZ340">
            <v>85</v>
          </cell>
          <cell r="CA340">
            <v>55</v>
          </cell>
          <cell r="CB340">
            <v>200</v>
          </cell>
          <cell r="CC340">
            <v>55</v>
          </cell>
          <cell r="CD340">
            <v>20</v>
          </cell>
          <cell r="CE340">
            <v>0</v>
          </cell>
          <cell r="CF340">
            <v>1825</v>
          </cell>
          <cell r="CG340">
            <v>1415</v>
          </cell>
          <cell r="CH340">
            <v>15</v>
          </cell>
          <cell r="CI340">
            <v>180</v>
          </cell>
          <cell r="CJ340">
            <v>5</v>
          </cell>
          <cell r="CK340">
            <v>0</v>
          </cell>
          <cell r="CL340">
            <v>200</v>
          </cell>
          <cell r="CM340">
            <v>0</v>
          </cell>
          <cell r="CN340">
            <v>0</v>
          </cell>
          <cell r="CO340">
            <v>1825</v>
          </cell>
          <cell r="CP340">
            <v>310</v>
          </cell>
          <cell r="CQ340">
            <v>570</v>
          </cell>
          <cell r="CR340">
            <v>340</v>
          </cell>
          <cell r="CS340">
            <v>560</v>
          </cell>
          <cell r="CT340">
            <v>45</v>
          </cell>
          <cell r="CU340">
            <v>5125</v>
          </cell>
          <cell r="CV340">
            <v>2.8</v>
          </cell>
          <cell r="CW340">
            <v>1825</v>
          </cell>
          <cell r="CX340">
            <v>1460</v>
          </cell>
          <cell r="CY340">
            <v>20</v>
          </cell>
          <cell r="CZ340">
            <v>345</v>
          </cell>
        </row>
        <row r="341">
          <cell r="A341" t="str">
            <v>4620453.02</v>
          </cell>
          <cell r="B341" t="str">
            <v>0453.02</v>
          </cell>
          <cell r="C341" t="str">
            <v>POINTE-CLAIRE</v>
          </cell>
          <cell r="D341">
            <v>3360</v>
          </cell>
          <cell r="E341">
            <v>1020</v>
          </cell>
          <cell r="F341">
            <v>1875</v>
          </cell>
          <cell r="G341">
            <v>60</v>
          </cell>
          <cell r="H341">
            <v>285</v>
          </cell>
          <cell r="I341">
            <v>125</v>
          </cell>
          <cell r="J341">
            <v>3360</v>
          </cell>
          <cell r="K341">
            <v>3115</v>
          </cell>
          <cell r="L341">
            <v>245</v>
          </cell>
          <cell r="M341">
            <v>1215</v>
          </cell>
          <cell r="N341">
            <v>395</v>
          </cell>
          <cell r="O341">
            <v>310</v>
          </cell>
          <cell r="P341">
            <v>400</v>
          </cell>
          <cell r="Q341">
            <v>115</v>
          </cell>
          <cell r="R341">
            <v>1220</v>
          </cell>
          <cell r="S341">
            <v>1045</v>
          </cell>
          <cell r="T341">
            <v>925</v>
          </cell>
          <cell r="U341">
            <v>220</v>
          </cell>
          <cell r="V341">
            <v>705</v>
          </cell>
          <cell r="W341">
            <v>255</v>
          </cell>
          <cell r="X341">
            <v>355</v>
          </cell>
          <cell r="Y341">
            <v>95</v>
          </cell>
          <cell r="Z341">
            <v>120</v>
          </cell>
          <cell r="AA341">
            <v>35</v>
          </cell>
          <cell r="AB341">
            <v>80</v>
          </cell>
          <cell r="AC341">
            <v>20</v>
          </cell>
          <cell r="AD341">
            <v>40</v>
          </cell>
          <cell r="AE341">
            <v>15</v>
          </cell>
          <cell r="AF341">
            <v>165</v>
          </cell>
          <cell r="AG341">
            <v>155</v>
          </cell>
          <cell r="AH341">
            <v>115</v>
          </cell>
          <cell r="AI341">
            <v>30</v>
          </cell>
          <cell r="AJ341">
            <v>10</v>
          </cell>
          <cell r="AK341">
            <v>10</v>
          </cell>
          <cell r="AL341">
            <v>10</v>
          </cell>
          <cell r="AM341">
            <v>0</v>
          </cell>
          <cell r="AN341">
            <v>0</v>
          </cell>
          <cell r="AO341">
            <v>1635</v>
          </cell>
          <cell r="AP341">
            <v>300</v>
          </cell>
          <cell r="AQ341">
            <v>615</v>
          </cell>
          <cell r="AR341">
            <v>215</v>
          </cell>
          <cell r="AS341">
            <v>325</v>
          </cell>
          <cell r="AT341">
            <v>170</v>
          </cell>
          <cell r="AU341">
            <v>1.3</v>
          </cell>
          <cell r="AV341">
            <v>4270</v>
          </cell>
          <cell r="AW341">
            <v>370</v>
          </cell>
          <cell r="AX341">
            <v>90</v>
          </cell>
          <cell r="AY341">
            <v>20</v>
          </cell>
          <cell r="AZ341">
            <v>255</v>
          </cell>
          <cell r="BA341">
            <v>3900</v>
          </cell>
          <cell r="BB341">
            <v>3.2</v>
          </cell>
          <cell r="BC341">
            <v>300</v>
          </cell>
          <cell r="BD341">
            <v>120</v>
          </cell>
          <cell r="BE341">
            <v>65</v>
          </cell>
          <cell r="BF341">
            <v>10</v>
          </cell>
          <cell r="BG341">
            <v>50</v>
          </cell>
          <cell r="BH341">
            <v>185</v>
          </cell>
          <cell r="BI341">
            <v>1450</v>
          </cell>
          <cell r="BJ341">
            <v>7</v>
          </cell>
          <cell r="BK341">
            <v>10150</v>
          </cell>
          <cell r="BL341">
            <v>3.1</v>
          </cell>
          <cell r="BM341">
            <v>4495</v>
          </cell>
          <cell r="BN341">
            <v>1450</v>
          </cell>
          <cell r="BO341">
            <v>1295</v>
          </cell>
          <cell r="BP341">
            <v>160</v>
          </cell>
          <cell r="BQ341">
            <v>0</v>
          </cell>
          <cell r="BR341">
            <v>1450</v>
          </cell>
          <cell r="BS341">
            <v>950</v>
          </cell>
          <cell r="BT341">
            <v>455</v>
          </cell>
          <cell r="BU341">
            <v>45</v>
          </cell>
          <cell r="BV341">
            <v>1450</v>
          </cell>
          <cell r="BW341">
            <v>0</v>
          </cell>
          <cell r="BX341">
            <v>50</v>
          </cell>
          <cell r="BY341">
            <v>100</v>
          </cell>
          <cell r="BZ341">
            <v>280</v>
          </cell>
          <cell r="CA341">
            <v>310</v>
          </cell>
          <cell r="CB341">
            <v>210</v>
          </cell>
          <cell r="CC341">
            <v>150</v>
          </cell>
          <cell r="CD341">
            <v>280</v>
          </cell>
          <cell r="CE341">
            <v>70</v>
          </cell>
          <cell r="CF341">
            <v>1450</v>
          </cell>
          <cell r="CG341">
            <v>580</v>
          </cell>
          <cell r="CH341">
            <v>595</v>
          </cell>
          <cell r="CI341">
            <v>160</v>
          </cell>
          <cell r="CJ341">
            <v>0</v>
          </cell>
          <cell r="CK341">
            <v>0</v>
          </cell>
          <cell r="CL341">
            <v>115</v>
          </cell>
          <cell r="CM341">
            <v>0</v>
          </cell>
          <cell r="CN341">
            <v>0</v>
          </cell>
          <cell r="CO341">
            <v>1455</v>
          </cell>
          <cell r="CP341">
            <v>255</v>
          </cell>
          <cell r="CQ341">
            <v>365</v>
          </cell>
          <cell r="CR341">
            <v>300</v>
          </cell>
          <cell r="CS341">
            <v>480</v>
          </cell>
          <cell r="CT341">
            <v>55</v>
          </cell>
          <cell r="CU341">
            <v>4270</v>
          </cell>
          <cell r="CV341">
            <v>2.9</v>
          </cell>
          <cell r="CW341">
            <v>1450</v>
          </cell>
          <cell r="CX341">
            <v>1160</v>
          </cell>
          <cell r="CY341">
            <v>25</v>
          </cell>
          <cell r="CZ341">
            <v>265</v>
          </cell>
        </row>
        <row r="342">
          <cell r="C342" t="str">
            <v>POINTE-CLAIRE</v>
          </cell>
          <cell r="D342">
            <v>24910</v>
          </cell>
          <cell r="E342">
            <v>7715</v>
          </cell>
          <cell r="F342">
            <v>12385</v>
          </cell>
          <cell r="G342">
            <v>525</v>
          </cell>
          <cell r="H342">
            <v>2215</v>
          </cell>
          <cell r="I342">
            <v>2080</v>
          </cell>
          <cell r="J342">
            <v>24905</v>
          </cell>
          <cell r="K342">
            <v>22890</v>
          </cell>
          <cell r="L342">
            <v>2015</v>
          </cell>
          <cell r="M342">
            <v>8410</v>
          </cell>
          <cell r="N342">
            <v>3685</v>
          </cell>
          <cell r="O342">
            <v>1835</v>
          </cell>
          <cell r="P342">
            <v>2050</v>
          </cell>
          <cell r="Q342">
            <v>835</v>
          </cell>
          <cell r="R342">
            <v>8415</v>
          </cell>
          <cell r="S342">
            <v>7080</v>
          </cell>
          <cell r="T342">
            <v>6080</v>
          </cell>
          <cell r="U342">
            <v>2390</v>
          </cell>
          <cell r="V342">
            <v>3690</v>
          </cell>
          <cell r="W342">
            <v>1240</v>
          </cell>
          <cell r="X342">
            <v>1705</v>
          </cell>
          <cell r="Y342">
            <v>740</v>
          </cell>
          <cell r="Z342">
            <v>1000</v>
          </cell>
          <cell r="AA342">
            <v>465</v>
          </cell>
          <cell r="AB342">
            <v>535</v>
          </cell>
          <cell r="AC342">
            <v>220</v>
          </cell>
          <cell r="AD342">
            <v>225</v>
          </cell>
          <cell r="AE342">
            <v>90</v>
          </cell>
          <cell r="AF342">
            <v>1325</v>
          </cell>
          <cell r="AG342">
            <v>1050</v>
          </cell>
          <cell r="AH342">
            <v>635</v>
          </cell>
          <cell r="AI342">
            <v>315</v>
          </cell>
          <cell r="AJ342">
            <v>100</v>
          </cell>
          <cell r="AK342">
            <v>270</v>
          </cell>
          <cell r="AL342">
            <v>185</v>
          </cell>
          <cell r="AM342">
            <v>50</v>
          </cell>
          <cell r="AN342">
            <v>35</v>
          </cell>
          <cell r="AO342">
            <v>9965</v>
          </cell>
          <cell r="AP342">
            <v>1675</v>
          </cell>
          <cell r="AQ342">
            <v>3570</v>
          </cell>
          <cell r="AR342">
            <v>1370</v>
          </cell>
          <cell r="AS342">
            <v>2220</v>
          </cell>
          <cell r="AT342">
            <v>1130</v>
          </cell>
          <cell r="AU342">
            <v>1.184194890077243</v>
          </cell>
          <cell r="AV342">
            <v>29865</v>
          </cell>
          <cell r="AW342">
            <v>4400</v>
          </cell>
          <cell r="AX342">
            <v>450</v>
          </cell>
          <cell r="AY342">
            <v>410</v>
          </cell>
          <cell r="AZ342">
            <v>3525</v>
          </cell>
          <cell r="BA342">
            <v>25465</v>
          </cell>
          <cell r="BB342">
            <v>3.0261437908496731</v>
          </cell>
          <cell r="BC342">
            <v>5175</v>
          </cell>
          <cell r="BD342">
            <v>2120</v>
          </cell>
          <cell r="BE342">
            <v>235</v>
          </cell>
          <cell r="BF342">
            <v>50</v>
          </cell>
          <cell r="BG342">
            <v>1850</v>
          </cell>
          <cell r="BH342">
            <v>3060</v>
          </cell>
          <cell r="BI342">
            <v>12050</v>
          </cell>
          <cell r="BJ342">
            <v>6.6221576763485475</v>
          </cell>
          <cell r="BK342">
            <v>79797</v>
          </cell>
          <cell r="BL342">
            <v>2.759668049792531</v>
          </cell>
          <cell r="BM342">
            <v>33254</v>
          </cell>
          <cell r="BN342">
            <v>12045</v>
          </cell>
          <cell r="BO342">
            <v>8315</v>
          </cell>
          <cell r="BP342">
            <v>3730</v>
          </cell>
          <cell r="BQ342">
            <v>0</v>
          </cell>
          <cell r="BR342">
            <v>12045</v>
          </cell>
          <cell r="BS342">
            <v>7060</v>
          </cell>
          <cell r="BT342">
            <v>3845</v>
          </cell>
          <cell r="BU342">
            <v>1130</v>
          </cell>
          <cell r="BV342">
            <v>12045</v>
          </cell>
          <cell r="BW342">
            <v>1190</v>
          </cell>
          <cell r="BX342">
            <v>3910</v>
          </cell>
          <cell r="BY342">
            <v>2010</v>
          </cell>
          <cell r="BZ342">
            <v>1270</v>
          </cell>
          <cell r="CA342">
            <v>995</v>
          </cell>
          <cell r="CB342">
            <v>1060</v>
          </cell>
          <cell r="CC342">
            <v>385</v>
          </cell>
          <cell r="CD342">
            <v>450</v>
          </cell>
          <cell r="CE342">
            <v>755</v>
          </cell>
          <cell r="CF342">
            <v>12050</v>
          </cell>
          <cell r="CG342">
            <v>6480</v>
          </cell>
          <cell r="CH342">
            <v>845</v>
          </cell>
          <cell r="CI342">
            <v>1215</v>
          </cell>
          <cell r="CJ342">
            <v>80</v>
          </cell>
          <cell r="CK342">
            <v>2170</v>
          </cell>
          <cell r="CL342">
            <v>1240</v>
          </cell>
          <cell r="CM342">
            <v>15</v>
          </cell>
          <cell r="CN342">
            <v>5</v>
          </cell>
          <cell r="CO342">
            <v>12055</v>
          </cell>
          <cell r="CP342">
            <v>3530</v>
          </cell>
          <cell r="CQ342">
            <v>3620</v>
          </cell>
          <cell r="CR342">
            <v>1850</v>
          </cell>
          <cell r="CS342">
            <v>2800</v>
          </cell>
          <cell r="CT342">
            <v>250</v>
          </cell>
          <cell r="CU342">
            <v>29865</v>
          </cell>
          <cell r="CV342">
            <v>2.4773952716715057</v>
          </cell>
          <cell r="CW342">
            <v>12050</v>
          </cell>
          <cell r="CX342">
            <v>8195</v>
          </cell>
          <cell r="CY342">
            <v>100</v>
          </cell>
          <cell r="CZ342">
            <v>3745</v>
          </cell>
        </row>
        <row r="345">
          <cell r="A345" t="str">
            <v>4620290.01</v>
          </cell>
          <cell r="B345" t="str">
            <v>0290.01</v>
          </cell>
          <cell r="C345" t="str">
            <v>Rivière-des-Prairies-Pointe-aux-Trembles</v>
          </cell>
          <cell r="D345">
            <v>1615</v>
          </cell>
          <cell r="E345">
            <v>520</v>
          </cell>
          <cell r="F345">
            <v>780</v>
          </cell>
          <cell r="G345">
            <v>40</v>
          </cell>
          <cell r="H345">
            <v>165</v>
          </cell>
          <cell r="I345">
            <v>105</v>
          </cell>
          <cell r="J345">
            <v>1610</v>
          </cell>
          <cell r="K345">
            <v>1485</v>
          </cell>
          <cell r="L345">
            <v>130</v>
          </cell>
          <cell r="M345">
            <v>540</v>
          </cell>
          <cell r="N345">
            <v>260</v>
          </cell>
          <cell r="O345">
            <v>130</v>
          </cell>
          <cell r="P345">
            <v>100</v>
          </cell>
          <cell r="Q345">
            <v>50</v>
          </cell>
          <cell r="R345">
            <v>540</v>
          </cell>
          <cell r="S345">
            <v>440</v>
          </cell>
          <cell r="T345">
            <v>400</v>
          </cell>
          <cell r="U345">
            <v>190</v>
          </cell>
          <cell r="V345">
            <v>205</v>
          </cell>
          <cell r="W345">
            <v>75</v>
          </cell>
          <cell r="X345">
            <v>85</v>
          </cell>
          <cell r="Y345">
            <v>40</v>
          </cell>
          <cell r="Z345">
            <v>40</v>
          </cell>
          <cell r="AA345">
            <v>15</v>
          </cell>
          <cell r="AB345">
            <v>25</v>
          </cell>
          <cell r="AC345">
            <v>10</v>
          </cell>
          <cell r="AD345">
            <v>10</v>
          </cell>
          <cell r="AE345">
            <v>10</v>
          </cell>
          <cell r="AF345">
            <v>100</v>
          </cell>
          <cell r="AG345">
            <v>95</v>
          </cell>
          <cell r="AH345">
            <v>50</v>
          </cell>
          <cell r="AI345">
            <v>45</v>
          </cell>
          <cell r="AJ345">
            <v>0</v>
          </cell>
          <cell r="AK345">
            <v>0</v>
          </cell>
          <cell r="AL345">
            <v>0</v>
          </cell>
          <cell r="AM345">
            <v>0</v>
          </cell>
          <cell r="AN345">
            <v>0</v>
          </cell>
          <cell r="AO345">
            <v>600</v>
          </cell>
          <cell r="AP345">
            <v>135</v>
          </cell>
          <cell r="AQ345">
            <v>180</v>
          </cell>
          <cell r="AR345">
            <v>75</v>
          </cell>
          <cell r="AS345">
            <v>130</v>
          </cell>
          <cell r="AT345">
            <v>80</v>
          </cell>
          <cell r="AU345">
            <v>1.1000000000000001</v>
          </cell>
          <cell r="AV345">
            <v>1895</v>
          </cell>
          <cell r="AW345">
            <v>315</v>
          </cell>
          <cell r="AX345">
            <v>55</v>
          </cell>
          <cell r="AY345">
            <v>45</v>
          </cell>
          <cell r="AZ345">
            <v>210</v>
          </cell>
          <cell r="BA345">
            <v>1585</v>
          </cell>
          <cell r="BB345">
            <v>2.9</v>
          </cell>
          <cell r="BC345">
            <v>305</v>
          </cell>
          <cell r="BD345">
            <v>115</v>
          </cell>
          <cell r="BE345">
            <v>55</v>
          </cell>
          <cell r="BF345">
            <v>10</v>
          </cell>
          <cell r="BG345">
            <v>50</v>
          </cell>
          <cell r="BH345">
            <v>190</v>
          </cell>
          <cell r="BI345">
            <v>760</v>
          </cell>
          <cell r="BJ345">
            <v>5.7</v>
          </cell>
          <cell r="BK345">
            <v>4332</v>
          </cell>
          <cell r="BL345">
            <v>2.5</v>
          </cell>
          <cell r="BM345">
            <v>1900</v>
          </cell>
          <cell r="BN345">
            <v>760</v>
          </cell>
          <cell r="BO345">
            <v>490</v>
          </cell>
          <cell r="BP345">
            <v>270</v>
          </cell>
          <cell r="BQ345">
            <v>0</v>
          </cell>
          <cell r="BR345">
            <v>760</v>
          </cell>
          <cell r="BS345">
            <v>455</v>
          </cell>
          <cell r="BT345">
            <v>275</v>
          </cell>
          <cell r="BU345">
            <v>30</v>
          </cell>
          <cell r="BV345">
            <v>760</v>
          </cell>
          <cell r="BW345">
            <v>0</v>
          </cell>
          <cell r="BX345">
            <v>0</v>
          </cell>
          <cell r="BY345">
            <v>20</v>
          </cell>
          <cell r="BZ345">
            <v>205</v>
          </cell>
          <cell r="CA345">
            <v>150</v>
          </cell>
          <cell r="CB345">
            <v>230</v>
          </cell>
          <cell r="CC345">
            <v>90</v>
          </cell>
          <cell r="CD345">
            <v>40</v>
          </cell>
          <cell r="CE345">
            <v>15</v>
          </cell>
          <cell r="CF345">
            <v>760</v>
          </cell>
          <cell r="CG345">
            <v>195</v>
          </cell>
          <cell r="CH345">
            <v>125</v>
          </cell>
          <cell r="CI345">
            <v>25</v>
          </cell>
          <cell r="CJ345">
            <v>0</v>
          </cell>
          <cell r="CK345">
            <v>0</v>
          </cell>
          <cell r="CL345">
            <v>405</v>
          </cell>
          <cell r="CM345">
            <v>10</v>
          </cell>
          <cell r="CN345">
            <v>0</v>
          </cell>
          <cell r="CO345">
            <v>760</v>
          </cell>
          <cell r="CP345">
            <v>200</v>
          </cell>
          <cell r="CQ345">
            <v>245</v>
          </cell>
          <cell r="CR345">
            <v>140</v>
          </cell>
          <cell r="CS345">
            <v>160</v>
          </cell>
          <cell r="CT345">
            <v>15</v>
          </cell>
          <cell r="CU345">
            <v>1895</v>
          </cell>
          <cell r="CV345">
            <v>2.5</v>
          </cell>
          <cell r="CW345">
            <v>760</v>
          </cell>
          <cell r="CX345">
            <v>495</v>
          </cell>
          <cell r="CY345">
            <v>25</v>
          </cell>
          <cell r="CZ345">
            <v>245</v>
          </cell>
        </row>
        <row r="346">
          <cell r="A346" t="str">
            <v>4620290.02</v>
          </cell>
          <cell r="B346" t="str">
            <v>0290.02</v>
          </cell>
          <cell r="C346" t="str">
            <v>Rivière-des-Prairies-Pointe-aux-Trembles</v>
          </cell>
          <cell r="D346">
            <v>5010</v>
          </cell>
          <cell r="E346">
            <v>1745</v>
          </cell>
          <cell r="F346">
            <v>2570</v>
          </cell>
          <cell r="G346">
            <v>115</v>
          </cell>
          <cell r="H346">
            <v>315</v>
          </cell>
          <cell r="I346">
            <v>265</v>
          </cell>
          <cell r="J346">
            <v>5005</v>
          </cell>
          <cell r="K346">
            <v>4705</v>
          </cell>
          <cell r="L346">
            <v>305</v>
          </cell>
          <cell r="M346">
            <v>1735</v>
          </cell>
          <cell r="N346">
            <v>660</v>
          </cell>
          <cell r="O346">
            <v>390</v>
          </cell>
          <cell r="P346">
            <v>530</v>
          </cell>
          <cell r="Q346">
            <v>150</v>
          </cell>
          <cell r="R346">
            <v>1740</v>
          </cell>
          <cell r="S346">
            <v>1420</v>
          </cell>
          <cell r="T346">
            <v>1270</v>
          </cell>
          <cell r="U346">
            <v>375</v>
          </cell>
          <cell r="V346">
            <v>895</v>
          </cell>
          <cell r="W346">
            <v>280</v>
          </cell>
          <cell r="X346">
            <v>485</v>
          </cell>
          <cell r="Y346">
            <v>125</v>
          </cell>
          <cell r="Z346">
            <v>155</v>
          </cell>
          <cell r="AA346">
            <v>110</v>
          </cell>
          <cell r="AB346">
            <v>40</v>
          </cell>
          <cell r="AC346">
            <v>10</v>
          </cell>
          <cell r="AD346">
            <v>15</v>
          </cell>
          <cell r="AE346">
            <v>10</v>
          </cell>
          <cell r="AF346">
            <v>315</v>
          </cell>
          <cell r="AG346">
            <v>255</v>
          </cell>
          <cell r="AH346">
            <v>145</v>
          </cell>
          <cell r="AI346">
            <v>65</v>
          </cell>
          <cell r="AJ346">
            <v>40</v>
          </cell>
          <cell r="AK346">
            <v>60</v>
          </cell>
          <cell r="AL346">
            <v>30</v>
          </cell>
          <cell r="AM346">
            <v>30</v>
          </cell>
          <cell r="AN346">
            <v>0</v>
          </cell>
          <cell r="AO346">
            <v>2285</v>
          </cell>
          <cell r="AP346">
            <v>365</v>
          </cell>
          <cell r="AQ346">
            <v>685</v>
          </cell>
          <cell r="AR346">
            <v>250</v>
          </cell>
          <cell r="AS346">
            <v>540</v>
          </cell>
          <cell r="AT346">
            <v>445</v>
          </cell>
          <cell r="AU346">
            <v>1.3</v>
          </cell>
          <cell r="AV346">
            <v>6045</v>
          </cell>
          <cell r="AW346">
            <v>600</v>
          </cell>
          <cell r="AX346">
            <v>155</v>
          </cell>
          <cell r="AY346">
            <v>50</v>
          </cell>
          <cell r="AZ346">
            <v>395</v>
          </cell>
          <cell r="BA346">
            <v>5450</v>
          </cell>
          <cell r="BB346">
            <v>3.1</v>
          </cell>
          <cell r="BC346">
            <v>685</v>
          </cell>
          <cell r="BD346">
            <v>210</v>
          </cell>
          <cell r="BE346">
            <v>80</v>
          </cell>
          <cell r="BF346">
            <v>10</v>
          </cell>
          <cell r="BG346">
            <v>115</v>
          </cell>
          <cell r="BH346">
            <v>475</v>
          </cell>
          <cell r="BI346">
            <v>2125</v>
          </cell>
          <cell r="BJ346">
            <v>5.8</v>
          </cell>
          <cell r="BK346">
            <v>12325</v>
          </cell>
          <cell r="BL346">
            <v>2.6</v>
          </cell>
          <cell r="BM346">
            <v>5525</v>
          </cell>
          <cell r="BN346">
            <v>2125</v>
          </cell>
          <cell r="BO346">
            <v>1430</v>
          </cell>
          <cell r="BP346">
            <v>695</v>
          </cell>
          <cell r="BQ346">
            <v>0</v>
          </cell>
          <cell r="BR346">
            <v>2125</v>
          </cell>
          <cell r="BS346">
            <v>1460</v>
          </cell>
          <cell r="BT346">
            <v>580</v>
          </cell>
          <cell r="BU346">
            <v>80</v>
          </cell>
          <cell r="BV346">
            <v>2120</v>
          </cell>
          <cell r="BW346">
            <v>0</v>
          </cell>
          <cell r="BX346">
            <v>35</v>
          </cell>
          <cell r="BY346">
            <v>120</v>
          </cell>
          <cell r="BZ346">
            <v>510</v>
          </cell>
          <cell r="CA346">
            <v>570</v>
          </cell>
          <cell r="CB346">
            <v>535</v>
          </cell>
          <cell r="CC346">
            <v>145</v>
          </cell>
          <cell r="CD346">
            <v>75</v>
          </cell>
          <cell r="CE346">
            <v>125</v>
          </cell>
          <cell r="CF346">
            <v>2125</v>
          </cell>
          <cell r="CG346">
            <v>220</v>
          </cell>
          <cell r="CH346">
            <v>765</v>
          </cell>
          <cell r="CI346">
            <v>130</v>
          </cell>
          <cell r="CJ346">
            <v>5</v>
          </cell>
          <cell r="CK346">
            <v>0</v>
          </cell>
          <cell r="CL346">
            <v>1000</v>
          </cell>
          <cell r="CM346">
            <v>0</v>
          </cell>
          <cell r="CN346">
            <v>0</v>
          </cell>
          <cell r="CO346">
            <v>2120</v>
          </cell>
          <cell r="CP346">
            <v>390</v>
          </cell>
          <cell r="CQ346">
            <v>595</v>
          </cell>
          <cell r="CR346">
            <v>400</v>
          </cell>
          <cell r="CS346">
            <v>665</v>
          </cell>
          <cell r="CT346">
            <v>65</v>
          </cell>
          <cell r="CU346">
            <v>6045</v>
          </cell>
          <cell r="CV346">
            <v>2.9</v>
          </cell>
          <cell r="CW346">
            <v>2125</v>
          </cell>
          <cell r="CX346">
            <v>1645</v>
          </cell>
          <cell r="CY346">
            <v>45</v>
          </cell>
          <cell r="CZ346">
            <v>430</v>
          </cell>
        </row>
        <row r="347">
          <cell r="A347" t="str">
            <v>4620290.03</v>
          </cell>
          <cell r="B347" t="str">
            <v>0290.03</v>
          </cell>
          <cell r="C347" t="str">
            <v>Rivière-des-Prairies-Pointe-aux-Trembles</v>
          </cell>
          <cell r="D347">
            <v>3430</v>
          </cell>
          <cell r="E347">
            <v>1295</v>
          </cell>
          <cell r="F347">
            <v>1460</v>
          </cell>
          <cell r="G347">
            <v>100</v>
          </cell>
          <cell r="H347">
            <v>390</v>
          </cell>
          <cell r="I347">
            <v>200</v>
          </cell>
          <cell r="J347">
            <v>3430</v>
          </cell>
          <cell r="K347">
            <v>3050</v>
          </cell>
          <cell r="L347">
            <v>380</v>
          </cell>
          <cell r="M347">
            <v>1270</v>
          </cell>
          <cell r="N347">
            <v>575</v>
          </cell>
          <cell r="O347">
            <v>335</v>
          </cell>
          <cell r="P347">
            <v>275</v>
          </cell>
          <cell r="Q347">
            <v>75</v>
          </cell>
          <cell r="R347">
            <v>1270</v>
          </cell>
          <cell r="S347">
            <v>915</v>
          </cell>
          <cell r="T347">
            <v>700</v>
          </cell>
          <cell r="U347">
            <v>230</v>
          </cell>
          <cell r="V347">
            <v>470</v>
          </cell>
          <cell r="W347">
            <v>200</v>
          </cell>
          <cell r="X347">
            <v>205</v>
          </cell>
          <cell r="Y347">
            <v>65</v>
          </cell>
          <cell r="Z347">
            <v>215</v>
          </cell>
          <cell r="AA347">
            <v>140</v>
          </cell>
          <cell r="AB347">
            <v>75</v>
          </cell>
          <cell r="AC347">
            <v>50</v>
          </cell>
          <cell r="AD347">
            <v>20</v>
          </cell>
          <cell r="AE347">
            <v>10</v>
          </cell>
          <cell r="AF347">
            <v>355</v>
          </cell>
          <cell r="AG347">
            <v>330</v>
          </cell>
          <cell r="AH347">
            <v>190</v>
          </cell>
          <cell r="AI347">
            <v>85</v>
          </cell>
          <cell r="AJ347">
            <v>50</v>
          </cell>
          <cell r="AK347">
            <v>20</v>
          </cell>
          <cell r="AL347">
            <v>15</v>
          </cell>
          <cell r="AM347">
            <v>0</v>
          </cell>
          <cell r="AN347">
            <v>0</v>
          </cell>
          <cell r="AO347">
            <v>1495</v>
          </cell>
          <cell r="AP347">
            <v>275</v>
          </cell>
          <cell r="AQ347">
            <v>520</v>
          </cell>
          <cell r="AR347">
            <v>195</v>
          </cell>
          <cell r="AS347">
            <v>290</v>
          </cell>
          <cell r="AT347">
            <v>220</v>
          </cell>
          <cell r="AU347">
            <v>1.2</v>
          </cell>
          <cell r="AV347">
            <v>4240</v>
          </cell>
          <cell r="AW347">
            <v>565</v>
          </cell>
          <cell r="AX347">
            <v>100</v>
          </cell>
          <cell r="AY347">
            <v>50</v>
          </cell>
          <cell r="AZ347">
            <v>415</v>
          </cell>
          <cell r="BA347">
            <v>3680</v>
          </cell>
          <cell r="BB347">
            <v>2.9</v>
          </cell>
          <cell r="BC347">
            <v>455</v>
          </cell>
          <cell r="BD347">
            <v>135</v>
          </cell>
          <cell r="BE347">
            <v>55</v>
          </cell>
          <cell r="BF347">
            <v>10</v>
          </cell>
          <cell r="BG347">
            <v>70</v>
          </cell>
          <cell r="BH347">
            <v>320</v>
          </cell>
          <cell r="BI347">
            <v>1680</v>
          </cell>
          <cell r="BJ347">
            <v>5.4</v>
          </cell>
          <cell r="BK347">
            <v>9072</v>
          </cell>
          <cell r="BL347">
            <v>2.4</v>
          </cell>
          <cell r="BM347">
            <v>4032</v>
          </cell>
          <cell r="BN347">
            <v>1680</v>
          </cell>
          <cell r="BO347">
            <v>910</v>
          </cell>
          <cell r="BP347">
            <v>770</v>
          </cell>
          <cell r="BQ347">
            <v>0</v>
          </cell>
          <cell r="BR347">
            <v>1680</v>
          </cell>
          <cell r="BS347">
            <v>1190</v>
          </cell>
          <cell r="BT347">
            <v>400</v>
          </cell>
          <cell r="BU347">
            <v>85</v>
          </cell>
          <cell r="BV347">
            <v>1680</v>
          </cell>
          <cell r="BW347">
            <v>10</v>
          </cell>
          <cell r="BX347">
            <v>30</v>
          </cell>
          <cell r="BY347">
            <v>45</v>
          </cell>
          <cell r="BZ347">
            <v>240</v>
          </cell>
          <cell r="CA347">
            <v>285</v>
          </cell>
          <cell r="CB347">
            <v>560</v>
          </cell>
          <cell r="CC347">
            <v>320</v>
          </cell>
          <cell r="CD347">
            <v>130</v>
          </cell>
          <cell r="CE347">
            <v>60</v>
          </cell>
          <cell r="CF347">
            <v>1680</v>
          </cell>
          <cell r="CG347">
            <v>190</v>
          </cell>
          <cell r="CH347">
            <v>85</v>
          </cell>
          <cell r="CI347">
            <v>150</v>
          </cell>
          <cell r="CJ347">
            <v>5</v>
          </cell>
          <cell r="CK347">
            <v>0</v>
          </cell>
          <cell r="CL347">
            <v>1245</v>
          </cell>
          <cell r="CM347">
            <v>0</v>
          </cell>
          <cell r="CN347">
            <v>0</v>
          </cell>
          <cell r="CO347">
            <v>1680</v>
          </cell>
          <cell r="CP347">
            <v>425</v>
          </cell>
          <cell r="CQ347">
            <v>540</v>
          </cell>
          <cell r="CR347">
            <v>310</v>
          </cell>
          <cell r="CS347">
            <v>360</v>
          </cell>
          <cell r="CT347">
            <v>40</v>
          </cell>
          <cell r="CU347">
            <v>4240</v>
          </cell>
          <cell r="CV347">
            <v>2.5</v>
          </cell>
          <cell r="CW347">
            <v>1680</v>
          </cell>
          <cell r="CX347">
            <v>1225</v>
          </cell>
          <cell r="CY347">
            <v>25</v>
          </cell>
          <cell r="CZ347">
            <v>435</v>
          </cell>
        </row>
        <row r="348">
          <cell r="A348" t="str">
            <v>4620290.04</v>
          </cell>
          <cell r="B348" t="str">
            <v>0290.04</v>
          </cell>
          <cell r="C348" t="str">
            <v>Rivière-des-Prairies-Pointe-aux-Trembles</v>
          </cell>
          <cell r="D348">
            <v>5180</v>
          </cell>
          <cell r="E348">
            <v>2000</v>
          </cell>
          <cell r="F348">
            <v>2435</v>
          </cell>
          <cell r="G348">
            <v>135</v>
          </cell>
          <cell r="H348">
            <v>415</v>
          </cell>
          <cell r="I348">
            <v>195</v>
          </cell>
          <cell r="J348">
            <v>5180</v>
          </cell>
          <cell r="K348">
            <v>4675</v>
          </cell>
          <cell r="L348">
            <v>510</v>
          </cell>
          <cell r="M348">
            <v>1820</v>
          </cell>
          <cell r="N348">
            <v>665</v>
          </cell>
          <cell r="O348">
            <v>480</v>
          </cell>
          <cell r="P348">
            <v>460</v>
          </cell>
          <cell r="Q348">
            <v>220</v>
          </cell>
          <cell r="R348">
            <v>1825</v>
          </cell>
          <cell r="S348">
            <v>1475</v>
          </cell>
          <cell r="T348">
            <v>1195</v>
          </cell>
          <cell r="U348">
            <v>360</v>
          </cell>
          <cell r="V348">
            <v>835</v>
          </cell>
          <cell r="W348">
            <v>295</v>
          </cell>
          <cell r="X348">
            <v>380</v>
          </cell>
          <cell r="Y348">
            <v>165</v>
          </cell>
          <cell r="Z348">
            <v>280</v>
          </cell>
          <cell r="AA348">
            <v>115</v>
          </cell>
          <cell r="AB348">
            <v>160</v>
          </cell>
          <cell r="AC348">
            <v>60</v>
          </cell>
          <cell r="AD348">
            <v>80</v>
          </cell>
          <cell r="AE348">
            <v>25</v>
          </cell>
          <cell r="AF348">
            <v>345</v>
          </cell>
          <cell r="AG348">
            <v>285</v>
          </cell>
          <cell r="AH348">
            <v>135</v>
          </cell>
          <cell r="AI348">
            <v>110</v>
          </cell>
          <cell r="AJ348">
            <v>35</v>
          </cell>
          <cell r="AK348">
            <v>65</v>
          </cell>
          <cell r="AL348">
            <v>45</v>
          </cell>
          <cell r="AM348">
            <v>15</v>
          </cell>
          <cell r="AN348">
            <v>0</v>
          </cell>
          <cell r="AO348">
            <v>2485</v>
          </cell>
          <cell r="AP348">
            <v>465</v>
          </cell>
          <cell r="AQ348">
            <v>800</v>
          </cell>
          <cell r="AR348">
            <v>255</v>
          </cell>
          <cell r="AS348">
            <v>585</v>
          </cell>
          <cell r="AT348">
            <v>380</v>
          </cell>
          <cell r="AU348">
            <v>1.4</v>
          </cell>
          <cell r="AV348">
            <v>6470</v>
          </cell>
          <cell r="AW348">
            <v>680</v>
          </cell>
          <cell r="AX348">
            <v>190</v>
          </cell>
          <cell r="AY348">
            <v>85</v>
          </cell>
          <cell r="AZ348">
            <v>405</v>
          </cell>
          <cell r="BA348">
            <v>5785</v>
          </cell>
          <cell r="BB348">
            <v>3.2</v>
          </cell>
          <cell r="BC348">
            <v>575</v>
          </cell>
          <cell r="BD348">
            <v>160</v>
          </cell>
          <cell r="BE348">
            <v>60</v>
          </cell>
          <cell r="BF348">
            <v>20</v>
          </cell>
          <cell r="BG348">
            <v>75</v>
          </cell>
          <cell r="BH348">
            <v>420</v>
          </cell>
          <cell r="BI348">
            <v>2210</v>
          </cell>
          <cell r="BJ348">
            <v>6</v>
          </cell>
          <cell r="BK348">
            <v>13260</v>
          </cell>
          <cell r="BL348">
            <v>2.7</v>
          </cell>
          <cell r="BM348">
            <v>5967</v>
          </cell>
          <cell r="BN348">
            <v>2210</v>
          </cell>
          <cell r="BO348">
            <v>1530</v>
          </cell>
          <cell r="BP348">
            <v>680</v>
          </cell>
          <cell r="BQ348">
            <v>0</v>
          </cell>
          <cell r="BR348">
            <v>2215</v>
          </cell>
          <cell r="BS348">
            <v>1520</v>
          </cell>
          <cell r="BT348">
            <v>515</v>
          </cell>
          <cell r="BU348">
            <v>175</v>
          </cell>
          <cell r="BV348">
            <v>2210</v>
          </cell>
          <cell r="BW348">
            <v>95</v>
          </cell>
          <cell r="BX348">
            <v>225</v>
          </cell>
          <cell r="BY348">
            <v>110</v>
          </cell>
          <cell r="BZ348">
            <v>290</v>
          </cell>
          <cell r="CA348">
            <v>410</v>
          </cell>
          <cell r="CB348">
            <v>630</v>
          </cell>
          <cell r="CC348">
            <v>280</v>
          </cell>
          <cell r="CD348">
            <v>65</v>
          </cell>
          <cell r="CE348">
            <v>115</v>
          </cell>
          <cell r="CF348">
            <v>2205</v>
          </cell>
          <cell r="CG348">
            <v>885</v>
          </cell>
          <cell r="CH348">
            <v>475</v>
          </cell>
          <cell r="CI348">
            <v>25</v>
          </cell>
          <cell r="CJ348">
            <v>100</v>
          </cell>
          <cell r="CK348">
            <v>0</v>
          </cell>
          <cell r="CL348">
            <v>710</v>
          </cell>
          <cell r="CM348">
            <v>0</v>
          </cell>
          <cell r="CN348">
            <v>0</v>
          </cell>
          <cell r="CO348">
            <v>2205</v>
          </cell>
          <cell r="CP348">
            <v>380</v>
          </cell>
          <cell r="CQ348">
            <v>595</v>
          </cell>
          <cell r="CR348">
            <v>440</v>
          </cell>
          <cell r="CS348">
            <v>700</v>
          </cell>
          <cell r="CT348">
            <v>95</v>
          </cell>
          <cell r="CU348">
            <v>6505</v>
          </cell>
          <cell r="CV348">
            <v>3</v>
          </cell>
          <cell r="CW348">
            <v>2210</v>
          </cell>
          <cell r="CX348">
            <v>1715</v>
          </cell>
          <cell r="CY348">
            <v>55</v>
          </cell>
          <cell r="CZ348">
            <v>445</v>
          </cell>
        </row>
        <row r="349">
          <cell r="A349" t="str">
            <v>4620290.05</v>
          </cell>
          <cell r="B349" t="str">
            <v>0290.05</v>
          </cell>
          <cell r="C349" t="str">
            <v>Rivière-des-Prairies-Pointe-aux-Trembles</v>
          </cell>
          <cell r="D349">
            <v>5565</v>
          </cell>
          <cell r="E349">
            <v>1615</v>
          </cell>
          <cell r="F349">
            <v>2115</v>
          </cell>
          <cell r="G349">
            <v>120</v>
          </cell>
          <cell r="H349">
            <v>470</v>
          </cell>
          <cell r="I349">
            <v>1245</v>
          </cell>
          <cell r="J349">
            <v>5565</v>
          </cell>
          <cell r="K349">
            <v>5125</v>
          </cell>
          <cell r="L349">
            <v>445</v>
          </cell>
          <cell r="M349">
            <v>1440</v>
          </cell>
          <cell r="N349">
            <v>875</v>
          </cell>
          <cell r="O349">
            <v>250</v>
          </cell>
          <cell r="P349">
            <v>175</v>
          </cell>
          <cell r="Q349">
            <v>135</v>
          </cell>
          <cell r="R349">
            <v>1440</v>
          </cell>
          <cell r="S349">
            <v>1215</v>
          </cell>
          <cell r="T349">
            <v>995</v>
          </cell>
          <cell r="U349">
            <v>590</v>
          </cell>
          <cell r="V349">
            <v>400</v>
          </cell>
          <cell r="W349">
            <v>150</v>
          </cell>
          <cell r="X349">
            <v>140</v>
          </cell>
          <cell r="Y349">
            <v>105</v>
          </cell>
          <cell r="Z349">
            <v>220</v>
          </cell>
          <cell r="AA349">
            <v>150</v>
          </cell>
          <cell r="AB349">
            <v>70</v>
          </cell>
          <cell r="AC349">
            <v>30</v>
          </cell>
          <cell r="AD349">
            <v>25</v>
          </cell>
          <cell r="AE349">
            <v>10</v>
          </cell>
          <cell r="AF349">
            <v>225</v>
          </cell>
          <cell r="AG349">
            <v>195</v>
          </cell>
          <cell r="AH349">
            <v>100</v>
          </cell>
          <cell r="AI349">
            <v>60</v>
          </cell>
          <cell r="AJ349">
            <v>30</v>
          </cell>
          <cell r="AK349">
            <v>30</v>
          </cell>
          <cell r="AL349">
            <v>25</v>
          </cell>
          <cell r="AM349">
            <v>0</v>
          </cell>
          <cell r="AN349">
            <v>0</v>
          </cell>
          <cell r="AO349">
            <v>1310</v>
          </cell>
          <cell r="AP349">
            <v>240</v>
          </cell>
          <cell r="AQ349">
            <v>405</v>
          </cell>
          <cell r="AR349">
            <v>120</v>
          </cell>
          <cell r="AS349">
            <v>340</v>
          </cell>
          <cell r="AT349">
            <v>210</v>
          </cell>
          <cell r="AU349">
            <v>0.9</v>
          </cell>
          <cell r="AV349">
            <v>5780</v>
          </cell>
          <cell r="AW349">
            <v>1810</v>
          </cell>
          <cell r="AX349">
            <v>120</v>
          </cell>
          <cell r="AY349">
            <v>200</v>
          </cell>
          <cell r="AZ349">
            <v>1485</v>
          </cell>
          <cell r="BA349">
            <v>3965</v>
          </cell>
          <cell r="BB349">
            <v>2.8</v>
          </cell>
          <cell r="BC349">
            <v>2335</v>
          </cell>
          <cell r="BD349">
            <v>1315</v>
          </cell>
          <cell r="BE349">
            <v>55</v>
          </cell>
          <cell r="BF349">
            <v>60</v>
          </cell>
          <cell r="BG349">
            <v>1195</v>
          </cell>
          <cell r="BH349">
            <v>1020</v>
          </cell>
          <cell r="BI349">
            <v>3040</v>
          </cell>
          <cell r="BJ349">
            <v>4.4000000000000004</v>
          </cell>
          <cell r="BK349">
            <v>13376.000000000002</v>
          </cell>
          <cell r="BL349">
            <v>1.7</v>
          </cell>
          <cell r="BM349">
            <v>5168</v>
          </cell>
          <cell r="BN349">
            <v>3040</v>
          </cell>
          <cell r="BO349">
            <v>1115</v>
          </cell>
          <cell r="BP349">
            <v>1925</v>
          </cell>
          <cell r="BQ349">
            <v>0</v>
          </cell>
          <cell r="BR349">
            <v>3040</v>
          </cell>
          <cell r="BS349">
            <v>2505</v>
          </cell>
          <cell r="BT349">
            <v>470</v>
          </cell>
          <cell r="BU349">
            <v>65</v>
          </cell>
          <cell r="BV349">
            <v>3040</v>
          </cell>
          <cell r="BW349">
            <v>30</v>
          </cell>
          <cell r="BX349">
            <v>105</v>
          </cell>
          <cell r="BY349">
            <v>85</v>
          </cell>
          <cell r="BZ349">
            <v>320</v>
          </cell>
          <cell r="CA349">
            <v>685</v>
          </cell>
          <cell r="CB349">
            <v>640</v>
          </cell>
          <cell r="CC349">
            <v>255</v>
          </cell>
          <cell r="CD349">
            <v>495</v>
          </cell>
          <cell r="CE349">
            <v>415</v>
          </cell>
          <cell r="CF349">
            <v>3040</v>
          </cell>
          <cell r="CG349">
            <v>320</v>
          </cell>
          <cell r="CH349">
            <v>105</v>
          </cell>
          <cell r="CI349">
            <v>285</v>
          </cell>
          <cell r="CJ349">
            <v>5</v>
          </cell>
          <cell r="CK349">
            <v>1515</v>
          </cell>
          <cell r="CL349">
            <v>800</v>
          </cell>
          <cell r="CM349">
            <v>0</v>
          </cell>
          <cell r="CN349">
            <v>0</v>
          </cell>
          <cell r="CO349">
            <v>3040</v>
          </cell>
          <cell r="CP349">
            <v>1505</v>
          </cell>
          <cell r="CQ349">
            <v>925</v>
          </cell>
          <cell r="CR349">
            <v>260</v>
          </cell>
          <cell r="CS349">
            <v>295</v>
          </cell>
          <cell r="CT349">
            <v>55</v>
          </cell>
          <cell r="CU349">
            <v>5780</v>
          </cell>
          <cell r="CV349">
            <v>1.9</v>
          </cell>
          <cell r="CW349">
            <v>3040</v>
          </cell>
          <cell r="CX349">
            <v>1410</v>
          </cell>
          <cell r="CY349">
            <v>15</v>
          </cell>
          <cell r="CZ349">
            <v>1615</v>
          </cell>
        </row>
        <row r="350">
          <cell r="A350" t="str">
            <v>4620290.06</v>
          </cell>
          <cell r="B350" t="str">
            <v>0290.06</v>
          </cell>
          <cell r="C350" t="str">
            <v>Rivière-des-Prairies-Pointe-aux-Trembles</v>
          </cell>
          <cell r="D350">
            <v>4920</v>
          </cell>
          <cell r="E350">
            <v>1825</v>
          </cell>
          <cell r="F350">
            <v>2375</v>
          </cell>
          <cell r="G350">
            <v>115</v>
          </cell>
          <cell r="H350">
            <v>375</v>
          </cell>
          <cell r="I350">
            <v>225</v>
          </cell>
          <cell r="J350">
            <v>4920</v>
          </cell>
          <cell r="K350">
            <v>4630</v>
          </cell>
          <cell r="L350">
            <v>290</v>
          </cell>
          <cell r="M350">
            <v>1660</v>
          </cell>
          <cell r="N350">
            <v>570</v>
          </cell>
          <cell r="O350">
            <v>455</v>
          </cell>
          <cell r="P350">
            <v>405</v>
          </cell>
          <cell r="Q350">
            <v>230</v>
          </cell>
          <cell r="R350">
            <v>1660</v>
          </cell>
          <cell r="S350">
            <v>1320</v>
          </cell>
          <cell r="T350">
            <v>1170</v>
          </cell>
          <cell r="U350">
            <v>325</v>
          </cell>
          <cell r="V350">
            <v>840</v>
          </cell>
          <cell r="W350">
            <v>310</v>
          </cell>
          <cell r="X350">
            <v>335</v>
          </cell>
          <cell r="Y350">
            <v>200</v>
          </cell>
          <cell r="Z350">
            <v>150</v>
          </cell>
          <cell r="AA350">
            <v>65</v>
          </cell>
          <cell r="AB350">
            <v>85</v>
          </cell>
          <cell r="AC350">
            <v>40</v>
          </cell>
          <cell r="AD350">
            <v>30</v>
          </cell>
          <cell r="AE350">
            <v>15</v>
          </cell>
          <cell r="AF350">
            <v>340</v>
          </cell>
          <cell r="AG350">
            <v>320</v>
          </cell>
          <cell r="AH350">
            <v>170</v>
          </cell>
          <cell r="AI350">
            <v>95</v>
          </cell>
          <cell r="AJ350">
            <v>50</v>
          </cell>
          <cell r="AK350">
            <v>15</v>
          </cell>
          <cell r="AL350">
            <v>10</v>
          </cell>
          <cell r="AM350">
            <v>0</v>
          </cell>
          <cell r="AN350">
            <v>10</v>
          </cell>
          <cell r="AO350">
            <v>2405</v>
          </cell>
          <cell r="AP350">
            <v>360</v>
          </cell>
          <cell r="AQ350">
            <v>700</v>
          </cell>
          <cell r="AR350">
            <v>315</v>
          </cell>
          <cell r="AS350">
            <v>565</v>
          </cell>
          <cell r="AT350">
            <v>460</v>
          </cell>
          <cell r="AU350">
            <v>1.4</v>
          </cell>
          <cell r="AV350">
            <v>5975</v>
          </cell>
          <cell r="AW350">
            <v>585</v>
          </cell>
          <cell r="AX350">
            <v>160</v>
          </cell>
          <cell r="AY350">
            <v>105</v>
          </cell>
          <cell r="AZ350">
            <v>325</v>
          </cell>
          <cell r="BA350">
            <v>5385</v>
          </cell>
          <cell r="BB350">
            <v>3.2</v>
          </cell>
          <cell r="BC350">
            <v>665</v>
          </cell>
          <cell r="BD350">
            <v>160</v>
          </cell>
          <cell r="BE350">
            <v>70</v>
          </cell>
          <cell r="BF350">
            <v>0</v>
          </cell>
          <cell r="BG350">
            <v>80</v>
          </cell>
          <cell r="BH350">
            <v>510</v>
          </cell>
          <cell r="BI350">
            <v>2000</v>
          </cell>
          <cell r="BJ350">
            <v>6.3</v>
          </cell>
          <cell r="BK350">
            <v>12600</v>
          </cell>
          <cell r="BL350">
            <v>2.9</v>
          </cell>
          <cell r="BM350">
            <v>5800</v>
          </cell>
          <cell r="BN350">
            <v>2000</v>
          </cell>
          <cell r="BO350">
            <v>1330</v>
          </cell>
          <cell r="BP350">
            <v>660</v>
          </cell>
          <cell r="BQ350">
            <v>0</v>
          </cell>
          <cell r="BR350">
            <v>1995</v>
          </cell>
          <cell r="BS350">
            <v>1170</v>
          </cell>
          <cell r="BT350">
            <v>700</v>
          </cell>
          <cell r="BU350">
            <v>130</v>
          </cell>
          <cell r="BV350">
            <v>1995</v>
          </cell>
          <cell r="BW350">
            <v>15</v>
          </cell>
          <cell r="BX350">
            <v>90</v>
          </cell>
          <cell r="BY350">
            <v>255</v>
          </cell>
          <cell r="BZ350">
            <v>620</v>
          </cell>
          <cell r="CA350">
            <v>655</v>
          </cell>
          <cell r="CB350">
            <v>255</v>
          </cell>
          <cell r="CC350">
            <v>45</v>
          </cell>
          <cell r="CD350">
            <v>25</v>
          </cell>
          <cell r="CE350">
            <v>30</v>
          </cell>
          <cell r="CF350">
            <v>2000</v>
          </cell>
          <cell r="CG350">
            <v>620</v>
          </cell>
          <cell r="CH350">
            <v>230</v>
          </cell>
          <cell r="CI350">
            <v>290</v>
          </cell>
          <cell r="CJ350">
            <v>40</v>
          </cell>
          <cell r="CK350">
            <v>0</v>
          </cell>
          <cell r="CL350">
            <v>815</v>
          </cell>
          <cell r="CM350">
            <v>0</v>
          </cell>
          <cell r="CN350">
            <v>5</v>
          </cell>
          <cell r="CO350">
            <v>2000</v>
          </cell>
          <cell r="CP350">
            <v>330</v>
          </cell>
          <cell r="CQ350">
            <v>535</v>
          </cell>
          <cell r="CR350">
            <v>425</v>
          </cell>
          <cell r="CS350">
            <v>600</v>
          </cell>
          <cell r="CT350">
            <v>110</v>
          </cell>
          <cell r="CU350">
            <v>5975</v>
          </cell>
          <cell r="CV350">
            <v>3</v>
          </cell>
          <cell r="CW350">
            <v>1995</v>
          </cell>
          <cell r="CX350">
            <v>1595</v>
          </cell>
          <cell r="CY350">
            <v>30</v>
          </cell>
          <cell r="CZ350">
            <v>370</v>
          </cell>
        </row>
        <row r="351">
          <cell r="A351" t="str">
            <v>4620290.07</v>
          </cell>
          <cell r="B351" t="str">
            <v>0290.07</v>
          </cell>
          <cell r="C351" t="str">
            <v>Rivière-des-Prairies-Pointe-aux-Trembles</v>
          </cell>
          <cell r="D351">
            <v>2955</v>
          </cell>
          <cell r="E351">
            <v>1035</v>
          </cell>
          <cell r="F351">
            <v>1470</v>
          </cell>
          <cell r="G351">
            <v>50</v>
          </cell>
          <cell r="H351">
            <v>265</v>
          </cell>
          <cell r="I351">
            <v>135</v>
          </cell>
          <cell r="J351">
            <v>2955</v>
          </cell>
          <cell r="K351">
            <v>2720</v>
          </cell>
          <cell r="L351">
            <v>240</v>
          </cell>
          <cell r="M351">
            <v>1110</v>
          </cell>
          <cell r="N351">
            <v>420</v>
          </cell>
          <cell r="O351">
            <v>320</v>
          </cell>
          <cell r="P351">
            <v>270</v>
          </cell>
          <cell r="Q351">
            <v>95</v>
          </cell>
          <cell r="R351">
            <v>1105</v>
          </cell>
          <cell r="S351">
            <v>860</v>
          </cell>
          <cell r="T351">
            <v>725</v>
          </cell>
          <cell r="U351">
            <v>210</v>
          </cell>
          <cell r="V351">
            <v>515</v>
          </cell>
          <cell r="W351">
            <v>190</v>
          </cell>
          <cell r="X351">
            <v>245</v>
          </cell>
          <cell r="Y351">
            <v>85</v>
          </cell>
          <cell r="Z351">
            <v>135</v>
          </cell>
          <cell r="AA351">
            <v>70</v>
          </cell>
          <cell r="AB351">
            <v>65</v>
          </cell>
          <cell r="AC351">
            <v>55</v>
          </cell>
          <cell r="AD351">
            <v>10</v>
          </cell>
          <cell r="AE351">
            <v>0</v>
          </cell>
          <cell r="AF351">
            <v>245</v>
          </cell>
          <cell r="AG351">
            <v>225</v>
          </cell>
          <cell r="AH351">
            <v>125</v>
          </cell>
          <cell r="AI351">
            <v>70</v>
          </cell>
          <cell r="AJ351">
            <v>35</v>
          </cell>
          <cell r="AK351">
            <v>20</v>
          </cell>
          <cell r="AL351">
            <v>20</v>
          </cell>
          <cell r="AM351">
            <v>0</v>
          </cell>
          <cell r="AN351">
            <v>0</v>
          </cell>
          <cell r="AO351">
            <v>1420</v>
          </cell>
          <cell r="AP351">
            <v>330</v>
          </cell>
          <cell r="AQ351">
            <v>445</v>
          </cell>
          <cell r="AR351">
            <v>170</v>
          </cell>
          <cell r="AS351">
            <v>270</v>
          </cell>
          <cell r="AT351">
            <v>200</v>
          </cell>
          <cell r="AU351">
            <v>1.3</v>
          </cell>
          <cell r="AV351">
            <v>3735</v>
          </cell>
          <cell r="AW351">
            <v>340</v>
          </cell>
          <cell r="AX351">
            <v>70</v>
          </cell>
          <cell r="AY351">
            <v>20</v>
          </cell>
          <cell r="AZ351">
            <v>250</v>
          </cell>
          <cell r="BA351">
            <v>3390</v>
          </cell>
          <cell r="BB351">
            <v>3.1</v>
          </cell>
          <cell r="BC351">
            <v>365</v>
          </cell>
          <cell r="BD351">
            <v>110</v>
          </cell>
          <cell r="BE351">
            <v>55</v>
          </cell>
          <cell r="BF351">
            <v>0</v>
          </cell>
          <cell r="BG351">
            <v>55</v>
          </cell>
          <cell r="BH351">
            <v>255</v>
          </cell>
          <cell r="BI351">
            <v>1355</v>
          </cell>
          <cell r="BJ351">
            <v>5.9</v>
          </cell>
          <cell r="BK351">
            <v>7994.5000000000009</v>
          </cell>
          <cell r="BL351">
            <v>2.6</v>
          </cell>
          <cell r="BM351">
            <v>3523</v>
          </cell>
          <cell r="BN351">
            <v>1355</v>
          </cell>
          <cell r="BO351">
            <v>830</v>
          </cell>
          <cell r="BP351">
            <v>530</v>
          </cell>
          <cell r="BQ351">
            <v>0</v>
          </cell>
          <cell r="BR351">
            <v>1355</v>
          </cell>
          <cell r="BS351">
            <v>1035</v>
          </cell>
          <cell r="BT351">
            <v>255</v>
          </cell>
          <cell r="BU351">
            <v>65</v>
          </cell>
          <cell r="BV351">
            <v>1355</v>
          </cell>
          <cell r="BW351">
            <v>10</v>
          </cell>
          <cell r="BX351">
            <v>10</v>
          </cell>
          <cell r="BY351">
            <v>30</v>
          </cell>
          <cell r="BZ351">
            <v>105</v>
          </cell>
          <cell r="CA351">
            <v>320</v>
          </cell>
          <cell r="CB351">
            <v>235</v>
          </cell>
          <cell r="CC351">
            <v>295</v>
          </cell>
          <cell r="CD351">
            <v>150</v>
          </cell>
          <cell r="CE351">
            <v>205</v>
          </cell>
          <cell r="CF351">
            <v>1355</v>
          </cell>
          <cell r="CG351">
            <v>375</v>
          </cell>
          <cell r="CH351">
            <v>270</v>
          </cell>
          <cell r="CI351">
            <v>105</v>
          </cell>
          <cell r="CJ351">
            <v>10</v>
          </cell>
          <cell r="CK351">
            <v>0</v>
          </cell>
          <cell r="CL351">
            <v>595</v>
          </cell>
          <cell r="CM351">
            <v>0</v>
          </cell>
          <cell r="CN351">
            <v>0</v>
          </cell>
          <cell r="CO351">
            <v>1360</v>
          </cell>
          <cell r="CP351">
            <v>255</v>
          </cell>
          <cell r="CQ351">
            <v>405</v>
          </cell>
          <cell r="CR351">
            <v>295</v>
          </cell>
          <cell r="CS351">
            <v>375</v>
          </cell>
          <cell r="CT351">
            <v>30</v>
          </cell>
          <cell r="CU351">
            <v>3735</v>
          </cell>
          <cell r="CV351">
            <v>2.8</v>
          </cell>
          <cell r="CW351">
            <v>1360</v>
          </cell>
          <cell r="CX351">
            <v>1075</v>
          </cell>
          <cell r="CY351">
            <v>15</v>
          </cell>
          <cell r="CZ351">
            <v>265</v>
          </cell>
        </row>
        <row r="352">
          <cell r="A352" t="str">
            <v>4620290.08</v>
          </cell>
          <cell r="B352" t="str">
            <v>0290.08</v>
          </cell>
          <cell r="C352" t="str">
            <v>Rivière-des-Prairies-Pointe-aux-Trembles</v>
          </cell>
          <cell r="D352">
            <v>3655</v>
          </cell>
          <cell r="E352">
            <v>1365</v>
          </cell>
          <cell r="F352">
            <v>1840</v>
          </cell>
          <cell r="G352">
            <v>60</v>
          </cell>
          <cell r="H352">
            <v>260</v>
          </cell>
          <cell r="I352">
            <v>125</v>
          </cell>
          <cell r="J352">
            <v>3655</v>
          </cell>
          <cell r="K352">
            <v>3340</v>
          </cell>
          <cell r="L352">
            <v>320</v>
          </cell>
          <cell r="M352">
            <v>1230</v>
          </cell>
          <cell r="N352">
            <v>475</v>
          </cell>
          <cell r="O352">
            <v>305</v>
          </cell>
          <cell r="P352">
            <v>320</v>
          </cell>
          <cell r="Q352">
            <v>125</v>
          </cell>
          <cell r="R352">
            <v>1230</v>
          </cell>
          <cell r="S352">
            <v>1070</v>
          </cell>
          <cell r="T352">
            <v>910</v>
          </cell>
          <cell r="U352">
            <v>315</v>
          </cell>
          <cell r="V352">
            <v>590</v>
          </cell>
          <cell r="W352">
            <v>210</v>
          </cell>
          <cell r="X352">
            <v>275</v>
          </cell>
          <cell r="Y352">
            <v>110</v>
          </cell>
          <cell r="Z352">
            <v>160</v>
          </cell>
          <cell r="AA352">
            <v>80</v>
          </cell>
          <cell r="AB352">
            <v>80</v>
          </cell>
          <cell r="AC352">
            <v>40</v>
          </cell>
          <cell r="AD352">
            <v>30</v>
          </cell>
          <cell r="AE352">
            <v>10</v>
          </cell>
          <cell r="AF352">
            <v>155</v>
          </cell>
          <cell r="AG352">
            <v>135</v>
          </cell>
          <cell r="AH352">
            <v>75</v>
          </cell>
          <cell r="AI352">
            <v>40</v>
          </cell>
          <cell r="AJ352">
            <v>15</v>
          </cell>
          <cell r="AK352">
            <v>20</v>
          </cell>
          <cell r="AL352">
            <v>0</v>
          </cell>
          <cell r="AM352">
            <v>15</v>
          </cell>
          <cell r="AN352">
            <v>0</v>
          </cell>
          <cell r="AO352">
            <v>1515</v>
          </cell>
          <cell r="AP352">
            <v>210</v>
          </cell>
          <cell r="AQ352">
            <v>435</v>
          </cell>
          <cell r="AR352">
            <v>200</v>
          </cell>
          <cell r="AS352">
            <v>380</v>
          </cell>
          <cell r="AT352">
            <v>285</v>
          </cell>
          <cell r="AU352">
            <v>1.2</v>
          </cell>
          <cell r="AV352">
            <v>4265</v>
          </cell>
          <cell r="AW352">
            <v>450</v>
          </cell>
          <cell r="AX352">
            <v>140</v>
          </cell>
          <cell r="AY352">
            <v>65</v>
          </cell>
          <cell r="AZ352">
            <v>240</v>
          </cell>
          <cell r="BA352">
            <v>3810</v>
          </cell>
          <cell r="BB352">
            <v>3.1</v>
          </cell>
          <cell r="BC352">
            <v>475</v>
          </cell>
          <cell r="BD352">
            <v>130</v>
          </cell>
          <cell r="BE352">
            <v>55</v>
          </cell>
          <cell r="BF352">
            <v>10</v>
          </cell>
          <cell r="BG352">
            <v>65</v>
          </cell>
          <cell r="BH352">
            <v>340</v>
          </cell>
          <cell r="BI352">
            <v>1480</v>
          </cell>
          <cell r="BJ352">
            <v>6.5</v>
          </cell>
          <cell r="BK352">
            <v>9620</v>
          </cell>
          <cell r="BL352">
            <v>2.9</v>
          </cell>
          <cell r="BM352">
            <v>4292</v>
          </cell>
          <cell r="BN352">
            <v>1480</v>
          </cell>
          <cell r="BO352">
            <v>1250</v>
          </cell>
          <cell r="BP352">
            <v>230</v>
          </cell>
          <cell r="BQ352">
            <v>0</v>
          </cell>
          <cell r="BR352">
            <v>1480</v>
          </cell>
          <cell r="BS352">
            <v>925</v>
          </cell>
          <cell r="BT352">
            <v>440</v>
          </cell>
          <cell r="BU352">
            <v>110</v>
          </cell>
          <cell r="BV352">
            <v>1480</v>
          </cell>
          <cell r="BW352">
            <v>45</v>
          </cell>
          <cell r="BX352">
            <v>210</v>
          </cell>
          <cell r="BY352">
            <v>215</v>
          </cell>
          <cell r="BZ352">
            <v>220</v>
          </cell>
          <cell r="CA352">
            <v>490</v>
          </cell>
          <cell r="CB352">
            <v>210</v>
          </cell>
          <cell r="CC352">
            <v>25</v>
          </cell>
          <cell r="CD352">
            <v>35</v>
          </cell>
          <cell r="CE352">
            <v>35</v>
          </cell>
          <cell r="CF352">
            <v>1485</v>
          </cell>
          <cell r="CG352">
            <v>725</v>
          </cell>
          <cell r="CH352">
            <v>275</v>
          </cell>
          <cell r="CI352">
            <v>25</v>
          </cell>
          <cell r="CJ352">
            <v>75</v>
          </cell>
          <cell r="CK352">
            <v>0</v>
          </cell>
          <cell r="CL352">
            <v>375</v>
          </cell>
          <cell r="CM352">
            <v>0</v>
          </cell>
          <cell r="CN352">
            <v>0</v>
          </cell>
          <cell r="CO352">
            <v>1480</v>
          </cell>
          <cell r="CP352">
            <v>255</v>
          </cell>
          <cell r="CQ352">
            <v>440</v>
          </cell>
          <cell r="CR352">
            <v>285</v>
          </cell>
          <cell r="CS352">
            <v>450</v>
          </cell>
          <cell r="CT352">
            <v>55</v>
          </cell>
          <cell r="CU352">
            <v>4265</v>
          </cell>
          <cell r="CV352">
            <v>2.9</v>
          </cell>
          <cell r="CW352">
            <v>1480</v>
          </cell>
          <cell r="CX352">
            <v>1205</v>
          </cell>
          <cell r="CY352">
            <v>10</v>
          </cell>
          <cell r="CZ352">
            <v>260</v>
          </cell>
        </row>
        <row r="353">
          <cell r="A353" t="str">
            <v>4620290.09</v>
          </cell>
          <cell r="B353" t="str">
            <v>0290.09</v>
          </cell>
          <cell r="C353" t="str">
            <v>Rivière-des-Prairies-Pointe-aux-Trembles</v>
          </cell>
          <cell r="D353">
            <v>4250</v>
          </cell>
          <cell r="E353">
            <v>1540</v>
          </cell>
          <cell r="F353">
            <v>2080</v>
          </cell>
          <cell r="G353">
            <v>105</v>
          </cell>
          <cell r="H353">
            <v>300</v>
          </cell>
          <cell r="I353">
            <v>225</v>
          </cell>
          <cell r="J353">
            <v>4250</v>
          </cell>
          <cell r="K353">
            <v>4025</v>
          </cell>
          <cell r="L353">
            <v>225</v>
          </cell>
          <cell r="M353">
            <v>1460</v>
          </cell>
          <cell r="N353">
            <v>530</v>
          </cell>
          <cell r="O353">
            <v>320</v>
          </cell>
          <cell r="P353">
            <v>420</v>
          </cell>
          <cell r="Q353">
            <v>190</v>
          </cell>
          <cell r="R353">
            <v>1460</v>
          </cell>
          <cell r="S353">
            <v>1145</v>
          </cell>
          <cell r="T353">
            <v>1030</v>
          </cell>
          <cell r="U353">
            <v>340</v>
          </cell>
          <cell r="V353">
            <v>685</v>
          </cell>
          <cell r="W353">
            <v>185</v>
          </cell>
          <cell r="X353">
            <v>330</v>
          </cell>
          <cell r="Y353">
            <v>170</v>
          </cell>
          <cell r="Z353">
            <v>115</v>
          </cell>
          <cell r="AA353">
            <v>70</v>
          </cell>
          <cell r="AB353">
            <v>50</v>
          </cell>
          <cell r="AC353">
            <v>20</v>
          </cell>
          <cell r="AD353">
            <v>20</v>
          </cell>
          <cell r="AE353">
            <v>0</v>
          </cell>
          <cell r="AF353">
            <v>320</v>
          </cell>
          <cell r="AG353">
            <v>250</v>
          </cell>
          <cell r="AH353">
            <v>105</v>
          </cell>
          <cell r="AI353">
            <v>70</v>
          </cell>
          <cell r="AJ353">
            <v>65</v>
          </cell>
          <cell r="AK353">
            <v>70</v>
          </cell>
          <cell r="AL353">
            <v>10</v>
          </cell>
          <cell r="AM353">
            <v>45</v>
          </cell>
          <cell r="AN353">
            <v>10</v>
          </cell>
          <cell r="AO353">
            <v>2180</v>
          </cell>
          <cell r="AP353">
            <v>295</v>
          </cell>
          <cell r="AQ353">
            <v>685</v>
          </cell>
          <cell r="AR353">
            <v>245</v>
          </cell>
          <cell r="AS353">
            <v>490</v>
          </cell>
          <cell r="AT353">
            <v>475</v>
          </cell>
          <cell r="AU353">
            <v>1.5</v>
          </cell>
          <cell r="AV353">
            <v>5230</v>
          </cell>
          <cell r="AW353">
            <v>445</v>
          </cell>
          <cell r="AX353">
            <v>55</v>
          </cell>
          <cell r="AY353">
            <v>65</v>
          </cell>
          <cell r="AZ353">
            <v>325</v>
          </cell>
          <cell r="BA353">
            <v>4790</v>
          </cell>
          <cell r="BB353">
            <v>3.3</v>
          </cell>
          <cell r="BC353">
            <v>730</v>
          </cell>
          <cell r="BD353">
            <v>210</v>
          </cell>
          <cell r="BE353">
            <v>20</v>
          </cell>
          <cell r="BF353">
            <v>20</v>
          </cell>
          <cell r="BG353">
            <v>170</v>
          </cell>
          <cell r="BH353">
            <v>520</v>
          </cell>
          <cell r="BI353">
            <v>1760</v>
          </cell>
          <cell r="BJ353">
            <v>6.3</v>
          </cell>
          <cell r="BK353">
            <v>11088</v>
          </cell>
          <cell r="BL353">
            <v>2.9</v>
          </cell>
          <cell r="BM353">
            <v>5104</v>
          </cell>
          <cell r="BN353">
            <v>1760</v>
          </cell>
          <cell r="BO353">
            <v>1340</v>
          </cell>
          <cell r="BP353">
            <v>420</v>
          </cell>
          <cell r="BQ353">
            <v>0</v>
          </cell>
          <cell r="BR353">
            <v>1760</v>
          </cell>
          <cell r="BS353">
            <v>1140</v>
          </cell>
          <cell r="BT353">
            <v>545</v>
          </cell>
          <cell r="BU353">
            <v>85</v>
          </cell>
          <cell r="BV353">
            <v>1760</v>
          </cell>
          <cell r="BW353">
            <v>20</v>
          </cell>
          <cell r="BX353">
            <v>45</v>
          </cell>
          <cell r="BY353">
            <v>190</v>
          </cell>
          <cell r="BZ353">
            <v>625</v>
          </cell>
          <cell r="CA353">
            <v>600</v>
          </cell>
          <cell r="CB353">
            <v>185</v>
          </cell>
          <cell r="CC353">
            <v>45</v>
          </cell>
          <cell r="CD353">
            <v>15</v>
          </cell>
          <cell r="CE353">
            <v>40</v>
          </cell>
          <cell r="CF353">
            <v>1765</v>
          </cell>
          <cell r="CG353">
            <v>450</v>
          </cell>
          <cell r="CH353">
            <v>345</v>
          </cell>
          <cell r="CI353">
            <v>380</v>
          </cell>
          <cell r="CJ353">
            <v>15</v>
          </cell>
          <cell r="CK353">
            <v>80</v>
          </cell>
          <cell r="CL353">
            <v>500</v>
          </cell>
          <cell r="CM353">
            <v>0</v>
          </cell>
          <cell r="CN353">
            <v>0</v>
          </cell>
          <cell r="CO353">
            <v>1765</v>
          </cell>
          <cell r="CP353">
            <v>325</v>
          </cell>
          <cell r="CQ353">
            <v>485</v>
          </cell>
          <cell r="CR353">
            <v>300</v>
          </cell>
          <cell r="CS353">
            <v>550</v>
          </cell>
          <cell r="CT353">
            <v>105</v>
          </cell>
          <cell r="CU353">
            <v>5230</v>
          </cell>
          <cell r="CV353">
            <v>3</v>
          </cell>
          <cell r="CW353">
            <v>1760</v>
          </cell>
          <cell r="CX353">
            <v>1380</v>
          </cell>
          <cell r="CY353">
            <v>40</v>
          </cell>
          <cell r="CZ353">
            <v>345</v>
          </cell>
        </row>
        <row r="354">
          <cell r="A354" t="str">
            <v>4620291.01</v>
          </cell>
          <cell r="B354" t="str">
            <v>0291.01</v>
          </cell>
          <cell r="C354" t="str">
            <v>Rivière-des-Prairies-Pointe-aux-Trembles</v>
          </cell>
          <cell r="D354">
            <v>2710</v>
          </cell>
          <cell r="E354">
            <v>1070</v>
          </cell>
          <cell r="F354">
            <v>1235</v>
          </cell>
          <cell r="G354">
            <v>65</v>
          </cell>
          <cell r="H354">
            <v>205</v>
          </cell>
          <cell r="I354">
            <v>130</v>
          </cell>
          <cell r="J354">
            <v>2705</v>
          </cell>
          <cell r="K354">
            <v>2430</v>
          </cell>
          <cell r="L354">
            <v>280</v>
          </cell>
          <cell r="M354">
            <v>920</v>
          </cell>
          <cell r="N354">
            <v>325</v>
          </cell>
          <cell r="O354">
            <v>180</v>
          </cell>
          <cell r="P354">
            <v>235</v>
          </cell>
          <cell r="Q354">
            <v>185</v>
          </cell>
          <cell r="R354">
            <v>925</v>
          </cell>
          <cell r="S354">
            <v>735</v>
          </cell>
          <cell r="T354">
            <v>615</v>
          </cell>
          <cell r="U354">
            <v>170</v>
          </cell>
          <cell r="V354">
            <v>440</v>
          </cell>
          <cell r="W354">
            <v>100</v>
          </cell>
          <cell r="X354">
            <v>175</v>
          </cell>
          <cell r="Y354">
            <v>160</v>
          </cell>
          <cell r="Z354">
            <v>120</v>
          </cell>
          <cell r="AA354">
            <v>40</v>
          </cell>
          <cell r="AB354">
            <v>80</v>
          </cell>
          <cell r="AC354">
            <v>30</v>
          </cell>
          <cell r="AD354">
            <v>45</v>
          </cell>
          <cell r="AE354">
            <v>10</v>
          </cell>
          <cell r="AF354">
            <v>190</v>
          </cell>
          <cell r="AG354">
            <v>160</v>
          </cell>
          <cell r="AH354">
            <v>95</v>
          </cell>
          <cell r="AI354">
            <v>45</v>
          </cell>
          <cell r="AJ354">
            <v>20</v>
          </cell>
          <cell r="AK354">
            <v>30</v>
          </cell>
          <cell r="AL354">
            <v>20</v>
          </cell>
          <cell r="AM354">
            <v>0</v>
          </cell>
          <cell r="AN354">
            <v>0</v>
          </cell>
          <cell r="AO354">
            <v>1435</v>
          </cell>
          <cell r="AP354">
            <v>215</v>
          </cell>
          <cell r="AQ354">
            <v>455</v>
          </cell>
          <cell r="AR354">
            <v>185</v>
          </cell>
          <cell r="AS354">
            <v>370</v>
          </cell>
          <cell r="AT354">
            <v>200</v>
          </cell>
          <cell r="AU354">
            <v>1.6</v>
          </cell>
          <cell r="AV354">
            <v>3405</v>
          </cell>
          <cell r="AW354">
            <v>310</v>
          </cell>
          <cell r="AX354">
            <v>100</v>
          </cell>
          <cell r="AY354">
            <v>10</v>
          </cell>
          <cell r="AZ354">
            <v>195</v>
          </cell>
          <cell r="BA354">
            <v>3095</v>
          </cell>
          <cell r="BB354">
            <v>3.3</v>
          </cell>
          <cell r="BC354">
            <v>325</v>
          </cell>
          <cell r="BD354">
            <v>125</v>
          </cell>
          <cell r="BE354">
            <v>45</v>
          </cell>
          <cell r="BF354">
            <v>0</v>
          </cell>
          <cell r="BG354">
            <v>70</v>
          </cell>
          <cell r="BH354">
            <v>195</v>
          </cell>
          <cell r="BI354">
            <v>1080</v>
          </cell>
          <cell r="BJ354">
            <v>6.4</v>
          </cell>
          <cell r="BK354">
            <v>6912</v>
          </cell>
          <cell r="BL354">
            <v>2.8</v>
          </cell>
          <cell r="BM354">
            <v>3024</v>
          </cell>
          <cell r="BN354">
            <v>1080</v>
          </cell>
          <cell r="BO354">
            <v>855</v>
          </cell>
          <cell r="BP354">
            <v>230</v>
          </cell>
          <cell r="BQ354">
            <v>0</v>
          </cell>
          <cell r="BR354">
            <v>1080</v>
          </cell>
          <cell r="BS354">
            <v>760</v>
          </cell>
          <cell r="BT354">
            <v>285</v>
          </cell>
          <cell r="BU354">
            <v>40</v>
          </cell>
          <cell r="BV354">
            <v>1080</v>
          </cell>
          <cell r="BW354">
            <v>50</v>
          </cell>
          <cell r="BX354">
            <v>130</v>
          </cell>
          <cell r="BY354">
            <v>70</v>
          </cell>
          <cell r="BZ354">
            <v>75</v>
          </cell>
          <cell r="CA354">
            <v>120</v>
          </cell>
          <cell r="CB354">
            <v>285</v>
          </cell>
          <cell r="CC354">
            <v>150</v>
          </cell>
          <cell r="CD354">
            <v>65</v>
          </cell>
          <cell r="CE354">
            <v>120</v>
          </cell>
          <cell r="CF354">
            <v>1095</v>
          </cell>
          <cell r="CG354">
            <v>400</v>
          </cell>
          <cell r="CH354">
            <v>375</v>
          </cell>
          <cell r="CI354">
            <v>30</v>
          </cell>
          <cell r="CJ354">
            <v>60</v>
          </cell>
          <cell r="CK354">
            <v>0</v>
          </cell>
          <cell r="CL354">
            <v>220</v>
          </cell>
          <cell r="CM354">
            <v>5</v>
          </cell>
          <cell r="CN354">
            <v>0</v>
          </cell>
          <cell r="CO354">
            <v>1095</v>
          </cell>
          <cell r="CP354">
            <v>215</v>
          </cell>
          <cell r="CQ354">
            <v>275</v>
          </cell>
          <cell r="CR354">
            <v>155</v>
          </cell>
          <cell r="CS354">
            <v>360</v>
          </cell>
          <cell r="CT354">
            <v>85</v>
          </cell>
          <cell r="CU354">
            <v>3380</v>
          </cell>
          <cell r="CV354">
            <v>3.1</v>
          </cell>
          <cell r="CW354">
            <v>1085</v>
          </cell>
          <cell r="CX354">
            <v>850</v>
          </cell>
          <cell r="CY354">
            <v>40</v>
          </cell>
          <cell r="CZ354">
            <v>195</v>
          </cell>
        </row>
        <row r="355">
          <cell r="A355" t="str">
            <v>4620291.02</v>
          </cell>
          <cell r="B355" t="str">
            <v>0291.02</v>
          </cell>
          <cell r="C355" t="str">
            <v>Rivière-des-Prairies-Pointe-aux-Trembles</v>
          </cell>
          <cell r="D355">
            <v>6080</v>
          </cell>
          <cell r="E355">
            <v>2670</v>
          </cell>
          <cell r="F355">
            <v>2690</v>
          </cell>
          <cell r="G355">
            <v>125</v>
          </cell>
          <cell r="H355">
            <v>450</v>
          </cell>
          <cell r="I355">
            <v>145</v>
          </cell>
          <cell r="J355">
            <v>6080</v>
          </cell>
          <cell r="K355">
            <v>5200</v>
          </cell>
          <cell r="L355">
            <v>885</v>
          </cell>
          <cell r="M355">
            <v>2005</v>
          </cell>
          <cell r="N355">
            <v>615</v>
          </cell>
          <cell r="O355">
            <v>530</v>
          </cell>
          <cell r="P355">
            <v>600</v>
          </cell>
          <cell r="Q355">
            <v>260</v>
          </cell>
          <cell r="R355">
            <v>2005</v>
          </cell>
          <cell r="S355">
            <v>1765</v>
          </cell>
          <cell r="T355">
            <v>1330</v>
          </cell>
          <cell r="U355">
            <v>270</v>
          </cell>
          <cell r="V355">
            <v>1060</v>
          </cell>
          <cell r="W355">
            <v>365</v>
          </cell>
          <cell r="X355">
            <v>470</v>
          </cell>
          <cell r="Y355">
            <v>225</v>
          </cell>
          <cell r="Z355">
            <v>435</v>
          </cell>
          <cell r="AA355">
            <v>225</v>
          </cell>
          <cell r="AB355">
            <v>215</v>
          </cell>
          <cell r="AC355">
            <v>75</v>
          </cell>
          <cell r="AD355">
            <v>105</v>
          </cell>
          <cell r="AE355">
            <v>35</v>
          </cell>
          <cell r="AF355">
            <v>235</v>
          </cell>
          <cell r="AG355">
            <v>180</v>
          </cell>
          <cell r="AH355">
            <v>95</v>
          </cell>
          <cell r="AI355">
            <v>65</v>
          </cell>
          <cell r="AJ355">
            <v>20</v>
          </cell>
          <cell r="AK355">
            <v>55</v>
          </cell>
          <cell r="AL355">
            <v>30</v>
          </cell>
          <cell r="AM355">
            <v>25</v>
          </cell>
          <cell r="AN355">
            <v>0</v>
          </cell>
          <cell r="AO355">
            <v>2950</v>
          </cell>
          <cell r="AP355">
            <v>645</v>
          </cell>
          <cell r="AQ355">
            <v>1145</v>
          </cell>
          <cell r="AR355">
            <v>430</v>
          </cell>
          <cell r="AS355">
            <v>515</v>
          </cell>
          <cell r="AT355">
            <v>215</v>
          </cell>
          <cell r="AU355">
            <v>1.5</v>
          </cell>
          <cell r="AV355">
            <v>7265</v>
          </cell>
          <cell r="AW355">
            <v>540</v>
          </cell>
          <cell r="AX355">
            <v>130</v>
          </cell>
          <cell r="AY355">
            <v>130</v>
          </cell>
          <cell r="AZ355">
            <v>280</v>
          </cell>
          <cell r="BA355">
            <v>6725</v>
          </cell>
          <cell r="BB355">
            <v>3.4</v>
          </cell>
          <cell r="BC355">
            <v>315</v>
          </cell>
          <cell r="BD355">
            <v>120</v>
          </cell>
          <cell r="BE355">
            <v>55</v>
          </cell>
          <cell r="BF355">
            <v>30</v>
          </cell>
          <cell r="BG355">
            <v>35</v>
          </cell>
          <cell r="BH355">
            <v>195</v>
          </cell>
          <cell r="BI355">
            <v>2340</v>
          </cell>
          <cell r="BJ355">
            <v>6.4</v>
          </cell>
          <cell r="BK355">
            <v>14976</v>
          </cell>
          <cell r="BL355">
            <v>2.9</v>
          </cell>
          <cell r="BM355">
            <v>6786</v>
          </cell>
          <cell r="BN355">
            <v>2340</v>
          </cell>
          <cell r="BO355">
            <v>2075</v>
          </cell>
          <cell r="BP355">
            <v>260</v>
          </cell>
          <cell r="BQ355">
            <v>0</v>
          </cell>
          <cell r="BR355">
            <v>2340</v>
          </cell>
          <cell r="BS355">
            <v>1650</v>
          </cell>
          <cell r="BT355">
            <v>595</v>
          </cell>
          <cell r="BU355">
            <v>90</v>
          </cell>
          <cell r="BV355">
            <v>2335</v>
          </cell>
          <cell r="BW355">
            <v>20</v>
          </cell>
          <cell r="BX355">
            <v>160</v>
          </cell>
          <cell r="BY355">
            <v>50</v>
          </cell>
          <cell r="BZ355">
            <v>130</v>
          </cell>
          <cell r="CA355">
            <v>245</v>
          </cell>
          <cell r="CB355">
            <v>470</v>
          </cell>
          <cell r="CC355">
            <v>565</v>
          </cell>
          <cell r="CD355">
            <v>250</v>
          </cell>
          <cell r="CE355">
            <v>435</v>
          </cell>
          <cell r="CF355">
            <v>2335</v>
          </cell>
          <cell r="CG355">
            <v>1005</v>
          </cell>
          <cell r="CH355">
            <v>630</v>
          </cell>
          <cell r="CI355">
            <v>400</v>
          </cell>
          <cell r="CJ355">
            <v>65</v>
          </cell>
          <cell r="CK355">
            <v>0</v>
          </cell>
          <cell r="CL355">
            <v>230</v>
          </cell>
          <cell r="CM355">
            <v>0</v>
          </cell>
          <cell r="CN355">
            <v>0</v>
          </cell>
          <cell r="CO355">
            <v>2335</v>
          </cell>
          <cell r="CP355">
            <v>280</v>
          </cell>
          <cell r="CQ355">
            <v>645</v>
          </cell>
          <cell r="CR355">
            <v>510</v>
          </cell>
          <cell r="CS355">
            <v>800</v>
          </cell>
          <cell r="CT355">
            <v>105</v>
          </cell>
          <cell r="CU355">
            <v>7260</v>
          </cell>
          <cell r="CV355">
            <v>3.1</v>
          </cell>
          <cell r="CW355">
            <v>2340</v>
          </cell>
          <cell r="CX355">
            <v>1960</v>
          </cell>
          <cell r="CY355">
            <v>25</v>
          </cell>
          <cell r="CZ355">
            <v>355</v>
          </cell>
        </row>
        <row r="356">
          <cell r="A356" t="str">
            <v>4620580.01</v>
          </cell>
          <cell r="B356" t="str">
            <v>0580.01</v>
          </cell>
          <cell r="C356" t="str">
            <v>Rivière-des-Prairies-Pointe-aux-Trembles</v>
          </cell>
          <cell r="D356">
            <v>3575</v>
          </cell>
          <cell r="E356">
            <v>1620</v>
          </cell>
          <cell r="F356">
            <v>1120</v>
          </cell>
          <cell r="G356">
            <v>85</v>
          </cell>
          <cell r="H356">
            <v>510</v>
          </cell>
          <cell r="I356">
            <v>245</v>
          </cell>
          <cell r="J356">
            <v>3575</v>
          </cell>
          <cell r="K356">
            <v>2825</v>
          </cell>
          <cell r="L356">
            <v>750</v>
          </cell>
          <cell r="M356">
            <v>1180</v>
          </cell>
          <cell r="N356">
            <v>645</v>
          </cell>
          <cell r="O356">
            <v>265</v>
          </cell>
          <cell r="P356">
            <v>175</v>
          </cell>
          <cell r="Q356">
            <v>90</v>
          </cell>
          <cell r="R356">
            <v>1180</v>
          </cell>
          <cell r="S356">
            <v>940</v>
          </cell>
          <cell r="T356">
            <v>560</v>
          </cell>
          <cell r="U356">
            <v>310</v>
          </cell>
          <cell r="V356">
            <v>250</v>
          </cell>
          <cell r="W356">
            <v>110</v>
          </cell>
          <cell r="X356">
            <v>120</v>
          </cell>
          <cell r="Y356">
            <v>25</v>
          </cell>
          <cell r="Z356">
            <v>380</v>
          </cell>
          <cell r="AA356">
            <v>160</v>
          </cell>
          <cell r="AB356">
            <v>225</v>
          </cell>
          <cell r="AC356">
            <v>100</v>
          </cell>
          <cell r="AD356">
            <v>60</v>
          </cell>
          <cell r="AE356">
            <v>65</v>
          </cell>
          <cell r="AF356">
            <v>235</v>
          </cell>
          <cell r="AG356">
            <v>195</v>
          </cell>
          <cell r="AH356">
            <v>145</v>
          </cell>
          <cell r="AI356">
            <v>45</v>
          </cell>
          <cell r="AJ356">
            <v>0</v>
          </cell>
          <cell r="AK356">
            <v>40</v>
          </cell>
          <cell r="AL356">
            <v>35</v>
          </cell>
          <cell r="AM356">
            <v>0</v>
          </cell>
          <cell r="AN356">
            <v>0</v>
          </cell>
          <cell r="AO356">
            <v>1145</v>
          </cell>
          <cell r="AP356">
            <v>210</v>
          </cell>
          <cell r="AQ356">
            <v>460</v>
          </cell>
          <cell r="AR356">
            <v>115</v>
          </cell>
          <cell r="AS356">
            <v>220</v>
          </cell>
          <cell r="AT356">
            <v>135</v>
          </cell>
          <cell r="AU356">
            <v>1</v>
          </cell>
          <cell r="AV356">
            <v>4080</v>
          </cell>
          <cell r="AW356">
            <v>810</v>
          </cell>
          <cell r="AX356">
            <v>95</v>
          </cell>
          <cell r="AY356">
            <v>205</v>
          </cell>
          <cell r="AZ356">
            <v>510</v>
          </cell>
          <cell r="BA356">
            <v>3265</v>
          </cell>
          <cell r="BB356">
            <v>2.8</v>
          </cell>
          <cell r="BC356">
            <v>425</v>
          </cell>
          <cell r="BD356">
            <v>150</v>
          </cell>
          <cell r="BE356">
            <v>25</v>
          </cell>
          <cell r="BF356">
            <v>25</v>
          </cell>
          <cell r="BG356">
            <v>100</v>
          </cell>
          <cell r="BH356">
            <v>275</v>
          </cell>
          <cell r="BI356">
            <v>1795</v>
          </cell>
          <cell r="BJ356">
            <v>5.3</v>
          </cell>
          <cell r="BK356">
            <v>9513.5</v>
          </cell>
          <cell r="BL356">
            <v>2.4</v>
          </cell>
          <cell r="BM356">
            <v>4308</v>
          </cell>
          <cell r="BN356">
            <v>1790</v>
          </cell>
          <cell r="BO356">
            <v>1020</v>
          </cell>
          <cell r="BP356">
            <v>770</v>
          </cell>
          <cell r="BQ356">
            <v>0</v>
          </cell>
          <cell r="BR356">
            <v>1790</v>
          </cell>
          <cell r="BS356">
            <v>1200</v>
          </cell>
          <cell r="BT356">
            <v>475</v>
          </cell>
          <cell r="BU356">
            <v>120</v>
          </cell>
          <cell r="BV356">
            <v>1790</v>
          </cell>
          <cell r="BW356">
            <v>60</v>
          </cell>
          <cell r="BX356">
            <v>405</v>
          </cell>
          <cell r="BY356">
            <v>480</v>
          </cell>
          <cell r="BZ356">
            <v>145</v>
          </cell>
          <cell r="CA356">
            <v>105</v>
          </cell>
          <cell r="CB356">
            <v>105</v>
          </cell>
          <cell r="CC356">
            <v>345</v>
          </cell>
          <cell r="CD356">
            <v>75</v>
          </cell>
          <cell r="CE356">
            <v>70</v>
          </cell>
          <cell r="CF356">
            <v>1795</v>
          </cell>
          <cell r="CG356">
            <v>345</v>
          </cell>
          <cell r="CH356">
            <v>170</v>
          </cell>
          <cell r="CI356">
            <v>205</v>
          </cell>
          <cell r="CJ356">
            <v>80</v>
          </cell>
          <cell r="CK356">
            <v>70</v>
          </cell>
          <cell r="CL356">
            <v>930</v>
          </cell>
          <cell r="CM356">
            <v>5</v>
          </cell>
          <cell r="CN356">
            <v>0</v>
          </cell>
          <cell r="CO356">
            <v>1790</v>
          </cell>
          <cell r="CP356">
            <v>515</v>
          </cell>
          <cell r="CQ356">
            <v>680</v>
          </cell>
          <cell r="CR356">
            <v>330</v>
          </cell>
          <cell r="CS356">
            <v>250</v>
          </cell>
          <cell r="CT356">
            <v>20</v>
          </cell>
          <cell r="CU356">
            <v>4075</v>
          </cell>
          <cell r="CV356">
            <v>2.2999999999999998</v>
          </cell>
          <cell r="CW356">
            <v>1795</v>
          </cell>
          <cell r="CX356">
            <v>1160</v>
          </cell>
          <cell r="CY356">
            <v>10</v>
          </cell>
          <cell r="CZ356">
            <v>625</v>
          </cell>
        </row>
        <row r="357">
          <cell r="A357" t="str">
            <v>4620580.02</v>
          </cell>
          <cell r="B357" t="str">
            <v>0580.02</v>
          </cell>
          <cell r="C357" t="str">
            <v>Rivière-des-Prairies-Pointe-aux-Trembles</v>
          </cell>
          <cell r="D357">
            <v>2070</v>
          </cell>
          <cell r="E357">
            <v>985</v>
          </cell>
          <cell r="F357">
            <v>620</v>
          </cell>
          <cell r="G357">
            <v>60</v>
          </cell>
          <cell r="H357">
            <v>315</v>
          </cell>
          <cell r="I357">
            <v>80</v>
          </cell>
          <cell r="J357">
            <v>2070</v>
          </cell>
          <cell r="K357">
            <v>1450</v>
          </cell>
          <cell r="L357">
            <v>620</v>
          </cell>
          <cell r="M357">
            <v>775</v>
          </cell>
          <cell r="N357">
            <v>500</v>
          </cell>
          <cell r="O357">
            <v>150</v>
          </cell>
          <cell r="P357">
            <v>80</v>
          </cell>
          <cell r="Q357">
            <v>45</v>
          </cell>
          <cell r="R357">
            <v>780</v>
          </cell>
          <cell r="S357">
            <v>620</v>
          </cell>
          <cell r="T357">
            <v>310</v>
          </cell>
          <cell r="U357">
            <v>150</v>
          </cell>
          <cell r="V357">
            <v>155</v>
          </cell>
          <cell r="W357">
            <v>85</v>
          </cell>
          <cell r="X357">
            <v>45</v>
          </cell>
          <cell r="Y357">
            <v>25</v>
          </cell>
          <cell r="Z357">
            <v>310</v>
          </cell>
          <cell r="AA357">
            <v>210</v>
          </cell>
          <cell r="AB357">
            <v>100</v>
          </cell>
          <cell r="AC357">
            <v>55</v>
          </cell>
          <cell r="AD357">
            <v>35</v>
          </cell>
          <cell r="AE357">
            <v>10</v>
          </cell>
          <cell r="AF357">
            <v>155</v>
          </cell>
          <cell r="AG357">
            <v>130</v>
          </cell>
          <cell r="AH357">
            <v>110</v>
          </cell>
          <cell r="AI357">
            <v>10</v>
          </cell>
          <cell r="AJ357">
            <v>10</v>
          </cell>
          <cell r="AK357">
            <v>25</v>
          </cell>
          <cell r="AL357">
            <v>25</v>
          </cell>
          <cell r="AM357">
            <v>0</v>
          </cell>
          <cell r="AN357">
            <v>0</v>
          </cell>
          <cell r="AO357">
            <v>610</v>
          </cell>
          <cell r="AP357">
            <v>130</v>
          </cell>
          <cell r="AQ357">
            <v>250</v>
          </cell>
          <cell r="AR357">
            <v>85</v>
          </cell>
          <cell r="AS357">
            <v>80</v>
          </cell>
          <cell r="AT357">
            <v>60</v>
          </cell>
          <cell r="AU357">
            <v>0.8</v>
          </cell>
          <cell r="AV357">
            <v>2460</v>
          </cell>
          <cell r="AW357">
            <v>445</v>
          </cell>
          <cell r="AX357">
            <v>45</v>
          </cell>
          <cell r="AY357">
            <v>45</v>
          </cell>
          <cell r="AZ357">
            <v>355</v>
          </cell>
          <cell r="BA357">
            <v>2010</v>
          </cell>
          <cell r="BB357">
            <v>2.6</v>
          </cell>
          <cell r="BC357">
            <v>140</v>
          </cell>
          <cell r="BD357">
            <v>40</v>
          </cell>
          <cell r="BE357">
            <v>0</v>
          </cell>
          <cell r="BF357">
            <v>0</v>
          </cell>
          <cell r="BG357">
            <v>40</v>
          </cell>
          <cell r="BH357">
            <v>95</v>
          </cell>
          <cell r="BI357">
            <v>1160</v>
          </cell>
          <cell r="BJ357">
            <v>5.0999999999999996</v>
          </cell>
          <cell r="BK357">
            <v>5916</v>
          </cell>
          <cell r="BL357">
            <v>2.2000000000000002</v>
          </cell>
          <cell r="BM357">
            <v>2552</v>
          </cell>
          <cell r="BN357">
            <v>1160</v>
          </cell>
          <cell r="BO357">
            <v>1025</v>
          </cell>
          <cell r="BP357">
            <v>130</v>
          </cell>
          <cell r="BQ357">
            <v>0</v>
          </cell>
          <cell r="BR357">
            <v>1160</v>
          </cell>
          <cell r="BS357">
            <v>940</v>
          </cell>
          <cell r="BT357">
            <v>205</v>
          </cell>
          <cell r="BU357">
            <v>15</v>
          </cell>
          <cell r="BV357">
            <v>1160</v>
          </cell>
          <cell r="BW357">
            <v>10</v>
          </cell>
          <cell r="BX357">
            <v>0</v>
          </cell>
          <cell r="BY357">
            <v>25</v>
          </cell>
          <cell r="BZ357">
            <v>0</v>
          </cell>
          <cell r="CA357">
            <v>60</v>
          </cell>
          <cell r="CB357">
            <v>35</v>
          </cell>
          <cell r="CC357">
            <v>325</v>
          </cell>
          <cell r="CD357">
            <v>360</v>
          </cell>
          <cell r="CE357">
            <v>345</v>
          </cell>
          <cell r="CF357">
            <v>1160</v>
          </cell>
          <cell r="CG357">
            <v>95</v>
          </cell>
          <cell r="CH357">
            <v>70</v>
          </cell>
          <cell r="CI357">
            <v>250</v>
          </cell>
          <cell r="CJ357">
            <v>25</v>
          </cell>
          <cell r="CK357">
            <v>5</v>
          </cell>
          <cell r="CL357">
            <v>715</v>
          </cell>
          <cell r="CM357">
            <v>0</v>
          </cell>
          <cell r="CN357">
            <v>0</v>
          </cell>
          <cell r="CO357">
            <v>1160</v>
          </cell>
          <cell r="CP357">
            <v>355</v>
          </cell>
          <cell r="CQ357">
            <v>495</v>
          </cell>
          <cell r="CR357">
            <v>160</v>
          </cell>
          <cell r="CS357">
            <v>130</v>
          </cell>
          <cell r="CT357">
            <v>10</v>
          </cell>
          <cell r="CU357">
            <v>2460</v>
          </cell>
          <cell r="CV357">
            <v>2.1</v>
          </cell>
          <cell r="CW357">
            <v>1160</v>
          </cell>
          <cell r="CX357">
            <v>765</v>
          </cell>
          <cell r="CY357">
            <v>0</v>
          </cell>
          <cell r="CZ357">
            <v>390</v>
          </cell>
        </row>
        <row r="358">
          <cell r="A358" t="str">
            <v>4620580.03</v>
          </cell>
          <cell r="B358" t="str">
            <v>0580.03</v>
          </cell>
          <cell r="C358" t="str">
            <v>Rivière-des-Prairies-Pointe-aux-Trembles</v>
          </cell>
          <cell r="D358">
            <v>3500</v>
          </cell>
          <cell r="E358">
            <v>1590</v>
          </cell>
          <cell r="F358">
            <v>1290</v>
          </cell>
          <cell r="G358">
            <v>70</v>
          </cell>
          <cell r="H358">
            <v>370</v>
          </cell>
          <cell r="I358">
            <v>175</v>
          </cell>
          <cell r="J358">
            <v>3505</v>
          </cell>
          <cell r="K358">
            <v>2770</v>
          </cell>
          <cell r="L358">
            <v>740</v>
          </cell>
          <cell r="M358">
            <v>1175</v>
          </cell>
          <cell r="N358">
            <v>530</v>
          </cell>
          <cell r="O358">
            <v>290</v>
          </cell>
          <cell r="P358">
            <v>275</v>
          </cell>
          <cell r="Q358">
            <v>90</v>
          </cell>
          <cell r="R358">
            <v>1175</v>
          </cell>
          <cell r="S358">
            <v>1010</v>
          </cell>
          <cell r="T358">
            <v>635</v>
          </cell>
          <cell r="U358">
            <v>220</v>
          </cell>
          <cell r="V358">
            <v>410</v>
          </cell>
          <cell r="W358">
            <v>145</v>
          </cell>
          <cell r="X358">
            <v>195</v>
          </cell>
          <cell r="Y358">
            <v>65</v>
          </cell>
          <cell r="Z358">
            <v>370</v>
          </cell>
          <cell r="AA358">
            <v>175</v>
          </cell>
          <cell r="AB358">
            <v>195</v>
          </cell>
          <cell r="AC358">
            <v>110</v>
          </cell>
          <cell r="AD358">
            <v>60</v>
          </cell>
          <cell r="AE358">
            <v>20</v>
          </cell>
          <cell r="AF358">
            <v>170</v>
          </cell>
          <cell r="AG358">
            <v>130</v>
          </cell>
          <cell r="AH358">
            <v>85</v>
          </cell>
          <cell r="AI358">
            <v>25</v>
          </cell>
          <cell r="AJ358">
            <v>15</v>
          </cell>
          <cell r="AK358">
            <v>45</v>
          </cell>
          <cell r="AL358">
            <v>40</v>
          </cell>
          <cell r="AM358">
            <v>0</v>
          </cell>
          <cell r="AN358">
            <v>0</v>
          </cell>
          <cell r="AO358">
            <v>1270</v>
          </cell>
          <cell r="AP358">
            <v>170</v>
          </cell>
          <cell r="AQ358">
            <v>425</v>
          </cell>
          <cell r="AR358">
            <v>185</v>
          </cell>
          <cell r="AS358">
            <v>355</v>
          </cell>
          <cell r="AT358">
            <v>140</v>
          </cell>
          <cell r="AU358">
            <v>1.1000000000000001</v>
          </cell>
          <cell r="AV358">
            <v>3900</v>
          </cell>
          <cell r="AW358">
            <v>450</v>
          </cell>
          <cell r="AX358">
            <v>50</v>
          </cell>
          <cell r="AY358">
            <v>90</v>
          </cell>
          <cell r="AZ358">
            <v>305</v>
          </cell>
          <cell r="BA358">
            <v>3460</v>
          </cell>
          <cell r="BB358">
            <v>2.9</v>
          </cell>
          <cell r="BC358">
            <v>350</v>
          </cell>
          <cell r="BD358">
            <v>105</v>
          </cell>
          <cell r="BE358">
            <v>0</v>
          </cell>
          <cell r="BF358">
            <v>20</v>
          </cell>
          <cell r="BG358">
            <v>75</v>
          </cell>
          <cell r="BH358">
            <v>250</v>
          </cell>
          <cell r="BI358">
            <v>1520</v>
          </cell>
          <cell r="BJ358">
            <v>6.1</v>
          </cell>
          <cell r="BK358">
            <v>9272</v>
          </cell>
          <cell r="BL358">
            <v>2.6</v>
          </cell>
          <cell r="BM358">
            <v>3952</v>
          </cell>
          <cell r="BN358">
            <v>1520</v>
          </cell>
          <cell r="BO358">
            <v>1110</v>
          </cell>
          <cell r="BP358">
            <v>415</v>
          </cell>
          <cell r="BQ358">
            <v>0</v>
          </cell>
          <cell r="BR358">
            <v>1520</v>
          </cell>
          <cell r="BS358">
            <v>990</v>
          </cell>
          <cell r="BT358">
            <v>470</v>
          </cell>
          <cell r="BU358">
            <v>60</v>
          </cell>
          <cell r="BV358">
            <v>1520</v>
          </cell>
          <cell r="BW358">
            <v>65</v>
          </cell>
          <cell r="BX358">
            <v>185</v>
          </cell>
          <cell r="BY358">
            <v>145</v>
          </cell>
          <cell r="BZ358">
            <v>120</v>
          </cell>
          <cell r="CA358">
            <v>395</v>
          </cell>
          <cell r="CB358">
            <v>425</v>
          </cell>
          <cell r="CC358">
            <v>90</v>
          </cell>
          <cell r="CD358">
            <v>75</v>
          </cell>
          <cell r="CE358">
            <v>25</v>
          </cell>
          <cell r="CF358">
            <v>1520</v>
          </cell>
          <cell r="CG358">
            <v>695</v>
          </cell>
          <cell r="CH358">
            <v>85</v>
          </cell>
          <cell r="CI358">
            <v>215</v>
          </cell>
          <cell r="CJ358">
            <v>90</v>
          </cell>
          <cell r="CK358">
            <v>5</v>
          </cell>
          <cell r="CL358">
            <v>430</v>
          </cell>
          <cell r="CM358">
            <v>5</v>
          </cell>
          <cell r="CN358">
            <v>0</v>
          </cell>
          <cell r="CO358">
            <v>1520</v>
          </cell>
          <cell r="CP358">
            <v>305</v>
          </cell>
          <cell r="CQ358">
            <v>545</v>
          </cell>
          <cell r="CR358">
            <v>300</v>
          </cell>
          <cell r="CS358">
            <v>350</v>
          </cell>
          <cell r="CT358">
            <v>20</v>
          </cell>
          <cell r="CU358">
            <v>3900</v>
          </cell>
          <cell r="CV358">
            <v>2.6</v>
          </cell>
          <cell r="CW358">
            <v>1520</v>
          </cell>
          <cell r="CX358">
            <v>1175</v>
          </cell>
          <cell r="CY358">
            <v>10</v>
          </cell>
          <cell r="CZ358">
            <v>345</v>
          </cell>
        </row>
        <row r="359">
          <cell r="A359" t="str">
            <v>4620581.01</v>
          </cell>
          <cell r="B359" t="str">
            <v>0581.01</v>
          </cell>
          <cell r="C359" t="str">
            <v>Rivière-des-Prairies-Pointe-aux-Trembles</v>
          </cell>
          <cell r="D359">
            <v>5060</v>
          </cell>
          <cell r="E359">
            <v>2125</v>
          </cell>
          <cell r="F359">
            <v>1820</v>
          </cell>
          <cell r="G359">
            <v>115</v>
          </cell>
          <cell r="H359">
            <v>530</v>
          </cell>
          <cell r="I359">
            <v>475</v>
          </cell>
          <cell r="J359">
            <v>5065</v>
          </cell>
          <cell r="K359">
            <v>4255</v>
          </cell>
          <cell r="L359">
            <v>805</v>
          </cell>
          <cell r="M359">
            <v>1610</v>
          </cell>
          <cell r="N359">
            <v>750</v>
          </cell>
          <cell r="O359">
            <v>390</v>
          </cell>
          <cell r="P359">
            <v>315</v>
          </cell>
          <cell r="Q359">
            <v>150</v>
          </cell>
          <cell r="R359">
            <v>1610</v>
          </cell>
          <cell r="S359">
            <v>1290</v>
          </cell>
          <cell r="T359">
            <v>880</v>
          </cell>
          <cell r="U359">
            <v>360</v>
          </cell>
          <cell r="V359">
            <v>520</v>
          </cell>
          <cell r="W359">
            <v>205</v>
          </cell>
          <cell r="X359">
            <v>195</v>
          </cell>
          <cell r="Y359">
            <v>115</v>
          </cell>
          <cell r="Z359">
            <v>405</v>
          </cell>
          <cell r="AA359">
            <v>195</v>
          </cell>
          <cell r="AB359">
            <v>210</v>
          </cell>
          <cell r="AC359">
            <v>75</v>
          </cell>
          <cell r="AD359">
            <v>110</v>
          </cell>
          <cell r="AE359">
            <v>25</v>
          </cell>
          <cell r="AF359">
            <v>325</v>
          </cell>
          <cell r="AG359">
            <v>265</v>
          </cell>
          <cell r="AH359">
            <v>150</v>
          </cell>
          <cell r="AI359">
            <v>95</v>
          </cell>
          <cell r="AJ359">
            <v>20</v>
          </cell>
          <cell r="AK359">
            <v>60</v>
          </cell>
          <cell r="AL359">
            <v>40</v>
          </cell>
          <cell r="AM359">
            <v>20</v>
          </cell>
          <cell r="AN359">
            <v>0</v>
          </cell>
          <cell r="AO359">
            <v>1855</v>
          </cell>
          <cell r="AP359">
            <v>260</v>
          </cell>
          <cell r="AQ359">
            <v>600</v>
          </cell>
          <cell r="AR359">
            <v>340</v>
          </cell>
          <cell r="AS359">
            <v>435</v>
          </cell>
          <cell r="AT359">
            <v>215</v>
          </cell>
          <cell r="AU359">
            <v>1.2</v>
          </cell>
          <cell r="AV359">
            <v>5745</v>
          </cell>
          <cell r="AW359">
            <v>990</v>
          </cell>
          <cell r="AX359">
            <v>160</v>
          </cell>
          <cell r="AY359">
            <v>150</v>
          </cell>
          <cell r="AZ359">
            <v>680</v>
          </cell>
          <cell r="BA359">
            <v>4755</v>
          </cell>
          <cell r="BB359">
            <v>3</v>
          </cell>
          <cell r="BC359">
            <v>930</v>
          </cell>
          <cell r="BD359">
            <v>455</v>
          </cell>
          <cell r="BE359">
            <v>70</v>
          </cell>
          <cell r="BF359">
            <v>0</v>
          </cell>
          <cell r="BG359">
            <v>380</v>
          </cell>
          <cell r="BH359">
            <v>480</v>
          </cell>
          <cell r="BI359">
            <v>2330</v>
          </cell>
          <cell r="BJ359">
            <v>5.6</v>
          </cell>
          <cell r="BK359">
            <v>13048</v>
          </cell>
          <cell r="BL359">
            <v>2.5</v>
          </cell>
          <cell r="BM359">
            <v>5825</v>
          </cell>
          <cell r="BN359">
            <v>2325</v>
          </cell>
          <cell r="BO359">
            <v>1495</v>
          </cell>
          <cell r="BP359">
            <v>835</v>
          </cell>
          <cell r="BQ359">
            <v>0</v>
          </cell>
          <cell r="BR359">
            <v>2325</v>
          </cell>
          <cell r="BS359">
            <v>1605</v>
          </cell>
          <cell r="BT359">
            <v>550</v>
          </cell>
          <cell r="BU359">
            <v>170</v>
          </cell>
          <cell r="BV359">
            <v>2325</v>
          </cell>
          <cell r="BW359">
            <v>65</v>
          </cell>
          <cell r="BX359">
            <v>230</v>
          </cell>
          <cell r="BY359">
            <v>200</v>
          </cell>
          <cell r="BZ359">
            <v>850</v>
          </cell>
          <cell r="CA359">
            <v>420</v>
          </cell>
          <cell r="CB359">
            <v>155</v>
          </cell>
          <cell r="CC359">
            <v>40</v>
          </cell>
          <cell r="CD359">
            <v>25</v>
          </cell>
          <cell r="CE359">
            <v>345</v>
          </cell>
          <cell r="CF359">
            <v>2320</v>
          </cell>
          <cell r="CG359">
            <v>505</v>
          </cell>
          <cell r="CH359">
            <v>175</v>
          </cell>
          <cell r="CI359">
            <v>650</v>
          </cell>
          <cell r="CJ359">
            <v>130</v>
          </cell>
          <cell r="CK359">
            <v>335</v>
          </cell>
          <cell r="CL359">
            <v>520</v>
          </cell>
          <cell r="CM359">
            <v>0</v>
          </cell>
          <cell r="CN359">
            <v>0</v>
          </cell>
          <cell r="CO359">
            <v>2320</v>
          </cell>
          <cell r="CP359">
            <v>675</v>
          </cell>
          <cell r="CQ359">
            <v>700</v>
          </cell>
          <cell r="CR359">
            <v>390</v>
          </cell>
          <cell r="CS359">
            <v>485</v>
          </cell>
          <cell r="CT359">
            <v>65</v>
          </cell>
          <cell r="CU359">
            <v>5730</v>
          </cell>
          <cell r="CV359">
            <v>2.5</v>
          </cell>
          <cell r="CW359">
            <v>2330</v>
          </cell>
          <cell r="CX359">
            <v>1535</v>
          </cell>
          <cell r="CY359">
            <v>35</v>
          </cell>
          <cell r="CZ359">
            <v>750</v>
          </cell>
        </row>
        <row r="360">
          <cell r="A360" t="str">
            <v>4620581.02</v>
          </cell>
          <cell r="B360" t="str">
            <v>0581.02</v>
          </cell>
          <cell r="C360" t="str">
            <v>Rivière-des-Prairies-Pointe-aux-Trembles</v>
          </cell>
          <cell r="D360">
            <v>3090</v>
          </cell>
          <cell r="E360">
            <v>1465</v>
          </cell>
          <cell r="F360">
            <v>1045</v>
          </cell>
          <cell r="G360">
            <v>85</v>
          </cell>
          <cell r="H360">
            <v>370</v>
          </cell>
          <cell r="I360">
            <v>140</v>
          </cell>
          <cell r="J360">
            <v>3095</v>
          </cell>
          <cell r="K360">
            <v>2530</v>
          </cell>
          <cell r="L360">
            <v>560</v>
          </cell>
          <cell r="M360">
            <v>1080</v>
          </cell>
          <cell r="N360">
            <v>535</v>
          </cell>
          <cell r="O360">
            <v>225</v>
          </cell>
          <cell r="P360">
            <v>220</v>
          </cell>
          <cell r="Q360">
            <v>100</v>
          </cell>
          <cell r="R360">
            <v>1080</v>
          </cell>
          <cell r="S360">
            <v>795</v>
          </cell>
          <cell r="T360">
            <v>515</v>
          </cell>
          <cell r="U360">
            <v>230</v>
          </cell>
          <cell r="V360">
            <v>285</v>
          </cell>
          <cell r="W360">
            <v>110</v>
          </cell>
          <cell r="X360">
            <v>110</v>
          </cell>
          <cell r="Y360">
            <v>65</v>
          </cell>
          <cell r="Z360">
            <v>280</v>
          </cell>
          <cell r="AA360">
            <v>135</v>
          </cell>
          <cell r="AB360">
            <v>140</v>
          </cell>
          <cell r="AC360">
            <v>40</v>
          </cell>
          <cell r="AD360">
            <v>75</v>
          </cell>
          <cell r="AE360">
            <v>20</v>
          </cell>
          <cell r="AF360">
            <v>290</v>
          </cell>
          <cell r="AG360">
            <v>240</v>
          </cell>
          <cell r="AH360">
            <v>130</v>
          </cell>
          <cell r="AI360">
            <v>65</v>
          </cell>
          <cell r="AJ360">
            <v>40</v>
          </cell>
          <cell r="AK360">
            <v>55</v>
          </cell>
          <cell r="AL360">
            <v>40</v>
          </cell>
          <cell r="AM360">
            <v>10</v>
          </cell>
          <cell r="AN360">
            <v>0</v>
          </cell>
          <cell r="AO360">
            <v>1285</v>
          </cell>
          <cell r="AP360">
            <v>255</v>
          </cell>
          <cell r="AQ360">
            <v>410</v>
          </cell>
          <cell r="AR360">
            <v>200</v>
          </cell>
          <cell r="AS360">
            <v>275</v>
          </cell>
          <cell r="AT360">
            <v>150</v>
          </cell>
          <cell r="AU360">
            <v>1.2</v>
          </cell>
          <cell r="AV360">
            <v>3750</v>
          </cell>
          <cell r="AW360">
            <v>590</v>
          </cell>
          <cell r="AX360">
            <v>85</v>
          </cell>
          <cell r="AY360">
            <v>80</v>
          </cell>
          <cell r="AZ360">
            <v>415</v>
          </cell>
          <cell r="BA360">
            <v>3165</v>
          </cell>
          <cell r="BB360">
            <v>2.9</v>
          </cell>
          <cell r="BC360">
            <v>370</v>
          </cell>
          <cell r="BD360">
            <v>90</v>
          </cell>
          <cell r="BE360">
            <v>15</v>
          </cell>
          <cell r="BF360">
            <v>0</v>
          </cell>
          <cell r="BG360">
            <v>75</v>
          </cell>
          <cell r="BH360">
            <v>280</v>
          </cell>
          <cell r="BI360">
            <v>1550</v>
          </cell>
          <cell r="BJ360">
            <v>5.3</v>
          </cell>
          <cell r="BK360">
            <v>8215</v>
          </cell>
          <cell r="BL360">
            <v>2.5</v>
          </cell>
          <cell r="BM360">
            <v>3875</v>
          </cell>
          <cell r="BN360">
            <v>1545</v>
          </cell>
          <cell r="BO360">
            <v>795</v>
          </cell>
          <cell r="BP360">
            <v>755</v>
          </cell>
          <cell r="BQ360">
            <v>0</v>
          </cell>
          <cell r="BR360">
            <v>1550</v>
          </cell>
          <cell r="BS360">
            <v>1040</v>
          </cell>
          <cell r="BT360">
            <v>435</v>
          </cell>
          <cell r="BU360">
            <v>70</v>
          </cell>
          <cell r="BV360">
            <v>1545</v>
          </cell>
          <cell r="BW360">
            <v>20</v>
          </cell>
          <cell r="BX360">
            <v>165</v>
          </cell>
          <cell r="BY360">
            <v>225</v>
          </cell>
          <cell r="BZ360">
            <v>440</v>
          </cell>
          <cell r="CA360">
            <v>335</v>
          </cell>
          <cell r="CB360">
            <v>210</v>
          </cell>
          <cell r="CC360">
            <v>70</v>
          </cell>
          <cell r="CD360">
            <v>20</v>
          </cell>
          <cell r="CE360">
            <v>60</v>
          </cell>
          <cell r="CF360">
            <v>1550</v>
          </cell>
          <cell r="CG360">
            <v>340</v>
          </cell>
          <cell r="CH360">
            <v>215</v>
          </cell>
          <cell r="CI360">
            <v>125</v>
          </cell>
          <cell r="CJ360">
            <v>40</v>
          </cell>
          <cell r="CK360">
            <v>105</v>
          </cell>
          <cell r="CL360">
            <v>725</v>
          </cell>
          <cell r="CM360">
            <v>0</v>
          </cell>
          <cell r="CN360">
            <v>0</v>
          </cell>
          <cell r="CO360">
            <v>1550</v>
          </cell>
          <cell r="CP360">
            <v>420</v>
          </cell>
          <cell r="CQ360">
            <v>530</v>
          </cell>
          <cell r="CR360">
            <v>280</v>
          </cell>
          <cell r="CS360">
            <v>290</v>
          </cell>
          <cell r="CT360">
            <v>30</v>
          </cell>
          <cell r="CU360">
            <v>3750</v>
          </cell>
          <cell r="CV360">
            <v>2.4</v>
          </cell>
          <cell r="CW360">
            <v>1545</v>
          </cell>
          <cell r="CX360">
            <v>1070</v>
          </cell>
          <cell r="CY360">
            <v>10</v>
          </cell>
          <cell r="CZ360">
            <v>470</v>
          </cell>
        </row>
        <row r="361">
          <cell r="A361" t="str">
            <v>4620582.01</v>
          </cell>
          <cell r="B361" t="str">
            <v>0582.01</v>
          </cell>
          <cell r="C361" t="str">
            <v>Rivière-des-Prairies-Pointe-aux-Trembles</v>
          </cell>
          <cell r="D361">
            <v>6120</v>
          </cell>
          <cell r="E361">
            <v>2640</v>
          </cell>
          <cell r="F361">
            <v>1990</v>
          </cell>
          <cell r="G361">
            <v>180</v>
          </cell>
          <cell r="H361">
            <v>810</v>
          </cell>
          <cell r="I361">
            <v>500</v>
          </cell>
          <cell r="J361">
            <v>6120</v>
          </cell>
          <cell r="K361">
            <v>4965</v>
          </cell>
          <cell r="L361">
            <v>1155</v>
          </cell>
          <cell r="M361">
            <v>2010</v>
          </cell>
          <cell r="N361">
            <v>1145</v>
          </cell>
          <cell r="O361">
            <v>435</v>
          </cell>
          <cell r="P361">
            <v>340</v>
          </cell>
          <cell r="Q361">
            <v>95</v>
          </cell>
          <cell r="R361">
            <v>2010</v>
          </cell>
          <cell r="S361">
            <v>1545</v>
          </cell>
          <cell r="T361">
            <v>960</v>
          </cell>
          <cell r="U361">
            <v>480</v>
          </cell>
          <cell r="V361">
            <v>480</v>
          </cell>
          <cell r="W361">
            <v>200</v>
          </cell>
          <cell r="X361">
            <v>195</v>
          </cell>
          <cell r="Y361">
            <v>85</v>
          </cell>
          <cell r="Z361">
            <v>580</v>
          </cell>
          <cell r="AA361">
            <v>340</v>
          </cell>
          <cell r="AB361">
            <v>240</v>
          </cell>
          <cell r="AC361">
            <v>125</v>
          </cell>
          <cell r="AD361">
            <v>110</v>
          </cell>
          <cell r="AE361">
            <v>0</v>
          </cell>
          <cell r="AF361">
            <v>470</v>
          </cell>
          <cell r="AG361">
            <v>365</v>
          </cell>
          <cell r="AH361">
            <v>245</v>
          </cell>
          <cell r="AI361">
            <v>95</v>
          </cell>
          <cell r="AJ361">
            <v>30</v>
          </cell>
          <cell r="AK361">
            <v>100</v>
          </cell>
          <cell r="AL361">
            <v>80</v>
          </cell>
          <cell r="AM361">
            <v>15</v>
          </cell>
          <cell r="AN361">
            <v>0</v>
          </cell>
          <cell r="AO361">
            <v>1900</v>
          </cell>
          <cell r="AP361">
            <v>260</v>
          </cell>
          <cell r="AQ361">
            <v>685</v>
          </cell>
          <cell r="AR361">
            <v>220</v>
          </cell>
          <cell r="AS361">
            <v>565</v>
          </cell>
          <cell r="AT361">
            <v>165</v>
          </cell>
          <cell r="AU361">
            <v>0.9</v>
          </cell>
          <cell r="AV361">
            <v>6855</v>
          </cell>
          <cell r="AW361">
            <v>1395</v>
          </cell>
          <cell r="AX361">
            <v>135</v>
          </cell>
          <cell r="AY361">
            <v>190</v>
          </cell>
          <cell r="AZ361">
            <v>1065</v>
          </cell>
          <cell r="BA361">
            <v>5460</v>
          </cell>
          <cell r="BB361">
            <v>2.7</v>
          </cell>
          <cell r="BC361">
            <v>965</v>
          </cell>
          <cell r="BD361">
            <v>425</v>
          </cell>
          <cell r="BE361">
            <v>55</v>
          </cell>
          <cell r="BF361">
            <v>20</v>
          </cell>
          <cell r="BG361">
            <v>350</v>
          </cell>
          <cell r="BH361">
            <v>540</v>
          </cell>
          <cell r="BI361">
            <v>3165</v>
          </cell>
          <cell r="BJ361">
            <v>4.9000000000000004</v>
          </cell>
          <cell r="BK361">
            <v>15508.500000000002</v>
          </cell>
          <cell r="BL361">
            <v>2.2000000000000002</v>
          </cell>
          <cell r="BM361">
            <v>6963.0000000000009</v>
          </cell>
          <cell r="BN361">
            <v>3165</v>
          </cell>
          <cell r="BO361">
            <v>1500</v>
          </cell>
          <cell r="BP361">
            <v>1665</v>
          </cell>
          <cell r="BQ361">
            <v>0</v>
          </cell>
          <cell r="BR361">
            <v>3165</v>
          </cell>
          <cell r="BS361">
            <v>2340</v>
          </cell>
          <cell r="BT361">
            <v>675</v>
          </cell>
          <cell r="BU361">
            <v>150</v>
          </cell>
          <cell r="BV361">
            <v>3165</v>
          </cell>
          <cell r="BW361">
            <v>65</v>
          </cell>
          <cell r="BX361">
            <v>440</v>
          </cell>
          <cell r="BY361">
            <v>255</v>
          </cell>
          <cell r="BZ361">
            <v>310</v>
          </cell>
          <cell r="CA361">
            <v>1030</v>
          </cell>
          <cell r="CB361">
            <v>750</v>
          </cell>
          <cell r="CC361">
            <v>155</v>
          </cell>
          <cell r="CD361">
            <v>50</v>
          </cell>
          <cell r="CE361">
            <v>105</v>
          </cell>
          <cell r="CF361">
            <v>3165</v>
          </cell>
          <cell r="CG361">
            <v>735</v>
          </cell>
          <cell r="CH361">
            <v>120</v>
          </cell>
          <cell r="CI361">
            <v>40</v>
          </cell>
          <cell r="CJ361">
            <v>35</v>
          </cell>
          <cell r="CK361">
            <v>95</v>
          </cell>
          <cell r="CL361">
            <v>2135</v>
          </cell>
          <cell r="CM361">
            <v>0</v>
          </cell>
          <cell r="CN361">
            <v>5</v>
          </cell>
          <cell r="CO361">
            <v>3165</v>
          </cell>
          <cell r="CP361">
            <v>1065</v>
          </cell>
          <cell r="CQ361">
            <v>1165</v>
          </cell>
          <cell r="CR361">
            <v>465</v>
          </cell>
          <cell r="CS361">
            <v>435</v>
          </cell>
          <cell r="CT361">
            <v>35</v>
          </cell>
          <cell r="CU361">
            <v>6850</v>
          </cell>
          <cell r="CV361">
            <v>2.2000000000000002</v>
          </cell>
          <cell r="CW361">
            <v>3170</v>
          </cell>
          <cell r="CX361">
            <v>1940</v>
          </cell>
          <cell r="CY361">
            <v>35</v>
          </cell>
          <cell r="CZ361">
            <v>1190</v>
          </cell>
        </row>
        <row r="362">
          <cell r="A362" t="str">
            <v>4620582.02</v>
          </cell>
          <cell r="B362" t="str">
            <v>0582.02</v>
          </cell>
          <cell r="C362" t="str">
            <v>Rivière-des-Prairies-Pointe-aux-Trembles</v>
          </cell>
          <cell r="D362">
            <v>5075</v>
          </cell>
          <cell r="E362">
            <v>2280</v>
          </cell>
          <cell r="F362">
            <v>1720</v>
          </cell>
          <cell r="G362">
            <v>145</v>
          </cell>
          <cell r="H362">
            <v>605</v>
          </cell>
          <cell r="I362">
            <v>325</v>
          </cell>
          <cell r="J362">
            <v>5075</v>
          </cell>
          <cell r="K362">
            <v>4095</v>
          </cell>
          <cell r="L362">
            <v>985</v>
          </cell>
          <cell r="M362">
            <v>1810</v>
          </cell>
          <cell r="N362">
            <v>1005</v>
          </cell>
          <cell r="O362">
            <v>450</v>
          </cell>
          <cell r="P362">
            <v>265</v>
          </cell>
          <cell r="Q362">
            <v>95</v>
          </cell>
          <cell r="R362">
            <v>1810</v>
          </cell>
          <cell r="S362">
            <v>1345</v>
          </cell>
          <cell r="T362">
            <v>855</v>
          </cell>
          <cell r="U362">
            <v>425</v>
          </cell>
          <cell r="V362">
            <v>425</v>
          </cell>
          <cell r="W362">
            <v>215</v>
          </cell>
          <cell r="X362">
            <v>135</v>
          </cell>
          <cell r="Y362">
            <v>75</v>
          </cell>
          <cell r="Z362">
            <v>495</v>
          </cell>
          <cell r="AA362">
            <v>265</v>
          </cell>
          <cell r="AB362">
            <v>225</v>
          </cell>
          <cell r="AC362">
            <v>110</v>
          </cell>
          <cell r="AD362">
            <v>100</v>
          </cell>
          <cell r="AE362">
            <v>15</v>
          </cell>
          <cell r="AF362">
            <v>465</v>
          </cell>
          <cell r="AG362">
            <v>395</v>
          </cell>
          <cell r="AH362">
            <v>270</v>
          </cell>
          <cell r="AI362">
            <v>90</v>
          </cell>
          <cell r="AJ362">
            <v>30</v>
          </cell>
          <cell r="AK362">
            <v>70</v>
          </cell>
          <cell r="AL362">
            <v>35</v>
          </cell>
          <cell r="AM362">
            <v>30</v>
          </cell>
          <cell r="AN362">
            <v>0</v>
          </cell>
          <cell r="AO362">
            <v>1740</v>
          </cell>
          <cell r="AP362">
            <v>285</v>
          </cell>
          <cell r="AQ362">
            <v>655</v>
          </cell>
          <cell r="AR362">
            <v>225</v>
          </cell>
          <cell r="AS362">
            <v>330</v>
          </cell>
          <cell r="AT362">
            <v>245</v>
          </cell>
          <cell r="AU362">
            <v>1</v>
          </cell>
          <cell r="AV362">
            <v>5915</v>
          </cell>
          <cell r="AW362">
            <v>1010</v>
          </cell>
          <cell r="AX362">
            <v>140</v>
          </cell>
          <cell r="AY362">
            <v>135</v>
          </cell>
          <cell r="AZ362">
            <v>735</v>
          </cell>
          <cell r="BA362">
            <v>4905</v>
          </cell>
          <cell r="BB362">
            <v>2.7</v>
          </cell>
          <cell r="BC362">
            <v>895</v>
          </cell>
          <cell r="BD362">
            <v>285</v>
          </cell>
          <cell r="BE362">
            <v>65</v>
          </cell>
          <cell r="BF362">
            <v>10</v>
          </cell>
          <cell r="BG362">
            <v>210</v>
          </cell>
          <cell r="BH362">
            <v>610</v>
          </cell>
          <cell r="BI362">
            <v>2590</v>
          </cell>
          <cell r="BJ362">
            <v>5.5</v>
          </cell>
          <cell r="BK362">
            <v>14245</v>
          </cell>
          <cell r="BL362">
            <v>2.5</v>
          </cell>
          <cell r="BM362">
            <v>6475</v>
          </cell>
          <cell r="BN362">
            <v>2590</v>
          </cell>
          <cell r="BO362">
            <v>1320</v>
          </cell>
          <cell r="BP362">
            <v>1265</v>
          </cell>
          <cell r="BQ362">
            <v>0</v>
          </cell>
          <cell r="BR362">
            <v>2590</v>
          </cell>
          <cell r="BS362">
            <v>1515</v>
          </cell>
          <cell r="BT362">
            <v>895</v>
          </cell>
          <cell r="BU362">
            <v>170</v>
          </cell>
          <cell r="BV362">
            <v>2585</v>
          </cell>
          <cell r="BW362">
            <v>40</v>
          </cell>
          <cell r="BX362">
            <v>320</v>
          </cell>
          <cell r="BY362">
            <v>1015</v>
          </cell>
          <cell r="BZ362">
            <v>700</v>
          </cell>
          <cell r="CA362">
            <v>300</v>
          </cell>
          <cell r="CB362">
            <v>65</v>
          </cell>
          <cell r="CC362">
            <v>15</v>
          </cell>
          <cell r="CD362">
            <v>50</v>
          </cell>
          <cell r="CE362">
            <v>80</v>
          </cell>
          <cell r="CF362">
            <v>2585</v>
          </cell>
          <cell r="CG362">
            <v>710</v>
          </cell>
          <cell r="CH362">
            <v>175</v>
          </cell>
          <cell r="CI362">
            <v>255</v>
          </cell>
          <cell r="CJ362">
            <v>55</v>
          </cell>
          <cell r="CK362">
            <v>15</v>
          </cell>
          <cell r="CL362">
            <v>1370</v>
          </cell>
          <cell r="CM362">
            <v>5</v>
          </cell>
          <cell r="CN362">
            <v>5</v>
          </cell>
          <cell r="CO362">
            <v>2585</v>
          </cell>
          <cell r="CP362">
            <v>735</v>
          </cell>
          <cell r="CQ362">
            <v>970</v>
          </cell>
          <cell r="CR362">
            <v>470</v>
          </cell>
          <cell r="CS362">
            <v>375</v>
          </cell>
          <cell r="CT362">
            <v>35</v>
          </cell>
          <cell r="CU362">
            <v>5915</v>
          </cell>
          <cell r="CV362">
            <v>2.2999999999999998</v>
          </cell>
          <cell r="CW362">
            <v>2590</v>
          </cell>
          <cell r="CX362">
            <v>1740</v>
          </cell>
          <cell r="CY362">
            <v>35</v>
          </cell>
          <cell r="CZ362">
            <v>810</v>
          </cell>
        </row>
        <row r="363">
          <cell r="A363" t="str">
            <v>4620583.00</v>
          </cell>
          <cell r="B363" t="str">
            <v>0583.00</v>
          </cell>
          <cell r="C363" t="str">
            <v>Rivière-des-Prairies-Pointe-aux-Trembles</v>
          </cell>
          <cell r="D363">
            <v>2850</v>
          </cell>
          <cell r="E363">
            <v>1295</v>
          </cell>
          <cell r="F363">
            <v>975</v>
          </cell>
          <cell r="G363">
            <v>75</v>
          </cell>
          <cell r="H363">
            <v>290</v>
          </cell>
          <cell r="I363">
            <v>210</v>
          </cell>
          <cell r="J363">
            <v>2845</v>
          </cell>
          <cell r="K363">
            <v>2365</v>
          </cell>
          <cell r="L363">
            <v>485</v>
          </cell>
          <cell r="M363">
            <v>910</v>
          </cell>
          <cell r="N363">
            <v>525</v>
          </cell>
          <cell r="O363">
            <v>155</v>
          </cell>
          <cell r="P363">
            <v>135</v>
          </cell>
          <cell r="Q363">
            <v>100</v>
          </cell>
          <cell r="R363">
            <v>910</v>
          </cell>
          <cell r="S363">
            <v>730</v>
          </cell>
          <cell r="T363">
            <v>480</v>
          </cell>
          <cell r="U363">
            <v>280</v>
          </cell>
          <cell r="V363">
            <v>200</v>
          </cell>
          <cell r="W363">
            <v>60</v>
          </cell>
          <cell r="X363">
            <v>85</v>
          </cell>
          <cell r="Y363">
            <v>50</v>
          </cell>
          <cell r="Z363">
            <v>255</v>
          </cell>
          <cell r="AA363">
            <v>95</v>
          </cell>
          <cell r="AB363">
            <v>160</v>
          </cell>
          <cell r="AC363">
            <v>60</v>
          </cell>
          <cell r="AD363">
            <v>50</v>
          </cell>
          <cell r="AE363">
            <v>45</v>
          </cell>
          <cell r="AF363">
            <v>180</v>
          </cell>
          <cell r="AG363">
            <v>150</v>
          </cell>
          <cell r="AH363">
            <v>135</v>
          </cell>
          <cell r="AI363">
            <v>10</v>
          </cell>
          <cell r="AJ363">
            <v>0</v>
          </cell>
          <cell r="AK363">
            <v>30</v>
          </cell>
          <cell r="AL363">
            <v>15</v>
          </cell>
          <cell r="AM363">
            <v>15</v>
          </cell>
          <cell r="AN363">
            <v>0</v>
          </cell>
          <cell r="AO363">
            <v>920</v>
          </cell>
          <cell r="AP363">
            <v>125</v>
          </cell>
          <cell r="AQ363">
            <v>310</v>
          </cell>
          <cell r="AR363">
            <v>120</v>
          </cell>
          <cell r="AS363">
            <v>235</v>
          </cell>
          <cell r="AT363">
            <v>130</v>
          </cell>
          <cell r="AU363">
            <v>1</v>
          </cell>
          <cell r="AV363">
            <v>3110</v>
          </cell>
          <cell r="AW363">
            <v>550</v>
          </cell>
          <cell r="AX363">
            <v>75</v>
          </cell>
          <cell r="AY363">
            <v>145</v>
          </cell>
          <cell r="AZ363">
            <v>325</v>
          </cell>
          <cell r="BA363">
            <v>2560</v>
          </cell>
          <cell r="BB363">
            <v>2.8</v>
          </cell>
          <cell r="BC363">
            <v>540</v>
          </cell>
          <cell r="BD363">
            <v>225</v>
          </cell>
          <cell r="BE363">
            <v>45</v>
          </cell>
          <cell r="BF363">
            <v>35</v>
          </cell>
          <cell r="BG363">
            <v>145</v>
          </cell>
          <cell r="BH363">
            <v>315</v>
          </cell>
          <cell r="BI363">
            <v>1285</v>
          </cell>
          <cell r="BJ363">
            <v>5.9</v>
          </cell>
          <cell r="BK363">
            <v>7581.5000000000009</v>
          </cell>
          <cell r="BL363">
            <v>2.6</v>
          </cell>
          <cell r="BM363">
            <v>3341</v>
          </cell>
          <cell r="BN363">
            <v>1285</v>
          </cell>
          <cell r="BO363">
            <v>775</v>
          </cell>
          <cell r="BP363">
            <v>510</v>
          </cell>
          <cell r="BQ363">
            <v>0</v>
          </cell>
          <cell r="BR363">
            <v>1285</v>
          </cell>
          <cell r="BS363">
            <v>800</v>
          </cell>
          <cell r="BT363">
            <v>380</v>
          </cell>
          <cell r="BU363">
            <v>100</v>
          </cell>
          <cell r="BV363">
            <v>1285</v>
          </cell>
          <cell r="BW363">
            <v>120</v>
          </cell>
          <cell r="BX363">
            <v>355</v>
          </cell>
          <cell r="BY363">
            <v>515</v>
          </cell>
          <cell r="BZ363">
            <v>100</v>
          </cell>
          <cell r="CA363">
            <v>65</v>
          </cell>
          <cell r="CB363">
            <v>75</v>
          </cell>
          <cell r="CC363">
            <v>45</v>
          </cell>
          <cell r="CD363">
            <v>0</v>
          </cell>
          <cell r="CE363">
            <v>0</v>
          </cell>
          <cell r="CF363">
            <v>1280</v>
          </cell>
          <cell r="CG363">
            <v>365</v>
          </cell>
          <cell r="CH363">
            <v>150</v>
          </cell>
          <cell r="CI363">
            <v>155</v>
          </cell>
          <cell r="CJ363">
            <v>170</v>
          </cell>
          <cell r="CK363">
            <v>45</v>
          </cell>
          <cell r="CL363">
            <v>405</v>
          </cell>
          <cell r="CM363">
            <v>0</v>
          </cell>
          <cell r="CN363">
            <v>0</v>
          </cell>
          <cell r="CO363">
            <v>1280</v>
          </cell>
          <cell r="CP363">
            <v>325</v>
          </cell>
          <cell r="CQ363">
            <v>495</v>
          </cell>
          <cell r="CR363">
            <v>195</v>
          </cell>
          <cell r="CS363">
            <v>235</v>
          </cell>
          <cell r="CT363">
            <v>30</v>
          </cell>
          <cell r="CU363">
            <v>3115</v>
          </cell>
          <cell r="CV363">
            <v>2.4</v>
          </cell>
          <cell r="CW363">
            <v>1280</v>
          </cell>
          <cell r="CX363">
            <v>890</v>
          </cell>
          <cell r="CY363">
            <v>10</v>
          </cell>
          <cell r="CZ363">
            <v>380</v>
          </cell>
        </row>
        <row r="364">
          <cell r="A364" t="str">
            <v>4620584.00</v>
          </cell>
          <cell r="B364" t="str">
            <v>0584.00</v>
          </cell>
          <cell r="C364" t="str">
            <v>Rivière-des-Prairies-Pointe-aux-Trembles</v>
          </cell>
          <cell r="D364">
            <v>6170</v>
          </cell>
          <cell r="E364">
            <v>2920</v>
          </cell>
          <cell r="F364">
            <v>1770</v>
          </cell>
          <cell r="G364">
            <v>180</v>
          </cell>
          <cell r="H364">
            <v>830</v>
          </cell>
          <cell r="I364">
            <v>480</v>
          </cell>
          <cell r="J364">
            <v>6170</v>
          </cell>
          <cell r="K364">
            <v>4790</v>
          </cell>
          <cell r="L364">
            <v>1385</v>
          </cell>
          <cell r="M364">
            <v>1995</v>
          </cell>
          <cell r="N364">
            <v>1110</v>
          </cell>
          <cell r="O364">
            <v>470</v>
          </cell>
          <cell r="P364">
            <v>300</v>
          </cell>
          <cell r="Q364">
            <v>115</v>
          </cell>
          <cell r="R364">
            <v>1995</v>
          </cell>
          <cell r="S364">
            <v>1555</v>
          </cell>
          <cell r="T364">
            <v>870</v>
          </cell>
          <cell r="U364">
            <v>490</v>
          </cell>
          <cell r="V364">
            <v>375</v>
          </cell>
          <cell r="W364">
            <v>150</v>
          </cell>
          <cell r="X364">
            <v>150</v>
          </cell>
          <cell r="Y364">
            <v>65</v>
          </cell>
          <cell r="Z364">
            <v>690</v>
          </cell>
          <cell r="AA364">
            <v>310</v>
          </cell>
          <cell r="AB364">
            <v>380</v>
          </cell>
          <cell r="AC364">
            <v>225</v>
          </cell>
          <cell r="AD364">
            <v>125</v>
          </cell>
          <cell r="AE364">
            <v>30</v>
          </cell>
          <cell r="AF364">
            <v>435</v>
          </cell>
          <cell r="AG364">
            <v>370</v>
          </cell>
          <cell r="AH364">
            <v>255</v>
          </cell>
          <cell r="AI364">
            <v>80</v>
          </cell>
          <cell r="AJ364">
            <v>30</v>
          </cell>
          <cell r="AK364">
            <v>65</v>
          </cell>
          <cell r="AL364">
            <v>45</v>
          </cell>
          <cell r="AM364">
            <v>15</v>
          </cell>
          <cell r="AN364">
            <v>0</v>
          </cell>
          <cell r="AO364">
            <v>1890</v>
          </cell>
          <cell r="AP364">
            <v>365</v>
          </cell>
          <cell r="AQ364">
            <v>660</v>
          </cell>
          <cell r="AR364">
            <v>250</v>
          </cell>
          <cell r="AS364">
            <v>420</v>
          </cell>
          <cell r="AT364">
            <v>195</v>
          </cell>
          <cell r="AU364">
            <v>0.9</v>
          </cell>
          <cell r="AV364">
            <v>6955</v>
          </cell>
          <cell r="AW364">
            <v>1515</v>
          </cell>
          <cell r="AX364">
            <v>190</v>
          </cell>
          <cell r="AY364">
            <v>285</v>
          </cell>
          <cell r="AZ364">
            <v>1040</v>
          </cell>
          <cell r="BA364">
            <v>5445</v>
          </cell>
          <cell r="BB364">
            <v>2.7</v>
          </cell>
          <cell r="BC364">
            <v>1030</v>
          </cell>
          <cell r="BD364">
            <v>385</v>
          </cell>
          <cell r="BE364">
            <v>60</v>
          </cell>
          <cell r="BF364">
            <v>15</v>
          </cell>
          <cell r="BG364">
            <v>315</v>
          </cell>
          <cell r="BH364">
            <v>640</v>
          </cell>
          <cell r="BI364">
            <v>3155</v>
          </cell>
          <cell r="BJ364">
            <v>5</v>
          </cell>
          <cell r="BK364">
            <v>15775</v>
          </cell>
          <cell r="BL364">
            <v>2.2000000000000002</v>
          </cell>
          <cell r="BM364">
            <v>6941.0000000000009</v>
          </cell>
          <cell r="BN364">
            <v>3155</v>
          </cell>
          <cell r="BO364">
            <v>1360</v>
          </cell>
          <cell r="BP364">
            <v>1795</v>
          </cell>
          <cell r="BQ364">
            <v>0</v>
          </cell>
          <cell r="BR364">
            <v>3160</v>
          </cell>
          <cell r="BS364">
            <v>1950</v>
          </cell>
          <cell r="BT364">
            <v>890</v>
          </cell>
          <cell r="BU364">
            <v>315</v>
          </cell>
          <cell r="BV364">
            <v>3155</v>
          </cell>
          <cell r="BW364">
            <v>335</v>
          </cell>
          <cell r="BX364">
            <v>1135</v>
          </cell>
          <cell r="BY364">
            <v>610</v>
          </cell>
          <cell r="BZ364">
            <v>355</v>
          </cell>
          <cell r="CA364">
            <v>320</v>
          </cell>
          <cell r="CB364">
            <v>190</v>
          </cell>
          <cell r="CC364">
            <v>150</v>
          </cell>
          <cell r="CD364">
            <v>55</v>
          </cell>
          <cell r="CE364">
            <v>0</v>
          </cell>
          <cell r="CF364">
            <v>3165</v>
          </cell>
          <cell r="CG364">
            <v>455</v>
          </cell>
          <cell r="CH364">
            <v>285</v>
          </cell>
          <cell r="CI364">
            <v>130</v>
          </cell>
          <cell r="CJ364">
            <v>560</v>
          </cell>
          <cell r="CK364">
            <v>150</v>
          </cell>
          <cell r="CL364">
            <v>1575</v>
          </cell>
          <cell r="CM364">
            <v>10</v>
          </cell>
          <cell r="CN364">
            <v>0</v>
          </cell>
          <cell r="CO364">
            <v>3160</v>
          </cell>
          <cell r="CP364">
            <v>1040</v>
          </cell>
          <cell r="CQ364">
            <v>1130</v>
          </cell>
          <cell r="CR364">
            <v>505</v>
          </cell>
          <cell r="CS364">
            <v>430</v>
          </cell>
          <cell r="CT364">
            <v>55</v>
          </cell>
          <cell r="CU364">
            <v>6965</v>
          </cell>
          <cell r="CV364">
            <v>2.2000000000000002</v>
          </cell>
          <cell r="CW364">
            <v>3155</v>
          </cell>
          <cell r="CX364">
            <v>1910</v>
          </cell>
          <cell r="CY364">
            <v>40</v>
          </cell>
          <cell r="CZ364">
            <v>1210</v>
          </cell>
        </row>
        <row r="365">
          <cell r="A365" t="str">
            <v>4620585.01</v>
          </cell>
          <cell r="B365" t="str">
            <v>0585.01</v>
          </cell>
          <cell r="C365" t="str">
            <v>Rivière-des-Prairies-Pointe-aux-Trembles</v>
          </cell>
          <cell r="D365">
            <v>1510</v>
          </cell>
          <cell r="E365">
            <v>700</v>
          </cell>
          <cell r="F365">
            <v>540</v>
          </cell>
          <cell r="G365">
            <v>30</v>
          </cell>
          <cell r="H365">
            <v>200</v>
          </cell>
          <cell r="I365">
            <v>45</v>
          </cell>
          <cell r="J365">
            <v>1515</v>
          </cell>
          <cell r="K365">
            <v>1040</v>
          </cell>
          <cell r="L365">
            <v>470</v>
          </cell>
          <cell r="M365">
            <v>605</v>
          </cell>
          <cell r="N365">
            <v>300</v>
          </cell>
          <cell r="O365">
            <v>150</v>
          </cell>
          <cell r="P365">
            <v>125</v>
          </cell>
          <cell r="Q365">
            <v>35</v>
          </cell>
          <cell r="R365">
            <v>605</v>
          </cell>
          <cell r="S365">
            <v>505</v>
          </cell>
          <cell r="T365">
            <v>270</v>
          </cell>
          <cell r="U365">
            <v>125</v>
          </cell>
          <cell r="V365">
            <v>145</v>
          </cell>
          <cell r="W365">
            <v>70</v>
          </cell>
          <cell r="X365">
            <v>55</v>
          </cell>
          <cell r="Y365">
            <v>20</v>
          </cell>
          <cell r="Z365">
            <v>230</v>
          </cell>
          <cell r="AA365">
            <v>105</v>
          </cell>
          <cell r="AB365">
            <v>125</v>
          </cell>
          <cell r="AC365">
            <v>45</v>
          </cell>
          <cell r="AD365">
            <v>65</v>
          </cell>
          <cell r="AE365">
            <v>10</v>
          </cell>
          <cell r="AF365">
            <v>100</v>
          </cell>
          <cell r="AG365">
            <v>70</v>
          </cell>
          <cell r="AH365">
            <v>50</v>
          </cell>
          <cell r="AI365">
            <v>20</v>
          </cell>
          <cell r="AJ365">
            <v>0</v>
          </cell>
          <cell r="AK365">
            <v>30</v>
          </cell>
          <cell r="AL365">
            <v>15</v>
          </cell>
          <cell r="AM365">
            <v>10</v>
          </cell>
          <cell r="AN365">
            <v>0</v>
          </cell>
          <cell r="AO365">
            <v>625</v>
          </cell>
          <cell r="AP365">
            <v>145</v>
          </cell>
          <cell r="AQ365">
            <v>265</v>
          </cell>
          <cell r="AR365">
            <v>75</v>
          </cell>
          <cell r="AS365">
            <v>110</v>
          </cell>
          <cell r="AT365">
            <v>40</v>
          </cell>
          <cell r="AU365">
            <v>1</v>
          </cell>
          <cell r="AV365">
            <v>1925</v>
          </cell>
          <cell r="AW365">
            <v>195</v>
          </cell>
          <cell r="AX365">
            <v>30</v>
          </cell>
          <cell r="AY365">
            <v>40</v>
          </cell>
          <cell r="AZ365">
            <v>125</v>
          </cell>
          <cell r="BA365">
            <v>1730</v>
          </cell>
          <cell r="BB365">
            <v>2.9</v>
          </cell>
          <cell r="BC365">
            <v>130</v>
          </cell>
          <cell r="BD365">
            <v>25</v>
          </cell>
          <cell r="BE365">
            <v>0</v>
          </cell>
          <cell r="BF365">
            <v>0</v>
          </cell>
          <cell r="BG365">
            <v>30</v>
          </cell>
          <cell r="BH365">
            <v>95</v>
          </cell>
          <cell r="BI365">
            <v>715</v>
          </cell>
          <cell r="BJ365">
            <v>6.2</v>
          </cell>
          <cell r="BK365">
            <v>4433</v>
          </cell>
          <cell r="BL365">
            <v>2.5</v>
          </cell>
          <cell r="BM365">
            <v>1787.5</v>
          </cell>
          <cell r="BN365">
            <v>715</v>
          </cell>
          <cell r="BO365">
            <v>640</v>
          </cell>
          <cell r="BP365">
            <v>75</v>
          </cell>
          <cell r="BQ365">
            <v>0</v>
          </cell>
          <cell r="BR365">
            <v>715</v>
          </cell>
          <cell r="BS365">
            <v>470</v>
          </cell>
          <cell r="BT365">
            <v>205</v>
          </cell>
          <cell r="BU365">
            <v>40</v>
          </cell>
          <cell r="BV365">
            <v>715</v>
          </cell>
          <cell r="BW365">
            <v>10</v>
          </cell>
          <cell r="BX365">
            <v>80</v>
          </cell>
          <cell r="BY365">
            <v>45</v>
          </cell>
          <cell r="BZ365">
            <v>25</v>
          </cell>
          <cell r="CA365">
            <v>60</v>
          </cell>
          <cell r="CB365">
            <v>90</v>
          </cell>
          <cell r="CC365">
            <v>225</v>
          </cell>
          <cell r="CD365">
            <v>105</v>
          </cell>
          <cell r="CE365">
            <v>75</v>
          </cell>
          <cell r="CF365">
            <v>715</v>
          </cell>
          <cell r="CG365">
            <v>220</v>
          </cell>
          <cell r="CH365">
            <v>75</v>
          </cell>
          <cell r="CI365">
            <v>270</v>
          </cell>
          <cell r="CJ365">
            <v>45</v>
          </cell>
          <cell r="CK365">
            <v>0</v>
          </cell>
          <cell r="CL365">
            <v>105</v>
          </cell>
          <cell r="CM365">
            <v>0</v>
          </cell>
          <cell r="CN365">
            <v>0</v>
          </cell>
          <cell r="CO365">
            <v>715</v>
          </cell>
          <cell r="CP365">
            <v>120</v>
          </cell>
          <cell r="CQ365">
            <v>245</v>
          </cell>
          <cell r="CR365">
            <v>165</v>
          </cell>
          <cell r="CS365">
            <v>170</v>
          </cell>
          <cell r="CT365">
            <v>20</v>
          </cell>
          <cell r="CU365">
            <v>1925</v>
          </cell>
          <cell r="CV365">
            <v>2.7</v>
          </cell>
          <cell r="CW365">
            <v>715</v>
          </cell>
          <cell r="CX365">
            <v>550</v>
          </cell>
          <cell r="CY365">
            <v>25</v>
          </cell>
          <cell r="CZ365">
            <v>135</v>
          </cell>
        </row>
        <row r="366">
          <cell r="A366" t="str">
            <v>4620585.02</v>
          </cell>
          <cell r="B366" t="str">
            <v>0585.02</v>
          </cell>
          <cell r="C366" t="str">
            <v>Rivière-des-Prairies-Pointe-aux-Trembles</v>
          </cell>
          <cell r="D366">
            <v>3335</v>
          </cell>
          <cell r="E366">
            <v>1265</v>
          </cell>
          <cell r="F366">
            <v>1180</v>
          </cell>
          <cell r="G366">
            <v>80</v>
          </cell>
          <cell r="H366">
            <v>340</v>
          </cell>
          <cell r="I366">
            <v>460</v>
          </cell>
          <cell r="J366">
            <v>3335</v>
          </cell>
          <cell r="K366">
            <v>2770</v>
          </cell>
          <cell r="L366">
            <v>570</v>
          </cell>
          <cell r="M366">
            <v>980</v>
          </cell>
          <cell r="N366">
            <v>505</v>
          </cell>
          <cell r="O366">
            <v>225</v>
          </cell>
          <cell r="P366">
            <v>210</v>
          </cell>
          <cell r="Q366">
            <v>35</v>
          </cell>
          <cell r="R366">
            <v>980</v>
          </cell>
          <cell r="S366">
            <v>835</v>
          </cell>
          <cell r="T366">
            <v>550</v>
          </cell>
          <cell r="U366">
            <v>295</v>
          </cell>
          <cell r="V366">
            <v>250</v>
          </cell>
          <cell r="W366">
            <v>95</v>
          </cell>
          <cell r="X366">
            <v>135</v>
          </cell>
          <cell r="Y366">
            <v>25</v>
          </cell>
          <cell r="Z366">
            <v>280</v>
          </cell>
          <cell r="AA366">
            <v>140</v>
          </cell>
          <cell r="AB366">
            <v>140</v>
          </cell>
          <cell r="AC366">
            <v>75</v>
          </cell>
          <cell r="AD366">
            <v>55</v>
          </cell>
          <cell r="AE366">
            <v>15</v>
          </cell>
          <cell r="AF366">
            <v>145</v>
          </cell>
          <cell r="AG366">
            <v>120</v>
          </cell>
          <cell r="AH366">
            <v>70</v>
          </cell>
          <cell r="AI366">
            <v>45</v>
          </cell>
          <cell r="AJ366">
            <v>0</v>
          </cell>
          <cell r="AK366">
            <v>25</v>
          </cell>
          <cell r="AL366">
            <v>0</v>
          </cell>
          <cell r="AM366">
            <v>10</v>
          </cell>
          <cell r="AN366">
            <v>15</v>
          </cell>
          <cell r="AO366">
            <v>895</v>
          </cell>
          <cell r="AP366">
            <v>120</v>
          </cell>
          <cell r="AQ366">
            <v>325</v>
          </cell>
          <cell r="AR366">
            <v>140</v>
          </cell>
          <cell r="AS366">
            <v>220</v>
          </cell>
          <cell r="AT366">
            <v>95</v>
          </cell>
          <cell r="AU366">
            <v>0.9</v>
          </cell>
          <cell r="AV366">
            <v>3475</v>
          </cell>
          <cell r="AW366">
            <v>765</v>
          </cell>
          <cell r="AX366">
            <v>145</v>
          </cell>
          <cell r="AY366">
            <v>115</v>
          </cell>
          <cell r="AZ366">
            <v>505</v>
          </cell>
          <cell r="BA366">
            <v>2705</v>
          </cell>
          <cell r="BB366">
            <v>2.8</v>
          </cell>
          <cell r="BC366">
            <v>715</v>
          </cell>
          <cell r="BD366">
            <v>325</v>
          </cell>
          <cell r="BE366">
            <v>20</v>
          </cell>
          <cell r="BF366">
            <v>55</v>
          </cell>
          <cell r="BG366">
            <v>245</v>
          </cell>
          <cell r="BH366">
            <v>395</v>
          </cell>
          <cell r="BI366">
            <v>1555</v>
          </cell>
          <cell r="BJ366">
            <v>5.0999999999999996</v>
          </cell>
          <cell r="BK366">
            <v>7930.4999999999991</v>
          </cell>
          <cell r="BL366">
            <v>2.2000000000000002</v>
          </cell>
          <cell r="BM366">
            <v>3421.0000000000005</v>
          </cell>
          <cell r="BN366">
            <v>1555</v>
          </cell>
          <cell r="BO366">
            <v>695</v>
          </cell>
          <cell r="BP366">
            <v>860</v>
          </cell>
          <cell r="BQ366">
            <v>0</v>
          </cell>
          <cell r="BR366">
            <v>1555</v>
          </cell>
          <cell r="BS366">
            <v>1195</v>
          </cell>
          <cell r="BT366">
            <v>295</v>
          </cell>
          <cell r="BU366">
            <v>60</v>
          </cell>
          <cell r="BV366">
            <v>1555</v>
          </cell>
          <cell r="BW366">
            <v>20</v>
          </cell>
          <cell r="BX366">
            <v>105</v>
          </cell>
          <cell r="BY366">
            <v>220</v>
          </cell>
          <cell r="BZ366">
            <v>520</v>
          </cell>
          <cell r="CA366">
            <v>260</v>
          </cell>
          <cell r="CB366">
            <v>185</v>
          </cell>
          <cell r="CC366">
            <v>185</v>
          </cell>
          <cell r="CD366">
            <v>0</v>
          </cell>
          <cell r="CE366">
            <v>50</v>
          </cell>
          <cell r="CF366">
            <v>1555</v>
          </cell>
          <cell r="CG366">
            <v>425</v>
          </cell>
          <cell r="CH366">
            <v>185</v>
          </cell>
          <cell r="CI366">
            <v>55</v>
          </cell>
          <cell r="CJ366">
            <v>25</v>
          </cell>
          <cell r="CK366">
            <v>0</v>
          </cell>
          <cell r="CL366">
            <v>855</v>
          </cell>
          <cell r="CM366">
            <v>5</v>
          </cell>
          <cell r="CN366">
            <v>0</v>
          </cell>
          <cell r="CO366">
            <v>1555</v>
          </cell>
          <cell r="CP366">
            <v>505</v>
          </cell>
          <cell r="CQ366">
            <v>540</v>
          </cell>
          <cell r="CR366">
            <v>235</v>
          </cell>
          <cell r="CS366">
            <v>260</v>
          </cell>
          <cell r="CT366">
            <v>15</v>
          </cell>
          <cell r="CU366">
            <v>3475</v>
          </cell>
          <cell r="CV366">
            <v>2.2000000000000002</v>
          </cell>
          <cell r="CW366">
            <v>1555</v>
          </cell>
          <cell r="CX366">
            <v>965</v>
          </cell>
          <cell r="CY366">
            <v>10</v>
          </cell>
          <cell r="CZ366">
            <v>585</v>
          </cell>
        </row>
        <row r="367">
          <cell r="C367" t="str">
            <v>Rivière-des-Prairies-Pointe-aux-Trembles</v>
          </cell>
          <cell r="D367">
            <v>87725</v>
          </cell>
          <cell r="E367">
            <v>35565</v>
          </cell>
          <cell r="F367">
            <v>35120</v>
          </cell>
          <cell r="G367">
            <v>2135</v>
          </cell>
          <cell r="H367">
            <v>8780</v>
          </cell>
          <cell r="I367">
            <v>6130</v>
          </cell>
          <cell r="J367">
            <v>87725</v>
          </cell>
          <cell r="K367">
            <v>75240</v>
          </cell>
          <cell r="L367">
            <v>12535</v>
          </cell>
          <cell r="M367">
            <v>29320</v>
          </cell>
          <cell r="N367">
            <v>13520</v>
          </cell>
          <cell r="O367">
            <v>6900</v>
          </cell>
          <cell r="P367">
            <v>6230</v>
          </cell>
          <cell r="Q367">
            <v>2665</v>
          </cell>
          <cell r="R367">
            <v>29335</v>
          </cell>
          <cell r="S367">
            <v>23530</v>
          </cell>
          <cell r="T367">
            <v>17225</v>
          </cell>
          <cell r="U367">
            <v>6740</v>
          </cell>
          <cell r="V367">
            <v>10430</v>
          </cell>
          <cell r="W367">
            <v>3805</v>
          </cell>
          <cell r="X367">
            <v>4545</v>
          </cell>
          <cell r="Y367">
            <v>2065</v>
          </cell>
          <cell r="Z367">
            <v>6300</v>
          </cell>
          <cell r="AA367">
            <v>3210</v>
          </cell>
          <cell r="AB367">
            <v>3085</v>
          </cell>
          <cell r="AC367">
            <v>1440</v>
          </cell>
          <cell r="AD367">
            <v>1235</v>
          </cell>
          <cell r="AE367">
            <v>390</v>
          </cell>
          <cell r="AF367">
            <v>5795</v>
          </cell>
          <cell r="AG367">
            <v>4860</v>
          </cell>
          <cell r="AH367">
            <v>2930</v>
          </cell>
          <cell r="AI367">
            <v>1330</v>
          </cell>
          <cell r="AJ367">
            <v>535</v>
          </cell>
          <cell r="AK367">
            <v>930</v>
          </cell>
          <cell r="AL367">
            <v>575</v>
          </cell>
          <cell r="AM367">
            <v>255</v>
          </cell>
          <cell r="AN367">
            <v>35</v>
          </cell>
          <cell r="AO367">
            <v>34215</v>
          </cell>
          <cell r="AP367">
            <v>5860</v>
          </cell>
          <cell r="AQ367">
            <v>11500</v>
          </cell>
          <cell r="AR367">
            <v>4395</v>
          </cell>
          <cell r="AS367">
            <v>7720</v>
          </cell>
          <cell r="AT367">
            <v>4740</v>
          </cell>
          <cell r="AU367">
            <v>1.1663541844213396</v>
          </cell>
          <cell r="AV367">
            <v>102475</v>
          </cell>
          <cell r="AW367">
            <v>15355</v>
          </cell>
          <cell r="AX367">
            <v>2425</v>
          </cell>
          <cell r="AY367">
            <v>2305</v>
          </cell>
          <cell r="AZ367">
            <v>10585</v>
          </cell>
          <cell r="BA367">
            <v>87120</v>
          </cell>
          <cell r="BB367">
            <v>2.9698312595875236</v>
          </cell>
          <cell r="BC367">
            <v>13720</v>
          </cell>
          <cell r="BD367">
            <v>5300</v>
          </cell>
          <cell r="BE367">
            <v>960</v>
          </cell>
          <cell r="BF367">
            <v>350</v>
          </cell>
          <cell r="BG367">
            <v>3945</v>
          </cell>
          <cell r="BH367">
            <v>8415</v>
          </cell>
          <cell r="BI367">
            <v>40650</v>
          </cell>
          <cell r="BJ367">
            <v>5.5840959409594095</v>
          </cell>
          <cell r="BK367">
            <v>226993.5</v>
          </cell>
          <cell r="BL367">
            <v>2.4738376383763838</v>
          </cell>
          <cell r="BM367">
            <v>100561.5</v>
          </cell>
          <cell r="BN367">
            <v>40635</v>
          </cell>
          <cell r="BO367">
            <v>24890</v>
          </cell>
          <cell r="BP367">
            <v>15745</v>
          </cell>
          <cell r="BQ367">
            <v>0</v>
          </cell>
          <cell r="BR367">
            <v>40645</v>
          </cell>
          <cell r="BS367">
            <v>27855</v>
          </cell>
          <cell r="BT367">
            <v>10535</v>
          </cell>
          <cell r="BU367">
            <v>2225</v>
          </cell>
          <cell r="BV367">
            <v>40615</v>
          </cell>
          <cell r="BW367">
            <v>1105</v>
          </cell>
          <cell r="BX367">
            <v>4460</v>
          </cell>
          <cell r="BY367">
            <v>4925</v>
          </cell>
          <cell r="BZ367">
            <v>6905</v>
          </cell>
          <cell r="CA367">
            <v>7880</v>
          </cell>
          <cell r="CB367">
            <v>6520</v>
          </cell>
          <cell r="CC367">
            <v>3860</v>
          </cell>
          <cell r="CD367">
            <v>2160</v>
          </cell>
          <cell r="CE367">
            <v>2750</v>
          </cell>
          <cell r="CF367">
            <v>40655</v>
          </cell>
          <cell r="CG367">
            <v>10275</v>
          </cell>
          <cell r="CH367">
            <v>5385</v>
          </cell>
          <cell r="CI367">
            <v>4195</v>
          </cell>
          <cell r="CJ367">
            <v>1635</v>
          </cell>
          <cell r="CK367">
            <v>2420</v>
          </cell>
          <cell r="CL367">
            <v>16660</v>
          </cell>
          <cell r="CM367">
            <v>45</v>
          </cell>
          <cell r="CN367">
            <v>15</v>
          </cell>
          <cell r="CO367">
            <v>40640</v>
          </cell>
          <cell r="CP367">
            <v>10620</v>
          </cell>
          <cell r="CQ367">
            <v>13180</v>
          </cell>
          <cell r="CR367">
            <v>7015</v>
          </cell>
          <cell r="CS367">
            <v>8725</v>
          </cell>
          <cell r="CT367">
            <v>1095</v>
          </cell>
          <cell r="CU367">
            <v>102470</v>
          </cell>
          <cell r="CV367">
            <v>2.5214074803149606</v>
          </cell>
          <cell r="CW367">
            <v>40650</v>
          </cell>
          <cell r="CX367">
            <v>28255</v>
          </cell>
          <cell r="CY367">
            <v>545</v>
          </cell>
          <cell r="CZ367">
            <v>11850</v>
          </cell>
        </row>
        <row r="370">
          <cell r="A370" t="str">
            <v>4620166.00</v>
          </cell>
          <cell r="B370" t="str">
            <v>0166.00</v>
          </cell>
          <cell r="C370" t="str">
            <v>Rosemont-La Petite-Patrie</v>
          </cell>
          <cell r="D370">
            <v>395</v>
          </cell>
          <cell r="E370">
            <v>260</v>
          </cell>
          <cell r="F370">
            <v>70</v>
          </cell>
          <cell r="G370">
            <v>10</v>
          </cell>
          <cell r="H370">
            <v>40</v>
          </cell>
          <cell r="I370">
            <v>15</v>
          </cell>
          <cell r="J370">
            <v>395</v>
          </cell>
          <cell r="K370">
            <v>315</v>
          </cell>
          <cell r="L370">
            <v>80</v>
          </cell>
          <cell r="M370">
            <v>90</v>
          </cell>
          <cell r="N370">
            <v>40</v>
          </cell>
          <cell r="O370">
            <v>10</v>
          </cell>
          <cell r="P370">
            <v>30</v>
          </cell>
          <cell r="Q370">
            <v>15</v>
          </cell>
          <cell r="R370">
            <v>85</v>
          </cell>
          <cell r="S370">
            <v>65</v>
          </cell>
          <cell r="T370">
            <v>30</v>
          </cell>
          <cell r="U370">
            <v>10</v>
          </cell>
          <cell r="V370">
            <v>20</v>
          </cell>
          <cell r="W370">
            <v>10</v>
          </cell>
          <cell r="X370">
            <v>0</v>
          </cell>
          <cell r="Y370">
            <v>0</v>
          </cell>
          <cell r="Z370">
            <v>35</v>
          </cell>
          <cell r="AA370">
            <v>15</v>
          </cell>
          <cell r="AB370">
            <v>25</v>
          </cell>
          <cell r="AC370">
            <v>0</v>
          </cell>
          <cell r="AD370">
            <v>20</v>
          </cell>
          <cell r="AE370">
            <v>0</v>
          </cell>
          <cell r="AF370">
            <v>20</v>
          </cell>
          <cell r="AG370">
            <v>10</v>
          </cell>
          <cell r="AH370">
            <v>0</v>
          </cell>
          <cell r="AI370">
            <v>0</v>
          </cell>
          <cell r="AJ370">
            <v>10</v>
          </cell>
          <cell r="AK370">
            <v>10</v>
          </cell>
          <cell r="AL370">
            <v>10</v>
          </cell>
          <cell r="AM370">
            <v>0</v>
          </cell>
          <cell r="AN370">
            <v>0</v>
          </cell>
          <cell r="AO370">
            <v>125</v>
          </cell>
          <cell r="AP370">
            <v>40</v>
          </cell>
          <cell r="AQ370">
            <v>20</v>
          </cell>
          <cell r="AR370">
            <v>10</v>
          </cell>
          <cell r="AS370">
            <v>10</v>
          </cell>
          <cell r="AT370">
            <v>40</v>
          </cell>
          <cell r="AU370">
            <v>1.5</v>
          </cell>
          <cell r="AV370">
            <v>440</v>
          </cell>
          <cell r="AW370">
            <v>160</v>
          </cell>
          <cell r="AX370">
            <v>10</v>
          </cell>
          <cell r="AY370">
            <v>15</v>
          </cell>
          <cell r="AZ370">
            <v>135</v>
          </cell>
          <cell r="BA370">
            <v>280</v>
          </cell>
          <cell r="BB370">
            <v>3.3</v>
          </cell>
          <cell r="BC370">
            <v>25</v>
          </cell>
          <cell r="BD370">
            <v>20</v>
          </cell>
          <cell r="BE370">
            <v>0</v>
          </cell>
          <cell r="BF370">
            <v>0</v>
          </cell>
          <cell r="BG370">
            <v>15</v>
          </cell>
          <cell r="BH370">
            <v>10</v>
          </cell>
          <cell r="BI370">
            <v>235</v>
          </cell>
          <cell r="BJ370">
            <v>4.3</v>
          </cell>
          <cell r="BK370">
            <v>1010.5</v>
          </cell>
          <cell r="BL370">
            <v>1.7</v>
          </cell>
          <cell r="BM370">
            <v>399.5</v>
          </cell>
          <cell r="BN370">
            <v>235</v>
          </cell>
          <cell r="BO370">
            <v>50</v>
          </cell>
          <cell r="BP370">
            <v>180</v>
          </cell>
          <cell r="BQ370">
            <v>0</v>
          </cell>
          <cell r="BR370">
            <v>235</v>
          </cell>
          <cell r="BS370">
            <v>115</v>
          </cell>
          <cell r="BT370">
            <v>90</v>
          </cell>
          <cell r="BU370">
            <v>30</v>
          </cell>
          <cell r="BV370">
            <v>235</v>
          </cell>
          <cell r="BW370">
            <v>105</v>
          </cell>
          <cell r="BX370">
            <v>55</v>
          </cell>
          <cell r="BY370">
            <v>20</v>
          </cell>
          <cell r="BZ370">
            <v>25</v>
          </cell>
          <cell r="CA370">
            <v>0</v>
          </cell>
          <cell r="CB370">
            <v>10</v>
          </cell>
          <cell r="CC370">
            <v>0</v>
          </cell>
          <cell r="CD370">
            <v>0</v>
          </cell>
          <cell r="CE370">
            <v>20</v>
          </cell>
          <cell r="CF370">
            <v>240</v>
          </cell>
          <cell r="CG370">
            <v>0</v>
          </cell>
          <cell r="CH370">
            <v>0</v>
          </cell>
          <cell r="CI370">
            <v>0</v>
          </cell>
          <cell r="CJ370">
            <v>0</v>
          </cell>
          <cell r="CK370">
            <v>0</v>
          </cell>
          <cell r="CL370">
            <v>230</v>
          </cell>
          <cell r="CM370">
            <v>5</v>
          </cell>
          <cell r="CN370">
            <v>0</v>
          </cell>
          <cell r="CO370">
            <v>235</v>
          </cell>
          <cell r="CP370">
            <v>130</v>
          </cell>
          <cell r="CQ370">
            <v>50</v>
          </cell>
          <cell r="CR370">
            <v>25</v>
          </cell>
          <cell r="CS370">
            <v>25</v>
          </cell>
          <cell r="CT370">
            <v>5</v>
          </cell>
          <cell r="CU370">
            <v>445</v>
          </cell>
          <cell r="CV370">
            <v>1.9</v>
          </cell>
          <cell r="CW370">
            <v>240</v>
          </cell>
          <cell r="CX370">
            <v>90</v>
          </cell>
          <cell r="CY370">
            <v>0</v>
          </cell>
          <cell r="CZ370">
            <v>145</v>
          </cell>
        </row>
        <row r="371">
          <cell r="A371" t="str">
            <v>4620179.00</v>
          </cell>
          <cell r="B371" t="str">
            <v>0179.00</v>
          </cell>
          <cell r="C371" t="str">
            <v>Rosemont-La Petite-Patrie</v>
          </cell>
          <cell r="D371">
            <v>3385</v>
          </cell>
          <cell r="E371">
            <v>2290</v>
          </cell>
          <cell r="F371">
            <v>545</v>
          </cell>
          <cell r="G371">
            <v>85</v>
          </cell>
          <cell r="H371">
            <v>335</v>
          </cell>
          <cell r="I371">
            <v>130</v>
          </cell>
          <cell r="J371">
            <v>3385</v>
          </cell>
          <cell r="K371">
            <v>2700</v>
          </cell>
          <cell r="L371">
            <v>685</v>
          </cell>
          <cell r="M371">
            <v>855</v>
          </cell>
          <cell r="N371">
            <v>540</v>
          </cell>
          <cell r="O371">
            <v>170</v>
          </cell>
          <cell r="P371">
            <v>110</v>
          </cell>
          <cell r="Q371">
            <v>30</v>
          </cell>
          <cell r="R371">
            <v>855</v>
          </cell>
          <cell r="S371">
            <v>605</v>
          </cell>
          <cell r="T371">
            <v>260</v>
          </cell>
          <cell r="U371">
            <v>110</v>
          </cell>
          <cell r="V371">
            <v>145</v>
          </cell>
          <cell r="W371">
            <v>75</v>
          </cell>
          <cell r="X371">
            <v>50</v>
          </cell>
          <cell r="Y371">
            <v>25</v>
          </cell>
          <cell r="Z371">
            <v>345</v>
          </cell>
          <cell r="AA371">
            <v>250</v>
          </cell>
          <cell r="AB371">
            <v>95</v>
          </cell>
          <cell r="AC371">
            <v>45</v>
          </cell>
          <cell r="AD371">
            <v>40</v>
          </cell>
          <cell r="AE371">
            <v>10</v>
          </cell>
          <cell r="AF371">
            <v>250</v>
          </cell>
          <cell r="AG371">
            <v>185</v>
          </cell>
          <cell r="AH371">
            <v>120</v>
          </cell>
          <cell r="AI371">
            <v>40</v>
          </cell>
          <cell r="AJ371">
            <v>25</v>
          </cell>
          <cell r="AK371">
            <v>65</v>
          </cell>
          <cell r="AL371">
            <v>50</v>
          </cell>
          <cell r="AM371">
            <v>15</v>
          </cell>
          <cell r="AN371">
            <v>0</v>
          </cell>
          <cell r="AO371">
            <v>750</v>
          </cell>
          <cell r="AP371">
            <v>220</v>
          </cell>
          <cell r="AQ371">
            <v>210</v>
          </cell>
          <cell r="AR371">
            <v>70</v>
          </cell>
          <cell r="AS371">
            <v>155</v>
          </cell>
          <cell r="AT371">
            <v>90</v>
          </cell>
          <cell r="AU371">
            <v>0.9</v>
          </cell>
          <cell r="AV371">
            <v>3755</v>
          </cell>
          <cell r="AW371">
            <v>1545</v>
          </cell>
          <cell r="AX371">
            <v>75</v>
          </cell>
          <cell r="AY371">
            <v>335</v>
          </cell>
          <cell r="AZ371">
            <v>1130</v>
          </cell>
          <cell r="BA371">
            <v>2205</v>
          </cell>
          <cell r="BB371">
            <v>2.6</v>
          </cell>
          <cell r="BC371">
            <v>310</v>
          </cell>
          <cell r="BD371">
            <v>150</v>
          </cell>
          <cell r="BE371">
            <v>10</v>
          </cell>
          <cell r="BF371">
            <v>0</v>
          </cell>
          <cell r="BG371">
            <v>140</v>
          </cell>
          <cell r="BH371">
            <v>155</v>
          </cell>
          <cell r="BI371">
            <v>2145</v>
          </cell>
          <cell r="BJ371">
            <v>4.0999999999999996</v>
          </cell>
          <cell r="BK371">
            <v>8794.5</v>
          </cell>
          <cell r="BL371">
            <v>1.5</v>
          </cell>
          <cell r="BM371">
            <v>3217.5</v>
          </cell>
          <cell r="BN371">
            <v>2145</v>
          </cell>
          <cell r="BO371">
            <v>375</v>
          </cell>
          <cell r="BP371">
            <v>1770</v>
          </cell>
          <cell r="BQ371">
            <v>0</v>
          </cell>
          <cell r="BR371">
            <v>2145</v>
          </cell>
          <cell r="BS371">
            <v>1145</v>
          </cell>
          <cell r="BT371">
            <v>705</v>
          </cell>
          <cell r="BU371">
            <v>290</v>
          </cell>
          <cell r="BV371">
            <v>2145</v>
          </cell>
          <cell r="BW371">
            <v>875</v>
          </cell>
          <cell r="BX371">
            <v>640</v>
          </cell>
          <cell r="BY371">
            <v>320</v>
          </cell>
          <cell r="BZ371">
            <v>110</v>
          </cell>
          <cell r="CA371">
            <v>35</v>
          </cell>
          <cell r="CB371">
            <v>50</v>
          </cell>
          <cell r="CC371">
            <v>30</v>
          </cell>
          <cell r="CD371">
            <v>30</v>
          </cell>
          <cell r="CE371">
            <v>50</v>
          </cell>
          <cell r="CF371">
            <v>2145</v>
          </cell>
          <cell r="CG371">
            <v>5</v>
          </cell>
          <cell r="CH371">
            <v>0</v>
          </cell>
          <cell r="CI371">
            <v>15</v>
          </cell>
          <cell r="CJ371">
            <v>240</v>
          </cell>
          <cell r="CK371">
            <v>0</v>
          </cell>
          <cell r="CL371">
            <v>1885</v>
          </cell>
          <cell r="CM371">
            <v>0</v>
          </cell>
          <cell r="CN371">
            <v>0</v>
          </cell>
          <cell r="CO371">
            <v>2150</v>
          </cell>
          <cell r="CP371">
            <v>1130</v>
          </cell>
          <cell r="CQ371">
            <v>630</v>
          </cell>
          <cell r="CR371">
            <v>235</v>
          </cell>
          <cell r="CS371">
            <v>140</v>
          </cell>
          <cell r="CT371">
            <v>5</v>
          </cell>
          <cell r="CU371">
            <v>3755</v>
          </cell>
          <cell r="CV371">
            <v>1.7</v>
          </cell>
          <cell r="CW371">
            <v>2145</v>
          </cell>
          <cell r="CX371">
            <v>835</v>
          </cell>
          <cell r="CY371">
            <v>10</v>
          </cell>
          <cell r="CZ371">
            <v>1300</v>
          </cell>
        </row>
        <row r="372">
          <cell r="A372" t="str">
            <v>4620180.00</v>
          </cell>
          <cell r="B372" t="str">
            <v>0180.00</v>
          </cell>
          <cell r="C372" t="str">
            <v>Rosemont-La Petite-Patrie</v>
          </cell>
          <cell r="D372">
            <v>3110</v>
          </cell>
          <cell r="E372">
            <v>1980</v>
          </cell>
          <cell r="F372">
            <v>580</v>
          </cell>
          <cell r="G372">
            <v>70</v>
          </cell>
          <cell r="H372">
            <v>325</v>
          </cell>
          <cell r="I372">
            <v>150</v>
          </cell>
          <cell r="J372">
            <v>3105</v>
          </cell>
          <cell r="K372">
            <v>2405</v>
          </cell>
          <cell r="L372">
            <v>700</v>
          </cell>
          <cell r="M372">
            <v>810</v>
          </cell>
          <cell r="N372">
            <v>470</v>
          </cell>
          <cell r="O372">
            <v>180</v>
          </cell>
          <cell r="P372">
            <v>125</v>
          </cell>
          <cell r="Q372">
            <v>40</v>
          </cell>
          <cell r="R372">
            <v>810</v>
          </cell>
          <cell r="S372">
            <v>625</v>
          </cell>
          <cell r="T372">
            <v>275</v>
          </cell>
          <cell r="U372">
            <v>150</v>
          </cell>
          <cell r="V372">
            <v>130</v>
          </cell>
          <cell r="W372">
            <v>55</v>
          </cell>
          <cell r="X372">
            <v>50</v>
          </cell>
          <cell r="Y372">
            <v>20</v>
          </cell>
          <cell r="Z372">
            <v>350</v>
          </cell>
          <cell r="AA372">
            <v>190</v>
          </cell>
          <cell r="AB372">
            <v>155</v>
          </cell>
          <cell r="AC372">
            <v>100</v>
          </cell>
          <cell r="AD372">
            <v>55</v>
          </cell>
          <cell r="AE372">
            <v>0</v>
          </cell>
          <cell r="AF372">
            <v>190</v>
          </cell>
          <cell r="AG372">
            <v>155</v>
          </cell>
          <cell r="AH372">
            <v>110</v>
          </cell>
          <cell r="AI372">
            <v>25</v>
          </cell>
          <cell r="AJ372">
            <v>25</v>
          </cell>
          <cell r="AK372">
            <v>30</v>
          </cell>
          <cell r="AL372">
            <v>20</v>
          </cell>
          <cell r="AM372">
            <v>0</v>
          </cell>
          <cell r="AN372">
            <v>10</v>
          </cell>
          <cell r="AO372">
            <v>735</v>
          </cell>
          <cell r="AP372">
            <v>200</v>
          </cell>
          <cell r="AQ372">
            <v>270</v>
          </cell>
          <cell r="AR372">
            <v>115</v>
          </cell>
          <cell r="AS372">
            <v>90</v>
          </cell>
          <cell r="AT372">
            <v>55</v>
          </cell>
          <cell r="AU372">
            <v>0.9</v>
          </cell>
          <cell r="AV372">
            <v>3555</v>
          </cell>
          <cell r="AW372">
            <v>1385</v>
          </cell>
          <cell r="AX372">
            <v>75</v>
          </cell>
          <cell r="AY372">
            <v>420</v>
          </cell>
          <cell r="AZ372">
            <v>890</v>
          </cell>
          <cell r="BA372">
            <v>2170</v>
          </cell>
          <cell r="BB372">
            <v>2.7</v>
          </cell>
          <cell r="BC372">
            <v>340</v>
          </cell>
          <cell r="BD372">
            <v>140</v>
          </cell>
          <cell r="BE372">
            <v>0</v>
          </cell>
          <cell r="BF372">
            <v>10</v>
          </cell>
          <cell r="BG372">
            <v>130</v>
          </cell>
          <cell r="BH372">
            <v>200</v>
          </cell>
          <cell r="BI372">
            <v>1905</v>
          </cell>
          <cell r="BJ372">
            <v>4.2</v>
          </cell>
          <cell r="BK372">
            <v>8001</v>
          </cell>
          <cell r="BL372">
            <v>1.6</v>
          </cell>
          <cell r="BM372">
            <v>3048</v>
          </cell>
          <cell r="BN372">
            <v>1905</v>
          </cell>
          <cell r="BO372">
            <v>405</v>
          </cell>
          <cell r="BP372">
            <v>1505</v>
          </cell>
          <cell r="BQ372">
            <v>0</v>
          </cell>
          <cell r="BR372">
            <v>1905</v>
          </cell>
          <cell r="BS372">
            <v>895</v>
          </cell>
          <cell r="BT372">
            <v>740</v>
          </cell>
          <cell r="BU372">
            <v>270</v>
          </cell>
          <cell r="BV372">
            <v>1910</v>
          </cell>
          <cell r="BW372">
            <v>695</v>
          </cell>
          <cell r="BX372">
            <v>735</v>
          </cell>
          <cell r="BY372">
            <v>245</v>
          </cell>
          <cell r="BZ372">
            <v>100</v>
          </cell>
          <cell r="CA372">
            <v>60</v>
          </cell>
          <cell r="CB372">
            <v>30</v>
          </cell>
          <cell r="CC372">
            <v>10</v>
          </cell>
          <cell r="CD372">
            <v>0</v>
          </cell>
          <cell r="CE372">
            <v>25</v>
          </cell>
          <cell r="CF372">
            <v>1910</v>
          </cell>
          <cell r="CG372">
            <v>0</v>
          </cell>
          <cell r="CH372">
            <v>0</v>
          </cell>
          <cell r="CI372">
            <v>0</v>
          </cell>
          <cell r="CJ372">
            <v>315</v>
          </cell>
          <cell r="CK372">
            <v>35</v>
          </cell>
          <cell r="CL372">
            <v>1545</v>
          </cell>
          <cell r="CM372">
            <v>15</v>
          </cell>
          <cell r="CN372">
            <v>0</v>
          </cell>
          <cell r="CO372">
            <v>1910</v>
          </cell>
          <cell r="CP372">
            <v>895</v>
          </cell>
          <cell r="CQ372">
            <v>615</v>
          </cell>
          <cell r="CR372">
            <v>230</v>
          </cell>
          <cell r="CS372">
            <v>155</v>
          </cell>
          <cell r="CT372">
            <v>10</v>
          </cell>
          <cell r="CU372">
            <v>3560</v>
          </cell>
          <cell r="CV372">
            <v>1.9</v>
          </cell>
          <cell r="CW372">
            <v>1905</v>
          </cell>
          <cell r="CX372">
            <v>790</v>
          </cell>
          <cell r="CY372">
            <v>10</v>
          </cell>
          <cell r="CZ372">
            <v>1105</v>
          </cell>
        </row>
        <row r="373">
          <cell r="A373" t="str">
            <v>4620181.00</v>
          </cell>
          <cell r="B373" t="str">
            <v>0181.00</v>
          </cell>
          <cell r="C373" t="str">
            <v>Rosemont-La Petite-Patrie</v>
          </cell>
          <cell r="D373">
            <v>3275</v>
          </cell>
          <cell r="E373">
            <v>2100</v>
          </cell>
          <cell r="F373">
            <v>595</v>
          </cell>
          <cell r="G373">
            <v>75</v>
          </cell>
          <cell r="H373">
            <v>340</v>
          </cell>
          <cell r="I373">
            <v>165</v>
          </cell>
          <cell r="J373">
            <v>3270</v>
          </cell>
          <cell r="K373">
            <v>2505</v>
          </cell>
          <cell r="L373">
            <v>765</v>
          </cell>
          <cell r="M373">
            <v>890</v>
          </cell>
          <cell r="N373">
            <v>540</v>
          </cell>
          <cell r="O373">
            <v>195</v>
          </cell>
          <cell r="P373">
            <v>125</v>
          </cell>
          <cell r="Q373">
            <v>35</v>
          </cell>
          <cell r="R373">
            <v>890</v>
          </cell>
          <cell r="S373">
            <v>655</v>
          </cell>
          <cell r="T373">
            <v>275</v>
          </cell>
          <cell r="U373">
            <v>135</v>
          </cell>
          <cell r="V373">
            <v>145</v>
          </cell>
          <cell r="W373">
            <v>80</v>
          </cell>
          <cell r="X373">
            <v>35</v>
          </cell>
          <cell r="Y373">
            <v>30</v>
          </cell>
          <cell r="Z373">
            <v>380</v>
          </cell>
          <cell r="AA373">
            <v>230</v>
          </cell>
          <cell r="AB373">
            <v>145</v>
          </cell>
          <cell r="AC373">
            <v>65</v>
          </cell>
          <cell r="AD373">
            <v>75</v>
          </cell>
          <cell r="AE373">
            <v>10</v>
          </cell>
          <cell r="AF373">
            <v>240</v>
          </cell>
          <cell r="AG373">
            <v>195</v>
          </cell>
          <cell r="AH373">
            <v>135</v>
          </cell>
          <cell r="AI373">
            <v>45</v>
          </cell>
          <cell r="AJ373">
            <v>15</v>
          </cell>
          <cell r="AK373">
            <v>40</v>
          </cell>
          <cell r="AL373">
            <v>35</v>
          </cell>
          <cell r="AM373">
            <v>0</v>
          </cell>
          <cell r="AN373">
            <v>0</v>
          </cell>
          <cell r="AO373">
            <v>785</v>
          </cell>
          <cell r="AP373">
            <v>255</v>
          </cell>
          <cell r="AQ373">
            <v>285</v>
          </cell>
          <cell r="AR373">
            <v>95</v>
          </cell>
          <cell r="AS373">
            <v>100</v>
          </cell>
          <cell r="AT373">
            <v>50</v>
          </cell>
          <cell r="AU373">
            <v>0.9</v>
          </cell>
          <cell r="AV373">
            <v>3790</v>
          </cell>
          <cell r="AW373">
            <v>1460</v>
          </cell>
          <cell r="AX373">
            <v>130</v>
          </cell>
          <cell r="AY373">
            <v>395</v>
          </cell>
          <cell r="AZ373">
            <v>935</v>
          </cell>
          <cell r="BA373">
            <v>2335</v>
          </cell>
          <cell r="BB373">
            <v>2.6</v>
          </cell>
          <cell r="BC373">
            <v>345</v>
          </cell>
          <cell r="BD373">
            <v>215</v>
          </cell>
          <cell r="BE373">
            <v>20</v>
          </cell>
          <cell r="BF373">
            <v>10</v>
          </cell>
          <cell r="BG373">
            <v>185</v>
          </cell>
          <cell r="BH373">
            <v>135</v>
          </cell>
          <cell r="BI373">
            <v>2020</v>
          </cell>
          <cell r="BJ373">
            <v>4.4000000000000004</v>
          </cell>
          <cell r="BK373">
            <v>8888</v>
          </cell>
          <cell r="BL373">
            <v>1.7</v>
          </cell>
          <cell r="BM373">
            <v>3434</v>
          </cell>
          <cell r="BN373">
            <v>2020</v>
          </cell>
          <cell r="BO373">
            <v>425</v>
          </cell>
          <cell r="BP373">
            <v>1595</v>
          </cell>
          <cell r="BQ373">
            <v>0</v>
          </cell>
          <cell r="BR373">
            <v>2020</v>
          </cell>
          <cell r="BS373">
            <v>1050</v>
          </cell>
          <cell r="BT373">
            <v>670</v>
          </cell>
          <cell r="BU373">
            <v>300</v>
          </cell>
          <cell r="BV373">
            <v>2020</v>
          </cell>
          <cell r="BW373">
            <v>815</v>
          </cell>
          <cell r="BX373">
            <v>620</v>
          </cell>
          <cell r="BY373">
            <v>315</v>
          </cell>
          <cell r="BZ373">
            <v>100</v>
          </cell>
          <cell r="CA373">
            <v>50</v>
          </cell>
          <cell r="CB373">
            <v>35</v>
          </cell>
          <cell r="CC373">
            <v>40</v>
          </cell>
          <cell r="CD373">
            <v>10</v>
          </cell>
          <cell r="CE373">
            <v>35</v>
          </cell>
          <cell r="CF373">
            <v>2020</v>
          </cell>
          <cell r="CG373">
            <v>0</v>
          </cell>
          <cell r="CH373">
            <v>5</v>
          </cell>
          <cell r="CI373">
            <v>5</v>
          </cell>
          <cell r="CJ373">
            <v>350</v>
          </cell>
          <cell r="CK373">
            <v>10</v>
          </cell>
          <cell r="CL373">
            <v>1635</v>
          </cell>
          <cell r="CM373">
            <v>10</v>
          </cell>
          <cell r="CN373">
            <v>0</v>
          </cell>
          <cell r="CO373">
            <v>2020</v>
          </cell>
          <cell r="CP373">
            <v>930</v>
          </cell>
          <cell r="CQ373">
            <v>655</v>
          </cell>
          <cell r="CR373">
            <v>250</v>
          </cell>
          <cell r="CS373">
            <v>165</v>
          </cell>
          <cell r="CT373">
            <v>15</v>
          </cell>
          <cell r="CU373">
            <v>3795</v>
          </cell>
          <cell r="CV373">
            <v>1.9</v>
          </cell>
          <cell r="CW373">
            <v>2020</v>
          </cell>
          <cell r="CX373">
            <v>880</v>
          </cell>
          <cell r="CY373">
            <v>10</v>
          </cell>
          <cell r="CZ373">
            <v>1135</v>
          </cell>
        </row>
        <row r="374">
          <cell r="A374" t="str">
            <v>4620182.00</v>
          </cell>
          <cell r="B374" t="str">
            <v>0182.00</v>
          </cell>
          <cell r="C374" t="str">
            <v>Rosemont-La Petite-Patrie</v>
          </cell>
          <cell r="D374">
            <v>1875</v>
          </cell>
          <cell r="E374">
            <v>1130</v>
          </cell>
          <cell r="F374">
            <v>375</v>
          </cell>
          <cell r="G374">
            <v>30</v>
          </cell>
          <cell r="H374">
            <v>205</v>
          </cell>
          <cell r="I374">
            <v>130</v>
          </cell>
          <cell r="J374">
            <v>1875</v>
          </cell>
          <cell r="K374">
            <v>1450</v>
          </cell>
          <cell r="L374">
            <v>420</v>
          </cell>
          <cell r="M374">
            <v>535</v>
          </cell>
          <cell r="N374">
            <v>285</v>
          </cell>
          <cell r="O374">
            <v>155</v>
          </cell>
          <cell r="P374">
            <v>75</v>
          </cell>
          <cell r="Q374">
            <v>20</v>
          </cell>
          <cell r="R374">
            <v>535</v>
          </cell>
          <cell r="S374">
            <v>420</v>
          </cell>
          <cell r="T374">
            <v>200</v>
          </cell>
          <cell r="U374">
            <v>95</v>
          </cell>
          <cell r="V374">
            <v>105</v>
          </cell>
          <cell r="W374">
            <v>50</v>
          </cell>
          <cell r="X374">
            <v>35</v>
          </cell>
          <cell r="Y374">
            <v>20</v>
          </cell>
          <cell r="Z374">
            <v>225</v>
          </cell>
          <cell r="AA374">
            <v>130</v>
          </cell>
          <cell r="AB374">
            <v>85</v>
          </cell>
          <cell r="AC374">
            <v>45</v>
          </cell>
          <cell r="AD374">
            <v>45</v>
          </cell>
          <cell r="AE374">
            <v>0</v>
          </cell>
          <cell r="AF374">
            <v>115</v>
          </cell>
          <cell r="AG374">
            <v>105</v>
          </cell>
          <cell r="AH374">
            <v>45</v>
          </cell>
          <cell r="AI374">
            <v>55</v>
          </cell>
          <cell r="AJ374">
            <v>0</v>
          </cell>
          <cell r="AK374">
            <v>10</v>
          </cell>
          <cell r="AL374">
            <v>10</v>
          </cell>
          <cell r="AM374">
            <v>10</v>
          </cell>
          <cell r="AN374">
            <v>0</v>
          </cell>
          <cell r="AO374">
            <v>500</v>
          </cell>
          <cell r="AP374">
            <v>155</v>
          </cell>
          <cell r="AQ374">
            <v>90</v>
          </cell>
          <cell r="AR374">
            <v>35</v>
          </cell>
          <cell r="AS374">
            <v>135</v>
          </cell>
          <cell r="AT374">
            <v>80</v>
          </cell>
          <cell r="AU374">
            <v>0.9</v>
          </cell>
          <cell r="AV374">
            <v>2160</v>
          </cell>
          <cell r="AW374">
            <v>705</v>
          </cell>
          <cell r="AX374">
            <v>50</v>
          </cell>
          <cell r="AY374">
            <v>120</v>
          </cell>
          <cell r="AZ374">
            <v>535</v>
          </cell>
          <cell r="BA374">
            <v>1455</v>
          </cell>
          <cell r="BB374">
            <v>2.7</v>
          </cell>
          <cell r="BC374">
            <v>295</v>
          </cell>
          <cell r="BD374">
            <v>160</v>
          </cell>
          <cell r="BE374">
            <v>0</v>
          </cell>
          <cell r="BF374">
            <v>10</v>
          </cell>
          <cell r="BG374">
            <v>155</v>
          </cell>
          <cell r="BH374">
            <v>140</v>
          </cell>
          <cell r="BI374">
            <v>1145</v>
          </cell>
          <cell r="BJ374">
            <v>4.7</v>
          </cell>
          <cell r="BK374">
            <v>5381.5</v>
          </cell>
          <cell r="BL374">
            <v>1.8</v>
          </cell>
          <cell r="BM374">
            <v>2061</v>
          </cell>
          <cell r="BN374">
            <v>1145</v>
          </cell>
          <cell r="BO374">
            <v>265</v>
          </cell>
          <cell r="BP374">
            <v>880</v>
          </cell>
          <cell r="BQ374">
            <v>0</v>
          </cell>
          <cell r="BR374">
            <v>1145</v>
          </cell>
          <cell r="BS374">
            <v>625</v>
          </cell>
          <cell r="BT374">
            <v>405</v>
          </cell>
          <cell r="BU374">
            <v>120</v>
          </cell>
          <cell r="BV374">
            <v>1145</v>
          </cell>
          <cell r="BW374">
            <v>590</v>
          </cell>
          <cell r="BX374">
            <v>330</v>
          </cell>
          <cell r="BY374">
            <v>85</v>
          </cell>
          <cell r="BZ374">
            <v>20</v>
          </cell>
          <cell r="CA374">
            <v>35</v>
          </cell>
          <cell r="CB374">
            <v>70</v>
          </cell>
          <cell r="CC374">
            <v>0</v>
          </cell>
          <cell r="CD374">
            <v>10</v>
          </cell>
          <cell r="CE374">
            <v>0</v>
          </cell>
          <cell r="CF374">
            <v>1145</v>
          </cell>
          <cell r="CG374">
            <v>5</v>
          </cell>
          <cell r="CH374">
            <v>0</v>
          </cell>
          <cell r="CI374">
            <v>0</v>
          </cell>
          <cell r="CJ374">
            <v>280</v>
          </cell>
          <cell r="CK374">
            <v>70</v>
          </cell>
          <cell r="CL374">
            <v>775</v>
          </cell>
          <cell r="CM374">
            <v>15</v>
          </cell>
          <cell r="CN374">
            <v>0</v>
          </cell>
          <cell r="CO374">
            <v>1145</v>
          </cell>
          <cell r="CP374">
            <v>555</v>
          </cell>
          <cell r="CQ374">
            <v>365</v>
          </cell>
          <cell r="CR374">
            <v>125</v>
          </cell>
          <cell r="CS374">
            <v>100</v>
          </cell>
          <cell r="CT374">
            <v>10</v>
          </cell>
          <cell r="CU374">
            <v>2110</v>
          </cell>
          <cell r="CV374">
            <v>1.8</v>
          </cell>
          <cell r="CW374">
            <v>1145</v>
          </cell>
          <cell r="CX374">
            <v>535</v>
          </cell>
          <cell r="CY374">
            <v>0</v>
          </cell>
          <cell r="CZ374">
            <v>610</v>
          </cell>
        </row>
        <row r="375">
          <cell r="A375" t="str">
            <v>4620183.00</v>
          </cell>
          <cell r="B375" t="str">
            <v>0183.00</v>
          </cell>
          <cell r="C375" t="str">
            <v>Rosemont-La Petite-Patrie</v>
          </cell>
          <cell r="D375">
            <v>1910</v>
          </cell>
          <cell r="E375">
            <v>1160</v>
          </cell>
          <cell r="F375">
            <v>355</v>
          </cell>
          <cell r="G375">
            <v>50</v>
          </cell>
          <cell r="H375">
            <v>240</v>
          </cell>
          <cell r="I375">
            <v>100</v>
          </cell>
          <cell r="J375">
            <v>1910</v>
          </cell>
          <cell r="K375">
            <v>1505</v>
          </cell>
          <cell r="L375">
            <v>400</v>
          </cell>
          <cell r="M375">
            <v>540</v>
          </cell>
          <cell r="N375">
            <v>360</v>
          </cell>
          <cell r="O375">
            <v>120</v>
          </cell>
          <cell r="P375">
            <v>45</v>
          </cell>
          <cell r="Q375">
            <v>10</v>
          </cell>
          <cell r="R375">
            <v>535</v>
          </cell>
          <cell r="S375">
            <v>350</v>
          </cell>
          <cell r="T375">
            <v>160</v>
          </cell>
          <cell r="U375">
            <v>105</v>
          </cell>
          <cell r="V375">
            <v>60</v>
          </cell>
          <cell r="W375">
            <v>35</v>
          </cell>
          <cell r="X375">
            <v>20</v>
          </cell>
          <cell r="Y375">
            <v>0</v>
          </cell>
          <cell r="Z375">
            <v>190</v>
          </cell>
          <cell r="AA375">
            <v>135</v>
          </cell>
          <cell r="AB375">
            <v>55</v>
          </cell>
          <cell r="AC375">
            <v>20</v>
          </cell>
          <cell r="AD375">
            <v>20</v>
          </cell>
          <cell r="AE375">
            <v>10</v>
          </cell>
          <cell r="AF375">
            <v>185</v>
          </cell>
          <cell r="AG375">
            <v>130</v>
          </cell>
          <cell r="AH375">
            <v>95</v>
          </cell>
          <cell r="AI375">
            <v>35</v>
          </cell>
          <cell r="AJ375">
            <v>0</v>
          </cell>
          <cell r="AK375">
            <v>50</v>
          </cell>
          <cell r="AL375">
            <v>25</v>
          </cell>
          <cell r="AM375">
            <v>25</v>
          </cell>
          <cell r="AN375">
            <v>0</v>
          </cell>
          <cell r="AO375">
            <v>425</v>
          </cell>
          <cell r="AP375">
            <v>125</v>
          </cell>
          <cell r="AQ375">
            <v>165</v>
          </cell>
          <cell r="AR375">
            <v>30</v>
          </cell>
          <cell r="AS375">
            <v>50</v>
          </cell>
          <cell r="AT375">
            <v>55</v>
          </cell>
          <cell r="AU375">
            <v>0.8</v>
          </cell>
          <cell r="AV375">
            <v>2095</v>
          </cell>
          <cell r="AW375">
            <v>785</v>
          </cell>
          <cell r="AX375">
            <v>45</v>
          </cell>
          <cell r="AY375">
            <v>115</v>
          </cell>
          <cell r="AZ375">
            <v>625</v>
          </cell>
          <cell r="BA375">
            <v>1310</v>
          </cell>
          <cell r="BB375">
            <v>2.5</v>
          </cell>
          <cell r="BC375">
            <v>255</v>
          </cell>
          <cell r="BD375">
            <v>125</v>
          </cell>
          <cell r="BE375">
            <v>0</v>
          </cell>
          <cell r="BF375">
            <v>10</v>
          </cell>
          <cell r="BG375">
            <v>120</v>
          </cell>
          <cell r="BH375">
            <v>130</v>
          </cell>
          <cell r="BI375">
            <v>1210</v>
          </cell>
          <cell r="BJ375">
            <v>4.5</v>
          </cell>
          <cell r="BK375">
            <v>5445</v>
          </cell>
          <cell r="BL375">
            <v>1.7</v>
          </cell>
          <cell r="BM375">
            <v>2057</v>
          </cell>
          <cell r="BN375">
            <v>1210</v>
          </cell>
          <cell r="BO375">
            <v>270</v>
          </cell>
          <cell r="BP375">
            <v>945</v>
          </cell>
          <cell r="BQ375">
            <v>0</v>
          </cell>
          <cell r="BR375">
            <v>1210</v>
          </cell>
          <cell r="BS375">
            <v>650</v>
          </cell>
          <cell r="BT375">
            <v>440</v>
          </cell>
          <cell r="BU375">
            <v>125</v>
          </cell>
          <cell r="BV375">
            <v>1210</v>
          </cell>
          <cell r="BW375">
            <v>585</v>
          </cell>
          <cell r="BX375">
            <v>380</v>
          </cell>
          <cell r="BY375">
            <v>120</v>
          </cell>
          <cell r="BZ375">
            <v>20</v>
          </cell>
          <cell r="CA375">
            <v>50</v>
          </cell>
          <cell r="CB375">
            <v>30</v>
          </cell>
          <cell r="CC375">
            <v>0</v>
          </cell>
          <cell r="CD375">
            <v>0</v>
          </cell>
          <cell r="CE375">
            <v>35</v>
          </cell>
          <cell r="CF375">
            <v>1215</v>
          </cell>
          <cell r="CG375">
            <v>0</v>
          </cell>
          <cell r="CH375">
            <v>5</v>
          </cell>
          <cell r="CI375">
            <v>0</v>
          </cell>
          <cell r="CJ375">
            <v>225</v>
          </cell>
          <cell r="CK375">
            <v>55</v>
          </cell>
          <cell r="CL375">
            <v>920</v>
          </cell>
          <cell r="CM375">
            <v>10</v>
          </cell>
          <cell r="CN375">
            <v>0</v>
          </cell>
          <cell r="CO375">
            <v>1215</v>
          </cell>
          <cell r="CP375">
            <v>610</v>
          </cell>
          <cell r="CQ375">
            <v>385</v>
          </cell>
          <cell r="CR375">
            <v>140</v>
          </cell>
          <cell r="CS375">
            <v>75</v>
          </cell>
          <cell r="CT375">
            <v>5</v>
          </cell>
          <cell r="CU375">
            <v>2150</v>
          </cell>
          <cell r="CV375">
            <v>1.8</v>
          </cell>
          <cell r="CW375">
            <v>1215</v>
          </cell>
          <cell r="CX375">
            <v>520</v>
          </cell>
          <cell r="CY375">
            <v>0</v>
          </cell>
          <cell r="CZ375">
            <v>685</v>
          </cell>
        </row>
        <row r="376">
          <cell r="A376" t="str">
            <v>4620184.00</v>
          </cell>
          <cell r="B376" t="str">
            <v>0184.00</v>
          </cell>
          <cell r="C376" t="str">
            <v>Rosemont-La Petite-Patrie</v>
          </cell>
          <cell r="D376">
            <v>2580</v>
          </cell>
          <cell r="E376">
            <v>1525</v>
          </cell>
          <cell r="F376">
            <v>590</v>
          </cell>
          <cell r="G376">
            <v>65</v>
          </cell>
          <cell r="H376">
            <v>275</v>
          </cell>
          <cell r="I376">
            <v>120</v>
          </cell>
          <cell r="J376">
            <v>2580</v>
          </cell>
          <cell r="K376">
            <v>1950</v>
          </cell>
          <cell r="L376">
            <v>630</v>
          </cell>
          <cell r="M376">
            <v>815</v>
          </cell>
          <cell r="N376">
            <v>475</v>
          </cell>
          <cell r="O376">
            <v>210</v>
          </cell>
          <cell r="P376">
            <v>105</v>
          </cell>
          <cell r="Q376">
            <v>20</v>
          </cell>
          <cell r="R376">
            <v>815</v>
          </cell>
          <cell r="S376">
            <v>605</v>
          </cell>
          <cell r="T376">
            <v>290</v>
          </cell>
          <cell r="U376">
            <v>185</v>
          </cell>
          <cell r="V376">
            <v>105</v>
          </cell>
          <cell r="W376">
            <v>50</v>
          </cell>
          <cell r="X376">
            <v>45</v>
          </cell>
          <cell r="Y376">
            <v>0</v>
          </cell>
          <cell r="Z376">
            <v>315</v>
          </cell>
          <cell r="AA376">
            <v>170</v>
          </cell>
          <cell r="AB376">
            <v>145</v>
          </cell>
          <cell r="AC376">
            <v>75</v>
          </cell>
          <cell r="AD376">
            <v>60</v>
          </cell>
          <cell r="AE376">
            <v>10</v>
          </cell>
          <cell r="AF376">
            <v>205</v>
          </cell>
          <cell r="AG376">
            <v>150</v>
          </cell>
          <cell r="AH376">
            <v>75</v>
          </cell>
          <cell r="AI376">
            <v>70</v>
          </cell>
          <cell r="AJ376">
            <v>0</v>
          </cell>
          <cell r="AK376">
            <v>55</v>
          </cell>
          <cell r="AL376">
            <v>45</v>
          </cell>
          <cell r="AM376">
            <v>0</v>
          </cell>
          <cell r="AN376">
            <v>0</v>
          </cell>
          <cell r="AO376">
            <v>700</v>
          </cell>
          <cell r="AP376">
            <v>170</v>
          </cell>
          <cell r="AQ376">
            <v>255</v>
          </cell>
          <cell r="AR376">
            <v>105</v>
          </cell>
          <cell r="AS376">
            <v>100</v>
          </cell>
          <cell r="AT376">
            <v>70</v>
          </cell>
          <cell r="AU376">
            <v>0.9</v>
          </cell>
          <cell r="AV376">
            <v>3025</v>
          </cell>
          <cell r="AW376">
            <v>900</v>
          </cell>
          <cell r="AX376">
            <v>55</v>
          </cell>
          <cell r="AY376">
            <v>235</v>
          </cell>
          <cell r="AZ376">
            <v>615</v>
          </cell>
          <cell r="BA376">
            <v>2120</v>
          </cell>
          <cell r="BB376">
            <v>2.6</v>
          </cell>
          <cell r="BC376">
            <v>380</v>
          </cell>
          <cell r="BD376">
            <v>140</v>
          </cell>
          <cell r="BE376">
            <v>10</v>
          </cell>
          <cell r="BF376">
            <v>0</v>
          </cell>
          <cell r="BG376">
            <v>125</v>
          </cell>
          <cell r="BH376">
            <v>235</v>
          </cell>
          <cell r="BI376">
            <v>1515</v>
          </cell>
          <cell r="BJ376">
            <v>4.7</v>
          </cell>
          <cell r="BK376">
            <v>7120.5</v>
          </cell>
          <cell r="BL376">
            <v>1.9</v>
          </cell>
          <cell r="BM376">
            <v>2878.5</v>
          </cell>
          <cell r="BN376">
            <v>1515</v>
          </cell>
          <cell r="BO376">
            <v>455</v>
          </cell>
          <cell r="BP376">
            <v>1060</v>
          </cell>
          <cell r="BQ376">
            <v>0</v>
          </cell>
          <cell r="BR376">
            <v>1515</v>
          </cell>
          <cell r="BS376">
            <v>885</v>
          </cell>
          <cell r="BT376">
            <v>460</v>
          </cell>
          <cell r="BU376">
            <v>165</v>
          </cell>
          <cell r="BV376">
            <v>1520</v>
          </cell>
          <cell r="BW376">
            <v>750</v>
          </cell>
          <cell r="BX376">
            <v>535</v>
          </cell>
          <cell r="BY376">
            <v>165</v>
          </cell>
          <cell r="BZ376">
            <v>15</v>
          </cell>
          <cell r="CA376">
            <v>20</v>
          </cell>
          <cell r="CB376">
            <v>10</v>
          </cell>
          <cell r="CC376">
            <v>0</v>
          </cell>
          <cell r="CD376">
            <v>0</v>
          </cell>
          <cell r="CE376">
            <v>15</v>
          </cell>
          <cell r="CF376">
            <v>1515</v>
          </cell>
          <cell r="CG376">
            <v>0</v>
          </cell>
          <cell r="CH376">
            <v>0</v>
          </cell>
          <cell r="CI376">
            <v>5</v>
          </cell>
          <cell r="CJ376">
            <v>545</v>
          </cell>
          <cell r="CK376">
            <v>5</v>
          </cell>
          <cell r="CL376">
            <v>950</v>
          </cell>
          <cell r="CM376">
            <v>5</v>
          </cell>
          <cell r="CN376">
            <v>0</v>
          </cell>
          <cell r="CO376">
            <v>1515</v>
          </cell>
          <cell r="CP376">
            <v>615</v>
          </cell>
          <cell r="CQ376">
            <v>525</v>
          </cell>
          <cell r="CR376">
            <v>215</v>
          </cell>
          <cell r="CS376">
            <v>145</v>
          </cell>
          <cell r="CT376">
            <v>15</v>
          </cell>
          <cell r="CU376">
            <v>3025</v>
          </cell>
          <cell r="CV376">
            <v>2</v>
          </cell>
          <cell r="CW376">
            <v>1515</v>
          </cell>
          <cell r="CX376">
            <v>790</v>
          </cell>
          <cell r="CY376">
            <v>10</v>
          </cell>
          <cell r="CZ376">
            <v>715</v>
          </cell>
        </row>
        <row r="377">
          <cell r="A377" t="str">
            <v>4620185.00</v>
          </cell>
          <cell r="B377" t="str">
            <v>0185.00</v>
          </cell>
          <cell r="C377" t="str">
            <v>Rosemont-La Petite-Patrie</v>
          </cell>
          <cell r="D377">
            <v>4525</v>
          </cell>
          <cell r="E377">
            <v>2575</v>
          </cell>
          <cell r="F377">
            <v>1010</v>
          </cell>
          <cell r="G377">
            <v>110</v>
          </cell>
          <cell r="H377">
            <v>540</v>
          </cell>
          <cell r="I377">
            <v>285</v>
          </cell>
          <cell r="J377">
            <v>4525</v>
          </cell>
          <cell r="K377">
            <v>3585</v>
          </cell>
          <cell r="L377">
            <v>940</v>
          </cell>
          <cell r="M377">
            <v>1280</v>
          </cell>
          <cell r="N377">
            <v>765</v>
          </cell>
          <cell r="O377">
            <v>290</v>
          </cell>
          <cell r="P377">
            <v>185</v>
          </cell>
          <cell r="Q377">
            <v>40</v>
          </cell>
          <cell r="R377">
            <v>1280</v>
          </cell>
          <cell r="S377">
            <v>955</v>
          </cell>
          <cell r="T377">
            <v>490</v>
          </cell>
          <cell r="U377">
            <v>275</v>
          </cell>
          <cell r="V377">
            <v>210</v>
          </cell>
          <cell r="W377">
            <v>95</v>
          </cell>
          <cell r="X377">
            <v>95</v>
          </cell>
          <cell r="Y377">
            <v>25</v>
          </cell>
          <cell r="Z377">
            <v>470</v>
          </cell>
          <cell r="AA377">
            <v>300</v>
          </cell>
          <cell r="AB377">
            <v>170</v>
          </cell>
          <cell r="AC377">
            <v>85</v>
          </cell>
          <cell r="AD377">
            <v>70</v>
          </cell>
          <cell r="AE377">
            <v>15</v>
          </cell>
          <cell r="AF377">
            <v>325</v>
          </cell>
          <cell r="AG377">
            <v>275</v>
          </cell>
          <cell r="AH377">
            <v>155</v>
          </cell>
          <cell r="AI377">
            <v>95</v>
          </cell>
          <cell r="AJ377">
            <v>25</v>
          </cell>
          <cell r="AK377">
            <v>50</v>
          </cell>
          <cell r="AL377">
            <v>35</v>
          </cell>
          <cell r="AM377">
            <v>15</v>
          </cell>
          <cell r="AN377">
            <v>0</v>
          </cell>
          <cell r="AO377">
            <v>1120</v>
          </cell>
          <cell r="AP377">
            <v>220</v>
          </cell>
          <cell r="AQ377">
            <v>400</v>
          </cell>
          <cell r="AR377">
            <v>170</v>
          </cell>
          <cell r="AS377">
            <v>170</v>
          </cell>
          <cell r="AT377">
            <v>155</v>
          </cell>
          <cell r="AU377">
            <v>0.9</v>
          </cell>
          <cell r="AV377">
            <v>5095</v>
          </cell>
          <cell r="AW377">
            <v>1740</v>
          </cell>
          <cell r="AX377">
            <v>130</v>
          </cell>
          <cell r="AY377">
            <v>250</v>
          </cell>
          <cell r="AZ377">
            <v>1360</v>
          </cell>
          <cell r="BA377">
            <v>3355</v>
          </cell>
          <cell r="BB377">
            <v>2.6</v>
          </cell>
          <cell r="BC377">
            <v>710</v>
          </cell>
          <cell r="BD377">
            <v>350</v>
          </cell>
          <cell r="BE377">
            <v>35</v>
          </cell>
          <cell r="BF377">
            <v>15</v>
          </cell>
          <cell r="BG377">
            <v>300</v>
          </cell>
          <cell r="BH377">
            <v>360</v>
          </cell>
          <cell r="BI377">
            <v>2770</v>
          </cell>
          <cell r="BJ377">
            <v>4.5</v>
          </cell>
          <cell r="BK377">
            <v>12465</v>
          </cell>
          <cell r="BL377">
            <v>1.7</v>
          </cell>
          <cell r="BM377">
            <v>4709</v>
          </cell>
          <cell r="BN377">
            <v>2770</v>
          </cell>
          <cell r="BO377">
            <v>740</v>
          </cell>
          <cell r="BP377">
            <v>2025</v>
          </cell>
          <cell r="BQ377">
            <v>0</v>
          </cell>
          <cell r="BR377">
            <v>2770</v>
          </cell>
          <cell r="BS377">
            <v>1530</v>
          </cell>
          <cell r="BT377">
            <v>965</v>
          </cell>
          <cell r="BU377">
            <v>270</v>
          </cell>
          <cell r="BV377">
            <v>2765</v>
          </cell>
          <cell r="BW377">
            <v>795</v>
          </cell>
          <cell r="BX377">
            <v>1110</v>
          </cell>
          <cell r="BY377">
            <v>485</v>
          </cell>
          <cell r="BZ377">
            <v>175</v>
          </cell>
          <cell r="CA377">
            <v>60</v>
          </cell>
          <cell r="CB377">
            <v>70</v>
          </cell>
          <cell r="CC377">
            <v>35</v>
          </cell>
          <cell r="CD377">
            <v>20</v>
          </cell>
          <cell r="CE377">
            <v>10</v>
          </cell>
          <cell r="CF377">
            <v>2770</v>
          </cell>
          <cell r="CG377">
            <v>10</v>
          </cell>
          <cell r="CH377">
            <v>10</v>
          </cell>
          <cell r="CI377">
            <v>55</v>
          </cell>
          <cell r="CJ377">
            <v>660</v>
          </cell>
          <cell r="CK377">
            <v>25</v>
          </cell>
          <cell r="CL377">
            <v>1990</v>
          </cell>
          <cell r="CM377">
            <v>5</v>
          </cell>
          <cell r="CN377">
            <v>15</v>
          </cell>
          <cell r="CO377">
            <v>2770</v>
          </cell>
          <cell r="CP377">
            <v>1365</v>
          </cell>
          <cell r="CQ377">
            <v>830</v>
          </cell>
          <cell r="CR377">
            <v>325</v>
          </cell>
          <cell r="CS377">
            <v>235</v>
          </cell>
          <cell r="CT377">
            <v>20</v>
          </cell>
          <cell r="CU377">
            <v>5095</v>
          </cell>
          <cell r="CV377">
            <v>1.8</v>
          </cell>
          <cell r="CW377">
            <v>2765</v>
          </cell>
          <cell r="CX377">
            <v>1255</v>
          </cell>
          <cell r="CY377">
            <v>15</v>
          </cell>
          <cell r="CZ377">
            <v>1500</v>
          </cell>
        </row>
        <row r="378">
          <cell r="A378" t="str">
            <v>4620186.00</v>
          </cell>
          <cell r="B378" t="str">
            <v>0186.00</v>
          </cell>
          <cell r="C378" t="str">
            <v>Rosemont-La Petite-Patrie</v>
          </cell>
          <cell r="D378">
            <v>3845</v>
          </cell>
          <cell r="E378">
            <v>2030</v>
          </cell>
          <cell r="F378">
            <v>980</v>
          </cell>
          <cell r="G378">
            <v>125</v>
          </cell>
          <cell r="H378">
            <v>475</v>
          </cell>
          <cell r="I378">
            <v>235</v>
          </cell>
          <cell r="J378">
            <v>3845</v>
          </cell>
          <cell r="K378">
            <v>3170</v>
          </cell>
          <cell r="L378">
            <v>675</v>
          </cell>
          <cell r="M378">
            <v>1120</v>
          </cell>
          <cell r="N378">
            <v>655</v>
          </cell>
          <cell r="O378">
            <v>280</v>
          </cell>
          <cell r="P378">
            <v>145</v>
          </cell>
          <cell r="Q378">
            <v>35</v>
          </cell>
          <cell r="R378">
            <v>1120</v>
          </cell>
          <cell r="S378">
            <v>825</v>
          </cell>
          <cell r="T378">
            <v>480</v>
          </cell>
          <cell r="U378">
            <v>225</v>
          </cell>
          <cell r="V378">
            <v>255</v>
          </cell>
          <cell r="W378">
            <v>150</v>
          </cell>
          <cell r="X378">
            <v>85</v>
          </cell>
          <cell r="Y378">
            <v>25</v>
          </cell>
          <cell r="Z378">
            <v>345</v>
          </cell>
          <cell r="AA378">
            <v>205</v>
          </cell>
          <cell r="AB378">
            <v>130</v>
          </cell>
          <cell r="AC378">
            <v>70</v>
          </cell>
          <cell r="AD378">
            <v>55</v>
          </cell>
          <cell r="AE378">
            <v>15</v>
          </cell>
          <cell r="AF378">
            <v>300</v>
          </cell>
          <cell r="AG378">
            <v>200</v>
          </cell>
          <cell r="AH378">
            <v>140</v>
          </cell>
          <cell r="AI378">
            <v>50</v>
          </cell>
          <cell r="AJ378">
            <v>15</v>
          </cell>
          <cell r="AK378">
            <v>95</v>
          </cell>
          <cell r="AL378">
            <v>80</v>
          </cell>
          <cell r="AM378">
            <v>15</v>
          </cell>
          <cell r="AN378">
            <v>0</v>
          </cell>
          <cell r="AO378">
            <v>985</v>
          </cell>
          <cell r="AP378">
            <v>275</v>
          </cell>
          <cell r="AQ378">
            <v>300</v>
          </cell>
          <cell r="AR378">
            <v>85</v>
          </cell>
          <cell r="AS378">
            <v>180</v>
          </cell>
          <cell r="AT378">
            <v>140</v>
          </cell>
          <cell r="AU378">
            <v>0.9</v>
          </cell>
          <cell r="AV378">
            <v>4425</v>
          </cell>
          <cell r="AW378">
            <v>1495</v>
          </cell>
          <cell r="AX378">
            <v>70</v>
          </cell>
          <cell r="AY378">
            <v>385</v>
          </cell>
          <cell r="AZ378">
            <v>1030</v>
          </cell>
          <cell r="BA378">
            <v>2935</v>
          </cell>
          <cell r="BB378">
            <v>2.6</v>
          </cell>
          <cell r="BC378">
            <v>650</v>
          </cell>
          <cell r="BD378">
            <v>335</v>
          </cell>
          <cell r="BE378">
            <v>25</v>
          </cell>
          <cell r="BF378">
            <v>30</v>
          </cell>
          <cell r="BG378">
            <v>285</v>
          </cell>
          <cell r="BH378">
            <v>315</v>
          </cell>
          <cell r="BI378">
            <v>2335</v>
          </cell>
          <cell r="BJ378">
            <v>4.2</v>
          </cell>
          <cell r="BK378">
            <v>9807</v>
          </cell>
          <cell r="BL378">
            <v>1.7</v>
          </cell>
          <cell r="BM378">
            <v>3969.5</v>
          </cell>
          <cell r="BN378">
            <v>2335</v>
          </cell>
          <cell r="BO378">
            <v>440</v>
          </cell>
          <cell r="BP378">
            <v>1895</v>
          </cell>
          <cell r="BQ378">
            <v>0</v>
          </cell>
          <cell r="BR378">
            <v>2335</v>
          </cell>
          <cell r="BS378">
            <v>1335</v>
          </cell>
          <cell r="BT378">
            <v>730</v>
          </cell>
          <cell r="BU378">
            <v>270</v>
          </cell>
          <cell r="BV378">
            <v>2340</v>
          </cell>
          <cell r="BW378">
            <v>295</v>
          </cell>
          <cell r="BX378">
            <v>850</v>
          </cell>
          <cell r="BY378">
            <v>645</v>
          </cell>
          <cell r="BZ378">
            <v>205</v>
          </cell>
          <cell r="CA378">
            <v>155</v>
          </cell>
          <cell r="CB378">
            <v>125</v>
          </cell>
          <cell r="CC378">
            <v>50</v>
          </cell>
          <cell r="CD378">
            <v>0</v>
          </cell>
          <cell r="CE378">
            <v>0</v>
          </cell>
          <cell r="CF378">
            <v>2340</v>
          </cell>
          <cell r="CG378">
            <v>0</v>
          </cell>
          <cell r="CH378">
            <v>0</v>
          </cell>
          <cell r="CI378">
            <v>45</v>
          </cell>
          <cell r="CJ378">
            <v>290</v>
          </cell>
          <cell r="CK378">
            <v>5</v>
          </cell>
          <cell r="CL378">
            <v>1985</v>
          </cell>
          <cell r="CM378">
            <v>5</v>
          </cell>
          <cell r="CN378">
            <v>5</v>
          </cell>
          <cell r="CO378">
            <v>2340</v>
          </cell>
          <cell r="CP378">
            <v>1030</v>
          </cell>
          <cell r="CQ378">
            <v>800</v>
          </cell>
          <cell r="CR378">
            <v>295</v>
          </cell>
          <cell r="CS378">
            <v>195</v>
          </cell>
          <cell r="CT378">
            <v>10</v>
          </cell>
          <cell r="CU378">
            <v>4425</v>
          </cell>
          <cell r="CV378">
            <v>1.9</v>
          </cell>
          <cell r="CW378">
            <v>2340</v>
          </cell>
          <cell r="CX378">
            <v>1060</v>
          </cell>
          <cell r="CY378">
            <v>30</v>
          </cell>
          <cell r="CZ378">
            <v>1245</v>
          </cell>
        </row>
        <row r="379">
          <cell r="A379" t="str">
            <v>4620187.01</v>
          </cell>
          <cell r="B379" t="str">
            <v>0187.01</v>
          </cell>
          <cell r="C379" t="str">
            <v>Rosemont-La Petite-Patrie</v>
          </cell>
          <cell r="D379">
            <v>2210</v>
          </cell>
          <cell r="E379">
            <v>1285</v>
          </cell>
          <cell r="F379">
            <v>460</v>
          </cell>
          <cell r="G379">
            <v>60</v>
          </cell>
          <cell r="H379">
            <v>245</v>
          </cell>
          <cell r="I379">
            <v>160</v>
          </cell>
          <cell r="J379">
            <v>2210</v>
          </cell>
          <cell r="K379">
            <v>1800</v>
          </cell>
          <cell r="L379">
            <v>410</v>
          </cell>
          <cell r="M379">
            <v>540</v>
          </cell>
          <cell r="N379">
            <v>345</v>
          </cell>
          <cell r="O379">
            <v>100</v>
          </cell>
          <cell r="P379">
            <v>65</v>
          </cell>
          <cell r="Q379">
            <v>25</v>
          </cell>
          <cell r="R379">
            <v>540</v>
          </cell>
          <cell r="S379">
            <v>410</v>
          </cell>
          <cell r="T379">
            <v>205</v>
          </cell>
          <cell r="U379">
            <v>110</v>
          </cell>
          <cell r="V379">
            <v>90</v>
          </cell>
          <cell r="W379">
            <v>30</v>
          </cell>
          <cell r="X379">
            <v>35</v>
          </cell>
          <cell r="Y379">
            <v>25</v>
          </cell>
          <cell r="Z379">
            <v>205</v>
          </cell>
          <cell r="AA379">
            <v>115</v>
          </cell>
          <cell r="AB379">
            <v>90</v>
          </cell>
          <cell r="AC379">
            <v>65</v>
          </cell>
          <cell r="AD379">
            <v>30</v>
          </cell>
          <cell r="AE379">
            <v>0</v>
          </cell>
          <cell r="AF379">
            <v>125</v>
          </cell>
          <cell r="AG379">
            <v>95</v>
          </cell>
          <cell r="AH379">
            <v>90</v>
          </cell>
          <cell r="AI379">
            <v>10</v>
          </cell>
          <cell r="AJ379">
            <v>0</v>
          </cell>
          <cell r="AK379">
            <v>35</v>
          </cell>
          <cell r="AL379">
            <v>35</v>
          </cell>
          <cell r="AM379">
            <v>0</v>
          </cell>
          <cell r="AN379">
            <v>0</v>
          </cell>
          <cell r="AO379">
            <v>450</v>
          </cell>
          <cell r="AP379">
            <v>125</v>
          </cell>
          <cell r="AQ379">
            <v>150</v>
          </cell>
          <cell r="AR379">
            <v>75</v>
          </cell>
          <cell r="AS379">
            <v>60</v>
          </cell>
          <cell r="AT379">
            <v>35</v>
          </cell>
          <cell r="AU379">
            <v>0.8</v>
          </cell>
          <cell r="AV379">
            <v>2250</v>
          </cell>
          <cell r="AW379">
            <v>850</v>
          </cell>
          <cell r="AX379">
            <v>60</v>
          </cell>
          <cell r="AY379">
            <v>150</v>
          </cell>
          <cell r="AZ379">
            <v>640</v>
          </cell>
          <cell r="BA379">
            <v>1395</v>
          </cell>
          <cell r="BB379">
            <v>2.6</v>
          </cell>
          <cell r="BC379">
            <v>245</v>
          </cell>
          <cell r="BD379">
            <v>80</v>
          </cell>
          <cell r="BE379">
            <v>0</v>
          </cell>
          <cell r="BF379">
            <v>10</v>
          </cell>
          <cell r="BG379">
            <v>75</v>
          </cell>
          <cell r="BH379">
            <v>160</v>
          </cell>
          <cell r="BI379">
            <v>1265</v>
          </cell>
          <cell r="BJ379">
            <v>4.2</v>
          </cell>
          <cell r="BK379">
            <v>5313</v>
          </cell>
          <cell r="BL379">
            <v>1.6</v>
          </cell>
          <cell r="BM379">
            <v>2024</v>
          </cell>
          <cell r="BN379">
            <v>1265</v>
          </cell>
          <cell r="BO379">
            <v>305</v>
          </cell>
          <cell r="BP379">
            <v>960</v>
          </cell>
          <cell r="BQ379">
            <v>0</v>
          </cell>
          <cell r="BR379">
            <v>1265</v>
          </cell>
          <cell r="BS379">
            <v>665</v>
          </cell>
          <cell r="BT379">
            <v>455</v>
          </cell>
          <cell r="BU379">
            <v>150</v>
          </cell>
          <cell r="BV379">
            <v>1265</v>
          </cell>
          <cell r="BW379">
            <v>215</v>
          </cell>
          <cell r="BX379">
            <v>670</v>
          </cell>
          <cell r="BY379">
            <v>175</v>
          </cell>
          <cell r="BZ379">
            <v>70</v>
          </cell>
          <cell r="CA379">
            <v>35</v>
          </cell>
          <cell r="CB379">
            <v>65</v>
          </cell>
          <cell r="CC379">
            <v>25</v>
          </cell>
          <cell r="CD379">
            <v>0</v>
          </cell>
          <cell r="CE379">
            <v>0</v>
          </cell>
          <cell r="CF379">
            <v>1265</v>
          </cell>
          <cell r="CG379">
            <v>5</v>
          </cell>
          <cell r="CH379">
            <v>0</v>
          </cell>
          <cell r="CI379">
            <v>25</v>
          </cell>
          <cell r="CJ379">
            <v>235</v>
          </cell>
          <cell r="CK379">
            <v>95</v>
          </cell>
          <cell r="CL379">
            <v>915</v>
          </cell>
          <cell r="CM379">
            <v>5</v>
          </cell>
          <cell r="CN379">
            <v>0</v>
          </cell>
          <cell r="CO379">
            <v>1265</v>
          </cell>
          <cell r="CP379">
            <v>645</v>
          </cell>
          <cell r="CQ379">
            <v>390</v>
          </cell>
          <cell r="CR379">
            <v>140</v>
          </cell>
          <cell r="CS379">
            <v>80</v>
          </cell>
          <cell r="CT379">
            <v>10</v>
          </cell>
          <cell r="CU379">
            <v>2255</v>
          </cell>
          <cell r="CV379">
            <v>1.8</v>
          </cell>
          <cell r="CW379">
            <v>1265</v>
          </cell>
          <cell r="CX379">
            <v>540</v>
          </cell>
          <cell r="CY379">
            <v>0</v>
          </cell>
          <cell r="CZ379">
            <v>730</v>
          </cell>
        </row>
        <row r="380">
          <cell r="A380" t="str">
            <v>4620187.02</v>
          </cell>
          <cell r="B380" t="str">
            <v>0187.02</v>
          </cell>
          <cell r="C380" t="str">
            <v>Rosemont-La Petite-Patrie</v>
          </cell>
          <cell r="D380">
            <v>7900</v>
          </cell>
          <cell r="E380">
            <v>4200</v>
          </cell>
          <cell r="F380">
            <v>1960</v>
          </cell>
          <cell r="G380">
            <v>205</v>
          </cell>
          <cell r="H380">
            <v>1025</v>
          </cell>
          <cell r="I380">
            <v>505</v>
          </cell>
          <cell r="J380">
            <v>7895</v>
          </cell>
          <cell r="K380">
            <v>5940</v>
          </cell>
          <cell r="L380">
            <v>1960</v>
          </cell>
          <cell r="M380">
            <v>2530</v>
          </cell>
          <cell r="N380">
            <v>1550</v>
          </cell>
          <cell r="O380">
            <v>560</v>
          </cell>
          <cell r="P380">
            <v>355</v>
          </cell>
          <cell r="Q380">
            <v>70</v>
          </cell>
          <cell r="R380">
            <v>2530</v>
          </cell>
          <cell r="S380">
            <v>1955</v>
          </cell>
          <cell r="T380">
            <v>975</v>
          </cell>
          <cell r="U380">
            <v>440</v>
          </cell>
          <cell r="V380">
            <v>530</v>
          </cell>
          <cell r="W380">
            <v>265</v>
          </cell>
          <cell r="X380">
            <v>215</v>
          </cell>
          <cell r="Y380">
            <v>50</v>
          </cell>
          <cell r="Z380">
            <v>980</v>
          </cell>
          <cell r="AA380">
            <v>695</v>
          </cell>
          <cell r="AB380">
            <v>285</v>
          </cell>
          <cell r="AC380">
            <v>160</v>
          </cell>
          <cell r="AD380">
            <v>110</v>
          </cell>
          <cell r="AE380">
            <v>15</v>
          </cell>
          <cell r="AF380">
            <v>575</v>
          </cell>
          <cell r="AG380">
            <v>490</v>
          </cell>
          <cell r="AH380">
            <v>350</v>
          </cell>
          <cell r="AI380">
            <v>115</v>
          </cell>
          <cell r="AJ380">
            <v>25</v>
          </cell>
          <cell r="AK380">
            <v>80</v>
          </cell>
          <cell r="AL380">
            <v>55</v>
          </cell>
          <cell r="AM380">
            <v>25</v>
          </cell>
          <cell r="AN380">
            <v>0</v>
          </cell>
          <cell r="AO380">
            <v>2050</v>
          </cell>
          <cell r="AP380">
            <v>590</v>
          </cell>
          <cell r="AQ380">
            <v>700</v>
          </cell>
          <cell r="AR380">
            <v>185</v>
          </cell>
          <cell r="AS380">
            <v>395</v>
          </cell>
          <cell r="AT380">
            <v>175</v>
          </cell>
          <cell r="AU380">
            <v>0.8</v>
          </cell>
          <cell r="AV380">
            <v>9175</v>
          </cell>
          <cell r="AW380">
            <v>2645</v>
          </cell>
          <cell r="AX380">
            <v>210</v>
          </cell>
          <cell r="AY380">
            <v>330</v>
          </cell>
          <cell r="AZ380">
            <v>2095</v>
          </cell>
          <cell r="BA380">
            <v>6530</v>
          </cell>
          <cell r="BB380">
            <v>2.6</v>
          </cell>
          <cell r="BC380">
            <v>1160</v>
          </cell>
          <cell r="BD380">
            <v>730</v>
          </cell>
          <cell r="BE380">
            <v>65</v>
          </cell>
          <cell r="BF380">
            <v>15</v>
          </cell>
          <cell r="BG380">
            <v>650</v>
          </cell>
          <cell r="BH380">
            <v>430</v>
          </cell>
          <cell r="BI380">
            <v>4795</v>
          </cell>
          <cell r="BJ380">
            <v>4.5</v>
          </cell>
          <cell r="BK380">
            <v>21577.5</v>
          </cell>
          <cell r="BL380">
            <v>1.9</v>
          </cell>
          <cell r="BM380">
            <v>9110.5</v>
          </cell>
          <cell r="BN380">
            <v>4795</v>
          </cell>
          <cell r="BO380">
            <v>2060</v>
          </cell>
          <cell r="BP380">
            <v>2730</v>
          </cell>
          <cell r="BQ380">
            <v>0</v>
          </cell>
          <cell r="BR380">
            <v>4795</v>
          </cell>
          <cell r="BS380">
            <v>3680</v>
          </cell>
          <cell r="BT380">
            <v>920</v>
          </cell>
          <cell r="BU380">
            <v>200</v>
          </cell>
          <cell r="BV380">
            <v>4795</v>
          </cell>
          <cell r="BW380">
            <v>110</v>
          </cell>
          <cell r="BX380">
            <v>255</v>
          </cell>
          <cell r="BY380">
            <v>90</v>
          </cell>
          <cell r="BZ380">
            <v>185</v>
          </cell>
          <cell r="CA380">
            <v>405</v>
          </cell>
          <cell r="CB380">
            <v>1840</v>
          </cell>
          <cell r="CC380">
            <v>435</v>
          </cell>
          <cell r="CD380">
            <v>625</v>
          </cell>
          <cell r="CE380">
            <v>850</v>
          </cell>
          <cell r="CF380">
            <v>4795</v>
          </cell>
          <cell r="CG380">
            <v>0</v>
          </cell>
          <cell r="CH380">
            <v>55</v>
          </cell>
          <cell r="CI380">
            <v>530</v>
          </cell>
          <cell r="CJ380">
            <v>140</v>
          </cell>
          <cell r="CK380">
            <v>240</v>
          </cell>
          <cell r="CL380">
            <v>3810</v>
          </cell>
          <cell r="CM380">
            <v>10</v>
          </cell>
          <cell r="CN380">
            <v>0</v>
          </cell>
          <cell r="CO380">
            <v>4800</v>
          </cell>
          <cell r="CP380">
            <v>2100</v>
          </cell>
          <cell r="CQ380">
            <v>1640</v>
          </cell>
          <cell r="CR380">
            <v>590</v>
          </cell>
          <cell r="CS380">
            <v>445</v>
          </cell>
          <cell r="CT380">
            <v>30</v>
          </cell>
          <cell r="CU380">
            <v>9175</v>
          </cell>
          <cell r="CV380">
            <v>1.9</v>
          </cell>
          <cell r="CW380">
            <v>4795</v>
          </cell>
          <cell r="CX380">
            <v>2460</v>
          </cell>
          <cell r="CY380">
            <v>35</v>
          </cell>
          <cell r="CZ380">
            <v>2300</v>
          </cell>
        </row>
        <row r="381">
          <cell r="A381" t="str">
            <v>4620188.01</v>
          </cell>
          <cell r="B381" t="str">
            <v>0188.01</v>
          </cell>
          <cell r="C381" t="str">
            <v>Rosemont-La Petite-Patrie</v>
          </cell>
          <cell r="D381">
            <v>1850</v>
          </cell>
          <cell r="E381">
            <v>1085</v>
          </cell>
          <cell r="F381">
            <v>440</v>
          </cell>
          <cell r="G381">
            <v>60</v>
          </cell>
          <cell r="H381">
            <v>170</v>
          </cell>
          <cell r="I381">
            <v>90</v>
          </cell>
          <cell r="J381">
            <v>1845</v>
          </cell>
          <cell r="K381">
            <v>1465</v>
          </cell>
          <cell r="L381">
            <v>385</v>
          </cell>
          <cell r="M381">
            <v>520</v>
          </cell>
          <cell r="N381">
            <v>275</v>
          </cell>
          <cell r="O381">
            <v>140</v>
          </cell>
          <cell r="P381">
            <v>90</v>
          </cell>
          <cell r="Q381">
            <v>15</v>
          </cell>
          <cell r="R381">
            <v>520</v>
          </cell>
          <cell r="S381">
            <v>420</v>
          </cell>
          <cell r="T381">
            <v>235</v>
          </cell>
          <cell r="U381">
            <v>75</v>
          </cell>
          <cell r="V381">
            <v>160</v>
          </cell>
          <cell r="W381">
            <v>80</v>
          </cell>
          <cell r="X381">
            <v>65</v>
          </cell>
          <cell r="Y381">
            <v>15</v>
          </cell>
          <cell r="Z381">
            <v>185</v>
          </cell>
          <cell r="AA381">
            <v>135</v>
          </cell>
          <cell r="AB381">
            <v>50</v>
          </cell>
          <cell r="AC381">
            <v>35</v>
          </cell>
          <cell r="AD381">
            <v>20</v>
          </cell>
          <cell r="AE381">
            <v>0</v>
          </cell>
          <cell r="AF381">
            <v>105</v>
          </cell>
          <cell r="AG381">
            <v>85</v>
          </cell>
          <cell r="AH381">
            <v>55</v>
          </cell>
          <cell r="AI381">
            <v>25</v>
          </cell>
          <cell r="AJ381">
            <v>0</v>
          </cell>
          <cell r="AK381">
            <v>15</v>
          </cell>
          <cell r="AL381">
            <v>10</v>
          </cell>
          <cell r="AM381">
            <v>0</v>
          </cell>
          <cell r="AN381">
            <v>0</v>
          </cell>
          <cell r="AO381">
            <v>485</v>
          </cell>
          <cell r="AP381">
            <v>125</v>
          </cell>
          <cell r="AQ381">
            <v>200</v>
          </cell>
          <cell r="AR381">
            <v>55</v>
          </cell>
          <cell r="AS381">
            <v>65</v>
          </cell>
          <cell r="AT381">
            <v>35</v>
          </cell>
          <cell r="AU381">
            <v>0.9</v>
          </cell>
          <cell r="AV381">
            <v>2145</v>
          </cell>
          <cell r="AW381">
            <v>725</v>
          </cell>
          <cell r="AX381">
            <v>40</v>
          </cell>
          <cell r="AY381">
            <v>150</v>
          </cell>
          <cell r="AZ381">
            <v>540</v>
          </cell>
          <cell r="BA381">
            <v>1425</v>
          </cell>
          <cell r="BB381">
            <v>2.7</v>
          </cell>
          <cell r="BC381">
            <v>230</v>
          </cell>
          <cell r="BD381">
            <v>90</v>
          </cell>
          <cell r="BE381">
            <v>0</v>
          </cell>
          <cell r="BF381">
            <v>0</v>
          </cell>
          <cell r="BG381">
            <v>90</v>
          </cell>
          <cell r="BH381">
            <v>135</v>
          </cell>
          <cell r="BI381">
            <v>1130</v>
          </cell>
          <cell r="BJ381">
            <v>4.3</v>
          </cell>
          <cell r="BK381">
            <v>4859</v>
          </cell>
          <cell r="BL381">
            <v>1.8</v>
          </cell>
          <cell r="BM381">
            <v>2034</v>
          </cell>
          <cell r="BN381">
            <v>1130</v>
          </cell>
          <cell r="BO381">
            <v>325</v>
          </cell>
          <cell r="BP381">
            <v>805</v>
          </cell>
          <cell r="BQ381">
            <v>0</v>
          </cell>
          <cell r="BR381">
            <v>1130</v>
          </cell>
          <cell r="BS381">
            <v>630</v>
          </cell>
          <cell r="BT381">
            <v>360</v>
          </cell>
          <cell r="BU381">
            <v>140</v>
          </cell>
          <cell r="BV381">
            <v>1130</v>
          </cell>
          <cell r="BW381">
            <v>180</v>
          </cell>
          <cell r="BX381">
            <v>515</v>
          </cell>
          <cell r="BY381">
            <v>185</v>
          </cell>
          <cell r="BZ381">
            <v>70</v>
          </cell>
          <cell r="CA381">
            <v>30</v>
          </cell>
          <cell r="CB381">
            <v>40</v>
          </cell>
          <cell r="CC381">
            <v>15</v>
          </cell>
          <cell r="CD381">
            <v>75</v>
          </cell>
          <cell r="CE381">
            <v>20</v>
          </cell>
          <cell r="CF381">
            <v>1130</v>
          </cell>
          <cell r="CG381">
            <v>10</v>
          </cell>
          <cell r="CH381">
            <v>65</v>
          </cell>
          <cell r="CI381">
            <v>95</v>
          </cell>
          <cell r="CJ381">
            <v>195</v>
          </cell>
          <cell r="CK381">
            <v>30</v>
          </cell>
          <cell r="CL381">
            <v>720</v>
          </cell>
          <cell r="CM381">
            <v>20</v>
          </cell>
          <cell r="CN381">
            <v>0</v>
          </cell>
          <cell r="CO381">
            <v>1130</v>
          </cell>
          <cell r="CP381">
            <v>520</v>
          </cell>
          <cell r="CQ381">
            <v>370</v>
          </cell>
          <cell r="CR381">
            <v>130</v>
          </cell>
          <cell r="CS381">
            <v>95</v>
          </cell>
          <cell r="CT381">
            <v>10</v>
          </cell>
          <cell r="CU381">
            <v>2140</v>
          </cell>
          <cell r="CV381">
            <v>1.9</v>
          </cell>
          <cell r="CW381">
            <v>1130</v>
          </cell>
          <cell r="CX381">
            <v>505</v>
          </cell>
          <cell r="CY381">
            <v>10</v>
          </cell>
          <cell r="CZ381">
            <v>620</v>
          </cell>
        </row>
        <row r="382">
          <cell r="A382" t="str">
            <v>4620188.02</v>
          </cell>
          <cell r="B382" t="str">
            <v>0188.02</v>
          </cell>
          <cell r="C382" t="str">
            <v>Rosemont-La Petite-Patrie</v>
          </cell>
          <cell r="D382">
            <v>2270</v>
          </cell>
          <cell r="E382">
            <v>1290</v>
          </cell>
          <cell r="F382">
            <v>600</v>
          </cell>
          <cell r="G382">
            <v>60</v>
          </cell>
          <cell r="H382">
            <v>235</v>
          </cell>
          <cell r="I382">
            <v>85</v>
          </cell>
          <cell r="J382">
            <v>2270</v>
          </cell>
          <cell r="K382">
            <v>1785</v>
          </cell>
          <cell r="L382">
            <v>485</v>
          </cell>
          <cell r="M382">
            <v>620</v>
          </cell>
          <cell r="N382">
            <v>385</v>
          </cell>
          <cell r="O382">
            <v>135</v>
          </cell>
          <cell r="P382">
            <v>85</v>
          </cell>
          <cell r="Q382">
            <v>20</v>
          </cell>
          <cell r="R382">
            <v>620</v>
          </cell>
          <cell r="S382">
            <v>535</v>
          </cell>
          <cell r="T382">
            <v>290</v>
          </cell>
          <cell r="U382">
            <v>150</v>
          </cell>
          <cell r="V382">
            <v>135</v>
          </cell>
          <cell r="W382">
            <v>75</v>
          </cell>
          <cell r="X382">
            <v>45</v>
          </cell>
          <cell r="Y382">
            <v>15</v>
          </cell>
          <cell r="Z382">
            <v>240</v>
          </cell>
          <cell r="AA382">
            <v>170</v>
          </cell>
          <cell r="AB382">
            <v>75</v>
          </cell>
          <cell r="AC382">
            <v>35</v>
          </cell>
          <cell r="AD382">
            <v>40</v>
          </cell>
          <cell r="AE382">
            <v>0</v>
          </cell>
          <cell r="AF382">
            <v>85</v>
          </cell>
          <cell r="AG382">
            <v>75</v>
          </cell>
          <cell r="AH382">
            <v>45</v>
          </cell>
          <cell r="AI382">
            <v>20</v>
          </cell>
          <cell r="AJ382">
            <v>10</v>
          </cell>
          <cell r="AK382">
            <v>15</v>
          </cell>
          <cell r="AL382">
            <v>10</v>
          </cell>
          <cell r="AM382">
            <v>0</v>
          </cell>
          <cell r="AN382">
            <v>0</v>
          </cell>
          <cell r="AO382">
            <v>465</v>
          </cell>
          <cell r="AP382">
            <v>165</v>
          </cell>
          <cell r="AQ382">
            <v>125</v>
          </cell>
          <cell r="AR382">
            <v>60</v>
          </cell>
          <cell r="AS382">
            <v>75</v>
          </cell>
          <cell r="AT382">
            <v>40</v>
          </cell>
          <cell r="AU382">
            <v>0.8</v>
          </cell>
          <cell r="AV382">
            <v>2555</v>
          </cell>
          <cell r="AW382">
            <v>930</v>
          </cell>
          <cell r="AX382">
            <v>50</v>
          </cell>
          <cell r="AY382">
            <v>240</v>
          </cell>
          <cell r="AZ382">
            <v>640</v>
          </cell>
          <cell r="BA382">
            <v>1620</v>
          </cell>
          <cell r="BB382">
            <v>2.6</v>
          </cell>
          <cell r="BC382">
            <v>275</v>
          </cell>
          <cell r="BD382">
            <v>135</v>
          </cell>
          <cell r="BE382">
            <v>0</v>
          </cell>
          <cell r="BF382">
            <v>0</v>
          </cell>
          <cell r="BG382">
            <v>130</v>
          </cell>
          <cell r="BH382">
            <v>135</v>
          </cell>
          <cell r="BI382">
            <v>1375</v>
          </cell>
          <cell r="BJ382">
            <v>4.3</v>
          </cell>
          <cell r="BK382">
            <v>5912.5</v>
          </cell>
          <cell r="BL382">
            <v>1.7</v>
          </cell>
          <cell r="BM382">
            <v>2337.5</v>
          </cell>
          <cell r="BN382">
            <v>1375</v>
          </cell>
          <cell r="BO382">
            <v>390</v>
          </cell>
          <cell r="BP382">
            <v>990</v>
          </cell>
          <cell r="BQ382">
            <v>0</v>
          </cell>
          <cell r="BR382">
            <v>1380</v>
          </cell>
          <cell r="BS382">
            <v>850</v>
          </cell>
          <cell r="BT382">
            <v>395</v>
          </cell>
          <cell r="BU382">
            <v>125</v>
          </cell>
          <cell r="BV382">
            <v>1375</v>
          </cell>
          <cell r="BW382">
            <v>180</v>
          </cell>
          <cell r="BX382">
            <v>650</v>
          </cell>
          <cell r="BY382">
            <v>200</v>
          </cell>
          <cell r="BZ382">
            <v>85</v>
          </cell>
          <cell r="CA382">
            <v>50</v>
          </cell>
          <cell r="CB382">
            <v>30</v>
          </cell>
          <cell r="CC382">
            <v>30</v>
          </cell>
          <cell r="CD382">
            <v>105</v>
          </cell>
          <cell r="CE382">
            <v>50</v>
          </cell>
          <cell r="CF382">
            <v>1380</v>
          </cell>
          <cell r="CG382">
            <v>20</v>
          </cell>
          <cell r="CH382">
            <v>30</v>
          </cell>
          <cell r="CI382">
            <v>125</v>
          </cell>
          <cell r="CJ382">
            <v>370</v>
          </cell>
          <cell r="CK382">
            <v>0</v>
          </cell>
          <cell r="CL382">
            <v>830</v>
          </cell>
          <cell r="CM382">
            <v>5</v>
          </cell>
          <cell r="CN382">
            <v>0</v>
          </cell>
          <cell r="CO382">
            <v>1375</v>
          </cell>
          <cell r="CP382">
            <v>645</v>
          </cell>
          <cell r="CQ382">
            <v>460</v>
          </cell>
          <cell r="CR382">
            <v>155</v>
          </cell>
          <cell r="CS382">
            <v>110</v>
          </cell>
          <cell r="CT382">
            <v>10</v>
          </cell>
          <cell r="CU382">
            <v>2555</v>
          </cell>
          <cell r="CV382">
            <v>1.9</v>
          </cell>
          <cell r="CW382">
            <v>1375</v>
          </cell>
          <cell r="CX382">
            <v>605</v>
          </cell>
          <cell r="CY382">
            <v>10</v>
          </cell>
          <cell r="CZ382">
            <v>760</v>
          </cell>
        </row>
        <row r="383">
          <cell r="A383" t="str">
            <v>4620190.02</v>
          </cell>
          <cell r="B383" t="str">
            <v>0190.02</v>
          </cell>
          <cell r="C383" t="str">
            <v>Rosemont-La Petite-Patrie</v>
          </cell>
          <cell r="D383">
            <v>3130</v>
          </cell>
          <cell r="E383">
            <v>915</v>
          </cell>
          <cell r="F383">
            <v>1220</v>
          </cell>
          <cell r="G383">
            <v>55</v>
          </cell>
          <cell r="H383">
            <v>345</v>
          </cell>
          <cell r="I383">
            <v>590</v>
          </cell>
          <cell r="J383">
            <v>3135</v>
          </cell>
          <cell r="K383">
            <v>2755</v>
          </cell>
          <cell r="L383">
            <v>380</v>
          </cell>
          <cell r="M383">
            <v>860</v>
          </cell>
          <cell r="N383">
            <v>655</v>
          </cell>
          <cell r="O383">
            <v>100</v>
          </cell>
          <cell r="P383">
            <v>70</v>
          </cell>
          <cell r="Q383">
            <v>30</v>
          </cell>
          <cell r="R383">
            <v>855</v>
          </cell>
          <cell r="S383">
            <v>790</v>
          </cell>
          <cell r="T383">
            <v>600</v>
          </cell>
          <cell r="U383">
            <v>460</v>
          </cell>
          <cell r="V383">
            <v>135</v>
          </cell>
          <cell r="W383">
            <v>70</v>
          </cell>
          <cell r="X383">
            <v>50</v>
          </cell>
          <cell r="Y383">
            <v>15</v>
          </cell>
          <cell r="Z383">
            <v>190</v>
          </cell>
          <cell r="AA383">
            <v>130</v>
          </cell>
          <cell r="AB383">
            <v>60</v>
          </cell>
          <cell r="AC383">
            <v>25</v>
          </cell>
          <cell r="AD383">
            <v>25</v>
          </cell>
          <cell r="AE383">
            <v>10</v>
          </cell>
          <cell r="AF383">
            <v>70</v>
          </cell>
          <cell r="AG383">
            <v>70</v>
          </cell>
          <cell r="AH383">
            <v>65</v>
          </cell>
          <cell r="AI383">
            <v>10</v>
          </cell>
          <cell r="AJ383">
            <v>0</v>
          </cell>
          <cell r="AK383">
            <v>0</v>
          </cell>
          <cell r="AL383">
            <v>0</v>
          </cell>
          <cell r="AM383">
            <v>0</v>
          </cell>
          <cell r="AN383">
            <v>0</v>
          </cell>
          <cell r="AO383">
            <v>410</v>
          </cell>
          <cell r="AP383">
            <v>60</v>
          </cell>
          <cell r="AQ383">
            <v>125</v>
          </cell>
          <cell r="AR383">
            <v>45</v>
          </cell>
          <cell r="AS383">
            <v>90</v>
          </cell>
          <cell r="AT383">
            <v>90</v>
          </cell>
          <cell r="AU383">
            <v>0.5</v>
          </cell>
          <cell r="AV383">
            <v>3115</v>
          </cell>
          <cell r="AW383">
            <v>1065</v>
          </cell>
          <cell r="AX383">
            <v>105</v>
          </cell>
          <cell r="AY383">
            <v>50</v>
          </cell>
          <cell r="AZ383">
            <v>910</v>
          </cell>
          <cell r="BA383">
            <v>2055</v>
          </cell>
          <cell r="BB383">
            <v>2.4</v>
          </cell>
          <cell r="BC383">
            <v>1535</v>
          </cell>
          <cell r="BD383">
            <v>660</v>
          </cell>
          <cell r="BE383">
            <v>90</v>
          </cell>
          <cell r="BF383">
            <v>0</v>
          </cell>
          <cell r="BG383">
            <v>570</v>
          </cell>
          <cell r="BH383">
            <v>880</v>
          </cell>
          <cell r="BI383">
            <v>1835</v>
          </cell>
          <cell r="BJ383">
            <v>4.7</v>
          </cell>
          <cell r="BK383">
            <v>8624.5</v>
          </cell>
          <cell r="BL383">
            <v>1.8</v>
          </cell>
          <cell r="BM383">
            <v>3303</v>
          </cell>
          <cell r="BN383">
            <v>1835</v>
          </cell>
          <cell r="BO383">
            <v>860</v>
          </cell>
          <cell r="BP383">
            <v>975</v>
          </cell>
          <cell r="BQ383">
            <v>0</v>
          </cell>
          <cell r="BR383">
            <v>1835</v>
          </cell>
          <cell r="BS383">
            <v>1290</v>
          </cell>
          <cell r="BT383">
            <v>430</v>
          </cell>
          <cell r="BU383">
            <v>110</v>
          </cell>
          <cell r="BV383">
            <v>1835</v>
          </cell>
          <cell r="BW383">
            <v>100</v>
          </cell>
          <cell r="BX383">
            <v>90</v>
          </cell>
          <cell r="BY383">
            <v>185</v>
          </cell>
          <cell r="BZ383">
            <v>840</v>
          </cell>
          <cell r="CA383">
            <v>240</v>
          </cell>
          <cell r="CB383">
            <v>320</v>
          </cell>
          <cell r="CC383">
            <v>25</v>
          </cell>
          <cell r="CD383">
            <v>35</v>
          </cell>
          <cell r="CE383">
            <v>0</v>
          </cell>
          <cell r="CF383">
            <v>1835</v>
          </cell>
          <cell r="CG383">
            <v>235</v>
          </cell>
          <cell r="CH383">
            <v>10</v>
          </cell>
          <cell r="CI383">
            <v>0</v>
          </cell>
          <cell r="CJ383">
            <v>5</v>
          </cell>
          <cell r="CK383">
            <v>1285</v>
          </cell>
          <cell r="CL383">
            <v>300</v>
          </cell>
          <cell r="CM383">
            <v>0</v>
          </cell>
          <cell r="CN383">
            <v>0</v>
          </cell>
          <cell r="CO383">
            <v>1835</v>
          </cell>
          <cell r="CP383">
            <v>910</v>
          </cell>
          <cell r="CQ383">
            <v>720</v>
          </cell>
          <cell r="CR383">
            <v>100</v>
          </cell>
          <cell r="CS383">
            <v>100</v>
          </cell>
          <cell r="CT383">
            <v>5</v>
          </cell>
          <cell r="CU383">
            <v>3115</v>
          </cell>
          <cell r="CV383">
            <v>1.7</v>
          </cell>
          <cell r="CW383">
            <v>1835</v>
          </cell>
          <cell r="CX383">
            <v>850</v>
          </cell>
          <cell r="CY383">
            <v>0</v>
          </cell>
          <cell r="CZ383">
            <v>980</v>
          </cell>
        </row>
        <row r="384">
          <cell r="A384" t="str">
            <v>4620195.01</v>
          </cell>
          <cell r="B384" t="str">
            <v>0195.01</v>
          </cell>
          <cell r="C384" t="str">
            <v>Rosemont-La Petite-Patrie</v>
          </cell>
          <cell r="D384">
            <v>3200</v>
          </cell>
          <cell r="E384">
            <v>1220</v>
          </cell>
          <cell r="F384">
            <v>1095</v>
          </cell>
          <cell r="G384">
            <v>80</v>
          </cell>
          <cell r="H384">
            <v>285</v>
          </cell>
          <cell r="I384">
            <v>525</v>
          </cell>
          <cell r="J384">
            <v>3205</v>
          </cell>
          <cell r="K384">
            <v>2845</v>
          </cell>
          <cell r="L384">
            <v>355</v>
          </cell>
          <cell r="M384">
            <v>820</v>
          </cell>
          <cell r="N384">
            <v>470</v>
          </cell>
          <cell r="O384">
            <v>190</v>
          </cell>
          <cell r="P384">
            <v>110</v>
          </cell>
          <cell r="Q384">
            <v>50</v>
          </cell>
          <cell r="R384">
            <v>820</v>
          </cell>
          <cell r="S384">
            <v>690</v>
          </cell>
          <cell r="T384">
            <v>515</v>
          </cell>
          <cell r="U384">
            <v>285</v>
          </cell>
          <cell r="V384">
            <v>225</v>
          </cell>
          <cell r="W384">
            <v>115</v>
          </cell>
          <cell r="X384">
            <v>70</v>
          </cell>
          <cell r="Y384">
            <v>40</v>
          </cell>
          <cell r="Z384">
            <v>180</v>
          </cell>
          <cell r="AA384">
            <v>100</v>
          </cell>
          <cell r="AB384">
            <v>80</v>
          </cell>
          <cell r="AC384">
            <v>45</v>
          </cell>
          <cell r="AD384">
            <v>20</v>
          </cell>
          <cell r="AE384">
            <v>10</v>
          </cell>
          <cell r="AF384">
            <v>125</v>
          </cell>
          <cell r="AG384">
            <v>95</v>
          </cell>
          <cell r="AH384">
            <v>50</v>
          </cell>
          <cell r="AI384">
            <v>25</v>
          </cell>
          <cell r="AJ384">
            <v>15</v>
          </cell>
          <cell r="AK384">
            <v>35</v>
          </cell>
          <cell r="AL384">
            <v>25</v>
          </cell>
          <cell r="AM384">
            <v>0</v>
          </cell>
          <cell r="AN384">
            <v>0</v>
          </cell>
          <cell r="AO384">
            <v>695</v>
          </cell>
          <cell r="AP384">
            <v>125</v>
          </cell>
          <cell r="AQ384">
            <v>220</v>
          </cell>
          <cell r="AR384">
            <v>120</v>
          </cell>
          <cell r="AS384">
            <v>155</v>
          </cell>
          <cell r="AT384">
            <v>80</v>
          </cell>
          <cell r="AU384">
            <v>0.8</v>
          </cell>
          <cell r="AV384">
            <v>3110</v>
          </cell>
          <cell r="AW384">
            <v>900</v>
          </cell>
          <cell r="AX384">
            <v>30</v>
          </cell>
          <cell r="AY384">
            <v>85</v>
          </cell>
          <cell r="AZ384">
            <v>780</v>
          </cell>
          <cell r="BA384">
            <v>2210</v>
          </cell>
          <cell r="BB384">
            <v>2.7</v>
          </cell>
          <cell r="BC384">
            <v>930</v>
          </cell>
          <cell r="BD384">
            <v>440</v>
          </cell>
          <cell r="BE384">
            <v>25</v>
          </cell>
          <cell r="BF384">
            <v>30</v>
          </cell>
          <cell r="BG384">
            <v>390</v>
          </cell>
          <cell r="BH384">
            <v>490</v>
          </cell>
          <cell r="BI384">
            <v>1640</v>
          </cell>
          <cell r="BJ384">
            <v>4.5999999999999996</v>
          </cell>
          <cell r="BK384">
            <v>7543.9999999999991</v>
          </cell>
          <cell r="BL384">
            <v>1.9</v>
          </cell>
          <cell r="BM384">
            <v>3116</v>
          </cell>
          <cell r="BN384">
            <v>1640</v>
          </cell>
          <cell r="BO384">
            <v>525</v>
          </cell>
          <cell r="BP384">
            <v>1110</v>
          </cell>
          <cell r="BQ384">
            <v>0</v>
          </cell>
          <cell r="BR384">
            <v>1640</v>
          </cell>
          <cell r="BS384">
            <v>1130</v>
          </cell>
          <cell r="BT384">
            <v>410</v>
          </cell>
          <cell r="BU384">
            <v>100</v>
          </cell>
          <cell r="BV384">
            <v>1640</v>
          </cell>
          <cell r="BW384">
            <v>65</v>
          </cell>
          <cell r="BX384">
            <v>455</v>
          </cell>
          <cell r="BY384">
            <v>265</v>
          </cell>
          <cell r="BZ384">
            <v>505</v>
          </cell>
          <cell r="CA384">
            <v>250</v>
          </cell>
          <cell r="CB384">
            <v>20</v>
          </cell>
          <cell r="CC384">
            <v>25</v>
          </cell>
          <cell r="CD384">
            <v>50</v>
          </cell>
          <cell r="CE384">
            <v>0</v>
          </cell>
          <cell r="CF384">
            <v>1630</v>
          </cell>
          <cell r="CG384">
            <v>40</v>
          </cell>
          <cell r="CH384">
            <v>55</v>
          </cell>
          <cell r="CI384">
            <v>35</v>
          </cell>
          <cell r="CJ384">
            <v>195</v>
          </cell>
          <cell r="CK384">
            <v>0</v>
          </cell>
          <cell r="CL384">
            <v>1305</v>
          </cell>
          <cell r="CM384">
            <v>0</v>
          </cell>
          <cell r="CN384">
            <v>0</v>
          </cell>
          <cell r="CO384">
            <v>1630</v>
          </cell>
          <cell r="CP384">
            <v>775</v>
          </cell>
          <cell r="CQ384">
            <v>495</v>
          </cell>
          <cell r="CR384">
            <v>190</v>
          </cell>
          <cell r="CS384">
            <v>160</v>
          </cell>
          <cell r="CT384">
            <v>15</v>
          </cell>
          <cell r="CU384">
            <v>3100</v>
          </cell>
          <cell r="CV384">
            <v>1.9</v>
          </cell>
          <cell r="CW384">
            <v>1640</v>
          </cell>
          <cell r="CX384">
            <v>820</v>
          </cell>
          <cell r="CY384">
            <v>0</v>
          </cell>
          <cell r="CZ384">
            <v>820</v>
          </cell>
        </row>
        <row r="385">
          <cell r="A385" t="str">
            <v>4620196.00</v>
          </cell>
          <cell r="B385" t="str">
            <v>0196.00</v>
          </cell>
          <cell r="C385" t="str">
            <v>Rosemont-La Petite-Patrie</v>
          </cell>
          <cell r="D385">
            <v>3425</v>
          </cell>
          <cell r="E385">
            <v>1710</v>
          </cell>
          <cell r="F385">
            <v>920</v>
          </cell>
          <cell r="G385">
            <v>105</v>
          </cell>
          <cell r="H385">
            <v>440</v>
          </cell>
          <cell r="I385">
            <v>245</v>
          </cell>
          <cell r="J385">
            <v>3420</v>
          </cell>
          <cell r="K385">
            <v>2820</v>
          </cell>
          <cell r="L385">
            <v>600</v>
          </cell>
          <cell r="M385">
            <v>955</v>
          </cell>
          <cell r="N385">
            <v>560</v>
          </cell>
          <cell r="O385">
            <v>215</v>
          </cell>
          <cell r="P385">
            <v>125</v>
          </cell>
          <cell r="Q385">
            <v>50</v>
          </cell>
          <cell r="R385">
            <v>955</v>
          </cell>
          <cell r="S385">
            <v>740</v>
          </cell>
          <cell r="T385">
            <v>445</v>
          </cell>
          <cell r="U385">
            <v>260</v>
          </cell>
          <cell r="V385">
            <v>180</v>
          </cell>
          <cell r="W385">
            <v>90</v>
          </cell>
          <cell r="X385">
            <v>65</v>
          </cell>
          <cell r="Y385">
            <v>25</v>
          </cell>
          <cell r="Z385">
            <v>300</v>
          </cell>
          <cell r="AA385">
            <v>130</v>
          </cell>
          <cell r="AB385">
            <v>175</v>
          </cell>
          <cell r="AC385">
            <v>90</v>
          </cell>
          <cell r="AD385">
            <v>50</v>
          </cell>
          <cell r="AE385">
            <v>30</v>
          </cell>
          <cell r="AF385">
            <v>210</v>
          </cell>
          <cell r="AG385">
            <v>150</v>
          </cell>
          <cell r="AH385">
            <v>115</v>
          </cell>
          <cell r="AI385">
            <v>30</v>
          </cell>
          <cell r="AJ385">
            <v>10</v>
          </cell>
          <cell r="AK385">
            <v>60</v>
          </cell>
          <cell r="AL385">
            <v>55</v>
          </cell>
          <cell r="AM385">
            <v>10</v>
          </cell>
          <cell r="AN385">
            <v>0</v>
          </cell>
          <cell r="AO385">
            <v>850</v>
          </cell>
          <cell r="AP385">
            <v>150</v>
          </cell>
          <cell r="AQ385">
            <v>315</v>
          </cell>
          <cell r="AR385">
            <v>125</v>
          </cell>
          <cell r="AS385">
            <v>160</v>
          </cell>
          <cell r="AT385">
            <v>100</v>
          </cell>
          <cell r="AU385">
            <v>0.9</v>
          </cell>
          <cell r="AV385">
            <v>3870</v>
          </cell>
          <cell r="AW385">
            <v>1315</v>
          </cell>
          <cell r="AX385">
            <v>45</v>
          </cell>
          <cell r="AY385">
            <v>190</v>
          </cell>
          <cell r="AZ385">
            <v>1080</v>
          </cell>
          <cell r="BA385">
            <v>2550</v>
          </cell>
          <cell r="BB385">
            <v>2.7</v>
          </cell>
          <cell r="BC385">
            <v>655</v>
          </cell>
          <cell r="BD385">
            <v>335</v>
          </cell>
          <cell r="BE385">
            <v>20</v>
          </cell>
          <cell r="BF385">
            <v>10</v>
          </cell>
          <cell r="BG385">
            <v>315</v>
          </cell>
          <cell r="BH385">
            <v>315</v>
          </cell>
          <cell r="BI385">
            <v>2125</v>
          </cell>
          <cell r="BJ385">
            <v>4.4000000000000004</v>
          </cell>
          <cell r="BK385">
            <v>9350</v>
          </cell>
          <cell r="BL385">
            <v>1.8</v>
          </cell>
          <cell r="BM385">
            <v>3825</v>
          </cell>
          <cell r="BN385">
            <v>2120</v>
          </cell>
          <cell r="BO385">
            <v>645</v>
          </cell>
          <cell r="BP385">
            <v>1480</v>
          </cell>
          <cell r="BQ385">
            <v>0</v>
          </cell>
          <cell r="BR385">
            <v>2125</v>
          </cell>
          <cell r="BS385">
            <v>1340</v>
          </cell>
          <cell r="BT385">
            <v>600</v>
          </cell>
          <cell r="BU385">
            <v>180</v>
          </cell>
          <cell r="BV385">
            <v>2125</v>
          </cell>
          <cell r="BW385">
            <v>115</v>
          </cell>
          <cell r="BX385">
            <v>1300</v>
          </cell>
          <cell r="BY385">
            <v>440</v>
          </cell>
          <cell r="BZ385">
            <v>155</v>
          </cell>
          <cell r="CA385">
            <v>30</v>
          </cell>
          <cell r="CB385">
            <v>0</v>
          </cell>
          <cell r="CC385">
            <v>20</v>
          </cell>
          <cell r="CD385">
            <v>15</v>
          </cell>
          <cell r="CE385">
            <v>40</v>
          </cell>
          <cell r="CF385">
            <v>2125</v>
          </cell>
          <cell r="CG385">
            <v>15</v>
          </cell>
          <cell r="CH385">
            <v>25</v>
          </cell>
          <cell r="CI385">
            <v>5</v>
          </cell>
          <cell r="CJ385">
            <v>455</v>
          </cell>
          <cell r="CK385">
            <v>5</v>
          </cell>
          <cell r="CL385">
            <v>1595</v>
          </cell>
          <cell r="CM385">
            <v>30</v>
          </cell>
          <cell r="CN385">
            <v>5</v>
          </cell>
          <cell r="CO385">
            <v>2125</v>
          </cell>
          <cell r="CP385">
            <v>1085</v>
          </cell>
          <cell r="CQ385">
            <v>605</v>
          </cell>
          <cell r="CR385">
            <v>235</v>
          </cell>
          <cell r="CS385">
            <v>190</v>
          </cell>
          <cell r="CT385">
            <v>10</v>
          </cell>
          <cell r="CU385">
            <v>3865</v>
          </cell>
          <cell r="CV385">
            <v>1.8</v>
          </cell>
          <cell r="CW385">
            <v>2120</v>
          </cell>
          <cell r="CX385">
            <v>955</v>
          </cell>
          <cell r="CY385">
            <v>0</v>
          </cell>
          <cell r="CZ385">
            <v>1165</v>
          </cell>
        </row>
        <row r="386">
          <cell r="A386" t="str">
            <v>4620197.00</v>
          </cell>
          <cell r="B386" t="str">
            <v>0197.00</v>
          </cell>
          <cell r="C386" t="str">
            <v>Rosemont-La Petite-Patrie</v>
          </cell>
          <cell r="D386">
            <v>4075</v>
          </cell>
          <cell r="E386">
            <v>1795</v>
          </cell>
          <cell r="F386">
            <v>1270</v>
          </cell>
          <cell r="G386">
            <v>105</v>
          </cell>
          <cell r="H386">
            <v>520</v>
          </cell>
          <cell r="I386">
            <v>380</v>
          </cell>
          <cell r="J386">
            <v>4075</v>
          </cell>
          <cell r="K386">
            <v>3540</v>
          </cell>
          <cell r="L386">
            <v>535</v>
          </cell>
          <cell r="M386">
            <v>1205</v>
          </cell>
          <cell r="N386">
            <v>695</v>
          </cell>
          <cell r="O386">
            <v>300</v>
          </cell>
          <cell r="P386">
            <v>160</v>
          </cell>
          <cell r="Q386">
            <v>45</v>
          </cell>
          <cell r="R386">
            <v>1205</v>
          </cell>
          <cell r="S386">
            <v>880</v>
          </cell>
          <cell r="T386">
            <v>615</v>
          </cell>
          <cell r="U386">
            <v>285</v>
          </cell>
          <cell r="V386">
            <v>330</v>
          </cell>
          <cell r="W386">
            <v>165</v>
          </cell>
          <cell r="X386">
            <v>125</v>
          </cell>
          <cell r="Y386">
            <v>30</v>
          </cell>
          <cell r="Z386">
            <v>265</v>
          </cell>
          <cell r="AA386">
            <v>175</v>
          </cell>
          <cell r="AB386">
            <v>95</v>
          </cell>
          <cell r="AC386">
            <v>45</v>
          </cell>
          <cell r="AD386">
            <v>35</v>
          </cell>
          <cell r="AE386">
            <v>15</v>
          </cell>
          <cell r="AF386">
            <v>325</v>
          </cell>
          <cell r="AG386">
            <v>245</v>
          </cell>
          <cell r="AH386">
            <v>160</v>
          </cell>
          <cell r="AI386">
            <v>85</v>
          </cell>
          <cell r="AJ386">
            <v>0</v>
          </cell>
          <cell r="AK386">
            <v>75</v>
          </cell>
          <cell r="AL386">
            <v>75</v>
          </cell>
          <cell r="AM386">
            <v>0</v>
          </cell>
          <cell r="AN386">
            <v>0</v>
          </cell>
          <cell r="AO386">
            <v>1090</v>
          </cell>
          <cell r="AP386">
            <v>245</v>
          </cell>
          <cell r="AQ386">
            <v>380</v>
          </cell>
          <cell r="AR386">
            <v>115</v>
          </cell>
          <cell r="AS386">
            <v>170</v>
          </cell>
          <cell r="AT386">
            <v>175</v>
          </cell>
          <cell r="AU386">
            <v>0.9</v>
          </cell>
          <cell r="AV386">
            <v>4535</v>
          </cell>
          <cell r="AW386">
            <v>1360</v>
          </cell>
          <cell r="AX386">
            <v>115</v>
          </cell>
          <cell r="AY386">
            <v>120</v>
          </cell>
          <cell r="AZ386">
            <v>1125</v>
          </cell>
          <cell r="BA386">
            <v>3175</v>
          </cell>
          <cell r="BB386">
            <v>2.6</v>
          </cell>
          <cell r="BC386">
            <v>875</v>
          </cell>
          <cell r="BD386">
            <v>425</v>
          </cell>
          <cell r="BE386">
            <v>70</v>
          </cell>
          <cell r="BF386">
            <v>20</v>
          </cell>
          <cell r="BG386">
            <v>335</v>
          </cell>
          <cell r="BH386">
            <v>450</v>
          </cell>
          <cell r="BI386">
            <v>2385</v>
          </cell>
          <cell r="BJ386">
            <v>4.3</v>
          </cell>
          <cell r="BK386">
            <v>10255.5</v>
          </cell>
          <cell r="BL386">
            <v>1.8</v>
          </cell>
          <cell r="BM386">
            <v>4293</v>
          </cell>
          <cell r="BN386">
            <v>2385</v>
          </cell>
          <cell r="BO386">
            <v>660</v>
          </cell>
          <cell r="BP386">
            <v>1730</v>
          </cell>
          <cell r="BQ386">
            <v>0</v>
          </cell>
          <cell r="BR386">
            <v>2385</v>
          </cell>
          <cell r="BS386">
            <v>1400</v>
          </cell>
          <cell r="BT386">
            <v>775</v>
          </cell>
          <cell r="BU386">
            <v>205</v>
          </cell>
          <cell r="BV386">
            <v>2385</v>
          </cell>
          <cell r="BW386">
            <v>115</v>
          </cell>
          <cell r="BX386">
            <v>1430</v>
          </cell>
          <cell r="BY386">
            <v>545</v>
          </cell>
          <cell r="BZ386">
            <v>170</v>
          </cell>
          <cell r="CA386">
            <v>45</v>
          </cell>
          <cell r="CB386">
            <v>15</v>
          </cell>
          <cell r="CC386">
            <v>15</v>
          </cell>
          <cell r="CD386">
            <v>25</v>
          </cell>
          <cell r="CE386">
            <v>20</v>
          </cell>
          <cell r="CF386">
            <v>2385</v>
          </cell>
          <cell r="CG386">
            <v>20</v>
          </cell>
          <cell r="CH386">
            <v>5</v>
          </cell>
          <cell r="CI386">
            <v>5</v>
          </cell>
          <cell r="CJ386">
            <v>490</v>
          </cell>
          <cell r="CK386">
            <v>5</v>
          </cell>
          <cell r="CL386">
            <v>1855</v>
          </cell>
          <cell r="CM386">
            <v>10</v>
          </cell>
          <cell r="CN386">
            <v>0</v>
          </cell>
          <cell r="CO386">
            <v>2385</v>
          </cell>
          <cell r="CP386">
            <v>1125</v>
          </cell>
          <cell r="CQ386">
            <v>720</v>
          </cell>
          <cell r="CR386">
            <v>275</v>
          </cell>
          <cell r="CS386">
            <v>250</v>
          </cell>
          <cell r="CT386">
            <v>15</v>
          </cell>
          <cell r="CU386">
            <v>4535</v>
          </cell>
          <cell r="CV386">
            <v>1.9</v>
          </cell>
          <cell r="CW386">
            <v>2385</v>
          </cell>
          <cell r="CX386">
            <v>1145</v>
          </cell>
          <cell r="CY386">
            <v>25</v>
          </cell>
          <cell r="CZ386">
            <v>1215</v>
          </cell>
        </row>
        <row r="387">
          <cell r="A387" t="str">
            <v>4620198.00</v>
          </cell>
          <cell r="B387" t="str">
            <v>0198.00</v>
          </cell>
          <cell r="C387" t="str">
            <v>Rosemont-La Petite-Patrie</v>
          </cell>
          <cell r="D387">
            <v>4210</v>
          </cell>
          <cell r="E387">
            <v>1975</v>
          </cell>
          <cell r="F387">
            <v>1300</v>
          </cell>
          <cell r="G387">
            <v>115</v>
          </cell>
          <cell r="H387">
            <v>530</v>
          </cell>
          <cell r="I387">
            <v>290</v>
          </cell>
          <cell r="J387">
            <v>4210</v>
          </cell>
          <cell r="K387">
            <v>3520</v>
          </cell>
          <cell r="L387">
            <v>685</v>
          </cell>
          <cell r="M387">
            <v>1235</v>
          </cell>
          <cell r="N387">
            <v>695</v>
          </cell>
          <cell r="O387">
            <v>315</v>
          </cell>
          <cell r="P387">
            <v>160</v>
          </cell>
          <cell r="Q387">
            <v>65</v>
          </cell>
          <cell r="R387">
            <v>1235</v>
          </cell>
          <cell r="S387">
            <v>985</v>
          </cell>
          <cell r="T387">
            <v>640</v>
          </cell>
          <cell r="U387">
            <v>325</v>
          </cell>
          <cell r="V387">
            <v>320</v>
          </cell>
          <cell r="W387">
            <v>155</v>
          </cell>
          <cell r="X387">
            <v>110</v>
          </cell>
          <cell r="Y387">
            <v>55</v>
          </cell>
          <cell r="Z387">
            <v>340</v>
          </cell>
          <cell r="AA387">
            <v>180</v>
          </cell>
          <cell r="AB387">
            <v>160</v>
          </cell>
          <cell r="AC387">
            <v>110</v>
          </cell>
          <cell r="AD387">
            <v>35</v>
          </cell>
          <cell r="AE387">
            <v>10</v>
          </cell>
          <cell r="AF387">
            <v>250</v>
          </cell>
          <cell r="AG387">
            <v>225</v>
          </cell>
          <cell r="AH387">
            <v>170</v>
          </cell>
          <cell r="AI387">
            <v>40</v>
          </cell>
          <cell r="AJ387">
            <v>10</v>
          </cell>
          <cell r="AK387">
            <v>30</v>
          </cell>
          <cell r="AL387">
            <v>20</v>
          </cell>
          <cell r="AM387">
            <v>10</v>
          </cell>
          <cell r="AN387">
            <v>0</v>
          </cell>
          <cell r="AO387">
            <v>1075</v>
          </cell>
          <cell r="AP387">
            <v>235</v>
          </cell>
          <cell r="AQ387">
            <v>380</v>
          </cell>
          <cell r="AR387">
            <v>115</v>
          </cell>
          <cell r="AS387">
            <v>195</v>
          </cell>
          <cell r="AT387">
            <v>150</v>
          </cell>
          <cell r="AU387">
            <v>0.9</v>
          </cell>
          <cell r="AV387">
            <v>4825</v>
          </cell>
          <cell r="AW387">
            <v>1530</v>
          </cell>
          <cell r="AX387">
            <v>80</v>
          </cell>
          <cell r="AY387">
            <v>320</v>
          </cell>
          <cell r="AZ387">
            <v>1130</v>
          </cell>
          <cell r="BA387">
            <v>3290</v>
          </cell>
          <cell r="BB387">
            <v>2.7</v>
          </cell>
          <cell r="BC387">
            <v>870</v>
          </cell>
          <cell r="BD387">
            <v>460</v>
          </cell>
          <cell r="BE387">
            <v>10</v>
          </cell>
          <cell r="BF387">
            <v>40</v>
          </cell>
          <cell r="BG387">
            <v>405</v>
          </cell>
          <cell r="BH387">
            <v>410</v>
          </cell>
          <cell r="BI387">
            <v>2510</v>
          </cell>
          <cell r="BJ387">
            <v>4.5999999999999996</v>
          </cell>
          <cell r="BK387">
            <v>11546</v>
          </cell>
          <cell r="BL387">
            <v>1.8</v>
          </cell>
          <cell r="BM387">
            <v>4518</v>
          </cell>
          <cell r="BN387">
            <v>2510</v>
          </cell>
          <cell r="BO387">
            <v>860</v>
          </cell>
          <cell r="BP387">
            <v>1655</v>
          </cell>
          <cell r="BQ387">
            <v>0</v>
          </cell>
          <cell r="BR387">
            <v>2515</v>
          </cell>
          <cell r="BS387">
            <v>1520</v>
          </cell>
          <cell r="BT387">
            <v>725</v>
          </cell>
          <cell r="BU387">
            <v>265</v>
          </cell>
          <cell r="BV387">
            <v>2510</v>
          </cell>
          <cell r="BW387">
            <v>160</v>
          </cell>
          <cell r="BX387">
            <v>1250</v>
          </cell>
          <cell r="BY387">
            <v>520</v>
          </cell>
          <cell r="BZ387">
            <v>300</v>
          </cell>
          <cell r="CA387">
            <v>75</v>
          </cell>
          <cell r="CB387">
            <v>110</v>
          </cell>
          <cell r="CC387">
            <v>30</v>
          </cell>
          <cell r="CD387">
            <v>30</v>
          </cell>
          <cell r="CE387">
            <v>35</v>
          </cell>
          <cell r="CF387">
            <v>2515</v>
          </cell>
          <cell r="CG387">
            <v>385</v>
          </cell>
          <cell r="CH387">
            <v>105</v>
          </cell>
          <cell r="CI387">
            <v>30</v>
          </cell>
          <cell r="CJ387">
            <v>245</v>
          </cell>
          <cell r="CK387">
            <v>0</v>
          </cell>
          <cell r="CL387">
            <v>1720</v>
          </cell>
          <cell r="CM387">
            <v>20</v>
          </cell>
          <cell r="CN387">
            <v>0</v>
          </cell>
          <cell r="CO387">
            <v>2515</v>
          </cell>
          <cell r="CP387">
            <v>1125</v>
          </cell>
          <cell r="CQ387">
            <v>810</v>
          </cell>
          <cell r="CR387">
            <v>320</v>
          </cell>
          <cell r="CS387">
            <v>235</v>
          </cell>
          <cell r="CT387">
            <v>15</v>
          </cell>
          <cell r="CU387">
            <v>4825</v>
          </cell>
          <cell r="CV387">
            <v>1.9</v>
          </cell>
          <cell r="CW387">
            <v>2515</v>
          </cell>
          <cell r="CX387">
            <v>1210</v>
          </cell>
          <cell r="CY387">
            <v>10</v>
          </cell>
          <cell r="CZ387">
            <v>1285</v>
          </cell>
        </row>
        <row r="388">
          <cell r="A388" t="str">
            <v>4620199.00</v>
          </cell>
          <cell r="B388" t="str">
            <v>0199.00</v>
          </cell>
          <cell r="C388" t="str">
            <v>Rosemont-La Petite-Patrie</v>
          </cell>
          <cell r="D388">
            <v>2235</v>
          </cell>
          <cell r="E388">
            <v>1135</v>
          </cell>
          <cell r="F388">
            <v>675</v>
          </cell>
          <cell r="G388">
            <v>65</v>
          </cell>
          <cell r="H388">
            <v>245</v>
          </cell>
          <cell r="I388">
            <v>120</v>
          </cell>
          <cell r="J388">
            <v>2235</v>
          </cell>
          <cell r="K388">
            <v>1905</v>
          </cell>
          <cell r="L388">
            <v>330</v>
          </cell>
          <cell r="M388">
            <v>655</v>
          </cell>
          <cell r="N388">
            <v>410</v>
          </cell>
          <cell r="O388">
            <v>125</v>
          </cell>
          <cell r="P388">
            <v>80</v>
          </cell>
          <cell r="Q388">
            <v>40</v>
          </cell>
          <cell r="R388">
            <v>655</v>
          </cell>
          <cell r="S388">
            <v>485</v>
          </cell>
          <cell r="T388">
            <v>305</v>
          </cell>
          <cell r="U388">
            <v>165</v>
          </cell>
          <cell r="V388">
            <v>140</v>
          </cell>
          <cell r="W388">
            <v>60</v>
          </cell>
          <cell r="X388">
            <v>55</v>
          </cell>
          <cell r="Y388">
            <v>20</v>
          </cell>
          <cell r="Z388">
            <v>175</v>
          </cell>
          <cell r="AA388">
            <v>125</v>
          </cell>
          <cell r="AB388">
            <v>50</v>
          </cell>
          <cell r="AC388">
            <v>20</v>
          </cell>
          <cell r="AD388">
            <v>15</v>
          </cell>
          <cell r="AE388">
            <v>10</v>
          </cell>
          <cell r="AF388">
            <v>170</v>
          </cell>
          <cell r="AG388">
            <v>140</v>
          </cell>
          <cell r="AH388">
            <v>85</v>
          </cell>
          <cell r="AI388">
            <v>40</v>
          </cell>
          <cell r="AJ388">
            <v>15</v>
          </cell>
          <cell r="AK388">
            <v>30</v>
          </cell>
          <cell r="AL388">
            <v>30</v>
          </cell>
          <cell r="AM388">
            <v>0</v>
          </cell>
          <cell r="AN388">
            <v>0</v>
          </cell>
          <cell r="AO388">
            <v>580</v>
          </cell>
          <cell r="AP388">
            <v>115</v>
          </cell>
          <cell r="AQ388">
            <v>175</v>
          </cell>
          <cell r="AR388">
            <v>100</v>
          </cell>
          <cell r="AS388">
            <v>130</v>
          </cell>
          <cell r="AT388">
            <v>65</v>
          </cell>
          <cell r="AU388">
            <v>0.9</v>
          </cell>
          <cell r="AV388">
            <v>2560</v>
          </cell>
          <cell r="AW388">
            <v>835</v>
          </cell>
          <cell r="AX388">
            <v>70</v>
          </cell>
          <cell r="AY388">
            <v>135</v>
          </cell>
          <cell r="AZ388">
            <v>630</v>
          </cell>
          <cell r="BA388">
            <v>1725</v>
          </cell>
          <cell r="BB388">
            <v>2.6</v>
          </cell>
          <cell r="BC388">
            <v>400</v>
          </cell>
          <cell r="BD388">
            <v>170</v>
          </cell>
          <cell r="BE388">
            <v>40</v>
          </cell>
          <cell r="BF388">
            <v>20</v>
          </cell>
          <cell r="BG388">
            <v>110</v>
          </cell>
          <cell r="BH388">
            <v>225</v>
          </cell>
          <cell r="BI388">
            <v>1345</v>
          </cell>
          <cell r="BJ388">
            <v>4.5</v>
          </cell>
          <cell r="BK388">
            <v>6052.5</v>
          </cell>
          <cell r="BL388">
            <v>1.8</v>
          </cell>
          <cell r="BM388">
            <v>2421</v>
          </cell>
          <cell r="BN388">
            <v>1345</v>
          </cell>
          <cell r="BO388">
            <v>440</v>
          </cell>
          <cell r="BP388">
            <v>905</v>
          </cell>
          <cell r="BQ388">
            <v>0</v>
          </cell>
          <cell r="BR388">
            <v>1350</v>
          </cell>
          <cell r="BS388">
            <v>910</v>
          </cell>
          <cell r="BT388">
            <v>340</v>
          </cell>
          <cell r="BU388">
            <v>90</v>
          </cell>
          <cell r="BV388">
            <v>1345</v>
          </cell>
          <cell r="BW388">
            <v>200</v>
          </cell>
          <cell r="BX388">
            <v>515</v>
          </cell>
          <cell r="BY388">
            <v>220</v>
          </cell>
          <cell r="BZ388">
            <v>145</v>
          </cell>
          <cell r="CA388">
            <v>35</v>
          </cell>
          <cell r="CB388">
            <v>50</v>
          </cell>
          <cell r="CC388">
            <v>0</v>
          </cell>
          <cell r="CD388">
            <v>120</v>
          </cell>
          <cell r="CE388">
            <v>45</v>
          </cell>
          <cell r="CF388">
            <v>1345</v>
          </cell>
          <cell r="CG388">
            <v>30</v>
          </cell>
          <cell r="CH388">
            <v>15</v>
          </cell>
          <cell r="CI388">
            <v>95</v>
          </cell>
          <cell r="CJ388">
            <v>185</v>
          </cell>
          <cell r="CK388">
            <v>0</v>
          </cell>
          <cell r="CL388">
            <v>960</v>
          </cell>
          <cell r="CM388">
            <v>60</v>
          </cell>
          <cell r="CN388">
            <v>0</v>
          </cell>
          <cell r="CO388">
            <v>1345</v>
          </cell>
          <cell r="CP388">
            <v>655</v>
          </cell>
          <cell r="CQ388">
            <v>385</v>
          </cell>
          <cell r="CR388">
            <v>170</v>
          </cell>
          <cell r="CS388">
            <v>125</v>
          </cell>
          <cell r="CT388">
            <v>15</v>
          </cell>
          <cell r="CU388">
            <v>2560</v>
          </cell>
          <cell r="CV388">
            <v>1.9</v>
          </cell>
          <cell r="CW388">
            <v>1345</v>
          </cell>
          <cell r="CX388">
            <v>655</v>
          </cell>
          <cell r="CY388">
            <v>0</v>
          </cell>
          <cell r="CZ388">
            <v>690</v>
          </cell>
        </row>
        <row r="389">
          <cell r="A389" t="str">
            <v>4620200.00</v>
          </cell>
          <cell r="B389" t="str">
            <v>0200.00</v>
          </cell>
          <cell r="C389" t="str">
            <v>Rosemont-La Petite-Patrie</v>
          </cell>
          <cell r="D389">
            <v>3755</v>
          </cell>
          <cell r="E389">
            <v>1805</v>
          </cell>
          <cell r="F389">
            <v>1115</v>
          </cell>
          <cell r="G389">
            <v>115</v>
          </cell>
          <cell r="H389">
            <v>480</v>
          </cell>
          <cell r="I389">
            <v>245</v>
          </cell>
          <cell r="J389">
            <v>3755</v>
          </cell>
          <cell r="K389">
            <v>3170</v>
          </cell>
          <cell r="L389">
            <v>585</v>
          </cell>
          <cell r="M389">
            <v>1140</v>
          </cell>
          <cell r="N389">
            <v>635</v>
          </cell>
          <cell r="O389">
            <v>305</v>
          </cell>
          <cell r="P389">
            <v>150</v>
          </cell>
          <cell r="Q389">
            <v>50</v>
          </cell>
          <cell r="R389">
            <v>1145</v>
          </cell>
          <cell r="S389">
            <v>845</v>
          </cell>
          <cell r="T389">
            <v>545</v>
          </cell>
          <cell r="U389">
            <v>260</v>
          </cell>
          <cell r="V389">
            <v>290</v>
          </cell>
          <cell r="W389">
            <v>155</v>
          </cell>
          <cell r="X389">
            <v>95</v>
          </cell>
          <cell r="Y389">
            <v>40</v>
          </cell>
          <cell r="Z389">
            <v>300</v>
          </cell>
          <cell r="AA389">
            <v>190</v>
          </cell>
          <cell r="AB389">
            <v>105</v>
          </cell>
          <cell r="AC389">
            <v>70</v>
          </cell>
          <cell r="AD389">
            <v>30</v>
          </cell>
          <cell r="AE389">
            <v>10</v>
          </cell>
          <cell r="AF389">
            <v>295</v>
          </cell>
          <cell r="AG389">
            <v>260</v>
          </cell>
          <cell r="AH389">
            <v>150</v>
          </cell>
          <cell r="AI389">
            <v>80</v>
          </cell>
          <cell r="AJ389">
            <v>30</v>
          </cell>
          <cell r="AK389">
            <v>35</v>
          </cell>
          <cell r="AL389">
            <v>40</v>
          </cell>
          <cell r="AM389">
            <v>0</v>
          </cell>
          <cell r="AN389">
            <v>0</v>
          </cell>
          <cell r="AO389">
            <v>1060</v>
          </cell>
          <cell r="AP389">
            <v>245</v>
          </cell>
          <cell r="AQ389">
            <v>340</v>
          </cell>
          <cell r="AR389">
            <v>135</v>
          </cell>
          <cell r="AS389">
            <v>225</v>
          </cell>
          <cell r="AT389">
            <v>115</v>
          </cell>
          <cell r="AU389">
            <v>0.9</v>
          </cell>
          <cell r="AV389">
            <v>4325</v>
          </cell>
          <cell r="AW389">
            <v>1275</v>
          </cell>
          <cell r="AX389">
            <v>65</v>
          </cell>
          <cell r="AY389">
            <v>225</v>
          </cell>
          <cell r="AZ389">
            <v>990</v>
          </cell>
          <cell r="BA389">
            <v>3045</v>
          </cell>
          <cell r="BB389">
            <v>2.7</v>
          </cell>
          <cell r="BC389">
            <v>660</v>
          </cell>
          <cell r="BD389">
            <v>365</v>
          </cell>
          <cell r="BE389">
            <v>20</v>
          </cell>
          <cell r="BF389">
            <v>20</v>
          </cell>
          <cell r="BG389">
            <v>325</v>
          </cell>
          <cell r="BH389">
            <v>295</v>
          </cell>
          <cell r="BI389">
            <v>2200</v>
          </cell>
          <cell r="BJ389">
            <v>4.3</v>
          </cell>
          <cell r="BK389">
            <v>9460</v>
          </cell>
          <cell r="BL389">
            <v>1.8</v>
          </cell>
          <cell r="BM389">
            <v>3960</v>
          </cell>
          <cell r="BN389">
            <v>2200</v>
          </cell>
          <cell r="BO389">
            <v>630</v>
          </cell>
          <cell r="BP389">
            <v>1565</v>
          </cell>
          <cell r="BQ389">
            <v>0</v>
          </cell>
          <cell r="BR389">
            <v>2200</v>
          </cell>
          <cell r="BS389">
            <v>1460</v>
          </cell>
          <cell r="BT389">
            <v>570</v>
          </cell>
          <cell r="BU389">
            <v>170</v>
          </cell>
          <cell r="BV389">
            <v>2200</v>
          </cell>
          <cell r="BW389">
            <v>255</v>
          </cell>
          <cell r="BX389">
            <v>1105</v>
          </cell>
          <cell r="BY389">
            <v>400</v>
          </cell>
          <cell r="BZ389">
            <v>170</v>
          </cell>
          <cell r="CA389">
            <v>85</v>
          </cell>
          <cell r="CB389">
            <v>35</v>
          </cell>
          <cell r="CC389">
            <v>15</v>
          </cell>
          <cell r="CD389">
            <v>60</v>
          </cell>
          <cell r="CE389">
            <v>80</v>
          </cell>
          <cell r="CF389">
            <v>2200</v>
          </cell>
          <cell r="CG389">
            <v>85</v>
          </cell>
          <cell r="CH389">
            <v>20</v>
          </cell>
          <cell r="CI389">
            <v>125</v>
          </cell>
          <cell r="CJ389">
            <v>320</v>
          </cell>
          <cell r="CK389">
            <v>75</v>
          </cell>
          <cell r="CL389">
            <v>1535</v>
          </cell>
          <cell r="CM389">
            <v>35</v>
          </cell>
          <cell r="CN389">
            <v>0</v>
          </cell>
          <cell r="CO389">
            <v>2200</v>
          </cell>
          <cell r="CP389">
            <v>985</v>
          </cell>
          <cell r="CQ389">
            <v>665</v>
          </cell>
          <cell r="CR389">
            <v>295</v>
          </cell>
          <cell r="CS389">
            <v>230</v>
          </cell>
          <cell r="CT389">
            <v>25</v>
          </cell>
          <cell r="CU389">
            <v>4325</v>
          </cell>
          <cell r="CV389">
            <v>2</v>
          </cell>
          <cell r="CW389">
            <v>2200</v>
          </cell>
          <cell r="CX389">
            <v>1065</v>
          </cell>
          <cell r="CY389">
            <v>40</v>
          </cell>
          <cell r="CZ389">
            <v>1095</v>
          </cell>
        </row>
        <row r="390">
          <cell r="A390" t="str">
            <v>4620201.00</v>
          </cell>
          <cell r="B390" t="str">
            <v>0201.00</v>
          </cell>
          <cell r="C390" t="str">
            <v>Rosemont-La Petite-Patrie</v>
          </cell>
          <cell r="D390">
            <v>5970</v>
          </cell>
          <cell r="E390">
            <v>2945</v>
          </cell>
          <cell r="F390">
            <v>1560</v>
          </cell>
          <cell r="G390">
            <v>170</v>
          </cell>
          <cell r="H390">
            <v>745</v>
          </cell>
          <cell r="I390">
            <v>545</v>
          </cell>
          <cell r="J390">
            <v>5970</v>
          </cell>
          <cell r="K390">
            <v>5175</v>
          </cell>
          <cell r="L390">
            <v>790</v>
          </cell>
          <cell r="M390">
            <v>1580</v>
          </cell>
          <cell r="N390">
            <v>920</v>
          </cell>
          <cell r="O390">
            <v>350</v>
          </cell>
          <cell r="P390">
            <v>235</v>
          </cell>
          <cell r="Q390">
            <v>75</v>
          </cell>
          <cell r="R390">
            <v>1585</v>
          </cell>
          <cell r="S390">
            <v>1135</v>
          </cell>
          <cell r="T390">
            <v>740</v>
          </cell>
          <cell r="U390">
            <v>365</v>
          </cell>
          <cell r="V390">
            <v>370</v>
          </cell>
          <cell r="W390">
            <v>185</v>
          </cell>
          <cell r="X390">
            <v>125</v>
          </cell>
          <cell r="Y390">
            <v>60</v>
          </cell>
          <cell r="Z390">
            <v>400</v>
          </cell>
          <cell r="AA390">
            <v>285</v>
          </cell>
          <cell r="AB390">
            <v>115</v>
          </cell>
          <cell r="AC390">
            <v>40</v>
          </cell>
          <cell r="AD390">
            <v>70</v>
          </cell>
          <cell r="AE390">
            <v>0</v>
          </cell>
          <cell r="AF390">
            <v>445</v>
          </cell>
          <cell r="AG390">
            <v>380</v>
          </cell>
          <cell r="AH390">
            <v>245</v>
          </cell>
          <cell r="AI390">
            <v>95</v>
          </cell>
          <cell r="AJ390">
            <v>40</v>
          </cell>
          <cell r="AK390">
            <v>60</v>
          </cell>
          <cell r="AL390">
            <v>25</v>
          </cell>
          <cell r="AM390">
            <v>30</v>
          </cell>
          <cell r="AN390">
            <v>10</v>
          </cell>
          <cell r="AO390">
            <v>1505</v>
          </cell>
          <cell r="AP390">
            <v>375</v>
          </cell>
          <cell r="AQ390">
            <v>510</v>
          </cell>
          <cell r="AR390">
            <v>140</v>
          </cell>
          <cell r="AS390">
            <v>250</v>
          </cell>
          <cell r="AT390">
            <v>225</v>
          </cell>
          <cell r="AU390">
            <v>0.9</v>
          </cell>
          <cell r="AV390">
            <v>6470</v>
          </cell>
          <cell r="AW390">
            <v>2245</v>
          </cell>
          <cell r="AX390">
            <v>140</v>
          </cell>
          <cell r="AY390">
            <v>380</v>
          </cell>
          <cell r="AZ390">
            <v>1725</v>
          </cell>
          <cell r="BA390">
            <v>4225</v>
          </cell>
          <cell r="BB390">
            <v>2.7</v>
          </cell>
          <cell r="BC390">
            <v>1210</v>
          </cell>
          <cell r="BD390">
            <v>690</v>
          </cell>
          <cell r="BE390">
            <v>45</v>
          </cell>
          <cell r="BF390">
            <v>35</v>
          </cell>
          <cell r="BG390">
            <v>600</v>
          </cell>
          <cell r="BH390">
            <v>520</v>
          </cell>
          <cell r="BI390">
            <v>3485</v>
          </cell>
          <cell r="BJ390">
            <v>4.0999999999999996</v>
          </cell>
          <cell r="BK390">
            <v>14288.499999999998</v>
          </cell>
          <cell r="BL390">
            <v>1.6</v>
          </cell>
          <cell r="BM390">
            <v>5576</v>
          </cell>
          <cell r="BN390">
            <v>3480</v>
          </cell>
          <cell r="BO390">
            <v>805</v>
          </cell>
          <cell r="BP390">
            <v>2675</v>
          </cell>
          <cell r="BQ390">
            <v>0</v>
          </cell>
          <cell r="BR390">
            <v>3480</v>
          </cell>
          <cell r="BS390">
            <v>2245</v>
          </cell>
          <cell r="BT390">
            <v>950</v>
          </cell>
          <cell r="BU390">
            <v>295</v>
          </cell>
          <cell r="BV390">
            <v>3485</v>
          </cell>
          <cell r="BW390">
            <v>255</v>
          </cell>
          <cell r="BX390">
            <v>1585</v>
          </cell>
          <cell r="BY390">
            <v>620</v>
          </cell>
          <cell r="BZ390">
            <v>430</v>
          </cell>
          <cell r="CA390">
            <v>130</v>
          </cell>
          <cell r="CB390">
            <v>30</v>
          </cell>
          <cell r="CC390">
            <v>70</v>
          </cell>
          <cell r="CD390">
            <v>120</v>
          </cell>
          <cell r="CE390">
            <v>235</v>
          </cell>
          <cell r="CF390">
            <v>3495</v>
          </cell>
          <cell r="CG390">
            <v>0</v>
          </cell>
          <cell r="CH390">
            <v>35</v>
          </cell>
          <cell r="CI390">
            <v>105</v>
          </cell>
          <cell r="CJ390">
            <v>530</v>
          </cell>
          <cell r="CK390">
            <v>400</v>
          </cell>
          <cell r="CL390">
            <v>2415</v>
          </cell>
          <cell r="CM390">
            <v>15</v>
          </cell>
          <cell r="CN390">
            <v>0</v>
          </cell>
          <cell r="CO390">
            <v>3495</v>
          </cell>
          <cell r="CP390">
            <v>1735</v>
          </cell>
          <cell r="CQ390">
            <v>1050</v>
          </cell>
          <cell r="CR390">
            <v>355</v>
          </cell>
          <cell r="CS390">
            <v>320</v>
          </cell>
          <cell r="CT390">
            <v>35</v>
          </cell>
          <cell r="CU390">
            <v>6480</v>
          </cell>
          <cell r="CV390">
            <v>1.9</v>
          </cell>
          <cell r="CW390">
            <v>3480</v>
          </cell>
          <cell r="CX390">
            <v>1500</v>
          </cell>
          <cell r="CY390">
            <v>35</v>
          </cell>
          <cell r="CZ390">
            <v>1950</v>
          </cell>
        </row>
        <row r="391">
          <cell r="A391" t="str">
            <v>4620202.00</v>
          </cell>
          <cell r="B391" t="str">
            <v>0202.00</v>
          </cell>
          <cell r="C391" t="str">
            <v>Rosemont-La Petite-Patrie</v>
          </cell>
          <cell r="D391">
            <v>3800</v>
          </cell>
          <cell r="E391">
            <v>1870</v>
          </cell>
          <cell r="F391">
            <v>955</v>
          </cell>
          <cell r="G391">
            <v>100</v>
          </cell>
          <cell r="H391">
            <v>475</v>
          </cell>
          <cell r="I391">
            <v>410</v>
          </cell>
          <cell r="J391">
            <v>3800</v>
          </cell>
          <cell r="K391">
            <v>3115</v>
          </cell>
          <cell r="L391">
            <v>685</v>
          </cell>
          <cell r="M391">
            <v>1025</v>
          </cell>
          <cell r="N391">
            <v>590</v>
          </cell>
          <cell r="O391">
            <v>200</v>
          </cell>
          <cell r="P391">
            <v>185</v>
          </cell>
          <cell r="Q391">
            <v>45</v>
          </cell>
          <cell r="R391">
            <v>1025</v>
          </cell>
          <cell r="S391">
            <v>800</v>
          </cell>
          <cell r="T391">
            <v>450</v>
          </cell>
          <cell r="U391">
            <v>235</v>
          </cell>
          <cell r="V391">
            <v>215</v>
          </cell>
          <cell r="W391">
            <v>75</v>
          </cell>
          <cell r="X391">
            <v>105</v>
          </cell>
          <cell r="Y391">
            <v>40</v>
          </cell>
          <cell r="Z391">
            <v>345</v>
          </cell>
          <cell r="AA391">
            <v>195</v>
          </cell>
          <cell r="AB391">
            <v>150</v>
          </cell>
          <cell r="AC391">
            <v>80</v>
          </cell>
          <cell r="AD391">
            <v>65</v>
          </cell>
          <cell r="AE391">
            <v>10</v>
          </cell>
          <cell r="AF391">
            <v>225</v>
          </cell>
          <cell r="AG391">
            <v>190</v>
          </cell>
          <cell r="AH391">
            <v>145</v>
          </cell>
          <cell r="AI391">
            <v>45</v>
          </cell>
          <cell r="AJ391">
            <v>0</v>
          </cell>
          <cell r="AK391">
            <v>35</v>
          </cell>
          <cell r="AL391">
            <v>20</v>
          </cell>
          <cell r="AM391">
            <v>10</v>
          </cell>
          <cell r="AN391">
            <v>10</v>
          </cell>
          <cell r="AO391">
            <v>925</v>
          </cell>
          <cell r="AP391">
            <v>195</v>
          </cell>
          <cell r="AQ391">
            <v>375</v>
          </cell>
          <cell r="AR391">
            <v>105</v>
          </cell>
          <cell r="AS391">
            <v>160</v>
          </cell>
          <cell r="AT391">
            <v>95</v>
          </cell>
          <cell r="AU391">
            <v>0.9</v>
          </cell>
          <cell r="AV391">
            <v>4260</v>
          </cell>
          <cell r="AW391">
            <v>1510</v>
          </cell>
          <cell r="AX391">
            <v>105</v>
          </cell>
          <cell r="AY391">
            <v>205</v>
          </cell>
          <cell r="AZ391">
            <v>1195</v>
          </cell>
          <cell r="BA391">
            <v>2750</v>
          </cell>
          <cell r="BB391">
            <v>2.7</v>
          </cell>
          <cell r="BC391">
            <v>825</v>
          </cell>
          <cell r="BD391">
            <v>500</v>
          </cell>
          <cell r="BE391">
            <v>50</v>
          </cell>
          <cell r="BF391">
            <v>10</v>
          </cell>
          <cell r="BG391">
            <v>440</v>
          </cell>
          <cell r="BH391">
            <v>325</v>
          </cell>
          <cell r="BI391">
            <v>2320</v>
          </cell>
          <cell r="BJ391">
            <v>4.4000000000000004</v>
          </cell>
          <cell r="BK391">
            <v>10208</v>
          </cell>
          <cell r="BL391">
            <v>1.7</v>
          </cell>
          <cell r="BM391">
            <v>3944</v>
          </cell>
          <cell r="BN391">
            <v>2320</v>
          </cell>
          <cell r="BO391">
            <v>650</v>
          </cell>
          <cell r="BP391">
            <v>1670</v>
          </cell>
          <cell r="BQ391">
            <v>0</v>
          </cell>
          <cell r="BR391">
            <v>2320</v>
          </cell>
          <cell r="BS391">
            <v>1460</v>
          </cell>
          <cell r="BT391">
            <v>660</v>
          </cell>
          <cell r="BU391">
            <v>200</v>
          </cell>
          <cell r="BV391">
            <v>2320</v>
          </cell>
          <cell r="BW391">
            <v>400</v>
          </cell>
          <cell r="BX391">
            <v>1310</v>
          </cell>
          <cell r="BY391">
            <v>280</v>
          </cell>
          <cell r="BZ391">
            <v>115</v>
          </cell>
          <cell r="CA391">
            <v>120</v>
          </cell>
          <cell r="CB391">
            <v>80</v>
          </cell>
          <cell r="CC391">
            <v>20</v>
          </cell>
          <cell r="CD391">
            <v>0</v>
          </cell>
          <cell r="CE391">
            <v>10</v>
          </cell>
          <cell r="CF391">
            <v>2320</v>
          </cell>
          <cell r="CG391">
            <v>20</v>
          </cell>
          <cell r="CH391">
            <v>100</v>
          </cell>
          <cell r="CI391">
            <v>10</v>
          </cell>
          <cell r="CJ391">
            <v>365</v>
          </cell>
          <cell r="CK391">
            <v>120</v>
          </cell>
          <cell r="CL391">
            <v>1690</v>
          </cell>
          <cell r="CM391">
            <v>15</v>
          </cell>
          <cell r="CN391">
            <v>5</v>
          </cell>
          <cell r="CO391">
            <v>2320</v>
          </cell>
          <cell r="CP391">
            <v>1200</v>
          </cell>
          <cell r="CQ391">
            <v>630</v>
          </cell>
          <cell r="CR391">
            <v>265</v>
          </cell>
          <cell r="CS391">
            <v>220</v>
          </cell>
          <cell r="CT391">
            <v>15</v>
          </cell>
          <cell r="CU391">
            <v>4265</v>
          </cell>
          <cell r="CV391">
            <v>1.8</v>
          </cell>
          <cell r="CW391">
            <v>2320</v>
          </cell>
          <cell r="CX391">
            <v>1005</v>
          </cell>
          <cell r="CY391">
            <v>10</v>
          </cell>
          <cell r="CZ391">
            <v>1310</v>
          </cell>
        </row>
        <row r="392">
          <cell r="A392" t="str">
            <v>4620203.00</v>
          </cell>
          <cell r="B392" t="str">
            <v>0203.00</v>
          </cell>
          <cell r="C392" t="str">
            <v>Rosemont-La Petite-Patrie</v>
          </cell>
          <cell r="D392">
            <v>2405</v>
          </cell>
          <cell r="E392">
            <v>1420</v>
          </cell>
          <cell r="F392">
            <v>525</v>
          </cell>
          <cell r="G392">
            <v>55</v>
          </cell>
          <cell r="H392">
            <v>255</v>
          </cell>
          <cell r="I392">
            <v>155</v>
          </cell>
          <cell r="J392">
            <v>2400</v>
          </cell>
          <cell r="K392">
            <v>1850</v>
          </cell>
          <cell r="L392">
            <v>555</v>
          </cell>
          <cell r="M392">
            <v>675</v>
          </cell>
          <cell r="N392">
            <v>395</v>
          </cell>
          <cell r="O392">
            <v>150</v>
          </cell>
          <cell r="P392">
            <v>95</v>
          </cell>
          <cell r="Q392">
            <v>30</v>
          </cell>
          <cell r="R392">
            <v>670</v>
          </cell>
          <cell r="S392">
            <v>520</v>
          </cell>
          <cell r="T392">
            <v>240</v>
          </cell>
          <cell r="U392">
            <v>115</v>
          </cell>
          <cell r="V392">
            <v>125</v>
          </cell>
          <cell r="W392">
            <v>75</v>
          </cell>
          <cell r="X392">
            <v>30</v>
          </cell>
          <cell r="Y392">
            <v>20</v>
          </cell>
          <cell r="Z392">
            <v>275</v>
          </cell>
          <cell r="AA392">
            <v>155</v>
          </cell>
          <cell r="AB392">
            <v>115</v>
          </cell>
          <cell r="AC392">
            <v>60</v>
          </cell>
          <cell r="AD392">
            <v>50</v>
          </cell>
          <cell r="AE392">
            <v>10</v>
          </cell>
          <cell r="AF392">
            <v>155</v>
          </cell>
          <cell r="AG392">
            <v>100</v>
          </cell>
          <cell r="AH392">
            <v>95</v>
          </cell>
          <cell r="AI392">
            <v>10</v>
          </cell>
          <cell r="AJ392">
            <v>0</v>
          </cell>
          <cell r="AK392">
            <v>50</v>
          </cell>
          <cell r="AL392">
            <v>30</v>
          </cell>
          <cell r="AM392">
            <v>10</v>
          </cell>
          <cell r="AN392">
            <v>15</v>
          </cell>
          <cell r="AO392">
            <v>585</v>
          </cell>
          <cell r="AP392">
            <v>150</v>
          </cell>
          <cell r="AQ392">
            <v>190</v>
          </cell>
          <cell r="AR392">
            <v>70</v>
          </cell>
          <cell r="AS392">
            <v>90</v>
          </cell>
          <cell r="AT392">
            <v>75</v>
          </cell>
          <cell r="AU392">
            <v>0.9</v>
          </cell>
          <cell r="AV392">
            <v>2735</v>
          </cell>
          <cell r="AW392">
            <v>960</v>
          </cell>
          <cell r="AX392">
            <v>65</v>
          </cell>
          <cell r="AY392">
            <v>165</v>
          </cell>
          <cell r="AZ392">
            <v>730</v>
          </cell>
          <cell r="BA392">
            <v>1775</v>
          </cell>
          <cell r="BB392">
            <v>2.6</v>
          </cell>
          <cell r="BC392">
            <v>420</v>
          </cell>
          <cell r="BD392">
            <v>200</v>
          </cell>
          <cell r="BE392">
            <v>10</v>
          </cell>
          <cell r="BF392">
            <v>15</v>
          </cell>
          <cell r="BG392">
            <v>180</v>
          </cell>
          <cell r="BH392">
            <v>215</v>
          </cell>
          <cell r="BI392">
            <v>1485</v>
          </cell>
          <cell r="BJ392">
            <v>4.7</v>
          </cell>
          <cell r="BK392">
            <v>6979.5</v>
          </cell>
          <cell r="BL392">
            <v>1.8</v>
          </cell>
          <cell r="BM392">
            <v>2673</v>
          </cell>
          <cell r="BN392">
            <v>1490</v>
          </cell>
          <cell r="BO392">
            <v>420</v>
          </cell>
          <cell r="BP392">
            <v>1065</v>
          </cell>
          <cell r="BQ392">
            <v>0</v>
          </cell>
          <cell r="BR392">
            <v>1490</v>
          </cell>
          <cell r="BS392">
            <v>850</v>
          </cell>
          <cell r="BT392">
            <v>510</v>
          </cell>
          <cell r="BU392">
            <v>125</v>
          </cell>
          <cell r="BV392">
            <v>1490</v>
          </cell>
          <cell r="BW392">
            <v>650</v>
          </cell>
          <cell r="BX392">
            <v>570</v>
          </cell>
          <cell r="BY392">
            <v>185</v>
          </cell>
          <cell r="BZ392">
            <v>60</v>
          </cell>
          <cell r="CA392">
            <v>0</v>
          </cell>
          <cell r="CB392">
            <v>0</v>
          </cell>
          <cell r="CC392">
            <v>0</v>
          </cell>
          <cell r="CD392">
            <v>0</v>
          </cell>
          <cell r="CE392">
            <v>10</v>
          </cell>
          <cell r="CF392">
            <v>1490</v>
          </cell>
          <cell r="CG392">
            <v>10</v>
          </cell>
          <cell r="CH392">
            <v>0</v>
          </cell>
          <cell r="CI392">
            <v>20</v>
          </cell>
          <cell r="CJ392">
            <v>380</v>
          </cell>
          <cell r="CK392">
            <v>0</v>
          </cell>
          <cell r="CL392">
            <v>1045</v>
          </cell>
          <cell r="CM392">
            <v>35</v>
          </cell>
          <cell r="CN392">
            <v>0</v>
          </cell>
          <cell r="CO392">
            <v>1490</v>
          </cell>
          <cell r="CP392">
            <v>730</v>
          </cell>
          <cell r="CQ392">
            <v>460</v>
          </cell>
          <cell r="CR392">
            <v>160</v>
          </cell>
          <cell r="CS392">
            <v>125</v>
          </cell>
          <cell r="CT392">
            <v>10</v>
          </cell>
          <cell r="CU392">
            <v>2735</v>
          </cell>
          <cell r="CV392">
            <v>1.8</v>
          </cell>
          <cell r="CW392">
            <v>1490</v>
          </cell>
          <cell r="CX392">
            <v>670</v>
          </cell>
          <cell r="CY392">
            <v>0</v>
          </cell>
          <cell r="CZ392">
            <v>815</v>
          </cell>
        </row>
        <row r="393">
          <cell r="A393" t="str">
            <v>4620204.00</v>
          </cell>
          <cell r="B393" t="str">
            <v>0204.00</v>
          </cell>
          <cell r="C393" t="str">
            <v>Rosemont-La Petite-Patrie</v>
          </cell>
          <cell r="D393">
            <v>2300</v>
          </cell>
          <cell r="E393">
            <v>1380</v>
          </cell>
          <cell r="F393">
            <v>520</v>
          </cell>
          <cell r="G393">
            <v>45</v>
          </cell>
          <cell r="H393">
            <v>230</v>
          </cell>
          <cell r="I393">
            <v>120</v>
          </cell>
          <cell r="J393">
            <v>2300</v>
          </cell>
          <cell r="K393">
            <v>1800</v>
          </cell>
          <cell r="L393">
            <v>495</v>
          </cell>
          <cell r="M393">
            <v>610</v>
          </cell>
          <cell r="N393">
            <v>310</v>
          </cell>
          <cell r="O393">
            <v>165</v>
          </cell>
          <cell r="P393">
            <v>105</v>
          </cell>
          <cell r="Q393">
            <v>25</v>
          </cell>
          <cell r="R393">
            <v>605</v>
          </cell>
          <cell r="S393">
            <v>505</v>
          </cell>
          <cell r="T393">
            <v>255</v>
          </cell>
          <cell r="U393">
            <v>120</v>
          </cell>
          <cell r="V393">
            <v>140</v>
          </cell>
          <cell r="W393">
            <v>65</v>
          </cell>
          <cell r="X393">
            <v>65</v>
          </cell>
          <cell r="Y393">
            <v>10</v>
          </cell>
          <cell r="Z393">
            <v>250</v>
          </cell>
          <cell r="AA393">
            <v>130</v>
          </cell>
          <cell r="AB393">
            <v>120</v>
          </cell>
          <cell r="AC393">
            <v>70</v>
          </cell>
          <cell r="AD393">
            <v>30</v>
          </cell>
          <cell r="AE393">
            <v>20</v>
          </cell>
          <cell r="AF393">
            <v>100</v>
          </cell>
          <cell r="AG393">
            <v>85</v>
          </cell>
          <cell r="AH393">
            <v>50</v>
          </cell>
          <cell r="AI393">
            <v>15</v>
          </cell>
          <cell r="AJ393">
            <v>10</v>
          </cell>
          <cell r="AK393">
            <v>20</v>
          </cell>
          <cell r="AL393">
            <v>10</v>
          </cell>
          <cell r="AM393">
            <v>10</v>
          </cell>
          <cell r="AN393">
            <v>0</v>
          </cell>
          <cell r="AO393">
            <v>555</v>
          </cell>
          <cell r="AP393">
            <v>180</v>
          </cell>
          <cell r="AQ393">
            <v>210</v>
          </cell>
          <cell r="AR393">
            <v>45</v>
          </cell>
          <cell r="AS393">
            <v>80</v>
          </cell>
          <cell r="AT393">
            <v>35</v>
          </cell>
          <cell r="AU393">
            <v>0.9</v>
          </cell>
          <cell r="AV393">
            <v>2665</v>
          </cell>
          <cell r="AW393">
            <v>1000</v>
          </cell>
          <cell r="AX393">
            <v>80</v>
          </cell>
          <cell r="AY393">
            <v>205</v>
          </cell>
          <cell r="AZ393">
            <v>715</v>
          </cell>
          <cell r="BA393">
            <v>1665</v>
          </cell>
          <cell r="BB393">
            <v>2.8</v>
          </cell>
          <cell r="BC393">
            <v>345</v>
          </cell>
          <cell r="BD393">
            <v>185</v>
          </cell>
          <cell r="BE393">
            <v>0</v>
          </cell>
          <cell r="BF393">
            <v>10</v>
          </cell>
          <cell r="BG393">
            <v>180</v>
          </cell>
          <cell r="BH393">
            <v>155</v>
          </cell>
          <cell r="BI393">
            <v>1440</v>
          </cell>
          <cell r="BJ393">
            <v>4.7</v>
          </cell>
          <cell r="BK393">
            <v>6768</v>
          </cell>
          <cell r="BL393">
            <v>1.7</v>
          </cell>
          <cell r="BM393">
            <v>2448</v>
          </cell>
          <cell r="BN393">
            <v>1440</v>
          </cell>
          <cell r="BO393">
            <v>395</v>
          </cell>
          <cell r="BP393">
            <v>1050</v>
          </cell>
          <cell r="BQ393">
            <v>0</v>
          </cell>
          <cell r="BR393">
            <v>1440</v>
          </cell>
          <cell r="BS393">
            <v>765</v>
          </cell>
          <cell r="BT393">
            <v>435</v>
          </cell>
          <cell r="BU393">
            <v>245</v>
          </cell>
          <cell r="BV393">
            <v>1445</v>
          </cell>
          <cell r="BW393">
            <v>690</v>
          </cell>
          <cell r="BX393">
            <v>550</v>
          </cell>
          <cell r="BY393">
            <v>145</v>
          </cell>
          <cell r="BZ393">
            <v>30</v>
          </cell>
          <cell r="CA393">
            <v>0</v>
          </cell>
          <cell r="CB393">
            <v>0</v>
          </cell>
          <cell r="CC393">
            <v>10</v>
          </cell>
          <cell r="CD393">
            <v>10</v>
          </cell>
          <cell r="CE393">
            <v>0</v>
          </cell>
          <cell r="CF393">
            <v>1440</v>
          </cell>
          <cell r="CG393">
            <v>5</v>
          </cell>
          <cell r="CH393">
            <v>5</v>
          </cell>
          <cell r="CI393">
            <v>5</v>
          </cell>
          <cell r="CJ393">
            <v>255</v>
          </cell>
          <cell r="CK393">
            <v>5</v>
          </cell>
          <cell r="CL393">
            <v>1115</v>
          </cell>
          <cell r="CM393">
            <v>45</v>
          </cell>
          <cell r="CN393">
            <v>0</v>
          </cell>
          <cell r="CO393">
            <v>1440</v>
          </cell>
          <cell r="CP393">
            <v>715</v>
          </cell>
          <cell r="CQ393">
            <v>410</v>
          </cell>
          <cell r="CR393">
            <v>170</v>
          </cell>
          <cell r="CS393">
            <v>140</v>
          </cell>
          <cell r="CT393">
            <v>5</v>
          </cell>
          <cell r="CU393">
            <v>2670</v>
          </cell>
          <cell r="CV393">
            <v>1.9</v>
          </cell>
          <cell r="CW393">
            <v>1440</v>
          </cell>
          <cell r="CX393">
            <v>600</v>
          </cell>
          <cell r="CY393">
            <v>0</v>
          </cell>
          <cell r="CZ393">
            <v>835</v>
          </cell>
        </row>
        <row r="394">
          <cell r="A394" t="str">
            <v>4620205.00</v>
          </cell>
          <cell r="B394" t="str">
            <v>0205.00</v>
          </cell>
          <cell r="C394" t="str">
            <v>Rosemont-La Petite-Patrie</v>
          </cell>
          <cell r="D394">
            <v>1870</v>
          </cell>
          <cell r="E394">
            <v>1110</v>
          </cell>
          <cell r="F394">
            <v>415</v>
          </cell>
          <cell r="G394">
            <v>50</v>
          </cell>
          <cell r="H394">
            <v>200</v>
          </cell>
          <cell r="I394">
            <v>95</v>
          </cell>
          <cell r="J394">
            <v>1870</v>
          </cell>
          <cell r="K394">
            <v>1420</v>
          </cell>
          <cell r="L394">
            <v>450</v>
          </cell>
          <cell r="M394">
            <v>505</v>
          </cell>
          <cell r="N394">
            <v>290</v>
          </cell>
          <cell r="O394">
            <v>115</v>
          </cell>
          <cell r="P394">
            <v>80</v>
          </cell>
          <cell r="Q394">
            <v>15</v>
          </cell>
          <cell r="R394">
            <v>505</v>
          </cell>
          <cell r="S394">
            <v>425</v>
          </cell>
          <cell r="T394">
            <v>195</v>
          </cell>
          <cell r="U394">
            <v>105</v>
          </cell>
          <cell r="V394">
            <v>90</v>
          </cell>
          <cell r="W394">
            <v>45</v>
          </cell>
          <cell r="X394">
            <v>40</v>
          </cell>
          <cell r="Y394">
            <v>0</v>
          </cell>
          <cell r="Z394">
            <v>230</v>
          </cell>
          <cell r="AA394">
            <v>120</v>
          </cell>
          <cell r="AB394">
            <v>110</v>
          </cell>
          <cell r="AC394">
            <v>50</v>
          </cell>
          <cell r="AD394">
            <v>40</v>
          </cell>
          <cell r="AE394">
            <v>15</v>
          </cell>
          <cell r="AF394">
            <v>80</v>
          </cell>
          <cell r="AG394">
            <v>70</v>
          </cell>
          <cell r="AH394">
            <v>60</v>
          </cell>
          <cell r="AI394">
            <v>10</v>
          </cell>
          <cell r="AJ394">
            <v>0</v>
          </cell>
          <cell r="AK394">
            <v>10</v>
          </cell>
          <cell r="AL394">
            <v>0</v>
          </cell>
          <cell r="AM394">
            <v>0</v>
          </cell>
          <cell r="AN394">
            <v>0</v>
          </cell>
          <cell r="AO394">
            <v>435</v>
          </cell>
          <cell r="AP394">
            <v>130</v>
          </cell>
          <cell r="AQ394">
            <v>140</v>
          </cell>
          <cell r="AR394">
            <v>60</v>
          </cell>
          <cell r="AS394">
            <v>70</v>
          </cell>
          <cell r="AT394">
            <v>35</v>
          </cell>
          <cell r="AU394">
            <v>0.9</v>
          </cell>
          <cell r="AV394">
            <v>2110</v>
          </cell>
          <cell r="AW394">
            <v>745</v>
          </cell>
          <cell r="AX394">
            <v>20</v>
          </cell>
          <cell r="AY394">
            <v>120</v>
          </cell>
          <cell r="AZ394">
            <v>605</v>
          </cell>
          <cell r="BA394">
            <v>1370</v>
          </cell>
          <cell r="BB394">
            <v>2.7</v>
          </cell>
          <cell r="BC394">
            <v>335</v>
          </cell>
          <cell r="BD394">
            <v>160</v>
          </cell>
          <cell r="BE394">
            <v>0</v>
          </cell>
          <cell r="BF394">
            <v>0</v>
          </cell>
          <cell r="BG394">
            <v>155</v>
          </cell>
          <cell r="BH394">
            <v>175</v>
          </cell>
          <cell r="BI394">
            <v>1160</v>
          </cell>
          <cell r="BJ394">
            <v>4.7</v>
          </cell>
          <cell r="BK394">
            <v>5452</v>
          </cell>
          <cell r="BL394">
            <v>1.7</v>
          </cell>
          <cell r="BM394">
            <v>1972</v>
          </cell>
          <cell r="BN394">
            <v>1160</v>
          </cell>
          <cell r="BO394">
            <v>345</v>
          </cell>
          <cell r="BP394">
            <v>815</v>
          </cell>
          <cell r="BQ394">
            <v>0</v>
          </cell>
          <cell r="BR394">
            <v>1160</v>
          </cell>
          <cell r="BS394">
            <v>750</v>
          </cell>
          <cell r="BT394">
            <v>325</v>
          </cell>
          <cell r="BU394">
            <v>90</v>
          </cell>
          <cell r="BV394">
            <v>1160</v>
          </cell>
          <cell r="BW394">
            <v>615</v>
          </cell>
          <cell r="BX394">
            <v>340</v>
          </cell>
          <cell r="BY394">
            <v>80</v>
          </cell>
          <cell r="BZ394">
            <v>40</v>
          </cell>
          <cell r="CA394">
            <v>10</v>
          </cell>
          <cell r="CB394">
            <v>15</v>
          </cell>
          <cell r="CC394">
            <v>15</v>
          </cell>
          <cell r="CD394">
            <v>15</v>
          </cell>
          <cell r="CE394">
            <v>25</v>
          </cell>
          <cell r="CF394">
            <v>1165</v>
          </cell>
          <cell r="CG394">
            <v>5</v>
          </cell>
          <cell r="CH394">
            <v>0</v>
          </cell>
          <cell r="CI394">
            <v>15</v>
          </cell>
          <cell r="CJ394">
            <v>330</v>
          </cell>
          <cell r="CK394">
            <v>10</v>
          </cell>
          <cell r="CL394">
            <v>800</v>
          </cell>
          <cell r="CM394">
            <v>0</v>
          </cell>
          <cell r="CN394">
            <v>0</v>
          </cell>
          <cell r="CO394">
            <v>1160</v>
          </cell>
          <cell r="CP394">
            <v>595</v>
          </cell>
          <cell r="CQ394">
            <v>330</v>
          </cell>
          <cell r="CR394">
            <v>130</v>
          </cell>
          <cell r="CS394">
            <v>100</v>
          </cell>
          <cell r="CT394">
            <v>10</v>
          </cell>
          <cell r="CU394">
            <v>2110</v>
          </cell>
          <cell r="CV394">
            <v>1.8</v>
          </cell>
          <cell r="CW394">
            <v>1160</v>
          </cell>
          <cell r="CX394">
            <v>505</v>
          </cell>
          <cell r="CY394">
            <v>0</v>
          </cell>
          <cell r="CZ394">
            <v>655</v>
          </cell>
        </row>
        <row r="395">
          <cell r="A395" t="str">
            <v>4620206.00</v>
          </cell>
          <cell r="B395" t="str">
            <v>0206.00</v>
          </cell>
          <cell r="C395" t="str">
            <v>Rosemont-La Petite-Patrie</v>
          </cell>
          <cell r="D395">
            <v>2280</v>
          </cell>
          <cell r="E395">
            <v>1365</v>
          </cell>
          <cell r="F395">
            <v>485</v>
          </cell>
          <cell r="G395">
            <v>65</v>
          </cell>
          <cell r="H395">
            <v>250</v>
          </cell>
          <cell r="I395">
            <v>115</v>
          </cell>
          <cell r="J395">
            <v>2280</v>
          </cell>
          <cell r="K395">
            <v>1670</v>
          </cell>
          <cell r="L395">
            <v>605</v>
          </cell>
          <cell r="M395">
            <v>645</v>
          </cell>
          <cell r="N395">
            <v>370</v>
          </cell>
          <cell r="O395">
            <v>155</v>
          </cell>
          <cell r="P395">
            <v>95</v>
          </cell>
          <cell r="Q395">
            <v>30</v>
          </cell>
          <cell r="R395">
            <v>645</v>
          </cell>
          <cell r="S395">
            <v>525</v>
          </cell>
          <cell r="T395">
            <v>225</v>
          </cell>
          <cell r="U395">
            <v>115</v>
          </cell>
          <cell r="V395">
            <v>110</v>
          </cell>
          <cell r="W395">
            <v>80</v>
          </cell>
          <cell r="X395">
            <v>20</v>
          </cell>
          <cell r="Y395">
            <v>10</v>
          </cell>
          <cell r="Z395">
            <v>300</v>
          </cell>
          <cell r="AA395">
            <v>155</v>
          </cell>
          <cell r="AB395">
            <v>150</v>
          </cell>
          <cell r="AC395">
            <v>60</v>
          </cell>
          <cell r="AD395">
            <v>65</v>
          </cell>
          <cell r="AE395">
            <v>15</v>
          </cell>
          <cell r="AF395">
            <v>115</v>
          </cell>
          <cell r="AG395">
            <v>105</v>
          </cell>
          <cell r="AH395">
            <v>85</v>
          </cell>
          <cell r="AI395">
            <v>15</v>
          </cell>
          <cell r="AJ395">
            <v>0</v>
          </cell>
          <cell r="AK395">
            <v>15</v>
          </cell>
          <cell r="AL395">
            <v>10</v>
          </cell>
          <cell r="AM395">
            <v>0</v>
          </cell>
          <cell r="AN395">
            <v>0</v>
          </cell>
          <cell r="AO395">
            <v>555</v>
          </cell>
          <cell r="AP395">
            <v>80</v>
          </cell>
          <cell r="AQ395">
            <v>255</v>
          </cell>
          <cell r="AR395">
            <v>60</v>
          </cell>
          <cell r="AS395">
            <v>125</v>
          </cell>
          <cell r="AT395">
            <v>40</v>
          </cell>
          <cell r="AU395">
            <v>0.9</v>
          </cell>
          <cell r="AV395">
            <v>2610</v>
          </cell>
          <cell r="AW395">
            <v>880</v>
          </cell>
          <cell r="AX395">
            <v>15</v>
          </cell>
          <cell r="AY395">
            <v>225</v>
          </cell>
          <cell r="AZ395">
            <v>640</v>
          </cell>
          <cell r="BA395">
            <v>1730</v>
          </cell>
          <cell r="BB395">
            <v>2.7</v>
          </cell>
          <cell r="BC395">
            <v>300</v>
          </cell>
          <cell r="BD395">
            <v>160</v>
          </cell>
          <cell r="BE395">
            <v>10</v>
          </cell>
          <cell r="BF395">
            <v>30</v>
          </cell>
          <cell r="BG395">
            <v>125</v>
          </cell>
          <cell r="BH395">
            <v>135</v>
          </cell>
          <cell r="BI395">
            <v>1385</v>
          </cell>
          <cell r="BJ395">
            <v>5</v>
          </cell>
          <cell r="BK395">
            <v>6925</v>
          </cell>
          <cell r="BL395">
            <v>1.8</v>
          </cell>
          <cell r="BM395">
            <v>2493</v>
          </cell>
          <cell r="BN395">
            <v>1385</v>
          </cell>
          <cell r="BO395">
            <v>470</v>
          </cell>
          <cell r="BP395">
            <v>915</v>
          </cell>
          <cell r="BQ395">
            <v>0</v>
          </cell>
          <cell r="BR395">
            <v>1385</v>
          </cell>
          <cell r="BS395">
            <v>770</v>
          </cell>
          <cell r="BT395">
            <v>485</v>
          </cell>
          <cell r="BU395">
            <v>130</v>
          </cell>
          <cell r="BV395">
            <v>1385</v>
          </cell>
          <cell r="BW395">
            <v>675</v>
          </cell>
          <cell r="BX395">
            <v>515</v>
          </cell>
          <cell r="BY395">
            <v>95</v>
          </cell>
          <cell r="BZ395">
            <v>60</v>
          </cell>
          <cell r="CA395">
            <v>0</v>
          </cell>
          <cell r="CB395">
            <v>20</v>
          </cell>
          <cell r="CC395">
            <v>0</v>
          </cell>
          <cell r="CD395">
            <v>0</v>
          </cell>
          <cell r="CE395">
            <v>10</v>
          </cell>
          <cell r="CF395">
            <v>1385</v>
          </cell>
          <cell r="CG395">
            <v>0</v>
          </cell>
          <cell r="CH395">
            <v>5</v>
          </cell>
          <cell r="CI395">
            <v>15</v>
          </cell>
          <cell r="CJ395">
            <v>350</v>
          </cell>
          <cell r="CK395">
            <v>0</v>
          </cell>
          <cell r="CL395">
            <v>1000</v>
          </cell>
          <cell r="CM395">
            <v>15</v>
          </cell>
          <cell r="CN395">
            <v>0</v>
          </cell>
          <cell r="CO395">
            <v>1390</v>
          </cell>
          <cell r="CP395">
            <v>640</v>
          </cell>
          <cell r="CQ395">
            <v>450</v>
          </cell>
          <cell r="CR395">
            <v>160</v>
          </cell>
          <cell r="CS395">
            <v>125</v>
          </cell>
          <cell r="CT395">
            <v>10</v>
          </cell>
          <cell r="CU395">
            <v>2610</v>
          </cell>
          <cell r="CV395">
            <v>1.9</v>
          </cell>
          <cell r="CW395">
            <v>1385</v>
          </cell>
          <cell r="CX395">
            <v>625</v>
          </cell>
          <cell r="CY395">
            <v>10</v>
          </cell>
          <cell r="CZ395">
            <v>750</v>
          </cell>
        </row>
        <row r="396">
          <cell r="A396" t="str">
            <v>4620207.00</v>
          </cell>
          <cell r="B396" t="str">
            <v>0207.00</v>
          </cell>
          <cell r="C396" t="str">
            <v>Rosemont-La Petite-Patrie</v>
          </cell>
          <cell r="D396">
            <v>2970</v>
          </cell>
          <cell r="E396">
            <v>1660</v>
          </cell>
          <cell r="F396">
            <v>645</v>
          </cell>
          <cell r="G396">
            <v>90</v>
          </cell>
          <cell r="H396">
            <v>355</v>
          </cell>
          <cell r="I396">
            <v>220</v>
          </cell>
          <cell r="J396">
            <v>2970</v>
          </cell>
          <cell r="K396">
            <v>2430</v>
          </cell>
          <cell r="L396">
            <v>535</v>
          </cell>
          <cell r="M396">
            <v>780</v>
          </cell>
          <cell r="N396">
            <v>435</v>
          </cell>
          <cell r="O396">
            <v>190</v>
          </cell>
          <cell r="P396">
            <v>115</v>
          </cell>
          <cell r="Q396">
            <v>45</v>
          </cell>
          <cell r="R396">
            <v>780</v>
          </cell>
          <cell r="S396">
            <v>555</v>
          </cell>
          <cell r="T396">
            <v>305</v>
          </cell>
          <cell r="U396">
            <v>120</v>
          </cell>
          <cell r="V396">
            <v>190</v>
          </cell>
          <cell r="W396">
            <v>95</v>
          </cell>
          <cell r="X396">
            <v>65</v>
          </cell>
          <cell r="Y396">
            <v>30</v>
          </cell>
          <cell r="Z396">
            <v>250</v>
          </cell>
          <cell r="AA396">
            <v>165</v>
          </cell>
          <cell r="AB396">
            <v>85</v>
          </cell>
          <cell r="AC396">
            <v>30</v>
          </cell>
          <cell r="AD396">
            <v>35</v>
          </cell>
          <cell r="AE396">
            <v>15</v>
          </cell>
          <cell r="AF396">
            <v>225</v>
          </cell>
          <cell r="AG396">
            <v>175</v>
          </cell>
          <cell r="AH396">
            <v>130</v>
          </cell>
          <cell r="AI396">
            <v>35</v>
          </cell>
          <cell r="AJ396">
            <v>15</v>
          </cell>
          <cell r="AK396">
            <v>50</v>
          </cell>
          <cell r="AL396">
            <v>25</v>
          </cell>
          <cell r="AM396">
            <v>20</v>
          </cell>
          <cell r="AN396">
            <v>0</v>
          </cell>
          <cell r="AO396">
            <v>785</v>
          </cell>
          <cell r="AP396">
            <v>160</v>
          </cell>
          <cell r="AQ396">
            <v>230</v>
          </cell>
          <cell r="AR396">
            <v>135</v>
          </cell>
          <cell r="AS396">
            <v>170</v>
          </cell>
          <cell r="AT396">
            <v>85</v>
          </cell>
          <cell r="AU396">
            <v>1</v>
          </cell>
          <cell r="AV396">
            <v>3275</v>
          </cell>
          <cell r="AW396">
            <v>1155</v>
          </cell>
          <cell r="AX396">
            <v>40</v>
          </cell>
          <cell r="AY396">
            <v>240</v>
          </cell>
          <cell r="AZ396">
            <v>870</v>
          </cell>
          <cell r="BA396">
            <v>2125</v>
          </cell>
          <cell r="BB396">
            <v>2.7</v>
          </cell>
          <cell r="BC396">
            <v>410</v>
          </cell>
          <cell r="BD396">
            <v>225</v>
          </cell>
          <cell r="BE396">
            <v>20</v>
          </cell>
          <cell r="BF396">
            <v>25</v>
          </cell>
          <cell r="BG396">
            <v>185</v>
          </cell>
          <cell r="BH396">
            <v>185</v>
          </cell>
          <cell r="BI396">
            <v>1755</v>
          </cell>
          <cell r="BJ396">
            <v>4.4000000000000004</v>
          </cell>
          <cell r="BK396">
            <v>7722.0000000000009</v>
          </cell>
          <cell r="BL396">
            <v>1.7</v>
          </cell>
          <cell r="BM396">
            <v>2983.5</v>
          </cell>
          <cell r="BN396">
            <v>1755</v>
          </cell>
          <cell r="BO396">
            <v>465</v>
          </cell>
          <cell r="BP396">
            <v>1290</v>
          </cell>
          <cell r="BQ396">
            <v>0</v>
          </cell>
          <cell r="BR396">
            <v>1755</v>
          </cell>
          <cell r="BS396">
            <v>1075</v>
          </cell>
          <cell r="BT396">
            <v>470</v>
          </cell>
          <cell r="BU396">
            <v>215</v>
          </cell>
          <cell r="BV396">
            <v>1755</v>
          </cell>
          <cell r="BW396">
            <v>625</v>
          </cell>
          <cell r="BX396">
            <v>650</v>
          </cell>
          <cell r="BY396">
            <v>300</v>
          </cell>
          <cell r="BZ396">
            <v>70</v>
          </cell>
          <cell r="CA396">
            <v>25</v>
          </cell>
          <cell r="CB396">
            <v>30</v>
          </cell>
          <cell r="CC396">
            <v>15</v>
          </cell>
          <cell r="CD396">
            <v>35</v>
          </cell>
          <cell r="CE396">
            <v>0</v>
          </cell>
          <cell r="CF396">
            <v>1755</v>
          </cell>
          <cell r="CG396">
            <v>5</v>
          </cell>
          <cell r="CH396">
            <v>0</v>
          </cell>
          <cell r="CI396">
            <v>35</v>
          </cell>
          <cell r="CJ396">
            <v>400</v>
          </cell>
          <cell r="CK396">
            <v>125</v>
          </cell>
          <cell r="CL396">
            <v>1170</v>
          </cell>
          <cell r="CM396">
            <v>25</v>
          </cell>
          <cell r="CN396">
            <v>0</v>
          </cell>
          <cell r="CO396">
            <v>1755</v>
          </cell>
          <cell r="CP396">
            <v>870</v>
          </cell>
          <cell r="CQ396">
            <v>490</v>
          </cell>
          <cell r="CR396">
            <v>215</v>
          </cell>
          <cell r="CS396">
            <v>170</v>
          </cell>
          <cell r="CT396">
            <v>10</v>
          </cell>
          <cell r="CU396">
            <v>3275</v>
          </cell>
          <cell r="CV396">
            <v>1.9</v>
          </cell>
          <cell r="CW396">
            <v>1755</v>
          </cell>
          <cell r="CX396">
            <v>780</v>
          </cell>
          <cell r="CY396">
            <v>0</v>
          </cell>
          <cell r="CZ396">
            <v>975</v>
          </cell>
        </row>
        <row r="397">
          <cell r="A397" t="str">
            <v>4620208.00</v>
          </cell>
          <cell r="B397" t="str">
            <v>0208.00</v>
          </cell>
          <cell r="C397" t="str">
            <v>Rosemont-La Petite-Patrie</v>
          </cell>
          <cell r="D397">
            <v>2270</v>
          </cell>
          <cell r="E397">
            <v>1410</v>
          </cell>
          <cell r="F397">
            <v>455</v>
          </cell>
          <cell r="G397">
            <v>50</v>
          </cell>
          <cell r="H397">
            <v>230</v>
          </cell>
          <cell r="I397">
            <v>120</v>
          </cell>
          <cell r="J397">
            <v>2265</v>
          </cell>
          <cell r="K397">
            <v>1815</v>
          </cell>
          <cell r="L397">
            <v>455</v>
          </cell>
          <cell r="M397">
            <v>590</v>
          </cell>
          <cell r="N397">
            <v>375</v>
          </cell>
          <cell r="O397">
            <v>130</v>
          </cell>
          <cell r="P397">
            <v>65</v>
          </cell>
          <cell r="Q397">
            <v>20</v>
          </cell>
          <cell r="R397">
            <v>590</v>
          </cell>
          <cell r="S397">
            <v>455</v>
          </cell>
          <cell r="T397">
            <v>225</v>
          </cell>
          <cell r="U397">
            <v>125</v>
          </cell>
          <cell r="V397">
            <v>100</v>
          </cell>
          <cell r="W397">
            <v>55</v>
          </cell>
          <cell r="X397">
            <v>30</v>
          </cell>
          <cell r="Y397">
            <v>20</v>
          </cell>
          <cell r="Z397">
            <v>225</v>
          </cell>
          <cell r="AA397">
            <v>185</v>
          </cell>
          <cell r="AB397">
            <v>40</v>
          </cell>
          <cell r="AC397">
            <v>15</v>
          </cell>
          <cell r="AD397">
            <v>20</v>
          </cell>
          <cell r="AE397">
            <v>0</v>
          </cell>
          <cell r="AF397">
            <v>140</v>
          </cell>
          <cell r="AG397">
            <v>115</v>
          </cell>
          <cell r="AH397">
            <v>60</v>
          </cell>
          <cell r="AI397">
            <v>45</v>
          </cell>
          <cell r="AJ397">
            <v>15</v>
          </cell>
          <cell r="AK397">
            <v>20</v>
          </cell>
          <cell r="AL397">
            <v>10</v>
          </cell>
          <cell r="AM397">
            <v>15</v>
          </cell>
          <cell r="AN397">
            <v>0</v>
          </cell>
          <cell r="AO397">
            <v>470</v>
          </cell>
          <cell r="AP397">
            <v>120</v>
          </cell>
          <cell r="AQ397">
            <v>160</v>
          </cell>
          <cell r="AR397">
            <v>40</v>
          </cell>
          <cell r="AS397">
            <v>70</v>
          </cell>
          <cell r="AT397">
            <v>80</v>
          </cell>
          <cell r="AU397">
            <v>0.8</v>
          </cell>
          <cell r="AV397">
            <v>2450</v>
          </cell>
          <cell r="AW397">
            <v>935</v>
          </cell>
          <cell r="AX397">
            <v>85</v>
          </cell>
          <cell r="AY397">
            <v>220</v>
          </cell>
          <cell r="AZ397">
            <v>640</v>
          </cell>
          <cell r="BA397">
            <v>1515</v>
          </cell>
          <cell r="BB397">
            <v>2.6</v>
          </cell>
          <cell r="BC397">
            <v>245</v>
          </cell>
          <cell r="BD397">
            <v>155</v>
          </cell>
          <cell r="BE397">
            <v>20</v>
          </cell>
          <cell r="BF397">
            <v>10</v>
          </cell>
          <cell r="BG397">
            <v>130</v>
          </cell>
          <cell r="BH397">
            <v>90</v>
          </cell>
          <cell r="BI397">
            <v>1335</v>
          </cell>
          <cell r="BJ397">
            <v>4.5999999999999996</v>
          </cell>
          <cell r="BK397">
            <v>6140.9999999999991</v>
          </cell>
          <cell r="BL397">
            <v>1.8</v>
          </cell>
          <cell r="BM397">
            <v>2403</v>
          </cell>
          <cell r="BN397">
            <v>1330</v>
          </cell>
          <cell r="BO397">
            <v>410</v>
          </cell>
          <cell r="BP397">
            <v>920</v>
          </cell>
          <cell r="BQ397">
            <v>0</v>
          </cell>
          <cell r="BR397">
            <v>1330</v>
          </cell>
          <cell r="BS397">
            <v>745</v>
          </cell>
          <cell r="BT397">
            <v>450</v>
          </cell>
          <cell r="BU397">
            <v>140</v>
          </cell>
          <cell r="BV397">
            <v>1330</v>
          </cell>
          <cell r="BW397">
            <v>680</v>
          </cell>
          <cell r="BX397">
            <v>425</v>
          </cell>
          <cell r="BY397">
            <v>105</v>
          </cell>
          <cell r="BZ397">
            <v>25</v>
          </cell>
          <cell r="CA397">
            <v>30</v>
          </cell>
          <cell r="CB397">
            <v>0</v>
          </cell>
          <cell r="CC397">
            <v>20</v>
          </cell>
          <cell r="CD397">
            <v>20</v>
          </cell>
          <cell r="CE397">
            <v>20</v>
          </cell>
          <cell r="CF397">
            <v>1335</v>
          </cell>
          <cell r="CG397">
            <v>5</v>
          </cell>
          <cell r="CH397">
            <v>0</v>
          </cell>
          <cell r="CI397">
            <v>60</v>
          </cell>
          <cell r="CJ397">
            <v>255</v>
          </cell>
          <cell r="CK397">
            <v>5</v>
          </cell>
          <cell r="CL397">
            <v>1005</v>
          </cell>
          <cell r="CM397">
            <v>0</v>
          </cell>
          <cell r="CN397">
            <v>0</v>
          </cell>
          <cell r="CO397">
            <v>1335</v>
          </cell>
          <cell r="CP397">
            <v>645</v>
          </cell>
          <cell r="CQ397">
            <v>410</v>
          </cell>
          <cell r="CR397">
            <v>160</v>
          </cell>
          <cell r="CS397">
            <v>105</v>
          </cell>
          <cell r="CT397">
            <v>10</v>
          </cell>
          <cell r="CU397">
            <v>2450</v>
          </cell>
          <cell r="CV397">
            <v>1.8</v>
          </cell>
          <cell r="CW397">
            <v>1335</v>
          </cell>
          <cell r="CX397">
            <v>565</v>
          </cell>
          <cell r="CY397">
            <v>10</v>
          </cell>
          <cell r="CZ397">
            <v>755</v>
          </cell>
        </row>
        <row r="398">
          <cell r="A398" t="str">
            <v>4620209.00</v>
          </cell>
          <cell r="B398" t="str">
            <v>0209.00</v>
          </cell>
          <cell r="C398" t="str">
            <v>Rosemont-La Petite-Patrie</v>
          </cell>
          <cell r="D398">
            <v>5215</v>
          </cell>
          <cell r="E398">
            <v>2850</v>
          </cell>
          <cell r="F398">
            <v>1280</v>
          </cell>
          <cell r="G398">
            <v>125</v>
          </cell>
          <cell r="H398">
            <v>565</v>
          </cell>
          <cell r="I398">
            <v>395</v>
          </cell>
          <cell r="J398">
            <v>5210</v>
          </cell>
          <cell r="K398">
            <v>4365</v>
          </cell>
          <cell r="L398">
            <v>845</v>
          </cell>
          <cell r="M398">
            <v>1305</v>
          </cell>
          <cell r="N398">
            <v>760</v>
          </cell>
          <cell r="O398">
            <v>250</v>
          </cell>
          <cell r="P398">
            <v>205</v>
          </cell>
          <cell r="Q398">
            <v>85</v>
          </cell>
          <cell r="R398">
            <v>1305</v>
          </cell>
          <cell r="S398">
            <v>1035</v>
          </cell>
          <cell r="T398">
            <v>610</v>
          </cell>
          <cell r="U398">
            <v>310</v>
          </cell>
          <cell r="V398">
            <v>300</v>
          </cell>
          <cell r="W398">
            <v>135</v>
          </cell>
          <cell r="X398">
            <v>110</v>
          </cell>
          <cell r="Y398">
            <v>55</v>
          </cell>
          <cell r="Z398">
            <v>420</v>
          </cell>
          <cell r="AA398">
            <v>280</v>
          </cell>
          <cell r="AB398">
            <v>140</v>
          </cell>
          <cell r="AC398">
            <v>50</v>
          </cell>
          <cell r="AD398">
            <v>65</v>
          </cell>
          <cell r="AE398">
            <v>25</v>
          </cell>
          <cell r="AF398">
            <v>270</v>
          </cell>
          <cell r="AG398">
            <v>200</v>
          </cell>
          <cell r="AH398">
            <v>115</v>
          </cell>
          <cell r="AI398">
            <v>60</v>
          </cell>
          <cell r="AJ398">
            <v>25</v>
          </cell>
          <cell r="AK398">
            <v>70</v>
          </cell>
          <cell r="AL398">
            <v>60</v>
          </cell>
          <cell r="AM398">
            <v>0</v>
          </cell>
          <cell r="AN398">
            <v>10</v>
          </cell>
          <cell r="AO398">
            <v>1235</v>
          </cell>
          <cell r="AP398">
            <v>325</v>
          </cell>
          <cell r="AQ398">
            <v>395</v>
          </cell>
          <cell r="AR398">
            <v>135</v>
          </cell>
          <cell r="AS398">
            <v>185</v>
          </cell>
          <cell r="AT398">
            <v>190</v>
          </cell>
          <cell r="AU398">
            <v>0.9</v>
          </cell>
          <cell r="AV398">
            <v>5575</v>
          </cell>
          <cell r="AW398">
            <v>2000</v>
          </cell>
          <cell r="AX398">
            <v>210</v>
          </cell>
          <cell r="AY398">
            <v>415</v>
          </cell>
          <cell r="AZ398">
            <v>1375</v>
          </cell>
          <cell r="BA398">
            <v>3570</v>
          </cell>
          <cell r="BB398">
            <v>2.7</v>
          </cell>
          <cell r="BC398">
            <v>740</v>
          </cell>
          <cell r="BD398">
            <v>310</v>
          </cell>
          <cell r="BE398">
            <v>40</v>
          </cell>
          <cell r="BF398">
            <v>20</v>
          </cell>
          <cell r="BG398">
            <v>245</v>
          </cell>
          <cell r="BH398">
            <v>435</v>
          </cell>
          <cell r="BI398">
            <v>2925</v>
          </cell>
          <cell r="BJ398">
            <v>4.5</v>
          </cell>
          <cell r="BK398">
            <v>13162.5</v>
          </cell>
          <cell r="BL398">
            <v>1.7</v>
          </cell>
          <cell r="BM398">
            <v>4972.5</v>
          </cell>
          <cell r="BN398">
            <v>2925</v>
          </cell>
          <cell r="BO398">
            <v>775</v>
          </cell>
          <cell r="BP398">
            <v>2155</v>
          </cell>
          <cell r="BQ398">
            <v>0</v>
          </cell>
          <cell r="BR398">
            <v>2925</v>
          </cell>
          <cell r="BS398">
            <v>1580</v>
          </cell>
          <cell r="BT398">
            <v>1005</v>
          </cell>
          <cell r="BU398">
            <v>340</v>
          </cell>
          <cell r="BV398">
            <v>2925</v>
          </cell>
          <cell r="BW398">
            <v>920</v>
          </cell>
          <cell r="BX398">
            <v>1020</v>
          </cell>
          <cell r="BY398">
            <v>500</v>
          </cell>
          <cell r="BZ398">
            <v>215</v>
          </cell>
          <cell r="CA398">
            <v>95</v>
          </cell>
          <cell r="CB398">
            <v>75</v>
          </cell>
          <cell r="CC398">
            <v>50</v>
          </cell>
          <cell r="CD398">
            <v>15</v>
          </cell>
          <cell r="CE398">
            <v>30</v>
          </cell>
          <cell r="CF398">
            <v>2930</v>
          </cell>
          <cell r="CG398">
            <v>0</v>
          </cell>
          <cell r="CH398">
            <v>5</v>
          </cell>
          <cell r="CI398">
            <v>40</v>
          </cell>
          <cell r="CJ398">
            <v>505</v>
          </cell>
          <cell r="CK398">
            <v>85</v>
          </cell>
          <cell r="CL398">
            <v>2260</v>
          </cell>
          <cell r="CM398">
            <v>35</v>
          </cell>
          <cell r="CN398">
            <v>5</v>
          </cell>
          <cell r="CO398">
            <v>2930</v>
          </cell>
          <cell r="CP398">
            <v>1385</v>
          </cell>
          <cell r="CQ398">
            <v>905</v>
          </cell>
          <cell r="CR398">
            <v>345</v>
          </cell>
          <cell r="CS398">
            <v>270</v>
          </cell>
          <cell r="CT398">
            <v>30</v>
          </cell>
          <cell r="CU398">
            <v>5580</v>
          </cell>
          <cell r="CV398">
            <v>1.9</v>
          </cell>
          <cell r="CW398">
            <v>2925</v>
          </cell>
          <cell r="CX398">
            <v>1305</v>
          </cell>
          <cell r="CY398">
            <v>0</v>
          </cell>
          <cell r="CZ398">
            <v>1620</v>
          </cell>
        </row>
        <row r="399">
          <cell r="A399" t="str">
            <v>4620210.00</v>
          </cell>
          <cell r="B399" t="str">
            <v>0210.00</v>
          </cell>
          <cell r="C399" t="str">
            <v>Rosemont-La Petite-Patrie</v>
          </cell>
          <cell r="D399">
            <v>3220</v>
          </cell>
          <cell r="E399">
            <v>2160</v>
          </cell>
          <cell r="F399">
            <v>515</v>
          </cell>
          <cell r="G399">
            <v>85</v>
          </cell>
          <cell r="H399">
            <v>315</v>
          </cell>
          <cell r="I399">
            <v>145</v>
          </cell>
          <cell r="J399">
            <v>3220</v>
          </cell>
          <cell r="K399">
            <v>2490</v>
          </cell>
          <cell r="L399">
            <v>730</v>
          </cell>
          <cell r="M399">
            <v>830</v>
          </cell>
          <cell r="N399">
            <v>565</v>
          </cell>
          <cell r="O399">
            <v>160</v>
          </cell>
          <cell r="P399">
            <v>70</v>
          </cell>
          <cell r="Q399">
            <v>30</v>
          </cell>
          <cell r="R399">
            <v>830</v>
          </cell>
          <cell r="S399">
            <v>610</v>
          </cell>
          <cell r="T399">
            <v>245</v>
          </cell>
          <cell r="U399">
            <v>125</v>
          </cell>
          <cell r="V399">
            <v>120</v>
          </cell>
          <cell r="W399">
            <v>70</v>
          </cell>
          <cell r="X399">
            <v>20</v>
          </cell>
          <cell r="Y399">
            <v>20</v>
          </cell>
          <cell r="Z399">
            <v>370</v>
          </cell>
          <cell r="AA399">
            <v>255</v>
          </cell>
          <cell r="AB399">
            <v>115</v>
          </cell>
          <cell r="AC399">
            <v>55</v>
          </cell>
          <cell r="AD399">
            <v>50</v>
          </cell>
          <cell r="AE399">
            <v>10</v>
          </cell>
          <cell r="AF399">
            <v>220</v>
          </cell>
          <cell r="AG399">
            <v>175</v>
          </cell>
          <cell r="AH399">
            <v>140</v>
          </cell>
          <cell r="AI399">
            <v>30</v>
          </cell>
          <cell r="AJ399">
            <v>10</v>
          </cell>
          <cell r="AK399">
            <v>45</v>
          </cell>
          <cell r="AL399">
            <v>40</v>
          </cell>
          <cell r="AM399">
            <v>0</v>
          </cell>
          <cell r="AN399">
            <v>0</v>
          </cell>
          <cell r="AO399">
            <v>635</v>
          </cell>
          <cell r="AP399">
            <v>155</v>
          </cell>
          <cell r="AQ399">
            <v>215</v>
          </cell>
          <cell r="AR399">
            <v>80</v>
          </cell>
          <cell r="AS399">
            <v>105</v>
          </cell>
          <cell r="AT399">
            <v>75</v>
          </cell>
          <cell r="AU399">
            <v>0.8</v>
          </cell>
          <cell r="AV399">
            <v>3525</v>
          </cell>
          <cell r="AW399">
            <v>1445</v>
          </cell>
          <cell r="AX399">
            <v>100</v>
          </cell>
          <cell r="AY399">
            <v>335</v>
          </cell>
          <cell r="AZ399">
            <v>1005</v>
          </cell>
          <cell r="BA399">
            <v>2080</v>
          </cell>
          <cell r="BB399">
            <v>2.5</v>
          </cell>
          <cell r="BC399">
            <v>295</v>
          </cell>
          <cell r="BD399">
            <v>175</v>
          </cell>
          <cell r="BE399">
            <v>15</v>
          </cell>
          <cell r="BF399">
            <v>15</v>
          </cell>
          <cell r="BG399">
            <v>140</v>
          </cell>
          <cell r="BH399">
            <v>120</v>
          </cell>
          <cell r="BI399">
            <v>2000</v>
          </cell>
          <cell r="BJ399">
            <v>4</v>
          </cell>
          <cell r="BK399">
            <v>8000</v>
          </cell>
          <cell r="BL399">
            <v>1.5</v>
          </cell>
          <cell r="BM399">
            <v>3000</v>
          </cell>
          <cell r="BN399">
            <v>2000</v>
          </cell>
          <cell r="BO399">
            <v>365</v>
          </cell>
          <cell r="BP399">
            <v>1630</v>
          </cell>
          <cell r="BQ399">
            <v>0</v>
          </cell>
          <cell r="BR399">
            <v>1995</v>
          </cell>
          <cell r="BS399">
            <v>1080</v>
          </cell>
          <cell r="BT399">
            <v>635</v>
          </cell>
          <cell r="BU399">
            <v>285</v>
          </cell>
          <cell r="BV399">
            <v>2000</v>
          </cell>
          <cell r="BW399">
            <v>655</v>
          </cell>
          <cell r="BX399">
            <v>465</v>
          </cell>
          <cell r="BY399">
            <v>345</v>
          </cell>
          <cell r="BZ399">
            <v>145</v>
          </cell>
          <cell r="CA399">
            <v>115</v>
          </cell>
          <cell r="CB399">
            <v>35</v>
          </cell>
          <cell r="CC399">
            <v>35</v>
          </cell>
          <cell r="CD399">
            <v>20</v>
          </cell>
          <cell r="CE399">
            <v>185</v>
          </cell>
          <cell r="CF399">
            <v>2000</v>
          </cell>
          <cell r="CG399">
            <v>5</v>
          </cell>
          <cell r="CH399">
            <v>0</v>
          </cell>
          <cell r="CI399">
            <v>15</v>
          </cell>
          <cell r="CJ399">
            <v>180</v>
          </cell>
          <cell r="CK399">
            <v>85</v>
          </cell>
          <cell r="CL399">
            <v>1695</v>
          </cell>
          <cell r="CM399">
            <v>30</v>
          </cell>
          <cell r="CN399">
            <v>0</v>
          </cell>
          <cell r="CO399">
            <v>1995</v>
          </cell>
          <cell r="CP399">
            <v>1010</v>
          </cell>
          <cell r="CQ399">
            <v>650</v>
          </cell>
          <cell r="CR399">
            <v>200</v>
          </cell>
          <cell r="CS399">
            <v>125</v>
          </cell>
          <cell r="CT399">
            <v>10</v>
          </cell>
          <cell r="CU399">
            <v>3515</v>
          </cell>
          <cell r="CV399">
            <v>1.8</v>
          </cell>
          <cell r="CW399">
            <v>2000</v>
          </cell>
          <cell r="CX399">
            <v>815</v>
          </cell>
          <cell r="CY399">
            <v>10</v>
          </cell>
          <cell r="CZ399">
            <v>1175</v>
          </cell>
        </row>
        <row r="400">
          <cell r="A400" t="str">
            <v>4620211.00</v>
          </cell>
          <cell r="B400" t="str">
            <v>0211.00</v>
          </cell>
          <cell r="C400" t="str">
            <v>Rosemont-La Petite-Patrie</v>
          </cell>
          <cell r="D400">
            <v>2060</v>
          </cell>
          <cell r="E400">
            <v>1375</v>
          </cell>
          <cell r="F400">
            <v>345</v>
          </cell>
          <cell r="G400">
            <v>45</v>
          </cell>
          <cell r="H400">
            <v>195</v>
          </cell>
          <cell r="I400">
            <v>100</v>
          </cell>
          <cell r="J400">
            <v>2060</v>
          </cell>
          <cell r="K400">
            <v>1580</v>
          </cell>
          <cell r="L400">
            <v>475</v>
          </cell>
          <cell r="M400">
            <v>505</v>
          </cell>
          <cell r="N400">
            <v>330</v>
          </cell>
          <cell r="O400">
            <v>95</v>
          </cell>
          <cell r="P400">
            <v>60</v>
          </cell>
          <cell r="Q400">
            <v>20</v>
          </cell>
          <cell r="R400">
            <v>505</v>
          </cell>
          <cell r="S400">
            <v>395</v>
          </cell>
          <cell r="T400">
            <v>150</v>
          </cell>
          <cell r="U400">
            <v>50</v>
          </cell>
          <cell r="V400">
            <v>105</v>
          </cell>
          <cell r="W400">
            <v>60</v>
          </cell>
          <cell r="X400">
            <v>30</v>
          </cell>
          <cell r="Y400">
            <v>15</v>
          </cell>
          <cell r="Z400">
            <v>240</v>
          </cell>
          <cell r="AA400">
            <v>195</v>
          </cell>
          <cell r="AB400">
            <v>45</v>
          </cell>
          <cell r="AC400">
            <v>30</v>
          </cell>
          <cell r="AD400">
            <v>20</v>
          </cell>
          <cell r="AE400">
            <v>0</v>
          </cell>
          <cell r="AF400">
            <v>115</v>
          </cell>
          <cell r="AG400">
            <v>95</v>
          </cell>
          <cell r="AH400">
            <v>70</v>
          </cell>
          <cell r="AI400">
            <v>10</v>
          </cell>
          <cell r="AJ400">
            <v>10</v>
          </cell>
          <cell r="AK400">
            <v>15</v>
          </cell>
          <cell r="AL400">
            <v>20</v>
          </cell>
          <cell r="AM400">
            <v>0</v>
          </cell>
          <cell r="AN400">
            <v>0</v>
          </cell>
          <cell r="AO400">
            <v>390</v>
          </cell>
          <cell r="AP400">
            <v>90</v>
          </cell>
          <cell r="AQ400">
            <v>130</v>
          </cell>
          <cell r="AR400">
            <v>50</v>
          </cell>
          <cell r="AS400">
            <v>45</v>
          </cell>
          <cell r="AT400">
            <v>75</v>
          </cell>
          <cell r="AU400">
            <v>0.8</v>
          </cell>
          <cell r="AV400">
            <v>2200</v>
          </cell>
          <cell r="AW400">
            <v>910</v>
          </cell>
          <cell r="AX400">
            <v>65</v>
          </cell>
          <cell r="AY400">
            <v>220</v>
          </cell>
          <cell r="AZ400">
            <v>625</v>
          </cell>
          <cell r="BA400">
            <v>1295</v>
          </cell>
          <cell r="BB400">
            <v>2.6</v>
          </cell>
          <cell r="BC400">
            <v>200</v>
          </cell>
          <cell r="BD400">
            <v>140</v>
          </cell>
          <cell r="BE400">
            <v>10</v>
          </cell>
          <cell r="BF400">
            <v>20</v>
          </cell>
          <cell r="BG400">
            <v>110</v>
          </cell>
          <cell r="BH400">
            <v>60</v>
          </cell>
          <cell r="BI400">
            <v>1255</v>
          </cell>
          <cell r="BJ400">
            <v>4.3</v>
          </cell>
          <cell r="BK400">
            <v>5396.5</v>
          </cell>
          <cell r="BL400">
            <v>1.7</v>
          </cell>
          <cell r="BM400">
            <v>2133.5</v>
          </cell>
          <cell r="BN400">
            <v>1255</v>
          </cell>
          <cell r="BO400">
            <v>245</v>
          </cell>
          <cell r="BP400">
            <v>1010</v>
          </cell>
          <cell r="BQ400">
            <v>0</v>
          </cell>
          <cell r="BR400">
            <v>1260</v>
          </cell>
          <cell r="BS400">
            <v>615</v>
          </cell>
          <cell r="BT400">
            <v>480</v>
          </cell>
          <cell r="BU400">
            <v>155</v>
          </cell>
          <cell r="BV400">
            <v>1255</v>
          </cell>
          <cell r="BW400">
            <v>575</v>
          </cell>
          <cell r="BX400">
            <v>290</v>
          </cell>
          <cell r="BY400">
            <v>135</v>
          </cell>
          <cell r="BZ400">
            <v>120</v>
          </cell>
          <cell r="CA400">
            <v>40</v>
          </cell>
          <cell r="CB400">
            <v>25</v>
          </cell>
          <cell r="CC400">
            <v>70</v>
          </cell>
          <cell r="CD400">
            <v>0</v>
          </cell>
          <cell r="CE400">
            <v>10</v>
          </cell>
          <cell r="CF400">
            <v>1265</v>
          </cell>
          <cell r="CG400">
            <v>0</v>
          </cell>
          <cell r="CH400">
            <v>0</v>
          </cell>
          <cell r="CI400">
            <v>5</v>
          </cell>
          <cell r="CJ400">
            <v>100</v>
          </cell>
          <cell r="CK400">
            <v>0</v>
          </cell>
          <cell r="CL400">
            <v>1165</v>
          </cell>
          <cell r="CM400">
            <v>0</v>
          </cell>
          <cell r="CN400">
            <v>0</v>
          </cell>
          <cell r="CO400">
            <v>1270</v>
          </cell>
          <cell r="CP400">
            <v>630</v>
          </cell>
          <cell r="CQ400">
            <v>435</v>
          </cell>
          <cell r="CR400">
            <v>125</v>
          </cell>
          <cell r="CS400">
            <v>70</v>
          </cell>
          <cell r="CT400">
            <v>10</v>
          </cell>
          <cell r="CU400">
            <v>2220</v>
          </cell>
          <cell r="CV400">
            <v>1.7</v>
          </cell>
          <cell r="CW400">
            <v>1255</v>
          </cell>
          <cell r="CX400">
            <v>510</v>
          </cell>
          <cell r="CY400">
            <v>0</v>
          </cell>
          <cell r="CZ400">
            <v>750</v>
          </cell>
        </row>
        <row r="401">
          <cell r="A401" t="str">
            <v>4620212.00</v>
          </cell>
          <cell r="B401" t="str">
            <v>0212.00</v>
          </cell>
          <cell r="C401" t="str">
            <v>Rosemont-La Petite-Patrie</v>
          </cell>
          <cell r="D401">
            <v>2195</v>
          </cell>
          <cell r="E401">
            <v>1465</v>
          </cell>
          <cell r="F401">
            <v>400</v>
          </cell>
          <cell r="G401">
            <v>45</v>
          </cell>
          <cell r="H401">
            <v>205</v>
          </cell>
          <cell r="I401">
            <v>85</v>
          </cell>
          <cell r="J401">
            <v>2195</v>
          </cell>
          <cell r="K401">
            <v>1680</v>
          </cell>
          <cell r="L401">
            <v>515</v>
          </cell>
          <cell r="M401">
            <v>605</v>
          </cell>
          <cell r="N401">
            <v>395</v>
          </cell>
          <cell r="O401">
            <v>125</v>
          </cell>
          <cell r="P401">
            <v>80</v>
          </cell>
          <cell r="Q401">
            <v>10</v>
          </cell>
          <cell r="R401">
            <v>605</v>
          </cell>
          <cell r="S401">
            <v>450</v>
          </cell>
          <cell r="T401">
            <v>195</v>
          </cell>
          <cell r="U401">
            <v>80</v>
          </cell>
          <cell r="V401">
            <v>120</v>
          </cell>
          <cell r="W401">
            <v>55</v>
          </cell>
          <cell r="X401">
            <v>60</v>
          </cell>
          <cell r="Y401">
            <v>0</v>
          </cell>
          <cell r="Z401">
            <v>255</v>
          </cell>
          <cell r="AA401">
            <v>195</v>
          </cell>
          <cell r="AB401">
            <v>55</v>
          </cell>
          <cell r="AC401">
            <v>40</v>
          </cell>
          <cell r="AD401">
            <v>15</v>
          </cell>
          <cell r="AE401">
            <v>0</v>
          </cell>
          <cell r="AF401">
            <v>155</v>
          </cell>
          <cell r="AG401">
            <v>115</v>
          </cell>
          <cell r="AH401">
            <v>80</v>
          </cell>
          <cell r="AI401">
            <v>35</v>
          </cell>
          <cell r="AJ401">
            <v>10</v>
          </cell>
          <cell r="AK401">
            <v>40</v>
          </cell>
          <cell r="AL401">
            <v>35</v>
          </cell>
          <cell r="AM401">
            <v>0</v>
          </cell>
          <cell r="AN401">
            <v>0</v>
          </cell>
          <cell r="AO401">
            <v>455</v>
          </cell>
          <cell r="AP401">
            <v>125</v>
          </cell>
          <cell r="AQ401">
            <v>165</v>
          </cell>
          <cell r="AR401">
            <v>45</v>
          </cell>
          <cell r="AS401">
            <v>75</v>
          </cell>
          <cell r="AT401">
            <v>45</v>
          </cell>
          <cell r="AU401">
            <v>0.8</v>
          </cell>
          <cell r="AV401">
            <v>2480</v>
          </cell>
          <cell r="AW401">
            <v>960</v>
          </cell>
          <cell r="AX401">
            <v>70</v>
          </cell>
          <cell r="AY401">
            <v>215</v>
          </cell>
          <cell r="AZ401">
            <v>675</v>
          </cell>
          <cell r="BA401">
            <v>1515</v>
          </cell>
          <cell r="BB401">
            <v>2.5</v>
          </cell>
          <cell r="BC401">
            <v>215</v>
          </cell>
          <cell r="BD401">
            <v>115</v>
          </cell>
          <cell r="BE401">
            <v>20</v>
          </cell>
          <cell r="BF401">
            <v>0</v>
          </cell>
          <cell r="BG401">
            <v>90</v>
          </cell>
          <cell r="BH401">
            <v>100</v>
          </cell>
          <cell r="BI401">
            <v>1370</v>
          </cell>
          <cell r="BJ401">
            <v>4.5</v>
          </cell>
          <cell r="BK401">
            <v>6165</v>
          </cell>
          <cell r="BL401">
            <v>1.7</v>
          </cell>
          <cell r="BM401">
            <v>2329</v>
          </cell>
          <cell r="BN401">
            <v>1370</v>
          </cell>
          <cell r="BO401">
            <v>305</v>
          </cell>
          <cell r="BP401">
            <v>1060</v>
          </cell>
          <cell r="BQ401">
            <v>0</v>
          </cell>
          <cell r="BR401">
            <v>1370</v>
          </cell>
          <cell r="BS401">
            <v>825</v>
          </cell>
          <cell r="BT401">
            <v>410</v>
          </cell>
          <cell r="BU401">
            <v>135</v>
          </cell>
          <cell r="BV401">
            <v>1370</v>
          </cell>
          <cell r="BW401">
            <v>670</v>
          </cell>
          <cell r="BX401">
            <v>355</v>
          </cell>
          <cell r="BY401">
            <v>135</v>
          </cell>
          <cell r="BZ401">
            <v>80</v>
          </cell>
          <cell r="CA401">
            <v>20</v>
          </cell>
          <cell r="CB401">
            <v>0</v>
          </cell>
          <cell r="CC401">
            <v>10</v>
          </cell>
          <cell r="CD401">
            <v>45</v>
          </cell>
          <cell r="CE401">
            <v>35</v>
          </cell>
          <cell r="CF401">
            <v>1370</v>
          </cell>
          <cell r="CG401">
            <v>0</v>
          </cell>
          <cell r="CH401">
            <v>0</v>
          </cell>
          <cell r="CI401">
            <v>5</v>
          </cell>
          <cell r="CJ401">
            <v>115</v>
          </cell>
          <cell r="CK401">
            <v>0</v>
          </cell>
          <cell r="CL401">
            <v>1230</v>
          </cell>
          <cell r="CM401">
            <v>15</v>
          </cell>
          <cell r="CN401">
            <v>0</v>
          </cell>
          <cell r="CO401">
            <v>1370</v>
          </cell>
          <cell r="CP401">
            <v>675</v>
          </cell>
          <cell r="CQ401">
            <v>430</v>
          </cell>
          <cell r="CR401">
            <v>155</v>
          </cell>
          <cell r="CS401">
            <v>110</v>
          </cell>
          <cell r="CT401">
            <v>5</v>
          </cell>
          <cell r="CU401">
            <v>2480</v>
          </cell>
          <cell r="CV401">
            <v>1.8</v>
          </cell>
          <cell r="CW401">
            <v>1370</v>
          </cell>
          <cell r="CX401">
            <v>585</v>
          </cell>
          <cell r="CY401">
            <v>10</v>
          </cell>
          <cell r="CZ401">
            <v>775</v>
          </cell>
        </row>
        <row r="402">
          <cell r="A402" t="str">
            <v>4620213.00</v>
          </cell>
          <cell r="B402" t="str">
            <v>0213.00</v>
          </cell>
          <cell r="C402" t="str">
            <v>Rosemont-La Petite-Patrie</v>
          </cell>
          <cell r="D402">
            <v>2300</v>
          </cell>
          <cell r="E402">
            <v>1495</v>
          </cell>
          <cell r="F402">
            <v>405</v>
          </cell>
          <cell r="G402">
            <v>45</v>
          </cell>
          <cell r="H402">
            <v>210</v>
          </cell>
          <cell r="I402">
            <v>150</v>
          </cell>
          <cell r="J402">
            <v>2305</v>
          </cell>
          <cell r="K402">
            <v>1785</v>
          </cell>
          <cell r="L402">
            <v>520</v>
          </cell>
          <cell r="M402">
            <v>530</v>
          </cell>
          <cell r="N402">
            <v>310</v>
          </cell>
          <cell r="O402">
            <v>90</v>
          </cell>
          <cell r="P402">
            <v>100</v>
          </cell>
          <cell r="Q402">
            <v>30</v>
          </cell>
          <cell r="R402">
            <v>535</v>
          </cell>
          <cell r="S402">
            <v>440</v>
          </cell>
          <cell r="T402">
            <v>180</v>
          </cell>
          <cell r="U402">
            <v>90</v>
          </cell>
          <cell r="V402">
            <v>90</v>
          </cell>
          <cell r="W402">
            <v>20</v>
          </cell>
          <cell r="X402">
            <v>50</v>
          </cell>
          <cell r="Y402">
            <v>25</v>
          </cell>
          <cell r="Z402">
            <v>260</v>
          </cell>
          <cell r="AA402">
            <v>140</v>
          </cell>
          <cell r="AB402">
            <v>120</v>
          </cell>
          <cell r="AC402">
            <v>65</v>
          </cell>
          <cell r="AD402">
            <v>55</v>
          </cell>
          <cell r="AE402">
            <v>0</v>
          </cell>
          <cell r="AF402">
            <v>90</v>
          </cell>
          <cell r="AG402">
            <v>75</v>
          </cell>
          <cell r="AH402">
            <v>70</v>
          </cell>
          <cell r="AI402">
            <v>10</v>
          </cell>
          <cell r="AJ402">
            <v>0</v>
          </cell>
          <cell r="AK402">
            <v>15</v>
          </cell>
          <cell r="AL402">
            <v>10</v>
          </cell>
          <cell r="AM402">
            <v>10</v>
          </cell>
          <cell r="AN402">
            <v>0</v>
          </cell>
          <cell r="AO402">
            <v>470</v>
          </cell>
          <cell r="AP402">
            <v>160</v>
          </cell>
          <cell r="AQ402">
            <v>180</v>
          </cell>
          <cell r="AR402">
            <v>35</v>
          </cell>
          <cell r="AS402">
            <v>45</v>
          </cell>
          <cell r="AT402">
            <v>45</v>
          </cell>
          <cell r="AU402">
            <v>0.9</v>
          </cell>
          <cell r="AV402">
            <v>2445</v>
          </cell>
          <cell r="AW402">
            <v>1000</v>
          </cell>
          <cell r="AX402">
            <v>90</v>
          </cell>
          <cell r="AY402">
            <v>255</v>
          </cell>
          <cell r="AZ402">
            <v>655</v>
          </cell>
          <cell r="BA402">
            <v>1440</v>
          </cell>
          <cell r="BB402">
            <v>2.7</v>
          </cell>
          <cell r="BC402">
            <v>250</v>
          </cell>
          <cell r="BD402">
            <v>150</v>
          </cell>
          <cell r="BE402">
            <v>0</v>
          </cell>
          <cell r="BF402">
            <v>0</v>
          </cell>
          <cell r="BG402">
            <v>140</v>
          </cell>
          <cell r="BH402">
            <v>100</v>
          </cell>
          <cell r="BI402">
            <v>1320</v>
          </cell>
          <cell r="BJ402">
            <v>4.5999999999999996</v>
          </cell>
          <cell r="BK402">
            <v>6071.9999999999991</v>
          </cell>
          <cell r="BL402">
            <v>1.7</v>
          </cell>
          <cell r="BM402">
            <v>2244</v>
          </cell>
          <cell r="BN402">
            <v>1325</v>
          </cell>
          <cell r="BO402">
            <v>420</v>
          </cell>
          <cell r="BP402">
            <v>900</v>
          </cell>
          <cell r="BQ402">
            <v>0</v>
          </cell>
          <cell r="BR402">
            <v>1320</v>
          </cell>
          <cell r="BS402">
            <v>745</v>
          </cell>
          <cell r="BT402">
            <v>460</v>
          </cell>
          <cell r="BU402">
            <v>115</v>
          </cell>
          <cell r="BV402">
            <v>1320</v>
          </cell>
          <cell r="BW402">
            <v>785</v>
          </cell>
          <cell r="BX402">
            <v>285</v>
          </cell>
          <cell r="BY402">
            <v>140</v>
          </cell>
          <cell r="BZ402">
            <v>40</v>
          </cell>
          <cell r="CA402">
            <v>10</v>
          </cell>
          <cell r="CB402">
            <v>45</v>
          </cell>
          <cell r="CC402">
            <v>15</v>
          </cell>
          <cell r="CD402">
            <v>0</v>
          </cell>
          <cell r="CE402">
            <v>0</v>
          </cell>
          <cell r="CF402">
            <v>1325</v>
          </cell>
          <cell r="CG402">
            <v>0</v>
          </cell>
          <cell r="CH402">
            <v>0</v>
          </cell>
          <cell r="CI402">
            <v>5</v>
          </cell>
          <cell r="CJ402">
            <v>170</v>
          </cell>
          <cell r="CK402">
            <v>70</v>
          </cell>
          <cell r="CL402">
            <v>1065</v>
          </cell>
          <cell r="CM402">
            <v>10</v>
          </cell>
          <cell r="CN402">
            <v>0</v>
          </cell>
          <cell r="CO402">
            <v>1320</v>
          </cell>
          <cell r="CP402">
            <v>655</v>
          </cell>
          <cell r="CQ402">
            <v>410</v>
          </cell>
          <cell r="CR402">
            <v>130</v>
          </cell>
          <cell r="CS402">
            <v>115</v>
          </cell>
          <cell r="CT402">
            <v>15</v>
          </cell>
          <cell r="CU402">
            <v>2440</v>
          </cell>
          <cell r="CV402">
            <v>1.9</v>
          </cell>
          <cell r="CW402">
            <v>1325</v>
          </cell>
          <cell r="CX402">
            <v>530</v>
          </cell>
          <cell r="CY402">
            <v>0</v>
          </cell>
          <cell r="CZ402">
            <v>790</v>
          </cell>
        </row>
        <row r="403">
          <cell r="A403" t="str">
            <v>4620214.00</v>
          </cell>
          <cell r="B403" t="str">
            <v>0214.00</v>
          </cell>
          <cell r="C403" t="str">
            <v>Rosemont-La Petite-Patrie</v>
          </cell>
          <cell r="D403">
            <v>2275</v>
          </cell>
          <cell r="E403">
            <v>1485</v>
          </cell>
          <cell r="F403">
            <v>375</v>
          </cell>
          <cell r="G403">
            <v>55</v>
          </cell>
          <cell r="H403">
            <v>230</v>
          </cell>
          <cell r="I403">
            <v>135</v>
          </cell>
          <cell r="J403">
            <v>2275</v>
          </cell>
          <cell r="K403">
            <v>1780</v>
          </cell>
          <cell r="L403">
            <v>500</v>
          </cell>
          <cell r="M403">
            <v>545</v>
          </cell>
          <cell r="N403">
            <v>335</v>
          </cell>
          <cell r="O403">
            <v>95</v>
          </cell>
          <cell r="P403">
            <v>95</v>
          </cell>
          <cell r="Q403">
            <v>15</v>
          </cell>
          <cell r="R403">
            <v>545</v>
          </cell>
          <cell r="S403">
            <v>445</v>
          </cell>
          <cell r="T403">
            <v>200</v>
          </cell>
          <cell r="U403">
            <v>75</v>
          </cell>
          <cell r="V403">
            <v>125</v>
          </cell>
          <cell r="W403">
            <v>70</v>
          </cell>
          <cell r="X403">
            <v>40</v>
          </cell>
          <cell r="Y403">
            <v>15</v>
          </cell>
          <cell r="Z403">
            <v>245</v>
          </cell>
          <cell r="AA403">
            <v>180</v>
          </cell>
          <cell r="AB403">
            <v>60</v>
          </cell>
          <cell r="AC403">
            <v>10</v>
          </cell>
          <cell r="AD403">
            <v>50</v>
          </cell>
          <cell r="AE403">
            <v>0</v>
          </cell>
          <cell r="AF403">
            <v>95</v>
          </cell>
          <cell r="AG403">
            <v>95</v>
          </cell>
          <cell r="AH403">
            <v>80</v>
          </cell>
          <cell r="AI403">
            <v>10</v>
          </cell>
          <cell r="AJ403">
            <v>0</v>
          </cell>
          <cell r="AK403">
            <v>0</v>
          </cell>
          <cell r="AL403">
            <v>0</v>
          </cell>
          <cell r="AM403">
            <v>0</v>
          </cell>
          <cell r="AN403">
            <v>0</v>
          </cell>
          <cell r="AO403">
            <v>450</v>
          </cell>
          <cell r="AP403">
            <v>165</v>
          </cell>
          <cell r="AQ403">
            <v>120</v>
          </cell>
          <cell r="AR403">
            <v>20</v>
          </cell>
          <cell r="AS403">
            <v>50</v>
          </cell>
          <cell r="AT403">
            <v>90</v>
          </cell>
          <cell r="AU403">
            <v>0.8</v>
          </cell>
          <cell r="AV403">
            <v>2535</v>
          </cell>
          <cell r="AW403">
            <v>1100</v>
          </cell>
          <cell r="AX403">
            <v>90</v>
          </cell>
          <cell r="AY403">
            <v>375</v>
          </cell>
          <cell r="AZ403">
            <v>630</v>
          </cell>
          <cell r="BA403">
            <v>1445</v>
          </cell>
          <cell r="BB403">
            <v>2.7</v>
          </cell>
          <cell r="BC403">
            <v>335</v>
          </cell>
          <cell r="BD403">
            <v>180</v>
          </cell>
          <cell r="BE403">
            <v>10</v>
          </cell>
          <cell r="BF403">
            <v>10</v>
          </cell>
          <cell r="BG403">
            <v>170</v>
          </cell>
          <cell r="BH403">
            <v>150</v>
          </cell>
          <cell r="BI403">
            <v>1360</v>
          </cell>
          <cell r="BJ403">
            <v>4.5</v>
          </cell>
          <cell r="BK403">
            <v>6120</v>
          </cell>
          <cell r="BL403">
            <v>1.7</v>
          </cell>
          <cell r="BM403">
            <v>2312</v>
          </cell>
          <cell r="BN403">
            <v>1360</v>
          </cell>
          <cell r="BO403">
            <v>305</v>
          </cell>
          <cell r="BP403">
            <v>1055</v>
          </cell>
          <cell r="BQ403">
            <v>0</v>
          </cell>
          <cell r="BR403">
            <v>1360</v>
          </cell>
          <cell r="BS403">
            <v>670</v>
          </cell>
          <cell r="BT403">
            <v>500</v>
          </cell>
          <cell r="BU403">
            <v>190</v>
          </cell>
          <cell r="BV403">
            <v>1365</v>
          </cell>
          <cell r="BW403">
            <v>730</v>
          </cell>
          <cell r="BX403">
            <v>265</v>
          </cell>
          <cell r="BY403">
            <v>130</v>
          </cell>
          <cell r="BZ403">
            <v>135</v>
          </cell>
          <cell r="CA403">
            <v>45</v>
          </cell>
          <cell r="CB403">
            <v>10</v>
          </cell>
          <cell r="CC403">
            <v>10</v>
          </cell>
          <cell r="CD403">
            <v>15</v>
          </cell>
          <cell r="CE403">
            <v>15</v>
          </cell>
          <cell r="CF403">
            <v>1355</v>
          </cell>
          <cell r="CG403">
            <v>0</v>
          </cell>
          <cell r="CH403">
            <v>0</v>
          </cell>
          <cell r="CI403">
            <v>15</v>
          </cell>
          <cell r="CJ403">
            <v>295</v>
          </cell>
          <cell r="CK403">
            <v>105</v>
          </cell>
          <cell r="CL403">
            <v>885</v>
          </cell>
          <cell r="CM403">
            <v>65</v>
          </cell>
          <cell r="CN403">
            <v>0</v>
          </cell>
          <cell r="CO403">
            <v>1355</v>
          </cell>
          <cell r="CP403">
            <v>625</v>
          </cell>
          <cell r="CQ403">
            <v>440</v>
          </cell>
          <cell r="CR403">
            <v>190</v>
          </cell>
          <cell r="CS403">
            <v>90</v>
          </cell>
          <cell r="CT403">
            <v>10</v>
          </cell>
          <cell r="CU403">
            <v>2535</v>
          </cell>
          <cell r="CV403">
            <v>1.9</v>
          </cell>
          <cell r="CW403">
            <v>1360</v>
          </cell>
          <cell r="CX403">
            <v>545</v>
          </cell>
          <cell r="CY403">
            <v>0</v>
          </cell>
          <cell r="CZ403">
            <v>815</v>
          </cell>
        </row>
        <row r="404">
          <cell r="A404" t="str">
            <v>4620215.00</v>
          </cell>
          <cell r="B404" t="str">
            <v>0215.00</v>
          </cell>
          <cell r="C404" t="str">
            <v>Rosemont-La Petite-Patrie</v>
          </cell>
          <cell r="D404">
            <v>1995</v>
          </cell>
          <cell r="E404">
            <v>1220</v>
          </cell>
          <cell r="F404">
            <v>335</v>
          </cell>
          <cell r="G404">
            <v>60</v>
          </cell>
          <cell r="H404">
            <v>205</v>
          </cell>
          <cell r="I404">
            <v>175</v>
          </cell>
          <cell r="J404">
            <v>1995</v>
          </cell>
          <cell r="K404">
            <v>1570</v>
          </cell>
          <cell r="L404">
            <v>430</v>
          </cell>
          <cell r="M404">
            <v>510</v>
          </cell>
          <cell r="N404">
            <v>385</v>
          </cell>
          <cell r="O404">
            <v>80</v>
          </cell>
          <cell r="P404">
            <v>10</v>
          </cell>
          <cell r="Q404">
            <v>35</v>
          </cell>
          <cell r="R404">
            <v>515</v>
          </cell>
          <cell r="S404">
            <v>385</v>
          </cell>
          <cell r="T404">
            <v>160</v>
          </cell>
          <cell r="U404">
            <v>95</v>
          </cell>
          <cell r="V404">
            <v>65</v>
          </cell>
          <cell r="W404">
            <v>35</v>
          </cell>
          <cell r="X404">
            <v>0</v>
          </cell>
          <cell r="Y404">
            <v>30</v>
          </cell>
          <cell r="Z404">
            <v>215</v>
          </cell>
          <cell r="AA404">
            <v>185</v>
          </cell>
          <cell r="AB404">
            <v>35</v>
          </cell>
          <cell r="AC404">
            <v>20</v>
          </cell>
          <cell r="AD404">
            <v>0</v>
          </cell>
          <cell r="AE404">
            <v>0</v>
          </cell>
          <cell r="AF404">
            <v>130</v>
          </cell>
          <cell r="AG404">
            <v>85</v>
          </cell>
          <cell r="AH404">
            <v>55</v>
          </cell>
          <cell r="AI404">
            <v>20</v>
          </cell>
          <cell r="AJ404">
            <v>0</v>
          </cell>
          <cell r="AK404">
            <v>45</v>
          </cell>
          <cell r="AL404">
            <v>45</v>
          </cell>
          <cell r="AM404">
            <v>0</v>
          </cell>
          <cell r="AN404">
            <v>0</v>
          </cell>
          <cell r="AO404">
            <v>355</v>
          </cell>
          <cell r="AP404">
            <v>100</v>
          </cell>
          <cell r="AQ404">
            <v>130</v>
          </cell>
          <cell r="AR404">
            <v>55</v>
          </cell>
          <cell r="AS404">
            <v>55</v>
          </cell>
          <cell r="AT404">
            <v>15</v>
          </cell>
          <cell r="AU404">
            <v>0.7</v>
          </cell>
          <cell r="AV404">
            <v>2050</v>
          </cell>
          <cell r="AW404">
            <v>800</v>
          </cell>
          <cell r="AX404">
            <v>60</v>
          </cell>
          <cell r="AY404">
            <v>145</v>
          </cell>
          <cell r="AZ404">
            <v>595</v>
          </cell>
          <cell r="BA404">
            <v>1255</v>
          </cell>
          <cell r="BB404">
            <v>2.5</v>
          </cell>
          <cell r="BC404">
            <v>255</v>
          </cell>
          <cell r="BD404">
            <v>150</v>
          </cell>
          <cell r="BE404">
            <v>15</v>
          </cell>
          <cell r="BF404">
            <v>0</v>
          </cell>
          <cell r="BG404">
            <v>135</v>
          </cell>
          <cell r="BH404">
            <v>100</v>
          </cell>
          <cell r="BI404">
            <v>1165</v>
          </cell>
          <cell r="BJ404">
            <v>4.3</v>
          </cell>
          <cell r="BK404">
            <v>5009.5</v>
          </cell>
          <cell r="BL404">
            <v>1.6</v>
          </cell>
          <cell r="BM404">
            <v>1864</v>
          </cell>
          <cell r="BN404">
            <v>1165</v>
          </cell>
          <cell r="BO404">
            <v>200</v>
          </cell>
          <cell r="BP404">
            <v>965</v>
          </cell>
          <cell r="BQ404">
            <v>0</v>
          </cell>
          <cell r="BR404">
            <v>1165</v>
          </cell>
          <cell r="BS404">
            <v>585</v>
          </cell>
          <cell r="BT404">
            <v>450</v>
          </cell>
          <cell r="BU404">
            <v>130</v>
          </cell>
          <cell r="BV404">
            <v>1165</v>
          </cell>
          <cell r="BW404">
            <v>560</v>
          </cell>
          <cell r="BX404">
            <v>240</v>
          </cell>
          <cell r="BY404">
            <v>100</v>
          </cell>
          <cell r="BZ404">
            <v>50</v>
          </cell>
          <cell r="CA404">
            <v>10</v>
          </cell>
          <cell r="CB404">
            <v>35</v>
          </cell>
          <cell r="CC404">
            <v>105</v>
          </cell>
          <cell r="CD404">
            <v>40</v>
          </cell>
          <cell r="CE404">
            <v>20</v>
          </cell>
          <cell r="CF404">
            <v>1165</v>
          </cell>
          <cell r="CG404">
            <v>5</v>
          </cell>
          <cell r="CH404">
            <v>0</v>
          </cell>
          <cell r="CI404">
            <v>0</v>
          </cell>
          <cell r="CJ404">
            <v>110</v>
          </cell>
          <cell r="CK404">
            <v>130</v>
          </cell>
          <cell r="CL404">
            <v>915</v>
          </cell>
          <cell r="CM404">
            <v>10</v>
          </cell>
          <cell r="CN404">
            <v>0</v>
          </cell>
          <cell r="CO404">
            <v>1165</v>
          </cell>
          <cell r="CP404">
            <v>605</v>
          </cell>
          <cell r="CQ404">
            <v>365</v>
          </cell>
          <cell r="CR404">
            <v>120</v>
          </cell>
          <cell r="CS404">
            <v>70</v>
          </cell>
          <cell r="CT404">
            <v>5</v>
          </cell>
          <cell r="CU404">
            <v>2050</v>
          </cell>
          <cell r="CV404">
            <v>1.8</v>
          </cell>
          <cell r="CW404">
            <v>1165</v>
          </cell>
          <cell r="CX404">
            <v>505</v>
          </cell>
          <cell r="CY404">
            <v>0</v>
          </cell>
          <cell r="CZ404">
            <v>660</v>
          </cell>
        </row>
        <row r="405">
          <cell r="A405" t="str">
            <v>4620216.00</v>
          </cell>
          <cell r="B405" t="str">
            <v>0216.00</v>
          </cell>
          <cell r="C405" t="str">
            <v>Rosemont-La Petite-Patrie</v>
          </cell>
          <cell r="D405">
            <v>1960</v>
          </cell>
          <cell r="E405">
            <v>1355</v>
          </cell>
          <cell r="F405">
            <v>330</v>
          </cell>
          <cell r="G405">
            <v>40</v>
          </cell>
          <cell r="H405">
            <v>180</v>
          </cell>
          <cell r="I405">
            <v>60</v>
          </cell>
          <cell r="J405">
            <v>1960</v>
          </cell>
          <cell r="K405">
            <v>1585</v>
          </cell>
          <cell r="L405">
            <v>370</v>
          </cell>
          <cell r="M405">
            <v>440</v>
          </cell>
          <cell r="N405">
            <v>245</v>
          </cell>
          <cell r="O405">
            <v>110</v>
          </cell>
          <cell r="P405">
            <v>65</v>
          </cell>
          <cell r="Q405">
            <v>20</v>
          </cell>
          <cell r="R405">
            <v>440</v>
          </cell>
          <cell r="S405">
            <v>335</v>
          </cell>
          <cell r="T405">
            <v>150</v>
          </cell>
          <cell r="U405">
            <v>70</v>
          </cell>
          <cell r="V405">
            <v>80</v>
          </cell>
          <cell r="W405">
            <v>30</v>
          </cell>
          <cell r="X405">
            <v>25</v>
          </cell>
          <cell r="Y405">
            <v>20</v>
          </cell>
          <cell r="Z405">
            <v>185</v>
          </cell>
          <cell r="AA405">
            <v>120</v>
          </cell>
          <cell r="AB405">
            <v>60</v>
          </cell>
          <cell r="AC405">
            <v>35</v>
          </cell>
          <cell r="AD405">
            <v>25</v>
          </cell>
          <cell r="AE405">
            <v>0</v>
          </cell>
          <cell r="AF405">
            <v>100</v>
          </cell>
          <cell r="AG405">
            <v>90</v>
          </cell>
          <cell r="AH405">
            <v>40</v>
          </cell>
          <cell r="AI405">
            <v>40</v>
          </cell>
          <cell r="AJ405">
            <v>10</v>
          </cell>
          <cell r="AK405">
            <v>10</v>
          </cell>
          <cell r="AL405">
            <v>0</v>
          </cell>
          <cell r="AM405">
            <v>0</v>
          </cell>
          <cell r="AN405">
            <v>0</v>
          </cell>
          <cell r="AO405">
            <v>400</v>
          </cell>
          <cell r="AP405">
            <v>90</v>
          </cell>
          <cell r="AQ405">
            <v>175</v>
          </cell>
          <cell r="AR405">
            <v>45</v>
          </cell>
          <cell r="AS405">
            <v>40</v>
          </cell>
          <cell r="AT405">
            <v>50</v>
          </cell>
          <cell r="AU405">
            <v>0.9</v>
          </cell>
          <cell r="AV405">
            <v>2245</v>
          </cell>
          <cell r="AW405">
            <v>1070</v>
          </cell>
          <cell r="AX405">
            <v>95</v>
          </cell>
          <cell r="AY405">
            <v>370</v>
          </cell>
          <cell r="AZ405">
            <v>600</v>
          </cell>
          <cell r="BA405">
            <v>1175</v>
          </cell>
          <cell r="BB405">
            <v>2.7</v>
          </cell>
          <cell r="BC405">
            <v>145</v>
          </cell>
          <cell r="BD405">
            <v>85</v>
          </cell>
          <cell r="BE405">
            <v>10</v>
          </cell>
          <cell r="BF405">
            <v>10</v>
          </cell>
          <cell r="BG405">
            <v>65</v>
          </cell>
          <cell r="BH405">
            <v>60</v>
          </cell>
          <cell r="BI405">
            <v>1200</v>
          </cell>
          <cell r="BJ405">
            <v>4.4000000000000004</v>
          </cell>
          <cell r="BK405">
            <v>5280</v>
          </cell>
          <cell r="BL405">
            <v>1.8</v>
          </cell>
          <cell r="BM405">
            <v>2160</v>
          </cell>
          <cell r="BN405">
            <v>1205</v>
          </cell>
          <cell r="BO405">
            <v>170</v>
          </cell>
          <cell r="BP405">
            <v>1030</v>
          </cell>
          <cell r="BQ405">
            <v>0</v>
          </cell>
          <cell r="BR405">
            <v>1200</v>
          </cell>
          <cell r="BS405">
            <v>485</v>
          </cell>
          <cell r="BT405">
            <v>485</v>
          </cell>
          <cell r="BU405">
            <v>230</v>
          </cell>
          <cell r="BV405">
            <v>1205</v>
          </cell>
          <cell r="BW405">
            <v>595</v>
          </cell>
          <cell r="BX405">
            <v>295</v>
          </cell>
          <cell r="BY405">
            <v>145</v>
          </cell>
          <cell r="BZ405">
            <v>95</v>
          </cell>
          <cell r="CA405">
            <v>15</v>
          </cell>
          <cell r="CB405">
            <v>15</v>
          </cell>
          <cell r="CC405">
            <v>30</v>
          </cell>
          <cell r="CD405">
            <v>15</v>
          </cell>
          <cell r="CE405">
            <v>0</v>
          </cell>
          <cell r="CF405">
            <v>1205</v>
          </cell>
          <cell r="CG405">
            <v>5</v>
          </cell>
          <cell r="CH405">
            <v>0</v>
          </cell>
          <cell r="CI405">
            <v>5</v>
          </cell>
          <cell r="CJ405">
            <v>95</v>
          </cell>
          <cell r="CK405">
            <v>0</v>
          </cell>
          <cell r="CL405">
            <v>1085</v>
          </cell>
          <cell r="CM405">
            <v>20</v>
          </cell>
          <cell r="CN405">
            <v>0</v>
          </cell>
          <cell r="CO405">
            <v>1200</v>
          </cell>
          <cell r="CP405">
            <v>600</v>
          </cell>
          <cell r="CQ405">
            <v>350</v>
          </cell>
          <cell r="CR405">
            <v>140</v>
          </cell>
          <cell r="CS405">
            <v>95</v>
          </cell>
          <cell r="CT405">
            <v>15</v>
          </cell>
          <cell r="CU405">
            <v>2245</v>
          </cell>
          <cell r="CV405">
            <v>1.9</v>
          </cell>
          <cell r="CW405">
            <v>1205</v>
          </cell>
          <cell r="CX405">
            <v>440</v>
          </cell>
          <cell r="CY405">
            <v>0</v>
          </cell>
          <cell r="CZ405">
            <v>765</v>
          </cell>
        </row>
        <row r="406">
          <cell r="A406" t="str">
            <v>4620217.00</v>
          </cell>
          <cell r="B406" t="str">
            <v>0217.00</v>
          </cell>
          <cell r="C406" t="str">
            <v>Rosemont-La Petite-Patrie</v>
          </cell>
          <cell r="D406">
            <v>2330</v>
          </cell>
          <cell r="E406">
            <v>1485</v>
          </cell>
          <cell r="F406">
            <v>425</v>
          </cell>
          <cell r="G406">
            <v>80</v>
          </cell>
          <cell r="H406">
            <v>240</v>
          </cell>
          <cell r="I406">
            <v>105</v>
          </cell>
          <cell r="J406">
            <v>2330</v>
          </cell>
          <cell r="K406">
            <v>1855</v>
          </cell>
          <cell r="L406">
            <v>475</v>
          </cell>
          <cell r="M406">
            <v>600</v>
          </cell>
          <cell r="N406">
            <v>380</v>
          </cell>
          <cell r="O406">
            <v>120</v>
          </cell>
          <cell r="P406">
            <v>75</v>
          </cell>
          <cell r="Q406">
            <v>25</v>
          </cell>
          <cell r="R406">
            <v>600</v>
          </cell>
          <cell r="S406">
            <v>435</v>
          </cell>
          <cell r="T406">
            <v>200</v>
          </cell>
          <cell r="U406">
            <v>110</v>
          </cell>
          <cell r="V406">
            <v>90</v>
          </cell>
          <cell r="W406">
            <v>45</v>
          </cell>
          <cell r="X406">
            <v>35</v>
          </cell>
          <cell r="Y406">
            <v>15</v>
          </cell>
          <cell r="Z406">
            <v>235</v>
          </cell>
          <cell r="AA406">
            <v>160</v>
          </cell>
          <cell r="AB406">
            <v>70</v>
          </cell>
          <cell r="AC406">
            <v>20</v>
          </cell>
          <cell r="AD406">
            <v>40</v>
          </cell>
          <cell r="AE406">
            <v>0</v>
          </cell>
          <cell r="AF406">
            <v>160</v>
          </cell>
          <cell r="AG406">
            <v>135</v>
          </cell>
          <cell r="AH406">
            <v>90</v>
          </cell>
          <cell r="AI406">
            <v>40</v>
          </cell>
          <cell r="AJ406">
            <v>0</v>
          </cell>
          <cell r="AK406">
            <v>25</v>
          </cell>
          <cell r="AL406">
            <v>15</v>
          </cell>
          <cell r="AM406">
            <v>10</v>
          </cell>
          <cell r="AN406">
            <v>0</v>
          </cell>
          <cell r="AO406">
            <v>520</v>
          </cell>
          <cell r="AP406">
            <v>170</v>
          </cell>
          <cell r="AQ406">
            <v>185</v>
          </cell>
          <cell r="AR406">
            <v>65</v>
          </cell>
          <cell r="AS406">
            <v>55</v>
          </cell>
          <cell r="AT406">
            <v>45</v>
          </cell>
          <cell r="AU406">
            <v>0.9</v>
          </cell>
          <cell r="AV406">
            <v>2650</v>
          </cell>
          <cell r="AW406">
            <v>1090</v>
          </cell>
          <cell r="AX406">
            <v>105</v>
          </cell>
          <cell r="AY406">
            <v>360</v>
          </cell>
          <cell r="AZ406">
            <v>620</v>
          </cell>
          <cell r="BA406">
            <v>1560</v>
          </cell>
          <cell r="BB406">
            <v>2.6</v>
          </cell>
          <cell r="BC406">
            <v>280</v>
          </cell>
          <cell r="BD406">
            <v>185</v>
          </cell>
          <cell r="BE406">
            <v>20</v>
          </cell>
          <cell r="BF406">
            <v>15</v>
          </cell>
          <cell r="BG406">
            <v>160</v>
          </cell>
          <cell r="BH406">
            <v>90</v>
          </cell>
          <cell r="BI406">
            <v>1385</v>
          </cell>
          <cell r="BJ406">
            <v>4.3</v>
          </cell>
          <cell r="BK406">
            <v>5955.5</v>
          </cell>
          <cell r="BL406">
            <v>1.7</v>
          </cell>
          <cell r="BM406">
            <v>2354.5</v>
          </cell>
          <cell r="BN406">
            <v>1385</v>
          </cell>
          <cell r="BO406">
            <v>290</v>
          </cell>
          <cell r="BP406">
            <v>1095</v>
          </cell>
          <cell r="BQ406">
            <v>0</v>
          </cell>
          <cell r="BR406">
            <v>1385</v>
          </cell>
          <cell r="BS406">
            <v>710</v>
          </cell>
          <cell r="BT406">
            <v>480</v>
          </cell>
          <cell r="BU406">
            <v>195</v>
          </cell>
          <cell r="BV406">
            <v>1385</v>
          </cell>
          <cell r="BW406">
            <v>670</v>
          </cell>
          <cell r="BX406">
            <v>260</v>
          </cell>
          <cell r="BY406">
            <v>125</v>
          </cell>
          <cell r="BZ406">
            <v>95</v>
          </cell>
          <cell r="CA406">
            <v>90</v>
          </cell>
          <cell r="CB406">
            <v>55</v>
          </cell>
          <cell r="CC406">
            <v>0</v>
          </cell>
          <cell r="CD406">
            <v>0</v>
          </cell>
          <cell r="CE406">
            <v>80</v>
          </cell>
          <cell r="CF406">
            <v>1385</v>
          </cell>
          <cell r="CG406">
            <v>0</v>
          </cell>
          <cell r="CH406">
            <v>0</v>
          </cell>
          <cell r="CI406">
            <v>0</v>
          </cell>
          <cell r="CJ406">
            <v>90</v>
          </cell>
          <cell r="CK406">
            <v>175</v>
          </cell>
          <cell r="CL406">
            <v>1110</v>
          </cell>
          <cell r="CM406">
            <v>10</v>
          </cell>
          <cell r="CN406">
            <v>0</v>
          </cell>
          <cell r="CO406">
            <v>1385</v>
          </cell>
          <cell r="CP406">
            <v>620</v>
          </cell>
          <cell r="CQ406">
            <v>465</v>
          </cell>
          <cell r="CR406">
            <v>160</v>
          </cell>
          <cell r="CS406">
            <v>125</v>
          </cell>
          <cell r="CT406">
            <v>15</v>
          </cell>
          <cell r="CU406">
            <v>2650</v>
          </cell>
          <cell r="CV406">
            <v>1.9</v>
          </cell>
          <cell r="CW406">
            <v>1385</v>
          </cell>
          <cell r="CX406">
            <v>550</v>
          </cell>
          <cell r="CY406">
            <v>25</v>
          </cell>
          <cell r="CZ406">
            <v>810</v>
          </cell>
        </row>
        <row r="407">
          <cell r="A407" t="str">
            <v>4620218.00</v>
          </cell>
          <cell r="B407" t="str">
            <v>0218.00</v>
          </cell>
          <cell r="C407" t="str">
            <v>Rosemont-La Petite-Patrie</v>
          </cell>
          <cell r="D407">
            <v>2555</v>
          </cell>
          <cell r="E407">
            <v>1655</v>
          </cell>
          <cell r="F407">
            <v>490</v>
          </cell>
          <cell r="G407">
            <v>75</v>
          </cell>
          <cell r="H407">
            <v>235</v>
          </cell>
          <cell r="I407">
            <v>100</v>
          </cell>
          <cell r="J407">
            <v>2555</v>
          </cell>
          <cell r="K407">
            <v>2020</v>
          </cell>
          <cell r="L407">
            <v>535</v>
          </cell>
          <cell r="M407">
            <v>635</v>
          </cell>
          <cell r="N407">
            <v>400</v>
          </cell>
          <cell r="O407">
            <v>110</v>
          </cell>
          <cell r="P407">
            <v>80</v>
          </cell>
          <cell r="Q407">
            <v>45</v>
          </cell>
          <cell r="R407">
            <v>640</v>
          </cell>
          <cell r="S407">
            <v>485</v>
          </cell>
          <cell r="T407">
            <v>235</v>
          </cell>
          <cell r="U407">
            <v>105</v>
          </cell>
          <cell r="V407">
            <v>130</v>
          </cell>
          <cell r="W407">
            <v>50</v>
          </cell>
          <cell r="X407">
            <v>30</v>
          </cell>
          <cell r="Y407">
            <v>45</v>
          </cell>
          <cell r="Z407">
            <v>250</v>
          </cell>
          <cell r="AA407">
            <v>170</v>
          </cell>
          <cell r="AB407">
            <v>75</v>
          </cell>
          <cell r="AC407">
            <v>35</v>
          </cell>
          <cell r="AD407">
            <v>45</v>
          </cell>
          <cell r="AE407">
            <v>0</v>
          </cell>
          <cell r="AF407">
            <v>150</v>
          </cell>
          <cell r="AG407">
            <v>125</v>
          </cell>
          <cell r="AH407">
            <v>95</v>
          </cell>
          <cell r="AI407">
            <v>25</v>
          </cell>
          <cell r="AJ407">
            <v>10</v>
          </cell>
          <cell r="AK407">
            <v>25</v>
          </cell>
          <cell r="AL407">
            <v>25</v>
          </cell>
          <cell r="AM407">
            <v>0</v>
          </cell>
          <cell r="AN407">
            <v>0</v>
          </cell>
          <cell r="AO407">
            <v>565</v>
          </cell>
          <cell r="AP407">
            <v>145</v>
          </cell>
          <cell r="AQ407">
            <v>175</v>
          </cell>
          <cell r="AR407">
            <v>40</v>
          </cell>
          <cell r="AS407">
            <v>105</v>
          </cell>
          <cell r="AT407">
            <v>100</v>
          </cell>
          <cell r="AU407">
            <v>0.9</v>
          </cell>
          <cell r="AV407">
            <v>2870</v>
          </cell>
          <cell r="AW407">
            <v>1180</v>
          </cell>
          <cell r="AX407">
            <v>130</v>
          </cell>
          <cell r="AY407">
            <v>335</v>
          </cell>
          <cell r="AZ407">
            <v>715</v>
          </cell>
          <cell r="BA407">
            <v>1695</v>
          </cell>
          <cell r="BB407">
            <v>2.6</v>
          </cell>
          <cell r="BC407">
            <v>290</v>
          </cell>
          <cell r="BD407">
            <v>140</v>
          </cell>
          <cell r="BE407">
            <v>20</v>
          </cell>
          <cell r="BF407">
            <v>0</v>
          </cell>
          <cell r="BG407">
            <v>125</v>
          </cell>
          <cell r="BH407">
            <v>145</v>
          </cell>
          <cell r="BI407">
            <v>1540</v>
          </cell>
          <cell r="BJ407">
            <v>4.5</v>
          </cell>
          <cell r="BK407">
            <v>6930</v>
          </cell>
          <cell r="BL407">
            <v>1.7</v>
          </cell>
          <cell r="BM407">
            <v>2618</v>
          </cell>
          <cell r="BN407">
            <v>1535</v>
          </cell>
          <cell r="BO407">
            <v>195</v>
          </cell>
          <cell r="BP407">
            <v>1345</v>
          </cell>
          <cell r="BQ407">
            <v>0</v>
          </cell>
          <cell r="BR407">
            <v>1540</v>
          </cell>
          <cell r="BS407">
            <v>750</v>
          </cell>
          <cell r="BT407">
            <v>595</v>
          </cell>
          <cell r="BU407">
            <v>200</v>
          </cell>
          <cell r="BV407">
            <v>1540</v>
          </cell>
          <cell r="BW407">
            <v>645</v>
          </cell>
          <cell r="BX407">
            <v>360</v>
          </cell>
          <cell r="BY407">
            <v>270</v>
          </cell>
          <cell r="BZ407">
            <v>150</v>
          </cell>
          <cell r="CA407">
            <v>20</v>
          </cell>
          <cell r="CB407">
            <v>20</v>
          </cell>
          <cell r="CC407">
            <v>15</v>
          </cell>
          <cell r="CD407">
            <v>35</v>
          </cell>
          <cell r="CE407">
            <v>25</v>
          </cell>
          <cell r="CF407">
            <v>1540</v>
          </cell>
          <cell r="CG407">
            <v>5</v>
          </cell>
          <cell r="CH407">
            <v>0</v>
          </cell>
          <cell r="CI407">
            <v>10</v>
          </cell>
          <cell r="CJ407">
            <v>110</v>
          </cell>
          <cell r="CK407">
            <v>45</v>
          </cell>
          <cell r="CL407">
            <v>1305</v>
          </cell>
          <cell r="CM407">
            <v>70</v>
          </cell>
          <cell r="CN407">
            <v>0</v>
          </cell>
          <cell r="CO407">
            <v>1540</v>
          </cell>
          <cell r="CP407">
            <v>715</v>
          </cell>
          <cell r="CQ407">
            <v>505</v>
          </cell>
          <cell r="CR407">
            <v>190</v>
          </cell>
          <cell r="CS407">
            <v>115</v>
          </cell>
          <cell r="CT407">
            <v>10</v>
          </cell>
          <cell r="CU407">
            <v>2870</v>
          </cell>
          <cell r="CV407">
            <v>1.9</v>
          </cell>
          <cell r="CW407">
            <v>1540</v>
          </cell>
          <cell r="CX407">
            <v>635</v>
          </cell>
          <cell r="CY407">
            <v>0</v>
          </cell>
          <cell r="CZ407">
            <v>900</v>
          </cell>
        </row>
        <row r="408">
          <cell r="A408" t="str">
            <v>4620219.00</v>
          </cell>
          <cell r="B408" t="str">
            <v>0219.00</v>
          </cell>
          <cell r="C408" t="str">
            <v>Rosemont-La Petite-Patrie</v>
          </cell>
          <cell r="D408">
            <v>2040</v>
          </cell>
          <cell r="E408">
            <v>1075</v>
          </cell>
          <cell r="F408">
            <v>610</v>
          </cell>
          <cell r="G408">
            <v>75</v>
          </cell>
          <cell r="H408">
            <v>185</v>
          </cell>
          <cell r="I408">
            <v>95</v>
          </cell>
          <cell r="J408">
            <v>2040</v>
          </cell>
          <cell r="K408">
            <v>1755</v>
          </cell>
          <cell r="L408">
            <v>285</v>
          </cell>
          <cell r="M408">
            <v>590</v>
          </cell>
          <cell r="N408">
            <v>295</v>
          </cell>
          <cell r="O408">
            <v>130</v>
          </cell>
          <cell r="P408">
            <v>105</v>
          </cell>
          <cell r="Q408">
            <v>55</v>
          </cell>
          <cell r="R408">
            <v>590</v>
          </cell>
          <cell r="S408">
            <v>435</v>
          </cell>
          <cell r="T408">
            <v>290</v>
          </cell>
          <cell r="U408">
            <v>130</v>
          </cell>
          <cell r="V408">
            <v>160</v>
          </cell>
          <cell r="W408">
            <v>40</v>
          </cell>
          <cell r="X408">
            <v>65</v>
          </cell>
          <cell r="Y408">
            <v>55</v>
          </cell>
          <cell r="Z408">
            <v>140</v>
          </cell>
          <cell r="AA408">
            <v>90</v>
          </cell>
          <cell r="AB408">
            <v>50</v>
          </cell>
          <cell r="AC408">
            <v>30</v>
          </cell>
          <cell r="AD408">
            <v>25</v>
          </cell>
          <cell r="AE408">
            <v>0</v>
          </cell>
          <cell r="AF408">
            <v>160</v>
          </cell>
          <cell r="AG408">
            <v>125</v>
          </cell>
          <cell r="AH408">
            <v>45</v>
          </cell>
          <cell r="AI408">
            <v>60</v>
          </cell>
          <cell r="AJ408">
            <v>20</v>
          </cell>
          <cell r="AK408">
            <v>35</v>
          </cell>
          <cell r="AL408">
            <v>35</v>
          </cell>
          <cell r="AM408">
            <v>0</v>
          </cell>
          <cell r="AN408">
            <v>0</v>
          </cell>
          <cell r="AO408">
            <v>695</v>
          </cell>
          <cell r="AP408">
            <v>140</v>
          </cell>
          <cell r="AQ408">
            <v>210</v>
          </cell>
          <cell r="AR408">
            <v>80</v>
          </cell>
          <cell r="AS408">
            <v>185</v>
          </cell>
          <cell r="AT408">
            <v>80</v>
          </cell>
          <cell r="AU408">
            <v>1.2</v>
          </cell>
          <cell r="AV408">
            <v>2380</v>
          </cell>
          <cell r="AW408">
            <v>660</v>
          </cell>
          <cell r="AX408">
            <v>75</v>
          </cell>
          <cell r="AY408">
            <v>155</v>
          </cell>
          <cell r="AZ408">
            <v>425</v>
          </cell>
          <cell r="BA408">
            <v>1720</v>
          </cell>
          <cell r="BB408">
            <v>2.9</v>
          </cell>
          <cell r="BC408">
            <v>230</v>
          </cell>
          <cell r="BD408">
            <v>80</v>
          </cell>
          <cell r="BE408">
            <v>25</v>
          </cell>
          <cell r="BF408">
            <v>0</v>
          </cell>
          <cell r="BG408">
            <v>50</v>
          </cell>
          <cell r="BH408">
            <v>150</v>
          </cell>
          <cell r="BI408">
            <v>1095</v>
          </cell>
          <cell r="BJ408">
            <v>4.3</v>
          </cell>
          <cell r="BK408">
            <v>4708.5</v>
          </cell>
          <cell r="BL408">
            <v>1.7</v>
          </cell>
          <cell r="BM408">
            <v>1861.5</v>
          </cell>
          <cell r="BN408">
            <v>1095</v>
          </cell>
          <cell r="BO408">
            <v>265</v>
          </cell>
          <cell r="BP408">
            <v>830</v>
          </cell>
          <cell r="BQ408">
            <v>0</v>
          </cell>
          <cell r="BR408">
            <v>1095</v>
          </cell>
          <cell r="BS408">
            <v>635</v>
          </cell>
          <cell r="BT408">
            <v>310</v>
          </cell>
          <cell r="BU408">
            <v>150</v>
          </cell>
          <cell r="BV408">
            <v>1095</v>
          </cell>
          <cell r="BW408">
            <v>500</v>
          </cell>
          <cell r="BX408">
            <v>230</v>
          </cell>
          <cell r="BY408">
            <v>125</v>
          </cell>
          <cell r="BZ408">
            <v>85</v>
          </cell>
          <cell r="CA408">
            <v>35</v>
          </cell>
          <cell r="CB408">
            <v>20</v>
          </cell>
          <cell r="CC408">
            <v>0</v>
          </cell>
          <cell r="CD408">
            <v>45</v>
          </cell>
          <cell r="CE408">
            <v>55</v>
          </cell>
          <cell r="CF408">
            <v>1095</v>
          </cell>
          <cell r="CG408">
            <v>0</v>
          </cell>
          <cell r="CH408">
            <v>0</v>
          </cell>
          <cell r="CI408">
            <v>5</v>
          </cell>
          <cell r="CJ408">
            <v>0</v>
          </cell>
          <cell r="CK408">
            <v>0</v>
          </cell>
          <cell r="CL408">
            <v>1060</v>
          </cell>
          <cell r="CM408">
            <v>20</v>
          </cell>
          <cell r="CN408">
            <v>0</v>
          </cell>
          <cell r="CO408">
            <v>1100</v>
          </cell>
          <cell r="CP408">
            <v>445</v>
          </cell>
          <cell r="CQ408">
            <v>320</v>
          </cell>
          <cell r="CR408">
            <v>150</v>
          </cell>
          <cell r="CS408">
            <v>160</v>
          </cell>
          <cell r="CT408">
            <v>25</v>
          </cell>
          <cell r="CU408">
            <v>2380</v>
          </cell>
          <cell r="CV408">
            <v>2.2000000000000002</v>
          </cell>
          <cell r="CW408">
            <v>1095</v>
          </cell>
          <cell r="CX408">
            <v>580</v>
          </cell>
          <cell r="CY408">
            <v>0</v>
          </cell>
          <cell r="CZ408">
            <v>510</v>
          </cell>
        </row>
        <row r="409">
          <cell r="A409" t="str">
            <v>4620247.00</v>
          </cell>
          <cell r="B409" t="str">
            <v>0247.00</v>
          </cell>
          <cell r="C409" t="str">
            <v>Rosemont-La Petite-Patrie</v>
          </cell>
          <cell r="D409">
            <v>1930</v>
          </cell>
          <cell r="E409">
            <v>1245</v>
          </cell>
          <cell r="F409">
            <v>385</v>
          </cell>
          <cell r="G409">
            <v>35</v>
          </cell>
          <cell r="H409">
            <v>175</v>
          </cell>
          <cell r="I409">
            <v>85</v>
          </cell>
          <cell r="J409">
            <v>1925</v>
          </cell>
          <cell r="K409">
            <v>1450</v>
          </cell>
          <cell r="L409">
            <v>475</v>
          </cell>
          <cell r="M409">
            <v>520</v>
          </cell>
          <cell r="N409">
            <v>325</v>
          </cell>
          <cell r="O409">
            <v>105</v>
          </cell>
          <cell r="P409">
            <v>55</v>
          </cell>
          <cell r="Q409">
            <v>35</v>
          </cell>
          <cell r="R409">
            <v>520</v>
          </cell>
          <cell r="S409">
            <v>420</v>
          </cell>
          <cell r="T409">
            <v>190</v>
          </cell>
          <cell r="U409">
            <v>60</v>
          </cell>
          <cell r="V409">
            <v>130</v>
          </cell>
          <cell r="W409">
            <v>70</v>
          </cell>
          <cell r="X409">
            <v>35</v>
          </cell>
          <cell r="Y409">
            <v>20</v>
          </cell>
          <cell r="Z409">
            <v>230</v>
          </cell>
          <cell r="AA409">
            <v>175</v>
          </cell>
          <cell r="AB409">
            <v>55</v>
          </cell>
          <cell r="AC409">
            <v>25</v>
          </cell>
          <cell r="AD409">
            <v>10</v>
          </cell>
          <cell r="AE409">
            <v>15</v>
          </cell>
          <cell r="AF409">
            <v>100</v>
          </cell>
          <cell r="AG409">
            <v>75</v>
          </cell>
          <cell r="AH409">
            <v>65</v>
          </cell>
          <cell r="AI409">
            <v>10</v>
          </cell>
          <cell r="AJ409">
            <v>0</v>
          </cell>
          <cell r="AK409">
            <v>30</v>
          </cell>
          <cell r="AL409">
            <v>25</v>
          </cell>
          <cell r="AM409">
            <v>0</v>
          </cell>
          <cell r="AN409">
            <v>0</v>
          </cell>
          <cell r="AO409">
            <v>425</v>
          </cell>
          <cell r="AP409">
            <v>150</v>
          </cell>
          <cell r="AQ409">
            <v>140</v>
          </cell>
          <cell r="AR409">
            <v>40</v>
          </cell>
          <cell r="AS409">
            <v>50</v>
          </cell>
          <cell r="AT409">
            <v>35</v>
          </cell>
          <cell r="AU409">
            <v>0.8</v>
          </cell>
          <cell r="AV409">
            <v>2205</v>
          </cell>
          <cell r="AW409">
            <v>840</v>
          </cell>
          <cell r="AX409">
            <v>95</v>
          </cell>
          <cell r="AY409">
            <v>205</v>
          </cell>
          <cell r="AZ409">
            <v>545</v>
          </cell>
          <cell r="BA409">
            <v>1360</v>
          </cell>
          <cell r="BB409">
            <v>2.6</v>
          </cell>
          <cell r="BC409">
            <v>220</v>
          </cell>
          <cell r="BD409">
            <v>125</v>
          </cell>
          <cell r="BE409">
            <v>10</v>
          </cell>
          <cell r="BF409">
            <v>0</v>
          </cell>
          <cell r="BG409">
            <v>115</v>
          </cell>
          <cell r="BH409">
            <v>100</v>
          </cell>
          <cell r="BI409">
            <v>1160</v>
          </cell>
          <cell r="BJ409">
            <v>4.8</v>
          </cell>
          <cell r="BK409">
            <v>5568</v>
          </cell>
          <cell r="BL409">
            <v>1.8</v>
          </cell>
          <cell r="BM409">
            <v>2088</v>
          </cell>
          <cell r="BN409">
            <v>1160</v>
          </cell>
          <cell r="BO409">
            <v>370</v>
          </cell>
          <cell r="BP409">
            <v>795</v>
          </cell>
          <cell r="BQ409">
            <v>0</v>
          </cell>
          <cell r="BR409">
            <v>1160</v>
          </cell>
          <cell r="BS409">
            <v>590</v>
          </cell>
          <cell r="BT409">
            <v>455</v>
          </cell>
          <cell r="BU409">
            <v>110</v>
          </cell>
          <cell r="BV409">
            <v>1160</v>
          </cell>
          <cell r="BW409">
            <v>615</v>
          </cell>
          <cell r="BX409">
            <v>295</v>
          </cell>
          <cell r="BY409">
            <v>90</v>
          </cell>
          <cell r="BZ409">
            <v>60</v>
          </cell>
          <cell r="CA409">
            <v>25</v>
          </cell>
          <cell r="CB409">
            <v>10</v>
          </cell>
          <cell r="CC409">
            <v>10</v>
          </cell>
          <cell r="CD409">
            <v>20</v>
          </cell>
          <cell r="CE409">
            <v>30</v>
          </cell>
          <cell r="CF409">
            <v>1160</v>
          </cell>
          <cell r="CG409">
            <v>5</v>
          </cell>
          <cell r="CH409">
            <v>5</v>
          </cell>
          <cell r="CI409">
            <v>10</v>
          </cell>
          <cell r="CJ409">
            <v>205</v>
          </cell>
          <cell r="CK409">
            <v>0</v>
          </cell>
          <cell r="CL409">
            <v>925</v>
          </cell>
          <cell r="CM409">
            <v>20</v>
          </cell>
          <cell r="CN409">
            <v>0</v>
          </cell>
          <cell r="CO409">
            <v>1160</v>
          </cell>
          <cell r="CP409">
            <v>525</v>
          </cell>
          <cell r="CQ409">
            <v>385</v>
          </cell>
          <cell r="CR409">
            <v>140</v>
          </cell>
          <cell r="CS409">
            <v>105</v>
          </cell>
          <cell r="CT409">
            <v>10</v>
          </cell>
          <cell r="CU409">
            <v>2200</v>
          </cell>
          <cell r="CV409">
            <v>1.9</v>
          </cell>
          <cell r="CW409">
            <v>1160</v>
          </cell>
          <cell r="CX409">
            <v>485</v>
          </cell>
          <cell r="CY409">
            <v>15</v>
          </cell>
          <cell r="CZ409">
            <v>660</v>
          </cell>
        </row>
        <row r="410">
          <cell r="C410" t="str">
            <v>Rosemont-La Petite-Patrie</v>
          </cell>
          <cell r="D410">
            <v>117100</v>
          </cell>
          <cell r="E410">
            <v>65490</v>
          </cell>
          <cell r="F410">
            <v>27610</v>
          </cell>
          <cell r="G410">
            <v>3035</v>
          </cell>
          <cell r="H410">
            <v>12975</v>
          </cell>
          <cell r="I410">
            <v>7975</v>
          </cell>
          <cell r="J410">
            <v>117070</v>
          </cell>
          <cell r="K410">
            <v>94320</v>
          </cell>
          <cell r="L410">
            <v>22730</v>
          </cell>
          <cell r="M410">
            <v>32040</v>
          </cell>
          <cell r="N410">
            <v>19215</v>
          </cell>
          <cell r="O410">
            <v>7020</v>
          </cell>
          <cell r="P410">
            <v>4370</v>
          </cell>
          <cell r="Q410">
            <v>1395</v>
          </cell>
          <cell r="R410">
            <v>32040</v>
          </cell>
          <cell r="S410">
            <v>24630</v>
          </cell>
          <cell r="T410">
            <v>13270</v>
          </cell>
          <cell r="U410">
            <v>6705</v>
          </cell>
          <cell r="V410">
            <v>6565</v>
          </cell>
          <cell r="W410">
            <v>3215</v>
          </cell>
          <cell r="X410">
            <v>2325</v>
          </cell>
          <cell r="Y410">
            <v>980</v>
          </cell>
          <cell r="Z410">
            <v>11335</v>
          </cell>
          <cell r="AA410">
            <v>7305</v>
          </cell>
          <cell r="AB410">
            <v>3995</v>
          </cell>
          <cell r="AC410">
            <v>2025</v>
          </cell>
          <cell r="AD410">
            <v>1625</v>
          </cell>
          <cell r="AE410">
            <v>315</v>
          </cell>
          <cell r="AF410">
            <v>7395</v>
          </cell>
          <cell r="AG410">
            <v>5945</v>
          </cell>
          <cell r="AH410">
            <v>4025</v>
          </cell>
          <cell r="AI410">
            <v>1515</v>
          </cell>
          <cell r="AJ410">
            <v>405</v>
          </cell>
          <cell r="AK410">
            <v>1430</v>
          </cell>
          <cell r="AL410">
            <v>1105</v>
          </cell>
          <cell r="AM410">
            <v>240</v>
          </cell>
          <cell r="AN410">
            <v>55</v>
          </cell>
          <cell r="AO410">
            <v>27745</v>
          </cell>
          <cell r="AP410">
            <v>7045</v>
          </cell>
          <cell r="AQ410">
            <v>9395</v>
          </cell>
          <cell r="AR410">
            <v>3190</v>
          </cell>
          <cell r="AS410">
            <v>4720</v>
          </cell>
          <cell r="AT410">
            <v>3310</v>
          </cell>
          <cell r="AU410">
            <v>0.86594881398252188</v>
          </cell>
          <cell r="AV410">
            <v>130540</v>
          </cell>
          <cell r="AW410">
            <v>46090</v>
          </cell>
          <cell r="AX410">
            <v>3245</v>
          </cell>
          <cell r="AY410">
            <v>9410</v>
          </cell>
          <cell r="AZ410">
            <v>33400</v>
          </cell>
          <cell r="BA410">
            <v>84450</v>
          </cell>
          <cell r="BB410">
            <v>2.6357677902621721</v>
          </cell>
          <cell r="BC410">
            <v>18690</v>
          </cell>
          <cell r="BD410">
            <v>9635</v>
          </cell>
          <cell r="BE410">
            <v>790</v>
          </cell>
          <cell r="BF410">
            <v>475</v>
          </cell>
          <cell r="BG410">
            <v>8390</v>
          </cell>
          <cell r="BH410">
            <v>9015</v>
          </cell>
          <cell r="BI410">
            <v>70025</v>
          </cell>
          <cell r="BJ410">
            <v>4.430689039628704</v>
          </cell>
          <cell r="BK410">
            <v>310259</v>
          </cell>
          <cell r="BL410">
            <v>1.7300321313816494</v>
          </cell>
          <cell r="BM410">
            <v>121145.5</v>
          </cell>
          <cell r="BN410">
            <v>70020</v>
          </cell>
          <cell r="BO410">
            <v>18990</v>
          </cell>
          <cell r="BP410">
            <v>51030</v>
          </cell>
          <cell r="BQ410">
            <v>0</v>
          </cell>
          <cell r="BR410">
            <v>70035</v>
          </cell>
          <cell r="BS410">
            <v>41035</v>
          </cell>
          <cell r="BT410">
            <v>21735</v>
          </cell>
          <cell r="BU410">
            <v>7250</v>
          </cell>
          <cell r="BV410">
            <v>70050</v>
          </cell>
          <cell r="BW410">
            <v>19710</v>
          </cell>
          <cell r="BX410">
            <v>23795</v>
          </cell>
          <cell r="BY410">
            <v>9675</v>
          </cell>
          <cell r="BZ410">
            <v>5565</v>
          </cell>
          <cell r="CA410">
            <v>2580</v>
          </cell>
          <cell r="CB410">
            <v>3475</v>
          </cell>
          <cell r="CC410">
            <v>1300</v>
          </cell>
          <cell r="CD410">
            <v>1660</v>
          </cell>
          <cell r="CE410">
            <v>2125</v>
          </cell>
          <cell r="CF410">
            <v>70085</v>
          </cell>
          <cell r="CG410">
            <v>940</v>
          </cell>
          <cell r="CH410">
            <v>560</v>
          </cell>
          <cell r="CI410">
            <v>1575</v>
          </cell>
          <cell r="CJ410">
            <v>10580</v>
          </cell>
          <cell r="CK410">
            <v>3300</v>
          </cell>
          <cell r="CL410">
            <v>52400</v>
          </cell>
          <cell r="CM410">
            <v>720</v>
          </cell>
          <cell r="CN410">
            <v>35</v>
          </cell>
          <cell r="CO410">
            <v>70080</v>
          </cell>
          <cell r="CP410">
            <v>33450</v>
          </cell>
          <cell r="CQ410">
            <v>22005</v>
          </cell>
          <cell r="CR410">
            <v>8100</v>
          </cell>
          <cell r="CS410">
            <v>6010</v>
          </cell>
          <cell r="CT410">
            <v>520</v>
          </cell>
          <cell r="CU410">
            <v>130570</v>
          </cell>
          <cell r="CV410">
            <v>1.863156392694064</v>
          </cell>
          <cell r="CW410">
            <v>70045</v>
          </cell>
          <cell r="CX410">
            <v>31300</v>
          </cell>
          <cell r="CY410">
            <v>340</v>
          </cell>
          <cell r="CZ410">
            <v>38375</v>
          </cell>
        </row>
        <row r="413">
          <cell r="A413" t="str">
            <v>4620490.00</v>
          </cell>
          <cell r="B413" t="str">
            <v>0490.00</v>
          </cell>
          <cell r="C413" t="str">
            <v>SAINTE-ANNE-DE-BELLEVUE</v>
          </cell>
          <cell r="D413">
            <v>2255</v>
          </cell>
          <cell r="E413">
            <v>1055</v>
          </cell>
          <cell r="F413">
            <v>770</v>
          </cell>
          <cell r="G413">
            <v>50</v>
          </cell>
          <cell r="H413">
            <v>225</v>
          </cell>
          <cell r="I413">
            <v>155</v>
          </cell>
          <cell r="J413">
            <v>2255</v>
          </cell>
          <cell r="K413">
            <v>1950</v>
          </cell>
          <cell r="L413">
            <v>310</v>
          </cell>
          <cell r="M413">
            <v>655</v>
          </cell>
          <cell r="N413">
            <v>385</v>
          </cell>
          <cell r="O413">
            <v>140</v>
          </cell>
          <cell r="P413">
            <v>80</v>
          </cell>
          <cell r="Q413">
            <v>45</v>
          </cell>
          <cell r="R413">
            <v>655</v>
          </cell>
          <cell r="S413">
            <v>525</v>
          </cell>
          <cell r="T413">
            <v>360</v>
          </cell>
          <cell r="U413">
            <v>170</v>
          </cell>
          <cell r="V413">
            <v>190</v>
          </cell>
          <cell r="W413">
            <v>90</v>
          </cell>
          <cell r="X413">
            <v>60</v>
          </cell>
          <cell r="Y413">
            <v>40</v>
          </cell>
          <cell r="Z413">
            <v>165</v>
          </cell>
          <cell r="AA413">
            <v>110</v>
          </cell>
          <cell r="AB413">
            <v>55</v>
          </cell>
          <cell r="AC413">
            <v>35</v>
          </cell>
          <cell r="AD413">
            <v>20</v>
          </cell>
          <cell r="AE413">
            <v>0</v>
          </cell>
          <cell r="AF413">
            <v>125</v>
          </cell>
          <cell r="AG413">
            <v>105</v>
          </cell>
          <cell r="AH413">
            <v>85</v>
          </cell>
          <cell r="AI413">
            <v>15</v>
          </cell>
          <cell r="AJ413">
            <v>10</v>
          </cell>
          <cell r="AK413">
            <v>20</v>
          </cell>
          <cell r="AL413">
            <v>20</v>
          </cell>
          <cell r="AM413">
            <v>0</v>
          </cell>
          <cell r="AN413">
            <v>0</v>
          </cell>
          <cell r="AO413">
            <v>590</v>
          </cell>
          <cell r="AP413">
            <v>100</v>
          </cell>
          <cell r="AQ413">
            <v>225</v>
          </cell>
          <cell r="AR413">
            <v>80</v>
          </cell>
          <cell r="AS413">
            <v>105</v>
          </cell>
          <cell r="AT413">
            <v>70</v>
          </cell>
          <cell r="AU413">
            <v>0.9</v>
          </cell>
          <cell r="AV413">
            <v>2575</v>
          </cell>
          <cell r="AW413">
            <v>800</v>
          </cell>
          <cell r="AX413">
            <v>50</v>
          </cell>
          <cell r="AY413">
            <v>205</v>
          </cell>
          <cell r="AZ413">
            <v>545</v>
          </cell>
          <cell r="BA413">
            <v>1775</v>
          </cell>
          <cell r="BB413">
            <v>2.7</v>
          </cell>
          <cell r="BC413">
            <v>375</v>
          </cell>
          <cell r="BD413">
            <v>200</v>
          </cell>
          <cell r="BE413">
            <v>10</v>
          </cell>
          <cell r="BF413">
            <v>20</v>
          </cell>
          <cell r="BG413">
            <v>170</v>
          </cell>
          <cell r="BH413">
            <v>175</v>
          </cell>
          <cell r="BI413">
            <v>1305</v>
          </cell>
          <cell r="BJ413">
            <v>5.3</v>
          </cell>
          <cell r="BK413">
            <v>6916.5</v>
          </cell>
          <cell r="BL413">
            <v>2.2999999999999998</v>
          </cell>
          <cell r="BM413">
            <v>3001.4999999999995</v>
          </cell>
          <cell r="BN413">
            <v>1305</v>
          </cell>
          <cell r="BO413">
            <v>505</v>
          </cell>
          <cell r="BP413">
            <v>800</v>
          </cell>
          <cell r="BQ413">
            <v>0</v>
          </cell>
          <cell r="BR413">
            <v>1310</v>
          </cell>
          <cell r="BS413">
            <v>720</v>
          </cell>
          <cell r="BT413">
            <v>370</v>
          </cell>
          <cell r="BU413">
            <v>220</v>
          </cell>
          <cell r="BV413">
            <v>1305</v>
          </cell>
          <cell r="BW413">
            <v>530</v>
          </cell>
          <cell r="BX413">
            <v>245</v>
          </cell>
          <cell r="BY413">
            <v>200</v>
          </cell>
          <cell r="BZ413">
            <v>75</v>
          </cell>
          <cell r="CA413">
            <v>50</v>
          </cell>
          <cell r="CB413">
            <v>30</v>
          </cell>
          <cell r="CC413">
            <v>60</v>
          </cell>
          <cell r="CD413">
            <v>40</v>
          </cell>
          <cell r="CE413">
            <v>75</v>
          </cell>
          <cell r="CF413">
            <v>1305</v>
          </cell>
          <cell r="CG413">
            <v>200</v>
          </cell>
          <cell r="CH413">
            <v>155</v>
          </cell>
          <cell r="CI413">
            <v>125</v>
          </cell>
          <cell r="CJ413">
            <v>140</v>
          </cell>
          <cell r="CK413">
            <v>75</v>
          </cell>
          <cell r="CL413">
            <v>565</v>
          </cell>
          <cell r="CM413">
            <v>40</v>
          </cell>
          <cell r="CN413">
            <v>0</v>
          </cell>
          <cell r="CO413">
            <v>1305</v>
          </cell>
          <cell r="CP413">
            <v>555</v>
          </cell>
          <cell r="CQ413">
            <v>450</v>
          </cell>
          <cell r="CR413">
            <v>155</v>
          </cell>
          <cell r="CS413">
            <v>135</v>
          </cell>
          <cell r="CT413">
            <v>15</v>
          </cell>
          <cell r="CU413">
            <v>2575</v>
          </cell>
          <cell r="CV413">
            <v>2</v>
          </cell>
          <cell r="CW413">
            <v>1305</v>
          </cell>
          <cell r="CX413">
            <v>655</v>
          </cell>
          <cell r="CY413">
            <v>0</v>
          </cell>
          <cell r="CZ413">
            <v>655</v>
          </cell>
        </row>
        <row r="414">
          <cell r="A414" t="str">
            <v>4620491.00</v>
          </cell>
          <cell r="B414" t="str">
            <v>0491.00</v>
          </cell>
          <cell r="C414" t="str">
            <v>SAINTE-ANNE-DE-BELLEVUE</v>
          </cell>
          <cell r="D414">
            <v>1940</v>
          </cell>
          <cell r="E414">
            <v>475</v>
          </cell>
          <cell r="F414">
            <v>1105</v>
          </cell>
          <cell r="G414">
            <v>45</v>
          </cell>
          <cell r="H414">
            <v>160</v>
          </cell>
          <cell r="I414">
            <v>160</v>
          </cell>
          <cell r="J414">
            <v>1940</v>
          </cell>
          <cell r="K414">
            <v>1745</v>
          </cell>
          <cell r="L414">
            <v>195</v>
          </cell>
          <cell r="M414">
            <v>620</v>
          </cell>
          <cell r="N414">
            <v>160</v>
          </cell>
          <cell r="O414">
            <v>155</v>
          </cell>
          <cell r="P414">
            <v>240</v>
          </cell>
          <cell r="Q414">
            <v>70</v>
          </cell>
          <cell r="R414">
            <v>625</v>
          </cell>
          <cell r="S414">
            <v>575</v>
          </cell>
          <cell r="T414">
            <v>485</v>
          </cell>
          <cell r="U414">
            <v>80</v>
          </cell>
          <cell r="V414">
            <v>400</v>
          </cell>
          <cell r="W414">
            <v>115</v>
          </cell>
          <cell r="X414">
            <v>225</v>
          </cell>
          <cell r="Y414">
            <v>60</v>
          </cell>
          <cell r="Z414">
            <v>95</v>
          </cell>
          <cell r="AA414">
            <v>40</v>
          </cell>
          <cell r="AB414">
            <v>55</v>
          </cell>
          <cell r="AC414">
            <v>40</v>
          </cell>
          <cell r="AD414">
            <v>10</v>
          </cell>
          <cell r="AE414">
            <v>10</v>
          </cell>
          <cell r="AF414">
            <v>50</v>
          </cell>
          <cell r="AG414">
            <v>30</v>
          </cell>
          <cell r="AH414">
            <v>25</v>
          </cell>
          <cell r="AI414">
            <v>0</v>
          </cell>
          <cell r="AJ414">
            <v>0</v>
          </cell>
          <cell r="AK414">
            <v>15</v>
          </cell>
          <cell r="AL414">
            <v>15</v>
          </cell>
          <cell r="AM414">
            <v>0</v>
          </cell>
          <cell r="AN414">
            <v>0</v>
          </cell>
          <cell r="AO414">
            <v>885</v>
          </cell>
          <cell r="AP414">
            <v>225</v>
          </cell>
          <cell r="AQ414">
            <v>480</v>
          </cell>
          <cell r="AR414">
            <v>65</v>
          </cell>
          <cell r="AS414">
            <v>90</v>
          </cell>
          <cell r="AT414">
            <v>25</v>
          </cell>
          <cell r="AU414">
            <v>1.4</v>
          </cell>
          <cell r="AV414">
            <v>2180</v>
          </cell>
          <cell r="AW414">
            <v>95</v>
          </cell>
          <cell r="AX414">
            <v>10</v>
          </cell>
          <cell r="AY414">
            <v>10</v>
          </cell>
          <cell r="AZ414">
            <v>80</v>
          </cell>
          <cell r="BA414">
            <v>2085</v>
          </cell>
          <cell r="BB414">
            <v>3.4</v>
          </cell>
          <cell r="BC414">
            <v>75</v>
          </cell>
          <cell r="BD414">
            <v>25</v>
          </cell>
          <cell r="BE414">
            <v>10</v>
          </cell>
          <cell r="BF414">
            <v>0</v>
          </cell>
          <cell r="BG414">
            <v>15</v>
          </cell>
          <cell r="BH414">
            <v>55</v>
          </cell>
          <cell r="BI414">
            <v>700</v>
          </cell>
          <cell r="BJ414">
            <v>7.8</v>
          </cell>
          <cell r="BK414">
            <v>5460</v>
          </cell>
          <cell r="BL414">
            <v>3.1</v>
          </cell>
          <cell r="BM414">
            <v>2170</v>
          </cell>
          <cell r="BN414">
            <v>700</v>
          </cell>
          <cell r="BO414">
            <v>635</v>
          </cell>
          <cell r="BP414">
            <v>65</v>
          </cell>
          <cell r="BQ414">
            <v>0</v>
          </cell>
          <cell r="BR414">
            <v>705</v>
          </cell>
          <cell r="BS414">
            <v>475</v>
          </cell>
          <cell r="BT414">
            <v>200</v>
          </cell>
          <cell r="BU414">
            <v>20</v>
          </cell>
          <cell r="BV414">
            <v>700</v>
          </cell>
          <cell r="BW414">
            <v>40</v>
          </cell>
          <cell r="BX414">
            <v>45</v>
          </cell>
          <cell r="BY414">
            <v>40</v>
          </cell>
          <cell r="BZ414">
            <v>35</v>
          </cell>
          <cell r="CA414">
            <v>115</v>
          </cell>
          <cell r="CB414">
            <v>35</v>
          </cell>
          <cell r="CC414">
            <v>295</v>
          </cell>
          <cell r="CD414">
            <v>80</v>
          </cell>
          <cell r="CE414">
            <v>10</v>
          </cell>
          <cell r="CF414">
            <v>700</v>
          </cell>
          <cell r="CG414">
            <v>625</v>
          </cell>
          <cell r="CH414">
            <v>30</v>
          </cell>
          <cell r="CI414">
            <v>25</v>
          </cell>
          <cell r="CJ414">
            <v>0</v>
          </cell>
          <cell r="CK414">
            <v>0</v>
          </cell>
          <cell r="CL414">
            <v>25</v>
          </cell>
          <cell r="CM414">
            <v>0</v>
          </cell>
          <cell r="CN414">
            <v>0</v>
          </cell>
          <cell r="CO414">
            <v>705</v>
          </cell>
          <cell r="CP414">
            <v>85</v>
          </cell>
          <cell r="CQ414">
            <v>160</v>
          </cell>
          <cell r="CR414">
            <v>155</v>
          </cell>
          <cell r="CS414">
            <v>290</v>
          </cell>
          <cell r="CT414">
            <v>15</v>
          </cell>
          <cell r="CU414">
            <v>2170</v>
          </cell>
          <cell r="CV414">
            <v>3.1</v>
          </cell>
          <cell r="CW414">
            <v>700</v>
          </cell>
          <cell r="CX414">
            <v>625</v>
          </cell>
          <cell r="CY414">
            <v>0</v>
          </cell>
          <cell r="CZ414">
            <v>75</v>
          </cell>
        </row>
        <row r="415">
          <cell r="C415" t="str">
            <v>SAINTE-ANNE-DE-BELLEVUE</v>
          </cell>
          <cell r="D415">
            <v>4195</v>
          </cell>
          <cell r="E415">
            <v>1530</v>
          </cell>
          <cell r="F415">
            <v>1875</v>
          </cell>
          <cell r="G415">
            <v>95</v>
          </cell>
          <cell r="H415">
            <v>385</v>
          </cell>
          <cell r="I415">
            <v>315</v>
          </cell>
          <cell r="J415">
            <v>4195</v>
          </cell>
          <cell r="K415">
            <v>3695</v>
          </cell>
          <cell r="L415">
            <v>505</v>
          </cell>
          <cell r="M415">
            <v>1275</v>
          </cell>
          <cell r="N415">
            <v>545</v>
          </cell>
          <cell r="O415">
            <v>295</v>
          </cell>
          <cell r="P415">
            <v>320</v>
          </cell>
          <cell r="Q415">
            <v>115</v>
          </cell>
          <cell r="R415">
            <v>1280</v>
          </cell>
          <cell r="S415">
            <v>1100</v>
          </cell>
          <cell r="T415">
            <v>845</v>
          </cell>
          <cell r="U415">
            <v>250</v>
          </cell>
          <cell r="V415">
            <v>590</v>
          </cell>
          <cell r="W415">
            <v>205</v>
          </cell>
          <cell r="X415">
            <v>285</v>
          </cell>
          <cell r="Y415">
            <v>100</v>
          </cell>
          <cell r="Z415">
            <v>260</v>
          </cell>
          <cell r="AA415">
            <v>150</v>
          </cell>
          <cell r="AB415">
            <v>110</v>
          </cell>
          <cell r="AC415">
            <v>75</v>
          </cell>
          <cell r="AD415">
            <v>30</v>
          </cell>
          <cell r="AE415">
            <v>10</v>
          </cell>
          <cell r="AF415">
            <v>175</v>
          </cell>
          <cell r="AG415">
            <v>135</v>
          </cell>
          <cell r="AH415">
            <v>110</v>
          </cell>
          <cell r="AI415">
            <v>15</v>
          </cell>
          <cell r="AJ415">
            <v>10</v>
          </cell>
          <cell r="AK415">
            <v>35</v>
          </cell>
          <cell r="AL415">
            <v>35</v>
          </cell>
          <cell r="AM415">
            <v>0</v>
          </cell>
          <cell r="AN415">
            <v>0</v>
          </cell>
          <cell r="AO415">
            <v>1475</v>
          </cell>
          <cell r="AP415">
            <v>325</v>
          </cell>
          <cell r="AQ415">
            <v>705</v>
          </cell>
          <cell r="AR415">
            <v>145</v>
          </cell>
          <cell r="AS415">
            <v>195</v>
          </cell>
          <cell r="AT415">
            <v>95</v>
          </cell>
          <cell r="AU415">
            <v>1.15234375</v>
          </cell>
          <cell r="AV415">
            <v>4755</v>
          </cell>
          <cell r="AW415">
            <v>895</v>
          </cell>
          <cell r="AX415">
            <v>60</v>
          </cell>
          <cell r="AY415">
            <v>215</v>
          </cell>
          <cell r="AZ415">
            <v>625</v>
          </cell>
          <cell r="BA415">
            <v>3860</v>
          </cell>
          <cell r="BB415">
            <v>3.015625</v>
          </cell>
          <cell r="BC415">
            <v>450</v>
          </cell>
          <cell r="BD415">
            <v>225</v>
          </cell>
          <cell r="BE415">
            <v>20</v>
          </cell>
          <cell r="BF415">
            <v>20</v>
          </cell>
          <cell r="BG415">
            <v>185</v>
          </cell>
          <cell r="BH415">
            <v>230</v>
          </cell>
          <cell r="BI415">
            <v>2005</v>
          </cell>
          <cell r="BJ415">
            <v>6.1728179551122198</v>
          </cell>
          <cell r="BK415">
            <v>12376.5</v>
          </cell>
          <cell r="BL415">
            <v>2.5793017456359104</v>
          </cell>
          <cell r="BM415">
            <v>5171.5</v>
          </cell>
          <cell r="BN415">
            <v>2005</v>
          </cell>
          <cell r="BO415">
            <v>1140</v>
          </cell>
          <cell r="BP415">
            <v>865</v>
          </cell>
          <cell r="BQ415">
            <v>0</v>
          </cell>
          <cell r="BR415">
            <v>2015</v>
          </cell>
          <cell r="BS415">
            <v>1195</v>
          </cell>
          <cell r="BT415">
            <v>570</v>
          </cell>
          <cell r="BU415">
            <v>240</v>
          </cell>
          <cell r="BV415">
            <v>2005</v>
          </cell>
          <cell r="BW415">
            <v>570</v>
          </cell>
          <cell r="BX415">
            <v>290</v>
          </cell>
          <cell r="BY415">
            <v>240</v>
          </cell>
          <cell r="BZ415">
            <v>110</v>
          </cell>
          <cell r="CA415">
            <v>165</v>
          </cell>
          <cell r="CB415">
            <v>65</v>
          </cell>
          <cell r="CC415">
            <v>355</v>
          </cell>
          <cell r="CD415">
            <v>120</v>
          </cell>
          <cell r="CE415">
            <v>85</v>
          </cell>
          <cell r="CF415">
            <v>2005</v>
          </cell>
          <cell r="CG415">
            <v>825</v>
          </cell>
          <cell r="CH415">
            <v>185</v>
          </cell>
          <cell r="CI415">
            <v>150</v>
          </cell>
          <cell r="CJ415">
            <v>140</v>
          </cell>
          <cell r="CK415">
            <v>75</v>
          </cell>
          <cell r="CL415">
            <v>590</v>
          </cell>
          <cell r="CM415">
            <v>40</v>
          </cell>
          <cell r="CN415">
            <v>0</v>
          </cell>
          <cell r="CO415">
            <v>2010</v>
          </cell>
          <cell r="CP415">
            <v>640</v>
          </cell>
          <cell r="CQ415">
            <v>610</v>
          </cell>
          <cell r="CR415">
            <v>310</v>
          </cell>
          <cell r="CS415">
            <v>425</v>
          </cell>
          <cell r="CT415">
            <v>30</v>
          </cell>
          <cell r="CU415">
            <v>4745</v>
          </cell>
          <cell r="CV415">
            <v>2.3606965174129355</v>
          </cell>
          <cell r="CW415">
            <v>2005</v>
          </cell>
          <cell r="CX415">
            <v>1280</v>
          </cell>
          <cell r="CY415">
            <v>0</v>
          </cell>
          <cell r="CZ415">
            <v>730</v>
          </cell>
        </row>
        <row r="418">
          <cell r="A418" t="str">
            <v>4620410.01</v>
          </cell>
          <cell r="B418" t="str">
            <v>0410.01</v>
          </cell>
          <cell r="C418" t="str">
            <v>Saint-Laurent</v>
          </cell>
          <cell r="D418">
            <v>4290</v>
          </cell>
          <cell r="E418">
            <v>1445</v>
          </cell>
          <cell r="F418">
            <v>2110</v>
          </cell>
          <cell r="G418">
            <v>75</v>
          </cell>
          <cell r="H418">
            <v>325</v>
          </cell>
          <cell r="I418">
            <v>335</v>
          </cell>
          <cell r="J418">
            <v>4285</v>
          </cell>
          <cell r="K418">
            <v>4060</v>
          </cell>
          <cell r="L418">
            <v>225</v>
          </cell>
          <cell r="M418">
            <v>1435</v>
          </cell>
          <cell r="N418">
            <v>595</v>
          </cell>
          <cell r="O418">
            <v>375</v>
          </cell>
          <cell r="P418">
            <v>300</v>
          </cell>
          <cell r="Q418">
            <v>160</v>
          </cell>
          <cell r="R418">
            <v>1435</v>
          </cell>
          <cell r="S418">
            <v>1140</v>
          </cell>
          <cell r="T418">
            <v>1025</v>
          </cell>
          <cell r="U418">
            <v>360</v>
          </cell>
          <cell r="V418">
            <v>670</v>
          </cell>
          <cell r="W418">
            <v>245</v>
          </cell>
          <cell r="X418">
            <v>270</v>
          </cell>
          <cell r="Y418">
            <v>150</v>
          </cell>
          <cell r="Z418">
            <v>110</v>
          </cell>
          <cell r="AA418">
            <v>60</v>
          </cell>
          <cell r="AB418">
            <v>45</v>
          </cell>
          <cell r="AC418">
            <v>35</v>
          </cell>
          <cell r="AD418">
            <v>10</v>
          </cell>
          <cell r="AE418">
            <v>0</v>
          </cell>
          <cell r="AF418">
            <v>295</v>
          </cell>
          <cell r="AG418">
            <v>235</v>
          </cell>
          <cell r="AH418">
            <v>135</v>
          </cell>
          <cell r="AI418">
            <v>70</v>
          </cell>
          <cell r="AJ418">
            <v>30</v>
          </cell>
          <cell r="AK418">
            <v>60</v>
          </cell>
          <cell r="AL418">
            <v>30</v>
          </cell>
          <cell r="AM418">
            <v>30</v>
          </cell>
          <cell r="AN418">
            <v>0</v>
          </cell>
          <cell r="AO418">
            <v>1800</v>
          </cell>
          <cell r="AP418">
            <v>350</v>
          </cell>
          <cell r="AQ418">
            <v>555</v>
          </cell>
          <cell r="AR418">
            <v>215</v>
          </cell>
          <cell r="AS418">
            <v>290</v>
          </cell>
          <cell r="AT418">
            <v>380</v>
          </cell>
          <cell r="AU418">
            <v>1.3</v>
          </cell>
          <cell r="AV418">
            <v>5190</v>
          </cell>
          <cell r="AW418">
            <v>820</v>
          </cell>
          <cell r="AX418">
            <v>130</v>
          </cell>
          <cell r="AY418">
            <v>35</v>
          </cell>
          <cell r="AZ418">
            <v>655</v>
          </cell>
          <cell r="BA418">
            <v>4370</v>
          </cell>
          <cell r="BB418">
            <v>3</v>
          </cell>
          <cell r="BC418">
            <v>1035</v>
          </cell>
          <cell r="BD418">
            <v>355</v>
          </cell>
          <cell r="BE418">
            <v>70</v>
          </cell>
          <cell r="BF418">
            <v>10</v>
          </cell>
          <cell r="BG418">
            <v>285</v>
          </cell>
          <cell r="BH418">
            <v>675</v>
          </cell>
          <cell r="BI418">
            <v>2085</v>
          </cell>
          <cell r="BJ418">
            <v>5.5</v>
          </cell>
          <cell r="BK418">
            <v>11467.5</v>
          </cell>
          <cell r="BL418">
            <v>2.4</v>
          </cell>
          <cell r="BM418">
            <v>5004</v>
          </cell>
          <cell r="BN418">
            <v>2085</v>
          </cell>
          <cell r="BO418">
            <v>1035</v>
          </cell>
          <cell r="BP418">
            <v>1055</v>
          </cell>
          <cell r="BQ418">
            <v>0</v>
          </cell>
          <cell r="BR418">
            <v>2085</v>
          </cell>
          <cell r="BS418">
            <v>1305</v>
          </cell>
          <cell r="BT418">
            <v>640</v>
          </cell>
          <cell r="BU418">
            <v>140</v>
          </cell>
          <cell r="BV418">
            <v>2085</v>
          </cell>
          <cell r="BW418">
            <v>80</v>
          </cell>
          <cell r="BX418">
            <v>1020</v>
          </cell>
          <cell r="BY418">
            <v>455</v>
          </cell>
          <cell r="BZ418">
            <v>160</v>
          </cell>
          <cell r="CA418">
            <v>130</v>
          </cell>
          <cell r="CB418">
            <v>100</v>
          </cell>
          <cell r="CC418">
            <v>65</v>
          </cell>
          <cell r="CD418">
            <v>40</v>
          </cell>
          <cell r="CE418">
            <v>30</v>
          </cell>
          <cell r="CF418">
            <v>2085</v>
          </cell>
          <cell r="CG418">
            <v>390</v>
          </cell>
          <cell r="CH418">
            <v>255</v>
          </cell>
          <cell r="CI418">
            <v>0</v>
          </cell>
          <cell r="CJ418">
            <v>415</v>
          </cell>
          <cell r="CK418">
            <v>340</v>
          </cell>
          <cell r="CL418">
            <v>670</v>
          </cell>
          <cell r="CM418">
            <v>10</v>
          </cell>
          <cell r="CN418">
            <v>0</v>
          </cell>
          <cell r="CO418">
            <v>2085</v>
          </cell>
          <cell r="CP418">
            <v>655</v>
          </cell>
          <cell r="CQ418">
            <v>580</v>
          </cell>
          <cell r="CR418">
            <v>345</v>
          </cell>
          <cell r="CS418">
            <v>415</v>
          </cell>
          <cell r="CT418">
            <v>85</v>
          </cell>
          <cell r="CU418">
            <v>5185</v>
          </cell>
          <cell r="CV418">
            <v>2.5</v>
          </cell>
          <cell r="CW418">
            <v>2085</v>
          </cell>
          <cell r="CX418">
            <v>1365</v>
          </cell>
          <cell r="CY418">
            <v>35</v>
          </cell>
          <cell r="CZ418">
            <v>685</v>
          </cell>
        </row>
        <row r="419">
          <cell r="A419" t="str">
            <v>4620410.02</v>
          </cell>
          <cell r="B419" t="str">
            <v>0410.02</v>
          </cell>
          <cell r="C419" t="str">
            <v>Saint-Laurent</v>
          </cell>
          <cell r="D419">
            <v>4790</v>
          </cell>
          <cell r="E419">
            <v>1420</v>
          </cell>
          <cell r="F419">
            <v>1980</v>
          </cell>
          <cell r="G419">
            <v>95</v>
          </cell>
          <cell r="H419">
            <v>450</v>
          </cell>
          <cell r="I419">
            <v>845</v>
          </cell>
          <cell r="J419">
            <v>4790</v>
          </cell>
          <cell r="K419">
            <v>4540</v>
          </cell>
          <cell r="L419">
            <v>255</v>
          </cell>
          <cell r="M419">
            <v>1275</v>
          </cell>
          <cell r="N419">
            <v>850</v>
          </cell>
          <cell r="O419">
            <v>240</v>
          </cell>
          <cell r="P419">
            <v>130</v>
          </cell>
          <cell r="Q419">
            <v>50</v>
          </cell>
          <cell r="R419">
            <v>1270</v>
          </cell>
          <cell r="S419">
            <v>1085</v>
          </cell>
          <cell r="T419">
            <v>950</v>
          </cell>
          <cell r="U419">
            <v>585</v>
          </cell>
          <cell r="V419">
            <v>370</v>
          </cell>
          <cell r="W419">
            <v>210</v>
          </cell>
          <cell r="X419">
            <v>105</v>
          </cell>
          <cell r="Y419">
            <v>50</v>
          </cell>
          <cell r="Z419">
            <v>130</v>
          </cell>
          <cell r="AA419">
            <v>130</v>
          </cell>
          <cell r="AB419">
            <v>0</v>
          </cell>
          <cell r="AC419">
            <v>0</v>
          </cell>
          <cell r="AD419">
            <v>0</v>
          </cell>
          <cell r="AE419">
            <v>0</v>
          </cell>
          <cell r="AF419">
            <v>185</v>
          </cell>
          <cell r="AG419">
            <v>165</v>
          </cell>
          <cell r="AH419">
            <v>120</v>
          </cell>
          <cell r="AI419">
            <v>25</v>
          </cell>
          <cell r="AJ419">
            <v>25</v>
          </cell>
          <cell r="AK419">
            <v>20</v>
          </cell>
          <cell r="AL419">
            <v>15</v>
          </cell>
          <cell r="AM419">
            <v>0</v>
          </cell>
          <cell r="AN419">
            <v>0</v>
          </cell>
          <cell r="AO419">
            <v>860</v>
          </cell>
          <cell r="AP419">
            <v>150</v>
          </cell>
          <cell r="AQ419">
            <v>175</v>
          </cell>
          <cell r="AR419">
            <v>55</v>
          </cell>
          <cell r="AS419">
            <v>200</v>
          </cell>
          <cell r="AT419">
            <v>280</v>
          </cell>
          <cell r="AU419">
            <v>0.7</v>
          </cell>
          <cell r="AV419">
            <v>4785</v>
          </cell>
          <cell r="AW419">
            <v>1570</v>
          </cell>
          <cell r="AX419">
            <v>170</v>
          </cell>
          <cell r="AY419">
            <v>70</v>
          </cell>
          <cell r="AZ419">
            <v>1330</v>
          </cell>
          <cell r="BA419">
            <v>3215</v>
          </cell>
          <cell r="BB419">
            <v>2.5</v>
          </cell>
          <cell r="BC419">
            <v>1945</v>
          </cell>
          <cell r="BD419">
            <v>875</v>
          </cell>
          <cell r="BE419">
            <v>75</v>
          </cell>
          <cell r="BF419">
            <v>10</v>
          </cell>
          <cell r="BG419">
            <v>785</v>
          </cell>
          <cell r="BH419">
            <v>1070</v>
          </cell>
          <cell r="BI419">
            <v>2680</v>
          </cell>
          <cell r="BJ419">
            <v>4</v>
          </cell>
          <cell r="BK419">
            <v>10720</v>
          </cell>
          <cell r="BL419">
            <v>1.7</v>
          </cell>
          <cell r="BM419">
            <v>4556</v>
          </cell>
          <cell r="BN419">
            <v>2680</v>
          </cell>
          <cell r="BO419">
            <v>1405</v>
          </cell>
          <cell r="BP419">
            <v>1275</v>
          </cell>
          <cell r="BQ419">
            <v>0</v>
          </cell>
          <cell r="BR419">
            <v>2680</v>
          </cell>
          <cell r="BS419">
            <v>2275</v>
          </cell>
          <cell r="BT419">
            <v>325</v>
          </cell>
          <cell r="BU419">
            <v>80</v>
          </cell>
          <cell r="BV419">
            <v>2680</v>
          </cell>
          <cell r="BW419">
            <v>25</v>
          </cell>
          <cell r="BX419">
            <v>70</v>
          </cell>
          <cell r="BY419">
            <v>240</v>
          </cell>
          <cell r="BZ419">
            <v>910</v>
          </cell>
          <cell r="CA419">
            <v>410</v>
          </cell>
          <cell r="CB419">
            <v>415</v>
          </cell>
          <cell r="CC419">
            <v>205</v>
          </cell>
          <cell r="CD419">
            <v>60</v>
          </cell>
          <cell r="CE419">
            <v>340</v>
          </cell>
          <cell r="CF419">
            <v>2680</v>
          </cell>
          <cell r="CG419">
            <v>10</v>
          </cell>
          <cell r="CH419">
            <v>0</v>
          </cell>
          <cell r="CI419">
            <v>0</v>
          </cell>
          <cell r="CJ419">
            <v>5</v>
          </cell>
          <cell r="CK419">
            <v>2630</v>
          </cell>
          <cell r="CL419">
            <v>35</v>
          </cell>
          <cell r="CM419">
            <v>0</v>
          </cell>
          <cell r="CN419">
            <v>0</v>
          </cell>
          <cell r="CO419">
            <v>2680</v>
          </cell>
          <cell r="CP419">
            <v>1335</v>
          </cell>
          <cell r="CQ419">
            <v>890</v>
          </cell>
          <cell r="CR419">
            <v>250</v>
          </cell>
          <cell r="CS419">
            <v>190</v>
          </cell>
          <cell r="CT419">
            <v>20</v>
          </cell>
          <cell r="CU419">
            <v>4785</v>
          </cell>
          <cell r="CV419">
            <v>1.8</v>
          </cell>
          <cell r="CW419">
            <v>2680</v>
          </cell>
          <cell r="CX419">
            <v>1220</v>
          </cell>
          <cell r="CY419">
            <v>25</v>
          </cell>
          <cell r="CZ419">
            <v>1435</v>
          </cell>
        </row>
        <row r="420">
          <cell r="A420" t="str">
            <v>4620410.03</v>
          </cell>
          <cell r="B420" t="str">
            <v>0410.03</v>
          </cell>
          <cell r="C420" t="str">
            <v>Saint-Laurent</v>
          </cell>
          <cell r="D420">
            <v>1385</v>
          </cell>
          <cell r="E420">
            <v>535</v>
          </cell>
          <cell r="F420">
            <v>670</v>
          </cell>
          <cell r="G420">
            <v>30</v>
          </cell>
          <cell r="H420">
            <v>70</v>
          </cell>
          <cell r="I420">
            <v>85</v>
          </cell>
          <cell r="J420">
            <v>1390</v>
          </cell>
          <cell r="K420">
            <v>1295</v>
          </cell>
          <cell r="L420">
            <v>90</v>
          </cell>
          <cell r="M420">
            <v>465</v>
          </cell>
          <cell r="N420">
            <v>160</v>
          </cell>
          <cell r="O420">
            <v>120</v>
          </cell>
          <cell r="P420">
            <v>90</v>
          </cell>
          <cell r="Q420">
            <v>90</v>
          </cell>
          <cell r="R420">
            <v>465</v>
          </cell>
          <cell r="S420">
            <v>380</v>
          </cell>
          <cell r="T420">
            <v>335</v>
          </cell>
          <cell r="U420">
            <v>105</v>
          </cell>
          <cell r="V420">
            <v>230</v>
          </cell>
          <cell r="W420">
            <v>85</v>
          </cell>
          <cell r="X420">
            <v>75</v>
          </cell>
          <cell r="Y420">
            <v>70</v>
          </cell>
          <cell r="Z420">
            <v>45</v>
          </cell>
          <cell r="AA420">
            <v>10</v>
          </cell>
          <cell r="AB420">
            <v>40</v>
          </cell>
          <cell r="AC420">
            <v>20</v>
          </cell>
          <cell r="AD420">
            <v>10</v>
          </cell>
          <cell r="AE420">
            <v>10</v>
          </cell>
          <cell r="AF420">
            <v>80</v>
          </cell>
          <cell r="AG420">
            <v>70</v>
          </cell>
          <cell r="AH420">
            <v>35</v>
          </cell>
          <cell r="AI420">
            <v>10</v>
          </cell>
          <cell r="AJ420">
            <v>20</v>
          </cell>
          <cell r="AK420">
            <v>15</v>
          </cell>
          <cell r="AL420">
            <v>15</v>
          </cell>
          <cell r="AM420">
            <v>0</v>
          </cell>
          <cell r="AN420">
            <v>0</v>
          </cell>
          <cell r="AO420">
            <v>705</v>
          </cell>
          <cell r="AP420">
            <v>130</v>
          </cell>
          <cell r="AQ420">
            <v>225</v>
          </cell>
          <cell r="AR420">
            <v>85</v>
          </cell>
          <cell r="AS420">
            <v>175</v>
          </cell>
          <cell r="AT420">
            <v>90</v>
          </cell>
          <cell r="AU420">
            <v>1.5</v>
          </cell>
          <cell r="AV420">
            <v>1775</v>
          </cell>
          <cell r="AW420">
            <v>225</v>
          </cell>
          <cell r="AX420">
            <v>85</v>
          </cell>
          <cell r="AY420">
            <v>30</v>
          </cell>
          <cell r="AZ420">
            <v>115</v>
          </cell>
          <cell r="BA420">
            <v>1545</v>
          </cell>
          <cell r="BB420">
            <v>3.4</v>
          </cell>
          <cell r="BC420">
            <v>250</v>
          </cell>
          <cell r="BD420">
            <v>85</v>
          </cell>
          <cell r="BE420">
            <v>30</v>
          </cell>
          <cell r="BF420">
            <v>0</v>
          </cell>
          <cell r="BG420">
            <v>60</v>
          </cell>
          <cell r="BH420">
            <v>165</v>
          </cell>
          <cell r="BI420">
            <v>580</v>
          </cell>
          <cell r="BJ420">
            <v>5.8</v>
          </cell>
          <cell r="BK420">
            <v>3364</v>
          </cell>
          <cell r="BL420">
            <v>2.9</v>
          </cell>
          <cell r="BM420">
            <v>1682</v>
          </cell>
          <cell r="BN420">
            <v>580</v>
          </cell>
          <cell r="BO420">
            <v>340</v>
          </cell>
          <cell r="BP420">
            <v>240</v>
          </cell>
          <cell r="BQ420">
            <v>0</v>
          </cell>
          <cell r="BR420">
            <v>580</v>
          </cell>
          <cell r="BS420">
            <v>235</v>
          </cell>
          <cell r="BT420">
            <v>265</v>
          </cell>
          <cell r="BU420">
            <v>80</v>
          </cell>
          <cell r="BV420">
            <v>580</v>
          </cell>
          <cell r="BW420">
            <v>100</v>
          </cell>
          <cell r="BX420">
            <v>375</v>
          </cell>
          <cell r="BY420">
            <v>45</v>
          </cell>
          <cell r="BZ420">
            <v>35</v>
          </cell>
          <cell r="CA420">
            <v>15</v>
          </cell>
          <cell r="CB420">
            <v>10</v>
          </cell>
          <cell r="CC420">
            <v>0</v>
          </cell>
          <cell r="CD420">
            <v>0</v>
          </cell>
          <cell r="CE420">
            <v>0</v>
          </cell>
          <cell r="CF420">
            <v>585</v>
          </cell>
          <cell r="CG420">
            <v>180</v>
          </cell>
          <cell r="CH420">
            <v>150</v>
          </cell>
          <cell r="CI420">
            <v>0</v>
          </cell>
          <cell r="CJ420">
            <v>35</v>
          </cell>
          <cell r="CK420">
            <v>0</v>
          </cell>
          <cell r="CL420">
            <v>215</v>
          </cell>
          <cell r="CM420">
            <v>0</v>
          </cell>
          <cell r="CN420">
            <v>0</v>
          </cell>
          <cell r="CO420">
            <v>580</v>
          </cell>
          <cell r="CP420">
            <v>95</v>
          </cell>
          <cell r="CQ420">
            <v>160</v>
          </cell>
          <cell r="CR420">
            <v>110</v>
          </cell>
          <cell r="CS420">
            <v>160</v>
          </cell>
          <cell r="CT420">
            <v>50</v>
          </cell>
          <cell r="CU420">
            <v>1800</v>
          </cell>
          <cell r="CV420">
            <v>3.1</v>
          </cell>
          <cell r="CW420">
            <v>585</v>
          </cell>
          <cell r="CX420">
            <v>425</v>
          </cell>
          <cell r="CY420">
            <v>20</v>
          </cell>
          <cell r="CZ420">
            <v>135</v>
          </cell>
        </row>
        <row r="421">
          <cell r="A421" t="str">
            <v>4620412.00</v>
          </cell>
          <cell r="B421" t="str">
            <v>0412.00</v>
          </cell>
          <cell r="C421" t="str">
            <v>Saint-Laurent</v>
          </cell>
          <cell r="D421">
            <v>4530</v>
          </cell>
          <cell r="E421">
            <v>1485</v>
          </cell>
          <cell r="F421">
            <v>2335</v>
          </cell>
          <cell r="G421">
            <v>90</v>
          </cell>
          <cell r="H421">
            <v>320</v>
          </cell>
          <cell r="I421">
            <v>300</v>
          </cell>
          <cell r="J421">
            <v>4530</v>
          </cell>
          <cell r="K421">
            <v>4260</v>
          </cell>
          <cell r="L421">
            <v>270</v>
          </cell>
          <cell r="M421">
            <v>1450</v>
          </cell>
          <cell r="N421">
            <v>565</v>
          </cell>
          <cell r="O421">
            <v>320</v>
          </cell>
          <cell r="P421">
            <v>355</v>
          </cell>
          <cell r="Q421">
            <v>210</v>
          </cell>
          <cell r="R421">
            <v>1450</v>
          </cell>
          <cell r="S421">
            <v>1260</v>
          </cell>
          <cell r="T421">
            <v>1125</v>
          </cell>
          <cell r="U421">
            <v>420</v>
          </cell>
          <cell r="V421">
            <v>705</v>
          </cell>
          <cell r="W421">
            <v>260</v>
          </cell>
          <cell r="X421">
            <v>250</v>
          </cell>
          <cell r="Y421">
            <v>195</v>
          </cell>
          <cell r="Z421">
            <v>135</v>
          </cell>
          <cell r="AA421">
            <v>40</v>
          </cell>
          <cell r="AB421">
            <v>95</v>
          </cell>
          <cell r="AC421">
            <v>0</v>
          </cell>
          <cell r="AD421">
            <v>80</v>
          </cell>
          <cell r="AE421">
            <v>15</v>
          </cell>
          <cell r="AF421">
            <v>185</v>
          </cell>
          <cell r="AG421">
            <v>155</v>
          </cell>
          <cell r="AH421">
            <v>90</v>
          </cell>
          <cell r="AI421">
            <v>40</v>
          </cell>
          <cell r="AJ421">
            <v>20</v>
          </cell>
          <cell r="AK421">
            <v>35</v>
          </cell>
          <cell r="AL421">
            <v>20</v>
          </cell>
          <cell r="AM421">
            <v>15</v>
          </cell>
          <cell r="AN421">
            <v>0</v>
          </cell>
          <cell r="AO421">
            <v>1925</v>
          </cell>
          <cell r="AP421">
            <v>330</v>
          </cell>
          <cell r="AQ421">
            <v>665</v>
          </cell>
          <cell r="AR421">
            <v>200</v>
          </cell>
          <cell r="AS421">
            <v>395</v>
          </cell>
          <cell r="AT421">
            <v>340</v>
          </cell>
          <cell r="AU421">
            <v>1.3</v>
          </cell>
          <cell r="AV421">
            <v>5515</v>
          </cell>
          <cell r="AW421">
            <v>880</v>
          </cell>
          <cell r="AX421">
            <v>265</v>
          </cell>
          <cell r="AY421">
            <v>85</v>
          </cell>
          <cell r="AZ421">
            <v>530</v>
          </cell>
          <cell r="BA421">
            <v>4630</v>
          </cell>
          <cell r="BB421">
            <v>3.2</v>
          </cell>
          <cell r="BC421">
            <v>915</v>
          </cell>
          <cell r="BD421">
            <v>325</v>
          </cell>
          <cell r="BE421">
            <v>75</v>
          </cell>
          <cell r="BF421">
            <v>15</v>
          </cell>
          <cell r="BG421">
            <v>240</v>
          </cell>
          <cell r="BH421">
            <v>585</v>
          </cell>
          <cell r="BI421">
            <v>2065</v>
          </cell>
          <cell r="BJ421">
            <v>5.8</v>
          </cell>
          <cell r="BK421">
            <v>11977</v>
          </cell>
          <cell r="BL421">
            <v>2.6</v>
          </cell>
          <cell r="BM421">
            <v>5369</v>
          </cell>
          <cell r="BN421">
            <v>2065</v>
          </cell>
          <cell r="BO421">
            <v>1190</v>
          </cell>
          <cell r="BP421">
            <v>875</v>
          </cell>
          <cell r="BQ421">
            <v>0</v>
          </cell>
          <cell r="BR421">
            <v>2065</v>
          </cell>
          <cell r="BS421">
            <v>1110</v>
          </cell>
          <cell r="BT421">
            <v>740</v>
          </cell>
          <cell r="BU421">
            <v>220</v>
          </cell>
          <cell r="BV421">
            <v>2065</v>
          </cell>
          <cell r="BW421">
            <v>120</v>
          </cell>
          <cell r="BX421">
            <v>1300</v>
          </cell>
          <cell r="BY421">
            <v>385</v>
          </cell>
          <cell r="BZ421">
            <v>110</v>
          </cell>
          <cell r="CA421">
            <v>70</v>
          </cell>
          <cell r="CB421">
            <v>30</v>
          </cell>
          <cell r="CC421">
            <v>25</v>
          </cell>
          <cell r="CD421">
            <v>0</v>
          </cell>
          <cell r="CE421">
            <v>20</v>
          </cell>
          <cell r="CF421">
            <v>2070</v>
          </cell>
          <cell r="CG421">
            <v>425</v>
          </cell>
          <cell r="CH421">
            <v>370</v>
          </cell>
          <cell r="CI421">
            <v>0</v>
          </cell>
          <cell r="CJ421">
            <v>355</v>
          </cell>
          <cell r="CK421">
            <v>0</v>
          </cell>
          <cell r="CL421">
            <v>910</v>
          </cell>
          <cell r="CM421">
            <v>5</v>
          </cell>
          <cell r="CN421">
            <v>0</v>
          </cell>
          <cell r="CO421">
            <v>2065</v>
          </cell>
          <cell r="CP421">
            <v>535</v>
          </cell>
          <cell r="CQ421">
            <v>595</v>
          </cell>
          <cell r="CR421">
            <v>355</v>
          </cell>
          <cell r="CS421">
            <v>495</v>
          </cell>
          <cell r="CT421">
            <v>95</v>
          </cell>
          <cell r="CU421">
            <v>5520</v>
          </cell>
          <cell r="CV421">
            <v>2.7</v>
          </cell>
          <cell r="CW421">
            <v>2065</v>
          </cell>
          <cell r="CX421">
            <v>1420</v>
          </cell>
          <cell r="CY421">
            <v>15</v>
          </cell>
          <cell r="CZ421">
            <v>635</v>
          </cell>
        </row>
        <row r="422">
          <cell r="A422" t="str">
            <v>4620413.00</v>
          </cell>
          <cell r="B422" t="str">
            <v>0413.00</v>
          </cell>
          <cell r="C422" t="str">
            <v>Saint-Laurent</v>
          </cell>
          <cell r="D422">
            <v>6305</v>
          </cell>
          <cell r="E422">
            <v>1965</v>
          </cell>
          <cell r="F422">
            <v>3465</v>
          </cell>
          <cell r="G422">
            <v>125</v>
          </cell>
          <cell r="H422">
            <v>405</v>
          </cell>
          <cell r="I422">
            <v>340</v>
          </cell>
          <cell r="J422">
            <v>6310</v>
          </cell>
          <cell r="K422">
            <v>6110</v>
          </cell>
          <cell r="L422">
            <v>195</v>
          </cell>
          <cell r="M422">
            <v>2150</v>
          </cell>
          <cell r="N422">
            <v>865</v>
          </cell>
          <cell r="O422">
            <v>540</v>
          </cell>
          <cell r="P422">
            <v>460</v>
          </cell>
          <cell r="Q422">
            <v>285</v>
          </cell>
          <cell r="R422">
            <v>2150</v>
          </cell>
          <cell r="S422">
            <v>1805</v>
          </cell>
          <cell r="T422">
            <v>1710</v>
          </cell>
          <cell r="U422">
            <v>565</v>
          </cell>
          <cell r="V422">
            <v>1140</v>
          </cell>
          <cell r="W422">
            <v>450</v>
          </cell>
          <cell r="X422">
            <v>430</v>
          </cell>
          <cell r="Y422">
            <v>265</v>
          </cell>
          <cell r="Z422">
            <v>100</v>
          </cell>
          <cell r="AA422">
            <v>75</v>
          </cell>
          <cell r="AB422">
            <v>20</v>
          </cell>
          <cell r="AC422">
            <v>15</v>
          </cell>
          <cell r="AD422">
            <v>0</v>
          </cell>
          <cell r="AE422">
            <v>0</v>
          </cell>
          <cell r="AF422">
            <v>345</v>
          </cell>
          <cell r="AG422">
            <v>275</v>
          </cell>
          <cell r="AH422">
            <v>170</v>
          </cell>
          <cell r="AI422">
            <v>65</v>
          </cell>
          <cell r="AJ422">
            <v>40</v>
          </cell>
          <cell r="AK422">
            <v>70</v>
          </cell>
          <cell r="AL422">
            <v>50</v>
          </cell>
          <cell r="AM422">
            <v>10</v>
          </cell>
          <cell r="AN422">
            <v>10</v>
          </cell>
          <cell r="AO422">
            <v>2825</v>
          </cell>
          <cell r="AP422">
            <v>560</v>
          </cell>
          <cell r="AQ422">
            <v>790</v>
          </cell>
          <cell r="AR422">
            <v>330</v>
          </cell>
          <cell r="AS422">
            <v>675</v>
          </cell>
          <cell r="AT422">
            <v>460</v>
          </cell>
          <cell r="AU422">
            <v>1.3</v>
          </cell>
          <cell r="AV422">
            <v>7655</v>
          </cell>
          <cell r="AW422">
            <v>870</v>
          </cell>
          <cell r="AX422">
            <v>165</v>
          </cell>
          <cell r="AY422">
            <v>60</v>
          </cell>
          <cell r="AZ422">
            <v>645</v>
          </cell>
          <cell r="BA422">
            <v>6785</v>
          </cell>
          <cell r="BB422">
            <v>3.2</v>
          </cell>
          <cell r="BC422">
            <v>1165</v>
          </cell>
          <cell r="BD422">
            <v>270</v>
          </cell>
          <cell r="BE422">
            <v>65</v>
          </cell>
          <cell r="BF422">
            <v>20</v>
          </cell>
          <cell r="BG422">
            <v>180</v>
          </cell>
          <cell r="BH422">
            <v>890</v>
          </cell>
          <cell r="BI422">
            <v>2790</v>
          </cell>
          <cell r="BJ422">
            <v>5.9</v>
          </cell>
          <cell r="BK422">
            <v>16461</v>
          </cell>
          <cell r="BL422">
            <v>2.6</v>
          </cell>
          <cell r="BM422">
            <v>7254</v>
          </cell>
          <cell r="BN422">
            <v>2785</v>
          </cell>
          <cell r="BO422">
            <v>1730</v>
          </cell>
          <cell r="BP422">
            <v>1060</v>
          </cell>
          <cell r="BQ422">
            <v>0</v>
          </cell>
          <cell r="BR422">
            <v>2790</v>
          </cell>
          <cell r="BS422">
            <v>1785</v>
          </cell>
          <cell r="BT422">
            <v>855</v>
          </cell>
          <cell r="BU422">
            <v>150</v>
          </cell>
          <cell r="BV422">
            <v>2790</v>
          </cell>
          <cell r="BW422">
            <v>115</v>
          </cell>
          <cell r="BX422">
            <v>760</v>
          </cell>
          <cell r="BY422">
            <v>500</v>
          </cell>
          <cell r="BZ422">
            <v>275</v>
          </cell>
          <cell r="CA422">
            <v>260</v>
          </cell>
          <cell r="CB422">
            <v>450</v>
          </cell>
          <cell r="CC422">
            <v>160</v>
          </cell>
          <cell r="CD422">
            <v>110</v>
          </cell>
          <cell r="CE422">
            <v>155</v>
          </cell>
          <cell r="CF422">
            <v>2790</v>
          </cell>
          <cell r="CG422">
            <v>615</v>
          </cell>
          <cell r="CH422">
            <v>440</v>
          </cell>
          <cell r="CI422">
            <v>95</v>
          </cell>
          <cell r="CJ422">
            <v>0</v>
          </cell>
          <cell r="CK422">
            <v>730</v>
          </cell>
          <cell r="CL422">
            <v>905</v>
          </cell>
          <cell r="CM422">
            <v>0</v>
          </cell>
          <cell r="CN422">
            <v>0</v>
          </cell>
          <cell r="CO422">
            <v>2790</v>
          </cell>
          <cell r="CP422">
            <v>645</v>
          </cell>
          <cell r="CQ422">
            <v>825</v>
          </cell>
          <cell r="CR422">
            <v>480</v>
          </cell>
          <cell r="CS422">
            <v>720</v>
          </cell>
          <cell r="CT422">
            <v>125</v>
          </cell>
          <cell r="CU422">
            <v>7655</v>
          </cell>
          <cell r="CV422">
            <v>2.7</v>
          </cell>
          <cell r="CW422">
            <v>2785</v>
          </cell>
          <cell r="CX422">
            <v>2040</v>
          </cell>
          <cell r="CY422">
            <v>60</v>
          </cell>
          <cell r="CZ422">
            <v>690</v>
          </cell>
        </row>
        <row r="423">
          <cell r="A423" t="str">
            <v>4620415.01</v>
          </cell>
          <cell r="B423" t="str">
            <v>0415.01</v>
          </cell>
          <cell r="C423" t="str">
            <v>Saint-Laurent</v>
          </cell>
          <cell r="D423">
            <v>6115</v>
          </cell>
          <cell r="E423">
            <v>1920</v>
          </cell>
          <cell r="F423">
            <v>3270</v>
          </cell>
          <cell r="G423">
            <v>100</v>
          </cell>
          <cell r="H423">
            <v>510</v>
          </cell>
          <cell r="I423">
            <v>305</v>
          </cell>
          <cell r="J423">
            <v>6115</v>
          </cell>
          <cell r="K423">
            <v>5305</v>
          </cell>
          <cell r="L423">
            <v>810</v>
          </cell>
          <cell r="M423">
            <v>2255</v>
          </cell>
          <cell r="N423">
            <v>990</v>
          </cell>
          <cell r="O423">
            <v>535</v>
          </cell>
          <cell r="P423">
            <v>570</v>
          </cell>
          <cell r="Q423">
            <v>155</v>
          </cell>
          <cell r="R423">
            <v>2255</v>
          </cell>
          <cell r="S423">
            <v>2020</v>
          </cell>
          <cell r="T423">
            <v>1615</v>
          </cell>
          <cell r="U423">
            <v>600</v>
          </cell>
          <cell r="V423">
            <v>1020</v>
          </cell>
          <cell r="W423">
            <v>405</v>
          </cell>
          <cell r="X423">
            <v>490</v>
          </cell>
          <cell r="Y423">
            <v>125</v>
          </cell>
          <cell r="Z423">
            <v>405</v>
          </cell>
          <cell r="AA423">
            <v>235</v>
          </cell>
          <cell r="AB423">
            <v>175</v>
          </cell>
          <cell r="AC423">
            <v>80</v>
          </cell>
          <cell r="AD423">
            <v>75</v>
          </cell>
          <cell r="AE423">
            <v>20</v>
          </cell>
          <cell r="AF423">
            <v>235</v>
          </cell>
          <cell r="AG423">
            <v>190</v>
          </cell>
          <cell r="AH423">
            <v>120</v>
          </cell>
          <cell r="AI423">
            <v>55</v>
          </cell>
          <cell r="AJ423">
            <v>10</v>
          </cell>
          <cell r="AK423">
            <v>45</v>
          </cell>
          <cell r="AL423">
            <v>40</v>
          </cell>
          <cell r="AM423">
            <v>10</v>
          </cell>
          <cell r="AN423">
            <v>0</v>
          </cell>
          <cell r="AO423">
            <v>2415</v>
          </cell>
          <cell r="AP423">
            <v>860</v>
          </cell>
          <cell r="AQ423">
            <v>745</v>
          </cell>
          <cell r="AR423">
            <v>195</v>
          </cell>
          <cell r="AS423">
            <v>445</v>
          </cell>
          <cell r="AT423">
            <v>175</v>
          </cell>
          <cell r="AU423">
            <v>1.1000000000000001</v>
          </cell>
          <cell r="AV423">
            <v>7725</v>
          </cell>
          <cell r="AW423">
            <v>1030</v>
          </cell>
          <cell r="AX423">
            <v>140</v>
          </cell>
          <cell r="AY423">
            <v>65</v>
          </cell>
          <cell r="AZ423">
            <v>830</v>
          </cell>
          <cell r="BA423">
            <v>6690</v>
          </cell>
          <cell r="BB423">
            <v>3</v>
          </cell>
          <cell r="BC423">
            <v>660</v>
          </cell>
          <cell r="BD423">
            <v>315</v>
          </cell>
          <cell r="BE423">
            <v>80</v>
          </cell>
          <cell r="BF423">
            <v>0</v>
          </cell>
          <cell r="BG423">
            <v>230</v>
          </cell>
          <cell r="BH423">
            <v>350</v>
          </cell>
          <cell r="BI423">
            <v>3080</v>
          </cell>
          <cell r="BJ423">
            <v>6.3</v>
          </cell>
          <cell r="BK423">
            <v>19404</v>
          </cell>
          <cell r="BL423">
            <v>2.6</v>
          </cell>
          <cell r="BM423">
            <v>8008</v>
          </cell>
          <cell r="BN423">
            <v>3080</v>
          </cell>
          <cell r="BO423">
            <v>2545</v>
          </cell>
          <cell r="BP423">
            <v>535</v>
          </cell>
          <cell r="BQ423">
            <v>0</v>
          </cell>
          <cell r="BR423">
            <v>3075</v>
          </cell>
          <cell r="BS423">
            <v>2785</v>
          </cell>
          <cell r="BT423">
            <v>260</v>
          </cell>
          <cell r="BU423">
            <v>30</v>
          </cell>
          <cell r="BV423">
            <v>3080</v>
          </cell>
          <cell r="BW423">
            <v>0</v>
          </cell>
          <cell r="BX423">
            <v>35</v>
          </cell>
          <cell r="BY423">
            <v>10</v>
          </cell>
          <cell r="BZ423">
            <v>15</v>
          </cell>
          <cell r="CA423">
            <v>15</v>
          </cell>
          <cell r="CB423">
            <v>35</v>
          </cell>
          <cell r="CC423">
            <v>405</v>
          </cell>
          <cell r="CD423">
            <v>830</v>
          </cell>
          <cell r="CE423">
            <v>1740</v>
          </cell>
          <cell r="CF423">
            <v>3075</v>
          </cell>
          <cell r="CG423">
            <v>475</v>
          </cell>
          <cell r="CH423">
            <v>105</v>
          </cell>
          <cell r="CI423">
            <v>1085</v>
          </cell>
          <cell r="CJ423">
            <v>5</v>
          </cell>
          <cell r="CK423">
            <v>295</v>
          </cell>
          <cell r="CL423">
            <v>1075</v>
          </cell>
          <cell r="CM423">
            <v>0</v>
          </cell>
          <cell r="CN423">
            <v>40</v>
          </cell>
          <cell r="CO423">
            <v>3080</v>
          </cell>
          <cell r="CP423">
            <v>830</v>
          </cell>
          <cell r="CQ423">
            <v>935</v>
          </cell>
          <cell r="CR423">
            <v>535</v>
          </cell>
          <cell r="CS423">
            <v>725</v>
          </cell>
          <cell r="CT423">
            <v>50</v>
          </cell>
          <cell r="CU423">
            <v>7725</v>
          </cell>
          <cell r="CV423">
            <v>2.5</v>
          </cell>
          <cell r="CW423">
            <v>3075</v>
          </cell>
          <cell r="CX423">
            <v>2175</v>
          </cell>
          <cell r="CY423">
            <v>40</v>
          </cell>
          <cell r="CZ423">
            <v>860</v>
          </cell>
        </row>
        <row r="424">
          <cell r="A424" t="str">
            <v>4620415.03</v>
          </cell>
          <cell r="B424" t="str">
            <v>0415.03</v>
          </cell>
          <cell r="C424" t="str">
            <v>Saint-Laurent</v>
          </cell>
          <cell r="D424">
            <v>3560</v>
          </cell>
          <cell r="E424">
            <v>1080</v>
          </cell>
          <cell r="F424">
            <v>1755</v>
          </cell>
          <cell r="G424">
            <v>85</v>
          </cell>
          <cell r="H424">
            <v>325</v>
          </cell>
          <cell r="I424">
            <v>310</v>
          </cell>
          <cell r="J424">
            <v>3555</v>
          </cell>
          <cell r="K424">
            <v>3315</v>
          </cell>
          <cell r="L424">
            <v>240</v>
          </cell>
          <cell r="M424">
            <v>1155</v>
          </cell>
          <cell r="N424">
            <v>640</v>
          </cell>
          <cell r="O424">
            <v>260</v>
          </cell>
          <cell r="P424">
            <v>170</v>
          </cell>
          <cell r="Q424">
            <v>75</v>
          </cell>
          <cell r="R424">
            <v>1155</v>
          </cell>
          <cell r="S424">
            <v>965</v>
          </cell>
          <cell r="T424">
            <v>850</v>
          </cell>
          <cell r="U424">
            <v>420</v>
          </cell>
          <cell r="V424">
            <v>435</v>
          </cell>
          <cell r="W424">
            <v>205</v>
          </cell>
          <cell r="X424">
            <v>160</v>
          </cell>
          <cell r="Y424">
            <v>70</v>
          </cell>
          <cell r="Z424">
            <v>115</v>
          </cell>
          <cell r="AA424">
            <v>105</v>
          </cell>
          <cell r="AB424">
            <v>10</v>
          </cell>
          <cell r="AC424">
            <v>10</v>
          </cell>
          <cell r="AD424">
            <v>0</v>
          </cell>
          <cell r="AE424">
            <v>0</v>
          </cell>
          <cell r="AF424">
            <v>185</v>
          </cell>
          <cell r="AG424">
            <v>175</v>
          </cell>
          <cell r="AH424">
            <v>120</v>
          </cell>
          <cell r="AI424">
            <v>40</v>
          </cell>
          <cell r="AJ424">
            <v>15</v>
          </cell>
          <cell r="AK424">
            <v>10</v>
          </cell>
          <cell r="AL424">
            <v>10</v>
          </cell>
          <cell r="AM424">
            <v>10</v>
          </cell>
          <cell r="AN424">
            <v>0</v>
          </cell>
          <cell r="AO424">
            <v>1040</v>
          </cell>
          <cell r="AP424">
            <v>200</v>
          </cell>
          <cell r="AQ424">
            <v>315</v>
          </cell>
          <cell r="AR424">
            <v>55</v>
          </cell>
          <cell r="AS424">
            <v>230</v>
          </cell>
          <cell r="AT424">
            <v>235</v>
          </cell>
          <cell r="AU424">
            <v>0.9</v>
          </cell>
          <cell r="AV424">
            <v>4090</v>
          </cell>
          <cell r="AW424">
            <v>920</v>
          </cell>
          <cell r="AX424">
            <v>160</v>
          </cell>
          <cell r="AY424">
            <v>55</v>
          </cell>
          <cell r="AZ424">
            <v>705</v>
          </cell>
          <cell r="BA424">
            <v>3165</v>
          </cell>
          <cell r="BB424">
            <v>2.7</v>
          </cell>
          <cell r="BC424">
            <v>895</v>
          </cell>
          <cell r="BD424">
            <v>255</v>
          </cell>
          <cell r="BE424">
            <v>25</v>
          </cell>
          <cell r="BF424">
            <v>0</v>
          </cell>
          <cell r="BG424">
            <v>225</v>
          </cell>
          <cell r="BH424">
            <v>640</v>
          </cell>
          <cell r="BI424">
            <v>1910</v>
          </cell>
          <cell r="BJ424">
            <v>4.3</v>
          </cell>
          <cell r="BK424">
            <v>8213</v>
          </cell>
          <cell r="BL424">
            <v>1.9</v>
          </cell>
          <cell r="BM424">
            <v>3629</v>
          </cell>
          <cell r="BN424">
            <v>1910</v>
          </cell>
          <cell r="BO424">
            <v>610</v>
          </cell>
          <cell r="BP424">
            <v>1295</v>
          </cell>
          <cell r="BQ424">
            <v>0</v>
          </cell>
          <cell r="BR424">
            <v>1910</v>
          </cell>
          <cell r="BS424">
            <v>1345</v>
          </cell>
          <cell r="BT424">
            <v>415</v>
          </cell>
          <cell r="BU424">
            <v>150</v>
          </cell>
          <cell r="BV424">
            <v>1910</v>
          </cell>
          <cell r="BW424">
            <v>35</v>
          </cell>
          <cell r="BX424">
            <v>115</v>
          </cell>
          <cell r="BY424">
            <v>335</v>
          </cell>
          <cell r="BZ424">
            <v>660</v>
          </cell>
          <cell r="CA424">
            <v>285</v>
          </cell>
          <cell r="CB424">
            <v>355</v>
          </cell>
          <cell r="CC424">
            <v>105</v>
          </cell>
          <cell r="CD424">
            <v>10</v>
          </cell>
          <cell r="CE424">
            <v>0</v>
          </cell>
          <cell r="CF424">
            <v>1910</v>
          </cell>
          <cell r="CG424">
            <v>0</v>
          </cell>
          <cell r="CH424">
            <v>0</v>
          </cell>
          <cell r="CI424">
            <v>0</v>
          </cell>
          <cell r="CJ424">
            <v>0</v>
          </cell>
          <cell r="CK424">
            <v>1280</v>
          </cell>
          <cell r="CL424">
            <v>625</v>
          </cell>
          <cell r="CM424">
            <v>0</v>
          </cell>
          <cell r="CN424">
            <v>0</v>
          </cell>
          <cell r="CO424">
            <v>1910</v>
          </cell>
          <cell r="CP424">
            <v>705</v>
          </cell>
          <cell r="CQ424">
            <v>645</v>
          </cell>
          <cell r="CR424">
            <v>275</v>
          </cell>
          <cell r="CS424">
            <v>255</v>
          </cell>
          <cell r="CT424">
            <v>25</v>
          </cell>
          <cell r="CU424">
            <v>4085</v>
          </cell>
          <cell r="CV424">
            <v>2.1</v>
          </cell>
          <cell r="CW424">
            <v>1910</v>
          </cell>
          <cell r="CX424">
            <v>1100</v>
          </cell>
          <cell r="CY424">
            <v>25</v>
          </cell>
          <cell r="CZ424">
            <v>780</v>
          </cell>
        </row>
        <row r="425">
          <cell r="A425" t="str">
            <v>4620415.04</v>
          </cell>
          <cell r="B425" t="str">
            <v>0415.04</v>
          </cell>
          <cell r="C425" t="str">
            <v>Saint-Laurent</v>
          </cell>
          <cell r="D425">
            <v>4290</v>
          </cell>
          <cell r="E425">
            <v>1250</v>
          </cell>
          <cell r="F425">
            <v>1960</v>
          </cell>
          <cell r="G425">
            <v>115</v>
          </cell>
          <cell r="H425">
            <v>365</v>
          </cell>
          <cell r="I425">
            <v>595</v>
          </cell>
          <cell r="J425">
            <v>4290</v>
          </cell>
          <cell r="K425">
            <v>4105</v>
          </cell>
          <cell r="L425">
            <v>185</v>
          </cell>
          <cell r="M425">
            <v>1275</v>
          </cell>
          <cell r="N425">
            <v>610</v>
          </cell>
          <cell r="O425">
            <v>340</v>
          </cell>
          <cell r="P425">
            <v>210</v>
          </cell>
          <cell r="Q425">
            <v>110</v>
          </cell>
          <cell r="R425">
            <v>1275</v>
          </cell>
          <cell r="S425">
            <v>1025</v>
          </cell>
          <cell r="T425">
            <v>930</v>
          </cell>
          <cell r="U425">
            <v>355</v>
          </cell>
          <cell r="V425">
            <v>580</v>
          </cell>
          <cell r="W425">
            <v>275</v>
          </cell>
          <cell r="X425">
            <v>200</v>
          </cell>
          <cell r="Y425">
            <v>105</v>
          </cell>
          <cell r="Z425">
            <v>95</v>
          </cell>
          <cell r="AA425">
            <v>90</v>
          </cell>
          <cell r="AB425">
            <v>10</v>
          </cell>
          <cell r="AC425">
            <v>10</v>
          </cell>
          <cell r="AD425">
            <v>0</v>
          </cell>
          <cell r="AE425">
            <v>0</v>
          </cell>
          <cell r="AF425">
            <v>245</v>
          </cell>
          <cell r="AG425">
            <v>225</v>
          </cell>
          <cell r="AH425">
            <v>155</v>
          </cell>
          <cell r="AI425">
            <v>60</v>
          </cell>
          <cell r="AJ425">
            <v>10</v>
          </cell>
          <cell r="AK425">
            <v>20</v>
          </cell>
          <cell r="AL425">
            <v>15</v>
          </cell>
          <cell r="AM425">
            <v>10</v>
          </cell>
          <cell r="AN425">
            <v>0</v>
          </cell>
          <cell r="AO425">
            <v>1370</v>
          </cell>
          <cell r="AP425">
            <v>320</v>
          </cell>
          <cell r="AQ425">
            <v>340</v>
          </cell>
          <cell r="AR425">
            <v>120</v>
          </cell>
          <cell r="AS425">
            <v>295</v>
          </cell>
          <cell r="AT425">
            <v>285</v>
          </cell>
          <cell r="AU425">
            <v>1.1000000000000001</v>
          </cell>
          <cell r="AV425">
            <v>4700</v>
          </cell>
          <cell r="AW425">
            <v>1030</v>
          </cell>
          <cell r="AX425">
            <v>105</v>
          </cell>
          <cell r="AY425">
            <v>65</v>
          </cell>
          <cell r="AZ425">
            <v>855</v>
          </cell>
          <cell r="BA425">
            <v>3675</v>
          </cell>
          <cell r="BB425">
            <v>2.9</v>
          </cell>
          <cell r="BC425">
            <v>1145</v>
          </cell>
          <cell r="BD425">
            <v>525</v>
          </cell>
          <cell r="BE425">
            <v>45</v>
          </cell>
          <cell r="BF425">
            <v>0</v>
          </cell>
          <cell r="BG425">
            <v>475</v>
          </cell>
          <cell r="BH425">
            <v>615</v>
          </cell>
          <cell r="BI425">
            <v>2145</v>
          </cell>
          <cell r="BJ425">
            <v>4.5</v>
          </cell>
          <cell r="BK425">
            <v>9652.5</v>
          </cell>
          <cell r="BL425">
            <v>1.9</v>
          </cell>
          <cell r="BM425">
            <v>4075.5</v>
          </cell>
          <cell r="BN425">
            <v>2145</v>
          </cell>
          <cell r="BO425">
            <v>635</v>
          </cell>
          <cell r="BP425">
            <v>1510</v>
          </cell>
          <cell r="BQ425">
            <v>0</v>
          </cell>
          <cell r="BR425">
            <v>2145</v>
          </cell>
          <cell r="BS425">
            <v>1495</v>
          </cell>
          <cell r="BT425">
            <v>515</v>
          </cell>
          <cell r="BU425">
            <v>140</v>
          </cell>
          <cell r="BV425">
            <v>2150</v>
          </cell>
          <cell r="BW425">
            <v>75</v>
          </cell>
          <cell r="BX425">
            <v>275</v>
          </cell>
          <cell r="BY425">
            <v>555</v>
          </cell>
          <cell r="BZ425">
            <v>640</v>
          </cell>
          <cell r="CA425">
            <v>185</v>
          </cell>
          <cell r="CB425">
            <v>225</v>
          </cell>
          <cell r="CC425">
            <v>80</v>
          </cell>
          <cell r="CD425">
            <v>15</v>
          </cell>
          <cell r="CE425">
            <v>105</v>
          </cell>
          <cell r="CF425">
            <v>2150</v>
          </cell>
          <cell r="CG425">
            <v>0</v>
          </cell>
          <cell r="CH425">
            <v>0</v>
          </cell>
          <cell r="CI425">
            <v>90</v>
          </cell>
          <cell r="CJ425">
            <v>10</v>
          </cell>
          <cell r="CK425">
            <v>710</v>
          </cell>
          <cell r="CL425">
            <v>1335</v>
          </cell>
          <cell r="CM425">
            <v>0</v>
          </cell>
          <cell r="CN425">
            <v>0</v>
          </cell>
          <cell r="CO425">
            <v>2145</v>
          </cell>
          <cell r="CP425">
            <v>855</v>
          </cell>
          <cell r="CQ425">
            <v>610</v>
          </cell>
          <cell r="CR425">
            <v>305</v>
          </cell>
          <cell r="CS425">
            <v>325</v>
          </cell>
          <cell r="CT425">
            <v>45</v>
          </cell>
          <cell r="CU425">
            <v>4700</v>
          </cell>
          <cell r="CV425">
            <v>2.2000000000000002</v>
          </cell>
          <cell r="CW425">
            <v>2145</v>
          </cell>
          <cell r="CX425">
            <v>1220</v>
          </cell>
          <cell r="CY425">
            <v>20</v>
          </cell>
          <cell r="CZ425">
            <v>905</v>
          </cell>
        </row>
        <row r="426">
          <cell r="A426" t="str">
            <v>4620416.01</v>
          </cell>
          <cell r="B426" t="str">
            <v>0416.01</v>
          </cell>
          <cell r="C426" t="str">
            <v>Saint-Laurent</v>
          </cell>
          <cell r="D426">
            <v>3640</v>
          </cell>
          <cell r="E426">
            <v>1165</v>
          </cell>
          <cell r="F426">
            <v>2045</v>
          </cell>
          <cell r="G426">
            <v>50</v>
          </cell>
          <cell r="H426">
            <v>155</v>
          </cell>
          <cell r="I426">
            <v>225</v>
          </cell>
          <cell r="J426">
            <v>3640</v>
          </cell>
          <cell r="K426">
            <v>3480</v>
          </cell>
          <cell r="L426">
            <v>160</v>
          </cell>
          <cell r="M426">
            <v>1260</v>
          </cell>
          <cell r="N426">
            <v>505</v>
          </cell>
          <cell r="O426">
            <v>315</v>
          </cell>
          <cell r="P426">
            <v>310</v>
          </cell>
          <cell r="Q426">
            <v>125</v>
          </cell>
          <cell r="R426">
            <v>1260</v>
          </cell>
          <cell r="S426">
            <v>1085</v>
          </cell>
          <cell r="T426">
            <v>1005</v>
          </cell>
          <cell r="U426">
            <v>385</v>
          </cell>
          <cell r="V426">
            <v>620</v>
          </cell>
          <cell r="W426">
            <v>220</v>
          </cell>
          <cell r="X426">
            <v>275</v>
          </cell>
          <cell r="Y426">
            <v>125</v>
          </cell>
          <cell r="Z426">
            <v>80</v>
          </cell>
          <cell r="AA426">
            <v>50</v>
          </cell>
          <cell r="AB426">
            <v>30</v>
          </cell>
          <cell r="AC426">
            <v>15</v>
          </cell>
          <cell r="AD426">
            <v>10</v>
          </cell>
          <cell r="AE426">
            <v>10</v>
          </cell>
          <cell r="AF426">
            <v>180</v>
          </cell>
          <cell r="AG426">
            <v>135</v>
          </cell>
          <cell r="AH426">
            <v>60</v>
          </cell>
          <cell r="AI426">
            <v>55</v>
          </cell>
          <cell r="AJ426">
            <v>20</v>
          </cell>
          <cell r="AK426">
            <v>35</v>
          </cell>
          <cell r="AL426">
            <v>10</v>
          </cell>
          <cell r="AM426">
            <v>30</v>
          </cell>
          <cell r="AN426">
            <v>0</v>
          </cell>
          <cell r="AO426">
            <v>1520</v>
          </cell>
          <cell r="AP426">
            <v>205</v>
          </cell>
          <cell r="AQ426">
            <v>395</v>
          </cell>
          <cell r="AR426">
            <v>140</v>
          </cell>
          <cell r="AS426">
            <v>355</v>
          </cell>
          <cell r="AT426">
            <v>425</v>
          </cell>
          <cell r="AU426">
            <v>1.2</v>
          </cell>
          <cell r="AV426">
            <v>4240</v>
          </cell>
          <cell r="AW426">
            <v>370</v>
          </cell>
          <cell r="AX426">
            <v>160</v>
          </cell>
          <cell r="AY426">
            <v>20</v>
          </cell>
          <cell r="AZ426">
            <v>190</v>
          </cell>
          <cell r="BA426">
            <v>3870</v>
          </cell>
          <cell r="BB426">
            <v>3.1</v>
          </cell>
          <cell r="BC426">
            <v>825</v>
          </cell>
          <cell r="BD426">
            <v>175</v>
          </cell>
          <cell r="BE426">
            <v>70</v>
          </cell>
          <cell r="BF426">
            <v>0</v>
          </cell>
          <cell r="BG426">
            <v>100</v>
          </cell>
          <cell r="BH426">
            <v>650</v>
          </cell>
          <cell r="BI426">
            <v>1410</v>
          </cell>
          <cell r="BJ426">
            <v>7</v>
          </cell>
          <cell r="BK426">
            <v>9870</v>
          </cell>
          <cell r="BL426">
            <v>3.1</v>
          </cell>
          <cell r="BM426">
            <v>4371</v>
          </cell>
          <cell r="BN426">
            <v>1410</v>
          </cell>
          <cell r="BO426">
            <v>1185</v>
          </cell>
          <cell r="BP426">
            <v>225</v>
          </cell>
          <cell r="BQ426">
            <v>0</v>
          </cell>
          <cell r="BR426">
            <v>1410</v>
          </cell>
          <cell r="BS426">
            <v>845</v>
          </cell>
          <cell r="BT426">
            <v>485</v>
          </cell>
          <cell r="BU426">
            <v>85</v>
          </cell>
          <cell r="BV426">
            <v>1410</v>
          </cell>
          <cell r="BW426">
            <v>25</v>
          </cell>
          <cell r="BX426">
            <v>360</v>
          </cell>
          <cell r="BY426">
            <v>155</v>
          </cell>
          <cell r="BZ426">
            <v>590</v>
          </cell>
          <cell r="CA426">
            <v>190</v>
          </cell>
          <cell r="CB426">
            <v>60</v>
          </cell>
          <cell r="CC426">
            <v>10</v>
          </cell>
          <cell r="CD426">
            <v>0</v>
          </cell>
          <cell r="CE426">
            <v>15</v>
          </cell>
          <cell r="CF426">
            <v>1410</v>
          </cell>
          <cell r="CG426">
            <v>505</v>
          </cell>
          <cell r="CH426">
            <v>145</v>
          </cell>
          <cell r="CI426">
            <v>515</v>
          </cell>
          <cell r="CJ426">
            <v>20</v>
          </cell>
          <cell r="CK426">
            <v>0</v>
          </cell>
          <cell r="CL426">
            <v>230</v>
          </cell>
          <cell r="CM426">
            <v>0</v>
          </cell>
          <cell r="CN426">
            <v>0</v>
          </cell>
          <cell r="CO426">
            <v>1415</v>
          </cell>
          <cell r="CP426">
            <v>190</v>
          </cell>
          <cell r="CQ426">
            <v>435</v>
          </cell>
          <cell r="CR426">
            <v>290</v>
          </cell>
          <cell r="CS426">
            <v>440</v>
          </cell>
          <cell r="CT426">
            <v>65</v>
          </cell>
          <cell r="CU426">
            <v>4240</v>
          </cell>
          <cell r="CV426">
            <v>3</v>
          </cell>
          <cell r="CW426">
            <v>1415</v>
          </cell>
          <cell r="CX426">
            <v>1145</v>
          </cell>
          <cell r="CY426">
            <v>55</v>
          </cell>
          <cell r="CZ426">
            <v>215</v>
          </cell>
        </row>
        <row r="427">
          <cell r="A427" t="str">
            <v>4620416.02</v>
          </cell>
          <cell r="B427" t="str">
            <v>0416.02</v>
          </cell>
          <cell r="C427" t="str">
            <v>Saint-Laurent</v>
          </cell>
          <cell r="D427">
            <v>2445</v>
          </cell>
          <cell r="E427">
            <v>815</v>
          </cell>
          <cell r="F427">
            <v>1220</v>
          </cell>
          <cell r="G427">
            <v>55</v>
          </cell>
          <cell r="H427">
            <v>190</v>
          </cell>
          <cell r="I427">
            <v>170</v>
          </cell>
          <cell r="J427">
            <v>2445</v>
          </cell>
          <cell r="K427">
            <v>2275</v>
          </cell>
          <cell r="L427">
            <v>170</v>
          </cell>
          <cell r="M427">
            <v>880</v>
          </cell>
          <cell r="N427">
            <v>415</v>
          </cell>
          <cell r="O427">
            <v>190</v>
          </cell>
          <cell r="P427">
            <v>150</v>
          </cell>
          <cell r="Q427">
            <v>120</v>
          </cell>
          <cell r="R427">
            <v>875</v>
          </cell>
          <cell r="S427">
            <v>700</v>
          </cell>
          <cell r="T427">
            <v>600</v>
          </cell>
          <cell r="U427">
            <v>220</v>
          </cell>
          <cell r="V427">
            <v>375</v>
          </cell>
          <cell r="W427">
            <v>135</v>
          </cell>
          <cell r="X427">
            <v>130</v>
          </cell>
          <cell r="Y427">
            <v>105</v>
          </cell>
          <cell r="Z427">
            <v>105</v>
          </cell>
          <cell r="AA427">
            <v>85</v>
          </cell>
          <cell r="AB427">
            <v>20</v>
          </cell>
          <cell r="AC427">
            <v>0</v>
          </cell>
          <cell r="AD427">
            <v>0</v>
          </cell>
          <cell r="AE427">
            <v>10</v>
          </cell>
          <cell r="AF427">
            <v>175</v>
          </cell>
          <cell r="AG427">
            <v>130</v>
          </cell>
          <cell r="AH427">
            <v>75</v>
          </cell>
          <cell r="AI427">
            <v>40</v>
          </cell>
          <cell r="AJ427">
            <v>10</v>
          </cell>
          <cell r="AK427">
            <v>45</v>
          </cell>
          <cell r="AL427">
            <v>35</v>
          </cell>
          <cell r="AM427">
            <v>10</v>
          </cell>
          <cell r="AN427">
            <v>0</v>
          </cell>
          <cell r="AO427">
            <v>1040</v>
          </cell>
          <cell r="AP427">
            <v>250</v>
          </cell>
          <cell r="AQ427">
            <v>325</v>
          </cell>
          <cell r="AR427">
            <v>45</v>
          </cell>
          <cell r="AS427">
            <v>200</v>
          </cell>
          <cell r="AT427">
            <v>215</v>
          </cell>
          <cell r="AU427">
            <v>1.2</v>
          </cell>
          <cell r="AV427">
            <v>3015</v>
          </cell>
          <cell r="AW427">
            <v>395</v>
          </cell>
          <cell r="AX427">
            <v>85</v>
          </cell>
          <cell r="AY427">
            <v>25</v>
          </cell>
          <cell r="AZ427">
            <v>285</v>
          </cell>
          <cell r="BA427">
            <v>2620</v>
          </cell>
          <cell r="BB427">
            <v>3</v>
          </cell>
          <cell r="BC427">
            <v>445</v>
          </cell>
          <cell r="BD427">
            <v>75</v>
          </cell>
          <cell r="BE427">
            <v>15</v>
          </cell>
          <cell r="BF427">
            <v>0</v>
          </cell>
          <cell r="BG427">
            <v>60</v>
          </cell>
          <cell r="BH427">
            <v>370</v>
          </cell>
          <cell r="BI427">
            <v>1130</v>
          </cell>
          <cell r="BJ427">
            <v>5.6</v>
          </cell>
          <cell r="BK427">
            <v>6328</v>
          </cell>
          <cell r="BL427">
            <v>2.7</v>
          </cell>
          <cell r="BM427">
            <v>3051</v>
          </cell>
          <cell r="BN427">
            <v>1130</v>
          </cell>
          <cell r="BO427">
            <v>520</v>
          </cell>
          <cell r="BP427">
            <v>610</v>
          </cell>
          <cell r="BQ427">
            <v>0</v>
          </cell>
          <cell r="BR427">
            <v>1130</v>
          </cell>
          <cell r="BS427">
            <v>675</v>
          </cell>
          <cell r="BT427">
            <v>405</v>
          </cell>
          <cell r="BU427">
            <v>45</v>
          </cell>
          <cell r="BV427">
            <v>1130</v>
          </cell>
          <cell r="BW427">
            <v>45</v>
          </cell>
          <cell r="BX427">
            <v>210</v>
          </cell>
          <cell r="BY427">
            <v>410</v>
          </cell>
          <cell r="BZ427">
            <v>200</v>
          </cell>
          <cell r="CA427">
            <v>170</v>
          </cell>
          <cell r="CB427">
            <v>55</v>
          </cell>
          <cell r="CC427">
            <v>25</v>
          </cell>
          <cell r="CD427">
            <v>0</v>
          </cell>
          <cell r="CE427">
            <v>0</v>
          </cell>
          <cell r="CF427">
            <v>1130</v>
          </cell>
          <cell r="CG427">
            <v>50</v>
          </cell>
          <cell r="CH427">
            <v>145</v>
          </cell>
          <cell r="CI427">
            <v>15</v>
          </cell>
          <cell r="CJ427">
            <v>30</v>
          </cell>
          <cell r="CK427">
            <v>5</v>
          </cell>
          <cell r="CL427">
            <v>875</v>
          </cell>
          <cell r="CM427">
            <v>0</v>
          </cell>
          <cell r="CN427">
            <v>0</v>
          </cell>
          <cell r="CO427">
            <v>1130</v>
          </cell>
          <cell r="CP427">
            <v>270</v>
          </cell>
          <cell r="CQ427">
            <v>335</v>
          </cell>
          <cell r="CR427">
            <v>200</v>
          </cell>
          <cell r="CS427">
            <v>280</v>
          </cell>
          <cell r="CT427">
            <v>40</v>
          </cell>
          <cell r="CU427">
            <v>3015</v>
          </cell>
          <cell r="CV427">
            <v>2.7</v>
          </cell>
          <cell r="CW427">
            <v>1130</v>
          </cell>
          <cell r="CX427">
            <v>765</v>
          </cell>
          <cell r="CY427">
            <v>55</v>
          </cell>
          <cell r="CZ427">
            <v>310</v>
          </cell>
        </row>
        <row r="428">
          <cell r="A428" t="str">
            <v>4620417.01</v>
          </cell>
          <cell r="B428" t="str">
            <v>0417.01</v>
          </cell>
          <cell r="C428" t="str">
            <v>Saint-Laurent</v>
          </cell>
          <cell r="D428">
            <v>3160</v>
          </cell>
          <cell r="E428">
            <v>1135</v>
          </cell>
          <cell r="F428">
            <v>1530</v>
          </cell>
          <cell r="G428">
            <v>70</v>
          </cell>
          <cell r="H428">
            <v>250</v>
          </cell>
          <cell r="I428">
            <v>180</v>
          </cell>
          <cell r="J428">
            <v>3160</v>
          </cell>
          <cell r="K428">
            <v>2940</v>
          </cell>
          <cell r="L428">
            <v>220</v>
          </cell>
          <cell r="M428">
            <v>1065</v>
          </cell>
          <cell r="N428">
            <v>420</v>
          </cell>
          <cell r="O428">
            <v>270</v>
          </cell>
          <cell r="P428">
            <v>235</v>
          </cell>
          <cell r="Q428">
            <v>140</v>
          </cell>
          <cell r="R428">
            <v>1065</v>
          </cell>
          <cell r="S428">
            <v>895</v>
          </cell>
          <cell r="T428">
            <v>760</v>
          </cell>
          <cell r="U428">
            <v>240</v>
          </cell>
          <cell r="V428">
            <v>520</v>
          </cell>
          <cell r="W428">
            <v>205</v>
          </cell>
          <cell r="X428">
            <v>205</v>
          </cell>
          <cell r="Y428">
            <v>105</v>
          </cell>
          <cell r="Z428">
            <v>135</v>
          </cell>
          <cell r="AA428">
            <v>85</v>
          </cell>
          <cell r="AB428">
            <v>45</v>
          </cell>
          <cell r="AC428">
            <v>10</v>
          </cell>
          <cell r="AD428">
            <v>15</v>
          </cell>
          <cell r="AE428">
            <v>10</v>
          </cell>
          <cell r="AF428">
            <v>170</v>
          </cell>
          <cell r="AG428">
            <v>135</v>
          </cell>
          <cell r="AH428">
            <v>65</v>
          </cell>
          <cell r="AI428">
            <v>50</v>
          </cell>
          <cell r="AJ428">
            <v>15</v>
          </cell>
          <cell r="AK428">
            <v>35</v>
          </cell>
          <cell r="AL428">
            <v>20</v>
          </cell>
          <cell r="AM428">
            <v>10</v>
          </cell>
          <cell r="AN428">
            <v>10</v>
          </cell>
          <cell r="AO428">
            <v>1385</v>
          </cell>
          <cell r="AP428">
            <v>375</v>
          </cell>
          <cell r="AQ428">
            <v>405</v>
          </cell>
          <cell r="AR428">
            <v>145</v>
          </cell>
          <cell r="AS428">
            <v>285</v>
          </cell>
          <cell r="AT428">
            <v>180</v>
          </cell>
          <cell r="AU428">
            <v>1.3</v>
          </cell>
          <cell r="AV428">
            <v>3905</v>
          </cell>
          <cell r="AW428">
            <v>560</v>
          </cell>
          <cell r="AX428">
            <v>115</v>
          </cell>
          <cell r="AY428">
            <v>80</v>
          </cell>
          <cell r="AZ428">
            <v>365</v>
          </cell>
          <cell r="BA428">
            <v>3350</v>
          </cell>
          <cell r="BB428">
            <v>3.1</v>
          </cell>
          <cell r="BC428">
            <v>530</v>
          </cell>
          <cell r="BD428">
            <v>215</v>
          </cell>
          <cell r="BE428">
            <v>35</v>
          </cell>
          <cell r="BF428">
            <v>0</v>
          </cell>
          <cell r="BG428">
            <v>180</v>
          </cell>
          <cell r="BH428">
            <v>315</v>
          </cell>
          <cell r="BI428">
            <v>1450</v>
          </cell>
          <cell r="BJ428">
            <v>5.0999999999999996</v>
          </cell>
          <cell r="BK428">
            <v>7394.9999999999991</v>
          </cell>
          <cell r="BL428">
            <v>2.2999999999999998</v>
          </cell>
          <cell r="BM428">
            <v>3334.9999999999995</v>
          </cell>
          <cell r="BN428">
            <v>1450</v>
          </cell>
          <cell r="BO428">
            <v>820</v>
          </cell>
          <cell r="BP428">
            <v>630</v>
          </cell>
          <cell r="BQ428">
            <v>0</v>
          </cell>
          <cell r="BR428">
            <v>1450</v>
          </cell>
          <cell r="BS428">
            <v>840</v>
          </cell>
          <cell r="BT428">
            <v>420</v>
          </cell>
          <cell r="BU428">
            <v>185</v>
          </cell>
          <cell r="BV428">
            <v>1450</v>
          </cell>
          <cell r="BW428">
            <v>320</v>
          </cell>
          <cell r="BX428">
            <v>560</v>
          </cell>
          <cell r="BY428">
            <v>120</v>
          </cell>
          <cell r="BZ428">
            <v>95</v>
          </cell>
          <cell r="CA428">
            <v>40</v>
          </cell>
          <cell r="CB428">
            <v>250</v>
          </cell>
          <cell r="CC428">
            <v>25</v>
          </cell>
          <cell r="CD428">
            <v>10</v>
          </cell>
          <cell r="CE428">
            <v>15</v>
          </cell>
          <cell r="CF428">
            <v>1445</v>
          </cell>
          <cell r="CG428">
            <v>430</v>
          </cell>
          <cell r="CH428">
            <v>10</v>
          </cell>
          <cell r="CI428">
            <v>0</v>
          </cell>
          <cell r="CJ428">
            <v>125</v>
          </cell>
          <cell r="CK428">
            <v>275</v>
          </cell>
          <cell r="CL428">
            <v>605</v>
          </cell>
          <cell r="CM428">
            <v>5</v>
          </cell>
          <cell r="CN428">
            <v>0</v>
          </cell>
          <cell r="CO428">
            <v>1440</v>
          </cell>
          <cell r="CP428">
            <v>380</v>
          </cell>
          <cell r="CQ428">
            <v>405</v>
          </cell>
          <cell r="CR428">
            <v>245</v>
          </cell>
          <cell r="CS428">
            <v>340</v>
          </cell>
          <cell r="CT428">
            <v>80</v>
          </cell>
          <cell r="CU428">
            <v>3910</v>
          </cell>
          <cell r="CV428">
            <v>2.7</v>
          </cell>
          <cell r="CW428">
            <v>1445</v>
          </cell>
          <cell r="CX428">
            <v>1035</v>
          </cell>
          <cell r="CY428">
            <v>20</v>
          </cell>
          <cell r="CZ428">
            <v>400</v>
          </cell>
        </row>
        <row r="429">
          <cell r="A429" t="str">
            <v>4620417.02</v>
          </cell>
          <cell r="B429" t="str">
            <v>0417.02</v>
          </cell>
          <cell r="C429" t="str">
            <v>Saint-Laurent</v>
          </cell>
          <cell r="D429">
            <v>2310</v>
          </cell>
          <cell r="E429">
            <v>1005</v>
          </cell>
          <cell r="F429">
            <v>1005</v>
          </cell>
          <cell r="G429">
            <v>60</v>
          </cell>
          <cell r="H429">
            <v>155</v>
          </cell>
          <cell r="I429">
            <v>80</v>
          </cell>
          <cell r="J429">
            <v>2310</v>
          </cell>
          <cell r="K429">
            <v>2180</v>
          </cell>
          <cell r="L429">
            <v>125</v>
          </cell>
          <cell r="M429">
            <v>705</v>
          </cell>
          <cell r="N429">
            <v>215</v>
          </cell>
          <cell r="O429">
            <v>130</v>
          </cell>
          <cell r="P429">
            <v>135</v>
          </cell>
          <cell r="Q429">
            <v>220</v>
          </cell>
          <cell r="R429">
            <v>705</v>
          </cell>
          <cell r="S429">
            <v>520</v>
          </cell>
          <cell r="T429">
            <v>470</v>
          </cell>
          <cell r="U429">
            <v>105</v>
          </cell>
          <cell r="V429">
            <v>360</v>
          </cell>
          <cell r="W429">
            <v>80</v>
          </cell>
          <cell r="X429">
            <v>100</v>
          </cell>
          <cell r="Y429">
            <v>180</v>
          </cell>
          <cell r="Z429">
            <v>50</v>
          </cell>
          <cell r="AA429">
            <v>20</v>
          </cell>
          <cell r="AB429">
            <v>30</v>
          </cell>
          <cell r="AC429">
            <v>15</v>
          </cell>
          <cell r="AD429">
            <v>10</v>
          </cell>
          <cell r="AE429">
            <v>0</v>
          </cell>
          <cell r="AF429">
            <v>185</v>
          </cell>
          <cell r="AG429">
            <v>180</v>
          </cell>
          <cell r="AH429">
            <v>90</v>
          </cell>
          <cell r="AI429">
            <v>30</v>
          </cell>
          <cell r="AJ429">
            <v>60</v>
          </cell>
          <cell r="AK429">
            <v>0</v>
          </cell>
          <cell r="AL429">
            <v>0</v>
          </cell>
          <cell r="AM429">
            <v>10</v>
          </cell>
          <cell r="AN429">
            <v>0</v>
          </cell>
          <cell r="AO429">
            <v>1405</v>
          </cell>
          <cell r="AP429">
            <v>255</v>
          </cell>
          <cell r="AQ429">
            <v>545</v>
          </cell>
          <cell r="AR429">
            <v>165</v>
          </cell>
          <cell r="AS429">
            <v>280</v>
          </cell>
          <cell r="AT429">
            <v>155</v>
          </cell>
          <cell r="AU429">
            <v>2</v>
          </cell>
          <cell r="AV429">
            <v>3120</v>
          </cell>
          <cell r="AW429">
            <v>495</v>
          </cell>
          <cell r="AX429">
            <v>170</v>
          </cell>
          <cell r="AY429">
            <v>165</v>
          </cell>
          <cell r="AZ429">
            <v>160</v>
          </cell>
          <cell r="BA429">
            <v>2630</v>
          </cell>
          <cell r="BB429">
            <v>3.7</v>
          </cell>
          <cell r="BC429">
            <v>175</v>
          </cell>
          <cell r="BD429">
            <v>85</v>
          </cell>
          <cell r="BE429">
            <v>45</v>
          </cell>
          <cell r="BF429">
            <v>10</v>
          </cell>
          <cell r="BG429">
            <v>30</v>
          </cell>
          <cell r="BH429">
            <v>90</v>
          </cell>
          <cell r="BI429">
            <v>925</v>
          </cell>
          <cell r="BJ429">
            <v>4.7</v>
          </cell>
          <cell r="BK429">
            <v>4347.5</v>
          </cell>
          <cell r="BL429">
            <v>2.4</v>
          </cell>
          <cell r="BM429">
            <v>2220</v>
          </cell>
          <cell r="BN429">
            <v>925</v>
          </cell>
          <cell r="BO429">
            <v>130</v>
          </cell>
          <cell r="BP429">
            <v>790</v>
          </cell>
          <cell r="BQ429">
            <v>0</v>
          </cell>
          <cell r="BR429">
            <v>925</v>
          </cell>
          <cell r="BS429">
            <v>405</v>
          </cell>
          <cell r="BT429">
            <v>380</v>
          </cell>
          <cell r="BU429">
            <v>140</v>
          </cell>
          <cell r="BV429">
            <v>925</v>
          </cell>
          <cell r="BW429">
            <v>35</v>
          </cell>
          <cell r="BX429">
            <v>415</v>
          </cell>
          <cell r="BY429">
            <v>240</v>
          </cell>
          <cell r="BZ429">
            <v>100</v>
          </cell>
          <cell r="CA429">
            <v>0</v>
          </cell>
          <cell r="CB429">
            <v>55</v>
          </cell>
          <cell r="CC429">
            <v>50</v>
          </cell>
          <cell r="CD429">
            <v>10</v>
          </cell>
          <cell r="CE429">
            <v>20</v>
          </cell>
          <cell r="CF429">
            <v>930</v>
          </cell>
          <cell r="CG429">
            <v>0</v>
          </cell>
          <cell r="CH429">
            <v>45</v>
          </cell>
          <cell r="CI429">
            <v>0</v>
          </cell>
          <cell r="CJ429">
            <v>95</v>
          </cell>
          <cell r="CK429">
            <v>50</v>
          </cell>
          <cell r="CL429">
            <v>740</v>
          </cell>
          <cell r="CM429">
            <v>0</v>
          </cell>
          <cell r="CN429">
            <v>0</v>
          </cell>
          <cell r="CO429">
            <v>930</v>
          </cell>
          <cell r="CP429">
            <v>145</v>
          </cell>
          <cell r="CQ429">
            <v>185</v>
          </cell>
          <cell r="CR429">
            <v>185</v>
          </cell>
          <cell r="CS429">
            <v>315</v>
          </cell>
          <cell r="CT429">
            <v>100</v>
          </cell>
          <cell r="CU429">
            <v>3125</v>
          </cell>
          <cell r="CV429">
            <v>3.4</v>
          </cell>
          <cell r="CW429">
            <v>925</v>
          </cell>
          <cell r="CX429">
            <v>675</v>
          </cell>
          <cell r="CY429">
            <v>15</v>
          </cell>
          <cell r="CZ429">
            <v>240</v>
          </cell>
        </row>
        <row r="430">
          <cell r="A430" t="str">
            <v>4620418.00</v>
          </cell>
          <cell r="B430" t="str">
            <v>0418.00</v>
          </cell>
          <cell r="C430" t="str">
            <v>Saint-Laurent</v>
          </cell>
          <cell r="D430">
            <v>4395</v>
          </cell>
          <cell r="E430">
            <v>1955</v>
          </cell>
          <cell r="F430">
            <v>1650</v>
          </cell>
          <cell r="G430">
            <v>95</v>
          </cell>
          <cell r="H430">
            <v>425</v>
          </cell>
          <cell r="I430">
            <v>265</v>
          </cell>
          <cell r="J430">
            <v>4395</v>
          </cell>
          <cell r="K430">
            <v>3825</v>
          </cell>
          <cell r="L430">
            <v>570</v>
          </cell>
          <cell r="M430">
            <v>1365</v>
          </cell>
          <cell r="N430">
            <v>630</v>
          </cell>
          <cell r="O430">
            <v>305</v>
          </cell>
          <cell r="P430">
            <v>290</v>
          </cell>
          <cell r="Q430">
            <v>145</v>
          </cell>
          <cell r="R430">
            <v>1365</v>
          </cell>
          <cell r="S430">
            <v>1100</v>
          </cell>
          <cell r="T430">
            <v>815</v>
          </cell>
          <cell r="U430">
            <v>325</v>
          </cell>
          <cell r="V430">
            <v>490</v>
          </cell>
          <cell r="W430">
            <v>165</v>
          </cell>
          <cell r="X430">
            <v>220</v>
          </cell>
          <cell r="Y430">
            <v>105</v>
          </cell>
          <cell r="Z430">
            <v>290</v>
          </cell>
          <cell r="AA430">
            <v>155</v>
          </cell>
          <cell r="AB430">
            <v>130</v>
          </cell>
          <cell r="AC430">
            <v>60</v>
          </cell>
          <cell r="AD430">
            <v>45</v>
          </cell>
          <cell r="AE430">
            <v>25</v>
          </cell>
          <cell r="AF430">
            <v>260</v>
          </cell>
          <cell r="AG430">
            <v>220</v>
          </cell>
          <cell r="AH430">
            <v>110</v>
          </cell>
          <cell r="AI430">
            <v>80</v>
          </cell>
          <cell r="AJ430">
            <v>25</v>
          </cell>
          <cell r="AK430">
            <v>45</v>
          </cell>
          <cell r="AL430">
            <v>40</v>
          </cell>
          <cell r="AM430">
            <v>0</v>
          </cell>
          <cell r="AN430">
            <v>10</v>
          </cell>
          <cell r="AO430">
            <v>1610</v>
          </cell>
          <cell r="AP430">
            <v>315</v>
          </cell>
          <cell r="AQ430">
            <v>525</v>
          </cell>
          <cell r="AR430">
            <v>145</v>
          </cell>
          <cell r="AS430">
            <v>380</v>
          </cell>
          <cell r="AT430">
            <v>250</v>
          </cell>
          <cell r="AU430">
            <v>1.2</v>
          </cell>
          <cell r="AV430">
            <v>5210</v>
          </cell>
          <cell r="AW430">
            <v>1130</v>
          </cell>
          <cell r="AX430">
            <v>135</v>
          </cell>
          <cell r="AY430">
            <v>175</v>
          </cell>
          <cell r="AZ430">
            <v>815</v>
          </cell>
          <cell r="BA430">
            <v>4080</v>
          </cell>
          <cell r="BB430">
            <v>3</v>
          </cell>
          <cell r="BC430">
            <v>705</v>
          </cell>
          <cell r="BD430">
            <v>285</v>
          </cell>
          <cell r="BE430">
            <v>40</v>
          </cell>
          <cell r="BF430">
            <v>20</v>
          </cell>
          <cell r="BG430">
            <v>230</v>
          </cell>
          <cell r="BH430">
            <v>420</v>
          </cell>
          <cell r="BI430">
            <v>2270</v>
          </cell>
          <cell r="BJ430">
            <v>5</v>
          </cell>
          <cell r="BK430">
            <v>11350</v>
          </cell>
          <cell r="BL430">
            <v>2.1</v>
          </cell>
          <cell r="BM430">
            <v>4767</v>
          </cell>
          <cell r="BN430">
            <v>2265</v>
          </cell>
          <cell r="BO430">
            <v>855</v>
          </cell>
          <cell r="BP430">
            <v>1410</v>
          </cell>
          <cell r="BQ430">
            <v>0</v>
          </cell>
          <cell r="BR430">
            <v>2265</v>
          </cell>
          <cell r="BS430">
            <v>1305</v>
          </cell>
          <cell r="BT430">
            <v>680</v>
          </cell>
          <cell r="BU430">
            <v>280</v>
          </cell>
          <cell r="BV430">
            <v>2265</v>
          </cell>
          <cell r="BW430">
            <v>670</v>
          </cell>
          <cell r="BX430">
            <v>845</v>
          </cell>
          <cell r="BY430">
            <v>230</v>
          </cell>
          <cell r="BZ430">
            <v>125</v>
          </cell>
          <cell r="CA430">
            <v>85</v>
          </cell>
          <cell r="CB430">
            <v>110</v>
          </cell>
          <cell r="CC430">
            <v>85</v>
          </cell>
          <cell r="CD430">
            <v>10</v>
          </cell>
          <cell r="CE430">
            <v>100</v>
          </cell>
          <cell r="CF430">
            <v>2270</v>
          </cell>
          <cell r="CG430">
            <v>155</v>
          </cell>
          <cell r="CH430">
            <v>235</v>
          </cell>
          <cell r="CI430">
            <v>10</v>
          </cell>
          <cell r="CJ430">
            <v>580</v>
          </cell>
          <cell r="CK430">
            <v>160</v>
          </cell>
          <cell r="CL430">
            <v>1115</v>
          </cell>
          <cell r="CM430">
            <v>15</v>
          </cell>
          <cell r="CN430">
            <v>0</v>
          </cell>
          <cell r="CO430">
            <v>2270</v>
          </cell>
          <cell r="CP430">
            <v>820</v>
          </cell>
          <cell r="CQ430">
            <v>675</v>
          </cell>
          <cell r="CR430">
            <v>315</v>
          </cell>
          <cell r="CS430">
            <v>395</v>
          </cell>
          <cell r="CT430">
            <v>65</v>
          </cell>
          <cell r="CU430">
            <v>5210</v>
          </cell>
          <cell r="CV430">
            <v>2.2999999999999998</v>
          </cell>
          <cell r="CW430">
            <v>2265</v>
          </cell>
          <cell r="CX430">
            <v>1320</v>
          </cell>
          <cell r="CY430">
            <v>25</v>
          </cell>
          <cell r="CZ430">
            <v>925</v>
          </cell>
        </row>
        <row r="431">
          <cell r="A431" t="str">
            <v>4620419.00</v>
          </cell>
          <cell r="B431" t="str">
            <v>0419.00</v>
          </cell>
          <cell r="C431" t="str">
            <v>Saint-Laurent</v>
          </cell>
          <cell r="D431">
            <v>3755</v>
          </cell>
          <cell r="E431">
            <v>1300</v>
          </cell>
          <cell r="F431">
            <v>1910</v>
          </cell>
          <cell r="G431">
            <v>100</v>
          </cell>
          <cell r="H431">
            <v>265</v>
          </cell>
          <cell r="I431">
            <v>190</v>
          </cell>
          <cell r="J431">
            <v>3755</v>
          </cell>
          <cell r="K431">
            <v>3580</v>
          </cell>
          <cell r="L431">
            <v>175</v>
          </cell>
          <cell r="M431">
            <v>1265</v>
          </cell>
          <cell r="N431">
            <v>415</v>
          </cell>
          <cell r="O431">
            <v>395</v>
          </cell>
          <cell r="P431">
            <v>270</v>
          </cell>
          <cell r="Q431">
            <v>185</v>
          </cell>
          <cell r="R431">
            <v>1265</v>
          </cell>
          <cell r="S431">
            <v>1015</v>
          </cell>
          <cell r="T431">
            <v>920</v>
          </cell>
          <cell r="U431">
            <v>260</v>
          </cell>
          <cell r="V431">
            <v>655</v>
          </cell>
          <cell r="W431">
            <v>305</v>
          </cell>
          <cell r="X431">
            <v>220</v>
          </cell>
          <cell r="Y431">
            <v>130</v>
          </cell>
          <cell r="Z431">
            <v>95</v>
          </cell>
          <cell r="AA431">
            <v>30</v>
          </cell>
          <cell r="AB431">
            <v>65</v>
          </cell>
          <cell r="AC431">
            <v>15</v>
          </cell>
          <cell r="AD431">
            <v>15</v>
          </cell>
          <cell r="AE431">
            <v>35</v>
          </cell>
          <cell r="AF431">
            <v>250</v>
          </cell>
          <cell r="AG431">
            <v>200</v>
          </cell>
          <cell r="AH431">
            <v>110</v>
          </cell>
          <cell r="AI431">
            <v>50</v>
          </cell>
          <cell r="AJ431">
            <v>30</v>
          </cell>
          <cell r="AK431">
            <v>55</v>
          </cell>
          <cell r="AL431">
            <v>15</v>
          </cell>
          <cell r="AM431">
            <v>20</v>
          </cell>
          <cell r="AN431">
            <v>20</v>
          </cell>
          <cell r="AO431">
            <v>1815</v>
          </cell>
          <cell r="AP431">
            <v>450</v>
          </cell>
          <cell r="AQ431">
            <v>660</v>
          </cell>
          <cell r="AR431">
            <v>190</v>
          </cell>
          <cell r="AS431">
            <v>300</v>
          </cell>
          <cell r="AT431">
            <v>215</v>
          </cell>
          <cell r="AU431">
            <v>1.4</v>
          </cell>
          <cell r="AV431">
            <v>4865</v>
          </cell>
          <cell r="AW431">
            <v>770</v>
          </cell>
          <cell r="AX431">
            <v>160</v>
          </cell>
          <cell r="AY431">
            <v>180</v>
          </cell>
          <cell r="AZ431">
            <v>430</v>
          </cell>
          <cell r="BA431">
            <v>4090</v>
          </cell>
          <cell r="BB431">
            <v>3.2</v>
          </cell>
          <cell r="BC431">
            <v>460</v>
          </cell>
          <cell r="BD431">
            <v>195</v>
          </cell>
          <cell r="BE431">
            <v>55</v>
          </cell>
          <cell r="BF431">
            <v>0</v>
          </cell>
          <cell r="BG431">
            <v>140</v>
          </cell>
          <cell r="BH431">
            <v>265</v>
          </cell>
          <cell r="BI431">
            <v>1745</v>
          </cell>
          <cell r="BJ431">
            <v>4.2</v>
          </cell>
          <cell r="BK431">
            <v>7329</v>
          </cell>
          <cell r="BL431">
            <v>1.9</v>
          </cell>
          <cell r="BM431">
            <v>3315.5</v>
          </cell>
          <cell r="BN431">
            <v>1745</v>
          </cell>
          <cell r="BO431">
            <v>310</v>
          </cell>
          <cell r="BP431">
            <v>1435</v>
          </cell>
          <cell r="BQ431">
            <v>0</v>
          </cell>
          <cell r="BR431">
            <v>1745</v>
          </cell>
          <cell r="BS431">
            <v>1025</v>
          </cell>
          <cell r="BT431">
            <v>510</v>
          </cell>
          <cell r="BU431">
            <v>210</v>
          </cell>
          <cell r="BV431">
            <v>1750</v>
          </cell>
          <cell r="BW431">
            <v>230</v>
          </cell>
          <cell r="BX431">
            <v>1010</v>
          </cell>
          <cell r="BY431">
            <v>225</v>
          </cell>
          <cell r="BZ431">
            <v>145</v>
          </cell>
          <cell r="CA431">
            <v>45</v>
          </cell>
          <cell r="CB431">
            <v>30</v>
          </cell>
          <cell r="CC431">
            <v>15</v>
          </cell>
          <cell r="CD431">
            <v>15</v>
          </cell>
          <cell r="CE431">
            <v>30</v>
          </cell>
          <cell r="CF431">
            <v>1750</v>
          </cell>
          <cell r="CG431">
            <v>30</v>
          </cell>
          <cell r="CH431">
            <v>40</v>
          </cell>
          <cell r="CI431">
            <v>5</v>
          </cell>
          <cell r="CJ431">
            <v>320</v>
          </cell>
          <cell r="CK431">
            <v>0</v>
          </cell>
          <cell r="CL431">
            <v>1355</v>
          </cell>
          <cell r="CM431">
            <v>0</v>
          </cell>
          <cell r="CN431">
            <v>0</v>
          </cell>
          <cell r="CO431">
            <v>1750</v>
          </cell>
          <cell r="CP431">
            <v>435</v>
          </cell>
          <cell r="CQ431">
            <v>415</v>
          </cell>
          <cell r="CR431">
            <v>375</v>
          </cell>
          <cell r="CS431">
            <v>435</v>
          </cell>
          <cell r="CT431">
            <v>95</v>
          </cell>
          <cell r="CU431">
            <v>4860</v>
          </cell>
          <cell r="CV431">
            <v>2.8</v>
          </cell>
          <cell r="CW431">
            <v>1745</v>
          </cell>
          <cell r="CX431">
            <v>1175</v>
          </cell>
          <cell r="CY431">
            <v>40</v>
          </cell>
          <cell r="CZ431">
            <v>525</v>
          </cell>
        </row>
        <row r="432">
          <cell r="A432" t="str">
            <v>4620420.00</v>
          </cell>
          <cell r="B432" t="str">
            <v>0420.00</v>
          </cell>
          <cell r="C432" t="str">
            <v>Saint-Laurent</v>
          </cell>
          <cell r="D432">
            <v>4190</v>
          </cell>
          <cell r="E432">
            <v>1375</v>
          </cell>
          <cell r="F432">
            <v>1925</v>
          </cell>
          <cell r="G432">
            <v>85</v>
          </cell>
          <cell r="H432">
            <v>300</v>
          </cell>
          <cell r="I432">
            <v>505</v>
          </cell>
          <cell r="J432">
            <v>4190</v>
          </cell>
          <cell r="K432">
            <v>3865</v>
          </cell>
          <cell r="L432">
            <v>320</v>
          </cell>
          <cell r="M432">
            <v>1275</v>
          </cell>
          <cell r="N432">
            <v>490</v>
          </cell>
          <cell r="O432">
            <v>320</v>
          </cell>
          <cell r="P432">
            <v>310</v>
          </cell>
          <cell r="Q432">
            <v>155</v>
          </cell>
          <cell r="R432">
            <v>1275</v>
          </cell>
          <cell r="S432">
            <v>1070</v>
          </cell>
          <cell r="T432">
            <v>915</v>
          </cell>
          <cell r="U432">
            <v>285</v>
          </cell>
          <cell r="V432">
            <v>635</v>
          </cell>
          <cell r="W432">
            <v>235</v>
          </cell>
          <cell r="X432">
            <v>270</v>
          </cell>
          <cell r="Y432">
            <v>125</v>
          </cell>
          <cell r="Z432">
            <v>155</v>
          </cell>
          <cell r="AA432">
            <v>70</v>
          </cell>
          <cell r="AB432">
            <v>80</v>
          </cell>
          <cell r="AC432">
            <v>35</v>
          </cell>
          <cell r="AD432">
            <v>30</v>
          </cell>
          <cell r="AE432">
            <v>15</v>
          </cell>
          <cell r="AF432">
            <v>200</v>
          </cell>
          <cell r="AG432">
            <v>165</v>
          </cell>
          <cell r="AH432">
            <v>100</v>
          </cell>
          <cell r="AI432">
            <v>45</v>
          </cell>
          <cell r="AJ432">
            <v>20</v>
          </cell>
          <cell r="AK432">
            <v>35</v>
          </cell>
          <cell r="AL432">
            <v>30</v>
          </cell>
          <cell r="AM432">
            <v>0</v>
          </cell>
          <cell r="AN432">
            <v>0</v>
          </cell>
          <cell r="AO432">
            <v>1635</v>
          </cell>
          <cell r="AP432">
            <v>365</v>
          </cell>
          <cell r="AQ432">
            <v>500</v>
          </cell>
          <cell r="AR432">
            <v>155</v>
          </cell>
          <cell r="AS432">
            <v>290</v>
          </cell>
          <cell r="AT432">
            <v>325</v>
          </cell>
          <cell r="AU432">
            <v>1.3</v>
          </cell>
          <cell r="AV432">
            <v>4750</v>
          </cell>
          <cell r="AW432">
            <v>765</v>
          </cell>
          <cell r="AX432">
            <v>130</v>
          </cell>
          <cell r="AY432">
            <v>110</v>
          </cell>
          <cell r="AZ432">
            <v>530</v>
          </cell>
          <cell r="BA432">
            <v>3985</v>
          </cell>
          <cell r="BB432">
            <v>3.1</v>
          </cell>
          <cell r="BC432">
            <v>900</v>
          </cell>
          <cell r="BD432">
            <v>380</v>
          </cell>
          <cell r="BE432">
            <v>90</v>
          </cell>
          <cell r="BF432">
            <v>10</v>
          </cell>
          <cell r="BG432">
            <v>290</v>
          </cell>
          <cell r="BH432">
            <v>520</v>
          </cell>
          <cell r="BI432">
            <v>1835</v>
          </cell>
          <cell r="BJ432">
            <v>5.8</v>
          </cell>
          <cell r="BK432">
            <v>10643</v>
          </cell>
          <cell r="BL432">
            <v>2.4</v>
          </cell>
          <cell r="BM432">
            <v>4404</v>
          </cell>
          <cell r="BN432">
            <v>1835</v>
          </cell>
          <cell r="BO432">
            <v>1145</v>
          </cell>
          <cell r="BP432">
            <v>685</v>
          </cell>
          <cell r="BQ432">
            <v>0</v>
          </cell>
          <cell r="BR432">
            <v>1835</v>
          </cell>
          <cell r="BS432">
            <v>1085</v>
          </cell>
          <cell r="BT432">
            <v>610</v>
          </cell>
          <cell r="BU432">
            <v>140</v>
          </cell>
          <cell r="BV432">
            <v>1835</v>
          </cell>
          <cell r="BW432">
            <v>95</v>
          </cell>
          <cell r="BX432">
            <v>1065</v>
          </cell>
          <cell r="BY432">
            <v>200</v>
          </cell>
          <cell r="BZ432">
            <v>195</v>
          </cell>
          <cell r="CA432">
            <v>30</v>
          </cell>
          <cell r="CB432">
            <v>45</v>
          </cell>
          <cell r="CC432">
            <v>40</v>
          </cell>
          <cell r="CD432">
            <v>75</v>
          </cell>
          <cell r="CE432">
            <v>80</v>
          </cell>
          <cell r="CF432">
            <v>1835</v>
          </cell>
          <cell r="CG432">
            <v>445</v>
          </cell>
          <cell r="CH432">
            <v>295</v>
          </cell>
          <cell r="CI432">
            <v>155</v>
          </cell>
          <cell r="CJ432">
            <v>315</v>
          </cell>
          <cell r="CK432">
            <v>175</v>
          </cell>
          <cell r="CL432">
            <v>445</v>
          </cell>
          <cell r="CM432">
            <v>5</v>
          </cell>
          <cell r="CN432">
            <v>0</v>
          </cell>
          <cell r="CO432">
            <v>1835</v>
          </cell>
          <cell r="CP432">
            <v>530</v>
          </cell>
          <cell r="CQ432">
            <v>500</v>
          </cell>
          <cell r="CR432">
            <v>305</v>
          </cell>
          <cell r="CS432">
            <v>435</v>
          </cell>
          <cell r="CT432">
            <v>65</v>
          </cell>
          <cell r="CU432">
            <v>4755</v>
          </cell>
          <cell r="CV432">
            <v>2.6</v>
          </cell>
          <cell r="CW432">
            <v>1835</v>
          </cell>
          <cell r="CX432">
            <v>1200</v>
          </cell>
          <cell r="CY432">
            <v>35</v>
          </cell>
          <cell r="CZ432">
            <v>600</v>
          </cell>
        </row>
        <row r="433">
          <cell r="A433" t="str">
            <v>4620421.01</v>
          </cell>
          <cell r="B433" t="str">
            <v>0421.01</v>
          </cell>
          <cell r="C433" t="str">
            <v>Saint-Laurent</v>
          </cell>
          <cell r="D433">
            <v>5390</v>
          </cell>
          <cell r="E433">
            <v>1735</v>
          </cell>
          <cell r="F433">
            <v>2580</v>
          </cell>
          <cell r="G433">
            <v>160</v>
          </cell>
          <cell r="H433">
            <v>455</v>
          </cell>
          <cell r="I433">
            <v>465</v>
          </cell>
          <cell r="J433">
            <v>5390</v>
          </cell>
          <cell r="K433">
            <v>5125</v>
          </cell>
          <cell r="L433">
            <v>260</v>
          </cell>
          <cell r="M433">
            <v>1665</v>
          </cell>
          <cell r="N433">
            <v>630</v>
          </cell>
          <cell r="O433">
            <v>405</v>
          </cell>
          <cell r="P433">
            <v>375</v>
          </cell>
          <cell r="Q433">
            <v>255</v>
          </cell>
          <cell r="R433">
            <v>1665</v>
          </cell>
          <cell r="S433">
            <v>1365</v>
          </cell>
          <cell r="T433">
            <v>1230</v>
          </cell>
          <cell r="U433">
            <v>345</v>
          </cell>
          <cell r="V433">
            <v>885</v>
          </cell>
          <cell r="W433">
            <v>295</v>
          </cell>
          <cell r="X433">
            <v>335</v>
          </cell>
          <cell r="Y433">
            <v>255</v>
          </cell>
          <cell r="Z433">
            <v>130</v>
          </cell>
          <cell r="AA433">
            <v>105</v>
          </cell>
          <cell r="AB433">
            <v>20</v>
          </cell>
          <cell r="AC433">
            <v>25</v>
          </cell>
          <cell r="AD433">
            <v>0</v>
          </cell>
          <cell r="AE433">
            <v>0</v>
          </cell>
          <cell r="AF433">
            <v>305</v>
          </cell>
          <cell r="AG433">
            <v>280</v>
          </cell>
          <cell r="AH433">
            <v>165</v>
          </cell>
          <cell r="AI433">
            <v>70</v>
          </cell>
          <cell r="AJ433">
            <v>50</v>
          </cell>
          <cell r="AK433">
            <v>25</v>
          </cell>
          <cell r="AL433">
            <v>10</v>
          </cell>
          <cell r="AM433">
            <v>10</v>
          </cell>
          <cell r="AN433">
            <v>0</v>
          </cell>
          <cell r="AO433">
            <v>2380</v>
          </cell>
          <cell r="AP433">
            <v>785</v>
          </cell>
          <cell r="AQ433">
            <v>830</v>
          </cell>
          <cell r="AR433">
            <v>210</v>
          </cell>
          <cell r="AS433">
            <v>315</v>
          </cell>
          <cell r="AT433">
            <v>235</v>
          </cell>
          <cell r="AU433">
            <v>1.4</v>
          </cell>
          <cell r="AV433">
            <v>6780</v>
          </cell>
          <cell r="AW433">
            <v>1375</v>
          </cell>
          <cell r="AX433">
            <v>235</v>
          </cell>
          <cell r="AY433">
            <v>160</v>
          </cell>
          <cell r="AZ433">
            <v>975</v>
          </cell>
          <cell r="BA433">
            <v>5405</v>
          </cell>
          <cell r="BB433">
            <v>3.2</v>
          </cell>
          <cell r="BC433">
            <v>850</v>
          </cell>
          <cell r="BD433">
            <v>390</v>
          </cell>
          <cell r="BE433">
            <v>25</v>
          </cell>
          <cell r="BF433">
            <v>0</v>
          </cell>
          <cell r="BG433">
            <v>365</v>
          </cell>
          <cell r="BH433">
            <v>460</v>
          </cell>
          <cell r="BI433">
            <v>2755</v>
          </cell>
          <cell r="BJ433">
            <v>3.5</v>
          </cell>
          <cell r="BK433">
            <v>9642.5</v>
          </cell>
          <cell r="BL433">
            <v>1.4</v>
          </cell>
          <cell r="BM433">
            <v>3856.9999999999995</v>
          </cell>
          <cell r="BN433">
            <v>2750</v>
          </cell>
          <cell r="BO433">
            <v>25</v>
          </cell>
          <cell r="BP433">
            <v>2730</v>
          </cell>
          <cell r="BQ433">
            <v>0</v>
          </cell>
          <cell r="BR433">
            <v>2755</v>
          </cell>
          <cell r="BS433">
            <v>2095</v>
          </cell>
          <cell r="BT433">
            <v>580</v>
          </cell>
          <cell r="BU433">
            <v>75</v>
          </cell>
          <cell r="BV433">
            <v>2750</v>
          </cell>
          <cell r="BW433">
            <v>25</v>
          </cell>
          <cell r="BX433">
            <v>265</v>
          </cell>
          <cell r="BY433">
            <v>1300</v>
          </cell>
          <cell r="BZ433">
            <v>530</v>
          </cell>
          <cell r="CA433">
            <v>205</v>
          </cell>
          <cell r="CB433">
            <v>310</v>
          </cell>
          <cell r="CC433">
            <v>90</v>
          </cell>
          <cell r="CD433">
            <v>20</v>
          </cell>
          <cell r="CE433">
            <v>10</v>
          </cell>
          <cell r="CF433">
            <v>2755</v>
          </cell>
          <cell r="CG433">
            <v>0</v>
          </cell>
          <cell r="CH433">
            <v>0</v>
          </cell>
          <cell r="CI433">
            <v>0</v>
          </cell>
          <cell r="CJ433">
            <v>25</v>
          </cell>
          <cell r="CK433">
            <v>2530</v>
          </cell>
          <cell r="CL433">
            <v>195</v>
          </cell>
          <cell r="CM433">
            <v>0</v>
          </cell>
          <cell r="CN433">
            <v>0</v>
          </cell>
          <cell r="CO433">
            <v>2755</v>
          </cell>
          <cell r="CP433">
            <v>975</v>
          </cell>
          <cell r="CQ433">
            <v>695</v>
          </cell>
          <cell r="CR433">
            <v>400</v>
          </cell>
          <cell r="CS433">
            <v>565</v>
          </cell>
          <cell r="CT433">
            <v>115</v>
          </cell>
          <cell r="CU433">
            <v>6785</v>
          </cell>
          <cell r="CV433">
            <v>2.5</v>
          </cell>
          <cell r="CW433">
            <v>2755</v>
          </cell>
          <cell r="CX433">
            <v>1620</v>
          </cell>
          <cell r="CY433">
            <v>20</v>
          </cell>
          <cell r="CZ433">
            <v>1110</v>
          </cell>
        </row>
        <row r="434">
          <cell r="A434" t="str">
            <v>4620421.02</v>
          </cell>
          <cell r="B434" t="str">
            <v>0421.02</v>
          </cell>
          <cell r="C434" t="str">
            <v>Saint-Laurent</v>
          </cell>
          <cell r="D434">
            <v>5035</v>
          </cell>
          <cell r="E434">
            <v>1700</v>
          </cell>
          <cell r="F434">
            <v>2460</v>
          </cell>
          <cell r="G434">
            <v>120</v>
          </cell>
          <cell r="H434">
            <v>375</v>
          </cell>
          <cell r="I434">
            <v>380</v>
          </cell>
          <cell r="J434">
            <v>5035</v>
          </cell>
          <cell r="K434">
            <v>4830</v>
          </cell>
          <cell r="L434">
            <v>205</v>
          </cell>
          <cell r="M434">
            <v>1655</v>
          </cell>
          <cell r="N434">
            <v>675</v>
          </cell>
          <cell r="O434">
            <v>375</v>
          </cell>
          <cell r="P434">
            <v>400</v>
          </cell>
          <cell r="Q434">
            <v>205</v>
          </cell>
          <cell r="R434">
            <v>1655</v>
          </cell>
          <cell r="S434">
            <v>1285</v>
          </cell>
          <cell r="T434">
            <v>1175</v>
          </cell>
          <cell r="U434">
            <v>380</v>
          </cell>
          <cell r="V434">
            <v>795</v>
          </cell>
          <cell r="W434">
            <v>260</v>
          </cell>
          <cell r="X434">
            <v>345</v>
          </cell>
          <cell r="Y434">
            <v>185</v>
          </cell>
          <cell r="Z434">
            <v>110</v>
          </cell>
          <cell r="AA434">
            <v>65</v>
          </cell>
          <cell r="AB434">
            <v>45</v>
          </cell>
          <cell r="AC434">
            <v>20</v>
          </cell>
          <cell r="AD434">
            <v>10</v>
          </cell>
          <cell r="AE434">
            <v>10</v>
          </cell>
          <cell r="AF434">
            <v>370</v>
          </cell>
          <cell r="AG434">
            <v>320</v>
          </cell>
          <cell r="AH434">
            <v>215</v>
          </cell>
          <cell r="AI434">
            <v>75</v>
          </cell>
          <cell r="AJ434">
            <v>30</v>
          </cell>
          <cell r="AK434">
            <v>50</v>
          </cell>
          <cell r="AL434">
            <v>15</v>
          </cell>
          <cell r="AM434">
            <v>15</v>
          </cell>
          <cell r="AN434">
            <v>20</v>
          </cell>
          <cell r="AO434">
            <v>2210</v>
          </cell>
          <cell r="AP434">
            <v>620</v>
          </cell>
          <cell r="AQ434">
            <v>675</v>
          </cell>
          <cell r="AR434">
            <v>135</v>
          </cell>
          <cell r="AS434">
            <v>415</v>
          </cell>
          <cell r="AT434">
            <v>370</v>
          </cell>
          <cell r="AU434">
            <v>1.3</v>
          </cell>
          <cell r="AV434">
            <v>6340</v>
          </cell>
          <cell r="AW434">
            <v>1185</v>
          </cell>
          <cell r="AX434">
            <v>230</v>
          </cell>
          <cell r="AY434">
            <v>110</v>
          </cell>
          <cell r="AZ434">
            <v>850</v>
          </cell>
          <cell r="BA434">
            <v>5150</v>
          </cell>
          <cell r="BB434">
            <v>3.1</v>
          </cell>
          <cell r="BC434">
            <v>975</v>
          </cell>
          <cell r="BD434">
            <v>395</v>
          </cell>
          <cell r="BE434">
            <v>55</v>
          </cell>
          <cell r="BF434">
            <v>0</v>
          </cell>
          <cell r="BG434">
            <v>330</v>
          </cell>
          <cell r="BH434">
            <v>585</v>
          </cell>
          <cell r="BI434">
            <v>2570</v>
          </cell>
          <cell r="BJ434">
            <v>4</v>
          </cell>
          <cell r="BK434">
            <v>10280</v>
          </cell>
          <cell r="BL434">
            <v>1.7</v>
          </cell>
          <cell r="BM434">
            <v>4369</v>
          </cell>
          <cell r="BN434">
            <v>2570</v>
          </cell>
          <cell r="BO434">
            <v>305</v>
          </cell>
          <cell r="BP434">
            <v>2260</v>
          </cell>
          <cell r="BQ434">
            <v>0</v>
          </cell>
          <cell r="BR434">
            <v>2565</v>
          </cell>
          <cell r="BS434">
            <v>1665</v>
          </cell>
          <cell r="BT434">
            <v>700</v>
          </cell>
          <cell r="BU434">
            <v>200</v>
          </cell>
          <cell r="BV434">
            <v>2570</v>
          </cell>
          <cell r="BW434">
            <v>30</v>
          </cell>
          <cell r="BX434">
            <v>295</v>
          </cell>
          <cell r="BY434">
            <v>1635</v>
          </cell>
          <cell r="BZ434">
            <v>385</v>
          </cell>
          <cell r="CA434">
            <v>90</v>
          </cell>
          <cell r="CB434">
            <v>60</v>
          </cell>
          <cell r="CC434">
            <v>15</v>
          </cell>
          <cell r="CD434">
            <v>20</v>
          </cell>
          <cell r="CE434">
            <v>40</v>
          </cell>
          <cell r="CF434">
            <v>2570</v>
          </cell>
          <cell r="CG434">
            <v>5</v>
          </cell>
          <cell r="CH434">
            <v>0</v>
          </cell>
          <cell r="CI434">
            <v>0</v>
          </cell>
          <cell r="CJ434">
            <v>520</v>
          </cell>
          <cell r="CK434">
            <v>730</v>
          </cell>
          <cell r="CL434">
            <v>1305</v>
          </cell>
          <cell r="CM434">
            <v>5</v>
          </cell>
          <cell r="CN434">
            <v>0</v>
          </cell>
          <cell r="CO434">
            <v>2570</v>
          </cell>
          <cell r="CP434">
            <v>850</v>
          </cell>
          <cell r="CQ434">
            <v>695</v>
          </cell>
          <cell r="CR434">
            <v>390</v>
          </cell>
          <cell r="CS434">
            <v>550</v>
          </cell>
          <cell r="CT434">
            <v>85</v>
          </cell>
          <cell r="CU434">
            <v>6340</v>
          </cell>
          <cell r="CV434">
            <v>2.5</v>
          </cell>
          <cell r="CW434">
            <v>2565</v>
          </cell>
          <cell r="CX434">
            <v>1565</v>
          </cell>
          <cell r="CY434">
            <v>45</v>
          </cell>
          <cell r="CZ434">
            <v>955</v>
          </cell>
        </row>
        <row r="435">
          <cell r="C435" t="str">
            <v>Saint-Laurent</v>
          </cell>
          <cell r="D435">
            <v>69585</v>
          </cell>
          <cell r="E435">
            <v>23285</v>
          </cell>
          <cell r="F435">
            <v>33870</v>
          </cell>
          <cell r="G435">
            <v>1510</v>
          </cell>
          <cell r="H435">
            <v>5340</v>
          </cell>
          <cell r="I435">
            <v>5575</v>
          </cell>
          <cell r="J435">
            <v>69585</v>
          </cell>
          <cell r="K435">
            <v>65090</v>
          </cell>
          <cell r="L435">
            <v>4475</v>
          </cell>
          <cell r="M435">
            <v>22595</v>
          </cell>
          <cell r="N435">
            <v>9670</v>
          </cell>
          <cell r="O435">
            <v>5435</v>
          </cell>
          <cell r="P435">
            <v>4760</v>
          </cell>
          <cell r="Q435">
            <v>2685</v>
          </cell>
          <cell r="R435">
            <v>22585</v>
          </cell>
          <cell r="S435">
            <v>18715</v>
          </cell>
          <cell r="T435">
            <v>16430</v>
          </cell>
          <cell r="U435">
            <v>5955</v>
          </cell>
          <cell r="V435">
            <v>10485</v>
          </cell>
          <cell r="W435">
            <v>4035</v>
          </cell>
          <cell r="X435">
            <v>4080</v>
          </cell>
          <cell r="Y435">
            <v>2345</v>
          </cell>
          <cell r="Z435">
            <v>2285</v>
          </cell>
          <cell r="AA435">
            <v>1410</v>
          </cell>
          <cell r="AB435">
            <v>860</v>
          </cell>
          <cell r="AC435">
            <v>365</v>
          </cell>
          <cell r="AD435">
            <v>310</v>
          </cell>
          <cell r="AE435">
            <v>160</v>
          </cell>
          <cell r="AF435">
            <v>3850</v>
          </cell>
          <cell r="AG435">
            <v>3255</v>
          </cell>
          <cell r="AH435">
            <v>1935</v>
          </cell>
          <cell r="AI435">
            <v>860</v>
          </cell>
          <cell r="AJ435">
            <v>430</v>
          </cell>
          <cell r="AK435">
            <v>600</v>
          </cell>
          <cell r="AL435">
            <v>370</v>
          </cell>
          <cell r="AM435">
            <v>190</v>
          </cell>
          <cell r="AN435">
            <v>70</v>
          </cell>
          <cell r="AO435">
            <v>27940</v>
          </cell>
          <cell r="AP435">
            <v>6520</v>
          </cell>
          <cell r="AQ435">
            <v>8670</v>
          </cell>
          <cell r="AR435">
            <v>2585</v>
          </cell>
          <cell r="AS435">
            <v>5525</v>
          </cell>
          <cell r="AT435">
            <v>4615</v>
          </cell>
          <cell r="AU435">
            <v>1.2371042727473986</v>
          </cell>
          <cell r="AV435">
            <v>83660</v>
          </cell>
          <cell r="AW435">
            <v>14390</v>
          </cell>
          <cell r="AX435">
            <v>2640</v>
          </cell>
          <cell r="AY435">
            <v>1490</v>
          </cell>
          <cell r="AZ435">
            <v>10265</v>
          </cell>
          <cell r="BA435">
            <v>69255</v>
          </cell>
          <cell r="BB435">
            <v>3.0664157626743416</v>
          </cell>
          <cell r="BC435">
            <v>13875</v>
          </cell>
          <cell r="BD435">
            <v>5200</v>
          </cell>
          <cell r="BE435">
            <v>895</v>
          </cell>
          <cell r="BF435">
            <v>95</v>
          </cell>
          <cell r="BG435">
            <v>4205</v>
          </cell>
          <cell r="BH435">
            <v>8665</v>
          </cell>
          <cell r="BI435">
            <v>33425</v>
          </cell>
          <cell r="BJ435">
            <v>5.0394614809274492</v>
          </cell>
          <cell r="BK435">
            <v>168444</v>
          </cell>
          <cell r="BL435">
            <v>2.1919820493642481</v>
          </cell>
          <cell r="BM435">
            <v>73267</v>
          </cell>
          <cell r="BN435">
            <v>33410</v>
          </cell>
          <cell r="BO435">
            <v>14785</v>
          </cell>
          <cell r="BP435">
            <v>18620</v>
          </cell>
          <cell r="BQ435">
            <v>0</v>
          </cell>
          <cell r="BR435">
            <v>33410</v>
          </cell>
          <cell r="BS435">
            <v>22275</v>
          </cell>
          <cell r="BT435">
            <v>8785</v>
          </cell>
          <cell r="BU435">
            <v>2350</v>
          </cell>
          <cell r="BV435">
            <v>33425</v>
          </cell>
          <cell r="BW435">
            <v>2025</v>
          </cell>
          <cell r="BX435">
            <v>8975</v>
          </cell>
          <cell r="BY435">
            <v>7040</v>
          </cell>
          <cell r="BZ435">
            <v>5170</v>
          </cell>
          <cell r="CA435">
            <v>2225</v>
          </cell>
          <cell r="CB435">
            <v>2595</v>
          </cell>
          <cell r="CC435">
            <v>1400</v>
          </cell>
          <cell r="CD435">
            <v>1225</v>
          </cell>
          <cell r="CE435">
            <v>2700</v>
          </cell>
          <cell r="CF435">
            <v>33440</v>
          </cell>
          <cell r="CG435">
            <v>3715</v>
          </cell>
          <cell r="CH435">
            <v>2235</v>
          </cell>
          <cell r="CI435">
            <v>1970</v>
          </cell>
          <cell r="CJ435">
            <v>2855</v>
          </cell>
          <cell r="CK435">
            <v>9910</v>
          </cell>
          <cell r="CL435">
            <v>12635</v>
          </cell>
          <cell r="CM435">
            <v>45</v>
          </cell>
          <cell r="CN435">
            <v>40</v>
          </cell>
          <cell r="CO435">
            <v>33430</v>
          </cell>
          <cell r="CP435">
            <v>10250</v>
          </cell>
          <cell r="CQ435">
            <v>9580</v>
          </cell>
          <cell r="CR435">
            <v>5360</v>
          </cell>
          <cell r="CS435">
            <v>7040</v>
          </cell>
          <cell r="CT435">
            <v>1205</v>
          </cell>
          <cell r="CU435">
            <v>83695</v>
          </cell>
          <cell r="CV435">
            <v>2.5035895901884535</v>
          </cell>
          <cell r="CW435">
            <v>33410</v>
          </cell>
          <cell r="CX435">
            <v>21465</v>
          </cell>
          <cell r="CY435">
            <v>550</v>
          </cell>
          <cell r="CZ435">
            <v>11405</v>
          </cell>
        </row>
        <row r="438">
          <cell r="A438" t="str">
            <v>4620600.01</v>
          </cell>
          <cell r="B438" t="str">
            <v>0600.01</v>
          </cell>
          <cell r="C438" t="str">
            <v>Saint-Léonard</v>
          </cell>
          <cell r="D438">
            <v>3175</v>
          </cell>
          <cell r="E438">
            <v>1010</v>
          </cell>
          <cell r="F438">
            <v>1590</v>
          </cell>
          <cell r="G438">
            <v>65</v>
          </cell>
          <cell r="H438">
            <v>280</v>
          </cell>
          <cell r="I438">
            <v>235</v>
          </cell>
          <cell r="J438">
            <v>3180</v>
          </cell>
          <cell r="K438">
            <v>2920</v>
          </cell>
          <cell r="L438">
            <v>255</v>
          </cell>
          <cell r="M438">
            <v>1110</v>
          </cell>
          <cell r="N438">
            <v>595</v>
          </cell>
          <cell r="O438">
            <v>230</v>
          </cell>
          <cell r="P438">
            <v>200</v>
          </cell>
          <cell r="Q438">
            <v>85</v>
          </cell>
          <cell r="R438">
            <v>1115</v>
          </cell>
          <cell r="S438">
            <v>920</v>
          </cell>
          <cell r="T438">
            <v>790</v>
          </cell>
          <cell r="U438">
            <v>375</v>
          </cell>
          <cell r="V438">
            <v>415</v>
          </cell>
          <cell r="W438">
            <v>160</v>
          </cell>
          <cell r="X438">
            <v>190</v>
          </cell>
          <cell r="Y438">
            <v>60</v>
          </cell>
          <cell r="Z438">
            <v>135</v>
          </cell>
          <cell r="AA438">
            <v>90</v>
          </cell>
          <cell r="AB438">
            <v>40</v>
          </cell>
          <cell r="AC438">
            <v>20</v>
          </cell>
          <cell r="AD438">
            <v>0</v>
          </cell>
          <cell r="AE438">
            <v>20</v>
          </cell>
          <cell r="AF438">
            <v>195</v>
          </cell>
          <cell r="AG438">
            <v>155</v>
          </cell>
          <cell r="AH438">
            <v>110</v>
          </cell>
          <cell r="AI438">
            <v>40</v>
          </cell>
          <cell r="AJ438">
            <v>0</v>
          </cell>
          <cell r="AK438">
            <v>40</v>
          </cell>
          <cell r="AL438">
            <v>25</v>
          </cell>
          <cell r="AM438">
            <v>10</v>
          </cell>
          <cell r="AN438">
            <v>10</v>
          </cell>
          <cell r="AO438">
            <v>1095</v>
          </cell>
          <cell r="AP438">
            <v>285</v>
          </cell>
          <cell r="AQ438">
            <v>300</v>
          </cell>
          <cell r="AR438">
            <v>105</v>
          </cell>
          <cell r="AS438">
            <v>155</v>
          </cell>
          <cell r="AT438">
            <v>245</v>
          </cell>
          <cell r="AU438">
            <v>1</v>
          </cell>
          <cell r="AV438">
            <v>3765</v>
          </cell>
          <cell r="AW438">
            <v>635</v>
          </cell>
          <cell r="AX438">
            <v>90</v>
          </cell>
          <cell r="AY438">
            <v>125</v>
          </cell>
          <cell r="AZ438">
            <v>415</v>
          </cell>
          <cell r="BA438">
            <v>3130</v>
          </cell>
          <cell r="BB438">
            <v>2.8</v>
          </cell>
          <cell r="BC438">
            <v>740</v>
          </cell>
          <cell r="BD438">
            <v>235</v>
          </cell>
          <cell r="BE438">
            <v>50</v>
          </cell>
          <cell r="BF438">
            <v>10</v>
          </cell>
          <cell r="BG438">
            <v>175</v>
          </cell>
          <cell r="BH438">
            <v>500</v>
          </cell>
          <cell r="BI438">
            <v>1580</v>
          </cell>
          <cell r="BJ438">
            <v>4.9000000000000004</v>
          </cell>
          <cell r="BK438">
            <v>7742.0000000000009</v>
          </cell>
          <cell r="BL438">
            <v>2.2000000000000002</v>
          </cell>
          <cell r="BM438">
            <v>3476.0000000000005</v>
          </cell>
          <cell r="BN438">
            <v>1580</v>
          </cell>
          <cell r="BO438">
            <v>455</v>
          </cell>
          <cell r="BP438">
            <v>1120</v>
          </cell>
          <cell r="BQ438">
            <v>0</v>
          </cell>
          <cell r="BR438">
            <v>1580</v>
          </cell>
          <cell r="BS438">
            <v>1045</v>
          </cell>
          <cell r="BT438">
            <v>460</v>
          </cell>
          <cell r="BU438">
            <v>70</v>
          </cell>
          <cell r="BV438">
            <v>1580</v>
          </cell>
          <cell r="BW438">
            <v>10</v>
          </cell>
          <cell r="BX438">
            <v>80</v>
          </cell>
          <cell r="BY438">
            <v>515</v>
          </cell>
          <cell r="BZ438">
            <v>805</v>
          </cell>
          <cell r="CA438">
            <v>75</v>
          </cell>
          <cell r="CB438">
            <v>60</v>
          </cell>
          <cell r="CC438">
            <v>30</v>
          </cell>
          <cell r="CD438">
            <v>0</v>
          </cell>
          <cell r="CE438">
            <v>0</v>
          </cell>
          <cell r="CF438">
            <v>1580</v>
          </cell>
          <cell r="CG438">
            <v>20</v>
          </cell>
          <cell r="CH438">
            <v>105</v>
          </cell>
          <cell r="CI438">
            <v>0</v>
          </cell>
          <cell r="CJ438">
            <v>80</v>
          </cell>
          <cell r="CK438">
            <v>5</v>
          </cell>
          <cell r="CL438">
            <v>1365</v>
          </cell>
          <cell r="CM438">
            <v>0</v>
          </cell>
          <cell r="CN438">
            <v>0</v>
          </cell>
          <cell r="CO438">
            <v>1580</v>
          </cell>
          <cell r="CP438">
            <v>420</v>
          </cell>
          <cell r="CQ438">
            <v>570</v>
          </cell>
          <cell r="CR438">
            <v>290</v>
          </cell>
          <cell r="CS438">
            <v>285</v>
          </cell>
          <cell r="CT438">
            <v>20</v>
          </cell>
          <cell r="CU438">
            <v>3765</v>
          </cell>
          <cell r="CV438">
            <v>2.4</v>
          </cell>
          <cell r="CW438">
            <v>1580</v>
          </cell>
          <cell r="CX438">
            <v>1080</v>
          </cell>
          <cell r="CY438">
            <v>15</v>
          </cell>
          <cell r="CZ438">
            <v>480</v>
          </cell>
        </row>
        <row r="439">
          <cell r="A439" t="str">
            <v>4620600.02</v>
          </cell>
          <cell r="B439" t="str">
            <v>0600.02</v>
          </cell>
          <cell r="C439" t="str">
            <v>Saint-Léonard</v>
          </cell>
          <cell r="D439">
            <v>3160</v>
          </cell>
          <cell r="E439">
            <v>1195</v>
          </cell>
          <cell r="F439">
            <v>1305</v>
          </cell>
          <cell r="G439">
            <v>95</v>
          </cell>
          <cell r="H439">
            <v>340</v>
          </cell>
          <cell r="I439">
            <v>225</v>
          </cell>
          <cell r="J439">
            <v>3160</v>
          </cell>
          <cell r="K439">
            <v>2835</v>
          </cell>
          <cell r="L439">
            <v>325</v>
          </cell>
          <cell r="M439">
            <v>990</v>
          </cell>
          <cell r="N439">
            <v>485</v>
          </cell>
          <cell r="O439">
            <v>260</v>
          </cell>
          <cell r="P439">
            <v>155</v>
          </cell>
          <cell r="Q439">
            <v>90</v>
          </cell>
          <cell r="R439">
            <v>995</v>
          </cell>
          <cell r="S439">
            <v>800</v>
          </cell>
          <cell r="T439">
            <v>635</v>
          </cell>
          <cell r="U439">
            <v>275</v>
          </cell>
          <cell r="V439">
            <v>360</v>
          </cell>
          <cell r="W439">
            <v>150</v>
          </cell>
          <cell r="X439">
            <v>140</v>
          </cell>
          <cell r="Y439">
            <v>65</v>
          </cell>
          <cell r="Z439">
            <v>165</v>
          </cell>
          <cell r="AA439">
            <v>70</v>
          </cell>
          <cell r="AB439">
            <v>90</v>
          </cell>
          <cell r="AC439">
            <v>55</v>
          </cell>
          <cell r="AD439">
            <v>15</v>
          </cell>
          <cell r="AE439">
            <v>20</v>
          </cell>
          <cell r="AF439">
            <v>195</v>
          </cell>
          <cell r="AG439">
            <v>160</v>
          </cell>
          <cell r="AH439">
            <v>110</v>
          </cell>
          <cell r="AI439">
            <v>50</v>
          </cell>
          <cell r="AJ439">
            <v>0</v>
          </cell>
          <cell r="AK439">
            <v>40</v>
          </cell>
          <cell r="AL439">
            <v>30</v>
          </cell>
          <cell r="AM439">
            <v>0</v>
          </cell>
          <cell r="AN439">
            <v>0</v>
          </cell>
          <cell r="AO439">
            <v>1030</v>
          </cell>
          <cell r="AP439">
            <v>275</v>
          </cell>
          <cell r="AQ439">
            <v>305</v>
          </cell>
          <cell r="AR439">
            <v>105</v>
          </cell>
          <cell r="AS439">
            <v>165</v>
          </cell>
          <cell r="AT439">
            <v>180</v>
          </cell>
          <cell r="AU439">
            <v>1</v>
          </cell>
          <cell r="AV439">
            <v>3730</v>
          </cell>
          <cell r="AW439">
            <v>905</v>
          </cell>
          <cell r="AX439">
            <v>140</v>
          </cell>
          <cell r="AY439">
            <v>120</v>
          </cell>
          <cell r="AZ439">
            <v>645</v>
          </cell>
          <cell r="BA439">
            <v>2820</v>
          </cell>
          <cell r="BB439">
            <v>2.8</v>
          </cell>
          <cell r="BC439">
            <v>695</v>
          </cell>
          <cell r="BD439">
            <v>315</v>
          </cell>
          <cell r="BE439">
            <v>45</v>
          </cell>
          <cell r="BF439">
            <v>20</v>
          </cell>
          <cell r="BG439">
            <v>245</v>
          </cell>
          <cell r="BH439">
            <v>385</v>
          </cell>
          <cell r="BI439">
            <v>1730</v>
          </cell>
          <cell r="BJ439">
            <v>4.4000000000000004</v>
          </cell>
          <cell r="BK439">
            <v>7612.0000000000009</v>
          </cell>
          <cell r="BL439">
            <v>1.9</v>
          </cell>
          <cell r="BM439">
            <v>3287</v>
          </cell>
          <cell r="BN439">
            <v>1730</v>
          </cell>
          <cell r="BO439">
            <v>400</v>
          </cell>
          <cell r="BP439">
            <v>1335</v>
          </cell>
          <cell r="BQ439">
            <v>0</v>
          </cell>
          <cell r="BR439">
            <v>1730</v>
          </cell>
          <cell r="BS439">
            <v>1135</v>
          </cell>
          <cell r="BT439">
            <v>445</v>
          </cell>
          <cell r="BU439">
            <v>145</v>
          </cell>
          <cell r="BV439">
            <v>1730</v>
          </cell>
          <cell r="BW439">
            <v>25</v>
          </cell>
          <cell r="BX439">
            <v>230</v>
          </cell>
          <cell r="BY439">
            <v>860</v>
          </cell>
          <cell r="BZ439">
            <v>420</v>
          </cell>
          <cell r="CA439">
            <v>125</v>
          </cell>
          <cell r="CB439">
            <v>30</v>
          </cell>
          <cell r="CC439">
            <v>30</v>
          </cell>
          <cell r="CD439">
            <v>0</v>
          </cell>
          <cell r="CE439">
            <v>0</v>
          </cell>
          <cell r="CF439">
            <v>1735</v>
          </cell>
          <cell r="CG439">
            <v>10</v>
          </cell>
          <cell r="CH439">
            <v>10</v>
          </cell>
          <cell r="CI439">
            <v>0</v>
          </cell>
          <cell r="CJ439">
            <v>285</v>
          </cell>
          <cell r="CK439">
            <v>0</v>
          </cell>
          <cell r="CL439">
            <v>1395</v>
          </cell>
          <cell r="CM439">
            <v>35</v>
          </cell>
          <cell r="CN439">
            <v>0</v>
          </cell>
          <cell r="CO439">
            <v>1735</v>
          </cell>
          <cell r="CP439">
            <v>640</v>
          </cell>
          <cell r="CQ439">
            <v>555</v>
          </cell>
          <cell r="CR439">
            <v>280</v>
          </cell>
          <cell r="CS439">
            <v>240</v>
          </cell>
          <cell r="CT439">
            <v>15</v>
          </cell>
          <cell r="CU439">
            <v>3730</v>
          </cell>
          <cell r="CV439">
            <v>2.2000000000000002</v>
          </cell>
          <cell r="CW439">
            <v>1730</v>
          </cell>
          <cell r="CX439">
            <v>975</v>
          </cell>
          <cell r="CY439">
            <v>10</v>
          </cell>
          <cell r="CZ439">
            <v>745</v>
          </cell>
        </row>
        <row r="440">
          <cell r="A440" t="str">
            <v>4620600.03</v>
          </cell>
          <cell r="B440" t="str">
            <v>0600.03</v>
          </cell>
          <cell r="C440" t="str">
            <v>Saint-Léonard</v>
          </cell>
          <cell r="D440">
            <v>4845</v>
          </cell>
          <cell r="E440">
            <v>1310</v>
          </cell>
          <cell r="F440">
            <v>2190</v>
          </cell>
          <cell r="G440">
            <v>160</v>
          </cell>
          <cell r="H440">
            <v>445</v>
          </cell>
          <cell r="I440">
            <v>745</v>
          </cell>
          <cell r="J440">
            <v>4845</v>
          </cell>
          <cell r="K440">
            <v>4540</v>
          </cell>
          <cell r="L440">
            <v>305</v>
          </cell>
          <cell r="M440">
            <v>1495</v>
          </cell>
          <cell r="N440">
            <v>815</v>
          </cell>
          <cell r="O440">
            <v>320</v>
          </cell>
          <cell r="P440">
            <v>245</v>
          </cell>
          <cell r="Q440">
            <v>120</v>
          </cell>
          <cell r="R440">
            <v>1495</v>
          </cell>
          <cell r="S440">
            <v>1195</v>
          </cell>
          <cell r="T440">
            <v>1040</v>
          </cell>
          <cell r="U440">
            <v>535</v>
          </cell>
          <cell r="V440">
            <v>500</v>
          </cell>
          <cell r="W440">
            <v>175</v>
          </cell>
          <cell r="X440">
            <v>220</v>
          </cell>
          <cell r="Y440">
            <v>115</v>
          </cell>
          <cell r="Z440">
            <v>155</v>
          </cell>
          <cell r="AA440">
            <v>120</v>
          </cell>
          <cell r="AB440">
            <v>35</v>
          </cell>
          <cell r="AC440">
            <v>30</v>
          </cell>
          <cell r="AD440">
            <v>0</v>
          </cell>
          <cell r="AE440">
            <v>0</v>
          </cell>
          <cell r="AF440">
            <v>295</v>
          </cell>
          <cell r="AG440">
            <v>245</v>
          </cell>
          <cell r="AH440">
            <v>115</v>
          </cell>
          <cell r="AI440">
            <v>105</v>
          </cell>
          <cell r="AJ440">
            <v>25</v>
          </cell>
          <cell r="AK440">
            <v>55</v>
          </cell>
          <cell r="AL440">
            <v>45</v>
          </cell>
          <cell r="AM440">
            <v>0</v>
          </cell>
          <cell r="AN440">
            <v>0</v>
          </cell>
          <cell r="AO440">
            <v>1490</v>
          </cell>
          <cell r="AP440">
            <v>355</v>
          </cell>
          <cell r="AQ440">
            <v>520</v>
          </cell>
          <cell r="AR440">
            <v>115</v>
          </cell>
          <cell r="AS440">
            <v>270</v>
          </cell>
          <cell r="AT440">
            <v>230</v>
          </cell>
          <cell r="AU440">
            <v>1</v>
          </cell>
          <cell r="AV440">
            <v>5570</v>
          </cell>
          <cell r="AW440">
            <v>1385</v>
          </cell>
          <cell r="AX440">
            <v>105</v>
          </cell>
          <cell r="AY440">
            <v>190</v>
          </cell>
          <cell r="AZ440">
            <v>1090</v>
          </cell>
          <cell r="BA440">
            <v>4180</v>
          </cell>
          <cell r="BB440">
            <v>2.8</v>
          </cell>
          <cell r="BC440">
            <v>1570</v>
          </cell>
          <cell r="BD440">
            <v>750</v>
          </cell>
          <cell r="BE440">
            <v>65</v>
          </cell>
          <cell r="BF440">
            <v>20</v>
          </cell>
          <cell r="BG440">
            <v>670</v>
          </cell>
          <cell r="BH440">
            <v>815</v>
          </cell>
          <cell r="BI440">
            <v>2640</v>
          </cell>
          <cell r="BJ440">
            <v>4.4000000000000004</v>
          </cell>
          <cell r="BK440">
            <v>11616.000000000002</v>
          </cell>
          <cell r="BL440">
            <v>1.9</v>
          </cell>
          <cell r="BM440">
            <v>5016</v>
          </cell>
          <cell r="BN440">
            <v>2635</v>
          </cell>
          <cell r="BO440">
            <v>625</v>
          </cell>
          <cell r="BP440">
            <v>2010</v>
          </cell>
          <cell r="BQ440">
            <v>0</v>
          </cell>
          <cell r="BR440">
            <v>2635</v>
          </cell>
          <cell r="BS440">
            <v>1935</v>
          </cell>
          <cell r="BT440">
            <v>585</v>
          </cell>
          <cell r="BU440">
            <v>120</v>
          </cell>
          <cell r="BV440">
            <v>2635</v>
          </cell>
          <cell r="BW440">
            <v>10</v>
          </cell>
          <cell r="BX440">
            <v>310</v>
          </cell>
          <cell r="BY440">
            <v>915</v>
          </cell>
          <cell r="BZ440">
            <v>525</v>
          </cell>
          <cell r="CA440">
            <v>55</v>
          </cell>
          <cell r="CB440">
            <v>125</v>
          </cell>
          <cell r="CC440">
            <v>80</v>
          </cell>
          <cell r="CD440">
            <v>85</v>
          </cell>
          <cell r="CE440">
            <v>530</v>
          </cell>
          <cell r="CF440">
            <v>2640</v>
          </cell>
          <cell r="CG440">
            <v>5</v>
          </cell>
          <cell r="CH440">
            <v>0</v>
          </cell>
          <cell r="CI440">
            <v>0</v>
          </cell>
          <cell r="CJ440">
            <v>375</v>
          </cell>
          <cell r="CK440">
            <v>810</v>
          </cell>
          <cell r="CL440">
            <v>1445</v>
          </cell>
          <cell r="CM440">
            <v>0</v>
          </cell>
          <cell r="CN440">
            <v>5</v>
          </cell>
          <cell r="CO440">
            <v>2640</v>
          </cell>
          <cell r="CP440">
            <v>1090</v>
          </cell>
          <cell r="CQ440">
            <v>790</v>
          </cell>
          <cell r="CR440">
            <v>345</v>
          </cell>
          <cell r="CS440">
            <v>370</v>
          </cell>
          <cell r="CT440">
            <v>45</v>
          </cell>
          <cell r="CU440">
            <v>5565</v>
          </cell>
          <cell r="CV440">
            <v>2.1</v>
          </cell>
          <cell r="CW440">
            <v>2635</v>
          </cell>
          <cell r="CX440">
            <v>1460</v>
          </cell>
          <cell r="CY440">
            <v>15</v>
          </cell>
          <cell r="CZ440">
            <v>1160</v>
          </cell>
        </row>
        <row r="441">
          <cell r="A441" t="str">
            <v>4620601.01</v>
          </cell>
          <cell r="B441" t="str">
            <v>0601.01</v>
          </cell>
          <cell r="C441" t="str">
            <v>Saint-Léonard</v>
          </cell>
          <cell r="D441">
            <v>2675</v>
          </cell>
          <cell r="E441">
            <v>810</v>
          </cell>
          <cell r="F441">
            <v>1315</v>
          </cell>
          <cell r="G441">
            <v>60</v>
          </cell>
          <cell r="H441">
            <v>230</v>
          </cell>
          <cell r="I441">
            <v>255</v>
          </cell>
          <cell r="J441">
            <v>2675</v>
          </cell>
          <cell r="K441">
            <v>2490</v>
          </cell>
          <cell r="L441">
            <v>185</v>
          </cell>
          <cell r="M441">
            <v>875</v>
          </cell>
          <cell r="N441">
            <v>440</v>
          </cell>
          <cell r="O441">
            <v>190</v>
          </cell>
          <cell r="P441">
            <v>160</v>
          </cell>
          <cell r="Q441">
            <v>85</v>
          </cell>
          <cell r="R441">
            <v>875</v>
          </cell>
          <cell r="S441">
            <v>740</v>
          </cell>
          <cell r="T441">
            <v>650</v>
          </cell>
          <cell r="U441">
            <v>295</v>
          </cell>
          <cell r="V441">
            <v>350</v>
          </cell>
          <cell r="W441">
            <v>130</v>
          </cell>
          <cell r="X441">
            <v>145</v>
          </cell>
          <cell r="Y441">
            <v>80</v>
          </cell>
          <cell r="Z441">
            <v>95</v>
          </cell>
          <cell r="AA441">
            <v>50</v>
          </cell>
          <cell r="AB441">
            <v>40</v>
          </cell>
          <cell r="AC441">
            <v>30</v>
          </cell>
          <cell r="AD441">
            <v>10</v>
          </cell>
          <cell r="AE441">
            <v>10</v>
          </cell>
          <cell r="AF441">
            <v>135</v>
          </cell>
          <cell r="AG441">
            <v>130</v>
          </cell>
          <cell r="AH441">
            <v>90</v>
          </cell>
          <cell r="AI441">
            <v>35</v>
          </cell>
          <cell r="AJ441">
            <v>10</v>
          </cell>
          <cell r="AK441">
            <v>0</v>
          </cell>
          <cell r="AL441">
            <v>0</v>
          </cell>
          <cell r="AM441">
            <v>0</v>
          </cell>
          <cell r="AN441">
            <v>0</v>
          </cell>
          <cell r="AO441">
            <v>925</v>
          </cell>
          <cell r="AP441">
            <v>190</v>
          </cell>
          <cell r="AQ441">
            <v>285</v>
          </cell>
          <cell r="AR441">
            <v>75</v>
          </cell>
          <cell r="AS441">
            <v>180</v>
          </cell>
          <cell r="AT441">
            <v>195</v>
          </cell>
          <cell r="AU441">
            <v>1.1000000000000001</v>
          </cell>
          <cell r="AV441">
            <v>3140</v>
          </cell>
          <cell r="AW441">
            <v>595</v>
          </cell>
          <cell r="AX441">
            <v>125</v>
          </cell>
          <cell r="AY441">
            <v>100</v>
          </cell>
          <cell r="AZ441">
            <v>375</v>
          </cell>
          <cell r="BA441">
            <v>2540</v>
          </cell>
          <cell r="BB441">
            <v>2.9</v>
          </cell>
          <cell r="BC441">
            <v>745</v>
          </cell>
          <cell r="BD441">
            <v>245</v>
          </cell>
          <cell r="BE441">
            <v>75</v>
          </cell>
          <cell r="BF441">
            <v>20</v>
          </cell>
          <cell r="BG441">
            <v>145</v>
          </cell>
          <cell r="BH441">
            <v>505</v>
          </cell>
          <cell r="BI441">
            <v>1315</v>
          </cell>
          <cell r="BJ441">
            <v>5.4</v>
          </cell>
          <cell r="BK441">
            <v>7101.0000000000009</v>
          </cell>
          <cell r="BL441">
            <v>2.5</v>
          </cell>
          <cell r="BM441">
            <v>3287.5</v>
          </cell>
          <cell r="BN441">
            <v>1315</v>
          </cell>
          <cell r="BO441">
            <v>475</v>
          </cell>
          <cell r="BP441">
            <v>840</v>
          </cell>
          <cell r="BQ441">
            <v>0</v>
          </cell>
          <cell r="BR441">
            <v>1315</v>
          </cell>
          <cell r="BS441">
            <v>850</v>
          </cell>
          <cell r="BT441">
            <v>355</v>
          </cell>
          <cell r="BU441">
            <v>110</v>
          </cell>
          <cell r="BV441">
            <v>1320</v>
          </cell>
          <cell r="BW441">
            <v>40</v>
          </cell>
          <cell r="BX441">
            <v>235</v>
          </cell>
          <cell r="BY441">
            <v>925</v>
          </cell>
          <cell r="BZ441">
            <v>105</v>
          </cell>
          <cell r="CA441">
            <v>10</v>
          </cell>
          <cell r="CB441">
            <v>0</v>
          </cell>
          <cell r="CC441">
            <v>0</v>
          </cell>
          <cell r="CD441">
            <v>10</v>
          </cell>
          <cell r="CE441">
            <v>0</v>
          </cell>
          <cell r="CF441">
            <v>1320</v>
          </cell>
          <cell r="CG441">
            <v>10</v>
          </cell>
          <cell r="CH441">
            <v>0</v>
          </cell>
          <cell r="CI441">
            <v>0</v>
          </cell>
          <cell r="CJ441">
            <v>390</v>
          </cell>
          <cell r="CK441">
            <v>10</v>
          </cell>
          <cell r="CL441">
            <v>900</v>
          </cell>
          <cell r="CM441">
            <v>0</v>
          </cell>
          <cell r="CN441">
            <v>5</v>
          </cell>
          <cell r="CO441">
            <v>1320</v>
          </cell>
          <cell r="CP441">
            <v>375</v>
          </cell>
          <cell r="CQ441">
            <v>470</v>
          </cell>
          <cell r="CR441">
            <v>200</v>
          </cell>
          <cell r="CS441">
            <v>245</v>
          </cell>
          <cell r="CT441">
            <v>25</v>
          </cell>
          <cell r="CU441">
            <v>3140</v>
          </cell>
          <cell r="CV441">
            <v>2.4</v>
          </cell>
          <cell r="CW441">
            <v>1315</v>
          </cell>
          <cell r="CX441">
            <v>860</v>
          </cell>
          <cell r="CY441">
            <v>10</v>
          </cell>
          <cell r="CZ441">
            <v>445</v>
          </cell>
        </row>
        <row r="442">
          <cell r="A442" t="str">
            <v>4620601.02</v>
          </cell>
          <cell r="B442" t="str">
            <v>0601.02</v>
          </cell>
          <cell r="C442" t="str">
            <v>Saint-Léonard</v>
          </cell>
          <cell r="D442">
            <v>2560</v>
          </cell>
          <cell r="E442">
            <v>870</v>
          </cell>
          <cell r="F442">
            <v>1115</v>
          </cell>
          <cell r="G442">
            <v>65</v>
          </cell>
          <cell r="H442">
            <v>275</v>
          </cell>
          <cell r="I442">
            <v>230</v>
          </cell>
          <cell r="J442">
            <v>2555</v>
          </cell>
          <cell r="K442">
            <v>2330</v>
          </cell>
          <cell r="L442">
            <v>225</v>
          </cell>
          <cell r="M442">
            <v>850</v>
          </cell>
          <cell r="N442">
            <v>455</v>
          </cell>
          <cell r="O442">
            <v>180</v>
          </cell>
          <cell r="P442">
            <v>165</v>
          </cell>
          <cell r="Q442">
            <v>50</v>
          </cell>
          <cell r="R442">
            <v>850</v>
          </cell>
          <cell r="S442">
            <v>655</v>
          </cell>
          <cell r="T442">
            <v>525</v>
          </cell>
          <cell r="U442">
            <v>225</v>
          </cell>
          <cell r="V442">
            <v>295</v>
          </cell>
          <cell r="W442">
            <v>110</v>
          </cell>
          <cell r="X442">
            <v>140</v>
          </cell>
          <cell r="Y442">
            <v>50</v>
          </cell>
          <cell r="Z442">
            <v>130</v>
          </cell>
          <cell r="AA442">
            <v>95</v>
          </cell>
          <cell r="AB442">
            <v>30</v>
          </cell>
          <cell r="AC442">
            <v>20</v>
          </cell>
          <cell r="AD442">
            <v>15</v>
          </cell>
          <cell r="AE442">
            <v>0</v>
          </cell>
          <cell r="AF442">
            <v>195</v>
          </cell>
          <cell r="AG442">
            <v>170</v>
          </cell>
          <cell r="AH442">
            <v>120</v>
          </cell>
          <cell r="AI442">
            <v>45</v>
          </cell>
          <cell r="AJ442">
            <v>10</v>
          </cell>
          <cell r="AK442">
            <v>30</v>
          </cell>
          <cell r="AL442">
            <v>15</v>
          </cell>
          <cell r="AM442">
            <v>10</v>
          </cell>
          <cell r="AN442">
            <v>0</v>
          </cell>
          <cell r="AO442">
            <v>860</v>
          </cell>
          <cell r="AP442">
            <v>215</v>
          </cell>
          <cell r="AQ442">
            <v>260</v>
          </cell>
          <cell r="AR442">
            <v>70</v>
          </cell>
          <cell r="AS442">
            <v>165</v>
          </cell>
          <cell r="AT442">
            <v>140</v>
          </cell>
          <cell r="AU442">
            <v>1</v>
          </cell>
          <cell r="AV442">
            <v>3050</v>
          </cell>
          <cell r="AW442">
            <v>685</v>
          </cell>
          <cell r="AX442">
            <v>60</v>
          </cell>
          <cell r="AY442">
            <v>100</v>
          </cell>
          <cell r="AZ442">
            <v>525</v>
          </cell>
          <cell r="BA442">
            <v>2370</v>
          </cell>
          <cell r="BB442">
            <v>2.8</v>
          </cell>
          <cell r="BC442">
            <v>575</v>
          </cell>
          <cell r="BD442">
            <v>245</v>
          </cell>
          <cell r="BE442">
            <v>10</v>
          </cell>
          <cell r="BF442">
            <v>10</v>
          </cell>
          <cell r="BG442">
            <v>220</v>
          </cell>
          <cell r="BH442">
            <v>330</v>
          </cell>
          <cell r="BI442">
            <v>1415</v>
          </cell>
          <cell r="BJ442">
            <v>4.3</v>
          </cell>
          <cell r="BK442">
            <v>6084.5</v>
          </cell>
          <cell r="BL442">
            <v>2</v>
          </cell>
          <cell r="BM442">
            <v>2830</v>
          </cell>
          <cell r="BN442">
            <v>1410</v>
          </cell>
          <cell r="BO442">
            <v>235</v>
          </cell>
          <cell r="BP442">
            <v>1180</v>
          </cell>
          <cell r="BQ442">
            <v>0</v>
          </cell>
          <cell r="BR442">
            <v>1415</v>
          </cell>
          <cell r="BS442">
            <v>970</v>
          </cell>
          <cell r="BT442">
            <v>320</v>
          </cell>
          <cell r="BU442">
            <v>125</v>
          </cell>
          <cell r="BV442">
            <v>1415</v>
          </cell>
          <cell r="BW442">
            <v>40</v>
          </cell>
          <cell r="BX442">
            <v>255</v>
          </cell>
          <cell r="BY442">
            <v>710</v>
          </cell>
          <cell r="BZ442">
            <v>335</v>
          </cell>
          <cell r="CA442">
            <v>40</v>
          </cell>
          <cell r="CB442">
            <v>10</v>
          </cell>
          <cell r="CC442">
            <v>0</v>
          </cell>
          <cell r="CD442">
            <v>15</v>
          </cell>
          <cell r="CE442">
            <v>0</v>
          </cell>
          <cell r="CF442">
            <v>1410</v>
          </cell>
          <cell r="CG442">
            <v>0</v>
          </cell>
          <cell r="CH442">
            <v>5</v>
          </cell>
          <cell r="CI442">
            <v>0</v>
          </cell>
          <cell r="CJ442">
            <v>285</v>
          </cell>
          <cell r="CK442">
            <v>145</v>
          </cell>
          <cell r="CL442">
            <v>970</v>
          </cell>
          <cell r="CM442">
            <v>5</v>
          </cell>
          <cell r="CN442">
            <v>0</v>
          </cell>
          <cell r="CO442">
            <v>1410</v>
          </cell>
          <cell r="CP442">
            <v>520</v>
          </cell>
          <cell r="CQ442">
            <v>445</v>
          </cell>
          <cell r="CR442">
            <v>220</v>
          </cell>
          <cell r="CS442">
            <v>210</v>
          </cell>
          <cell r="CT442">
            <v>15</v>
          </cell>
          <cell r="CU442">
            <v>3055</v>
          </cell>
          <cell r="CV442">
            <v>2.2000000000000002</v>
          </cell>
          <cell r="CW442">
            <v>1415</v>
          </cell>
          <cell r="CX442">
            <v>815</v>
          </cell>
          <cell r="CY442">
            <v>15</v>
          </cell>
          <cell r="CZ442">
            <v>575</v>
          </cell>
        </row>
        <row r="443">
          <cell r="A443" t="str">
            <v>4620602.01</v>
          </cell>
          <cell r="B443" t="str">
            <v>0602.01</v>
          </cell>
          <cell r="C443" t="str">
            <v>Saint-Léonard</v>
          </cell>
          <cell r="D443">
            <v>2840</v>
          </cell>
          <cell r="E443">
            <v>825</v>
          </cell>
          <cell r="F443">
            <v>1400</v>
          </cell>
          <cell r="G443">
            <v>65</v>
          </cell>
          <cell r="H443">
            <v>275</v>
          </cell>
          <cell r="I443">
            <v>280</v>
          </cell>
          <cell r="J443">
            <v>2840</v>
          </cell>
          <cell r="K443">
            <v>2635</v>
          </cell>
          <cell r="L443">
            <v>210</v>
          </cell>
          <cell r="M443">
            <v>955</v>
          </cell>
          <cell r="N443">
            <v>505</v>
          </cell>
          <cell r="O443">
            <v>235</v>
          </cell>
          <cell r="P443">
            <v>135</v>
          </cell>
          <cell r="Q443">
            <v>85</v>
          </cell>
          <cell r="R443">
            <v>960</v>
          </cell>
          <cell r="S443">
            <v>790</v>
          </cell>
          <cell r="T443">
            <v>690</v>
          </cell>
          <cell r="U443">
            <v>305</v>
          </cell>
          <cell r="V443">
            <v>380</v>
          </cell>
          <cell r="W443">
            <v>175</v>
          </cell>
          <cell r="X443">
            <v>125</v>
          </cell>
          <cell r="Y443">
            <v>85</v>
          </cell>
          <cell r="Z443">
            <v>100</v>
          </cell>
          <cell r="AA443">
            <v>80</v>
          </cell>
          <cell r="AB443">
            <v>20</v>
          </cell>
          <cell r="AC443">
            <v>20</v>
          </cell>
          <cell r="AD443">
            <v>10</v>
          </cell>
          <cell r="AE443">
            <v>0</v>
          </cell>
          <cell r="AF443">
            <v>165</v>
          </cell>
          <cell r="AG443">
            <v>120</v>
          </cell>
          <cell r="AH443">
            <v>90</v>
          </cell>
          <cell r="AI443">
            <v>30</v>
          </cell>
          <cell r="AJ443">
            <v>0</v>
          </cell>
          <cell r="AK443">
            <v>40</v>
          </cell>
          <cell r="AL443">
            <v>30</v>
          </cell>
          <cell r="AM443">
            <v>15</v>
          </cell>
          <cell r="AN443">
            <v>0</v>
          </cell>
          <cell r="AO443">
            <v>940</v>
          </cell>
          <cell r="AP443">
            <v>200</v>
          </cell>
          <cell r="AQ443">
            <v>250</v>
          </cell>
          <cell r="AR443">
            <v>90</v>
          </cell>
          <cell r="AS443">
            <v>185</v>
          </cell>
          <cell r="AT443">
            <v>210</v>
          </cell>
          <cell r="AU443">
            <v>1</v>
          </cell>
          <cell r="AV443">
            <v>3280</v>
          </cell>
          <cell r="AW443">
            <v>590</v>
          </cell>
          <cell r="AX443">
            <v>65</v>
          </cell>
          <cell r="AY443">
            <v>75</v>
          </cell>
          <cell r="AZ443">
            <v>450</v>
          </cell>
          <cell r="BA443">
            <v>2690</v>
          </cell>
          <cell r="BB443">
            <v>2.8</v>
          </cell>
          <cell r="BC443">
            <v>835</v>
          </cell>
          <cell r="BD443">
            <v>265</v>
          </cell>
          <cell r="BE443">
            <v>40</v>
          </cell>
          <cell r="BF443">
            <v>0</v>
          </cell>
          <cell r="BG443">
            <v>220</v>
          </cell>
          <cell r="BH443">
            <v>575</v>
          </cell>
          <cell r="BI443">
            <v>1440</v>
          </cell>
          <cell r="BJ443">
            <v>5.2</v>
          </cell>
          <cell r="BK443">
            <v>7488</v>
          </cell>
          <cell r="BL443">
            <v>2.4</v>
          </cell>
          <cell r="BM443">
            <v>3456</v>
          </cell>
          <cell r="BN443">
            <v>1440</v>
          </cell>
          <cell r="BO443">
            <v>515</v>
          </cell>
          <cell r="BP443">
            <v>925</v>
          </cell>
          <cell r="BQ443">
            <v>0</v>
          </cell>
          <cell r="BR443">
            <v>1445</v>
          </cell>
          <cell r="BS443">
            <v>1045</v>
          </cell>
          <cell r="BT443">
            <v>335</v>
          </cell>
          <cell r="BU443">
            <v>55</v>
          </cell>
          <cell r="BV443">
            <v>1440</v>
          </cell>
          <cell r="BW443">
            <v>10</v>
          </cell>
          <cell r="BX443">
            <v>150</v>
          </cell>
          <cell r="BY443">
            <v>775</v>
          </cell>
          <cell r="BZ443">
            <v>115</v>
          </cell>
          <cell r="CA443">
            <v>65</v>
          </cell>
          <cell r="CB443">
            <v>95</v>
          </cell>
          <cell r="CC443">
            <v>115</v>
          </cell>
          <cell r="CD443">
            <v>20</v>
          </cell>
          <cell r="CE443">
            <v>90</v>
          </cell>
          <cell r="CF443">
            <v>1445</v>
          </cell>
          <cell r="CG443">
            <v>0</v>
          </cell>
          <cell r="CH443">
            <v>0</v>
          </cell>
          <cell r="CI443">
            <v>0</v>
          </cell>
          <cell r="CJ443">
            <v>585</v>
          </cell>
          <cell r="CK443">
            <v>265</v>
          </cell>
          <cell r="CL443">
            <v>585</v>
          </cell>
          <cell r="CM443">
            <v>0</v>
          </cell>
          <cell r="CN443">
            <v>0</v>
          </cell>
          <cell r="CO443">
            <v>1440</v>
          </cell>
          <cell r="CP443">
            <v>450</v>
          </cell>
          <cell r="CQ443">
            <v>520</v>
          </cell>
          <cell r="CR443">
            <v>235</v>
          </cell>
          <cell r="CS443">
            <v>220</v>
          </cell>
          <cell r="CT443">
            <v>20</v>
          </cell>
          <cell r="CU443">
            <v>3280</v>
          </cell>
          <cell r="CV443">
            <v>2.2999999999999998</v>
          </cell>
          <cell r="CW443">
            <v>1440</v>
          </cell>
          <cell r="CX443">
            <v>940</v>
          </cell>
          <cell r="CY443">
            <v>10</v>
          </cell>
          <cell r="CZ443">
            <v>490</v>
          </cell>
        </row>
        <row r="444">
          <cell r="A444" t="str">
            <v>4620602.02</v>
          </cell>
          <cell r="B444" t="str">
            <v>0602.02</v>
          </cell>
          <cell r="C444" t="str">
            <v>Saint-Léonard</v>
          </cell>
          <cell r="D444">
            <v>2280</v>
          </cell>
          <cell r="E444">
            <v>725</v>
          </cell>
          <cell r="F444">
            <v>1085</v>
          </cell>
          <cell r="G444">
            <v>70</v>
          </cell>
          <cell r="H444">
            <v>215</v>
          </cell>
          <cell r="I444">
            <v>185</v>
          </cell>
          <cell r="J444">
            <v>2280</v>
          </cell>
          <cell r="K444">
            <v>2120</v>
          </cell>
          <cell r="L444">
            <v>160</v>
          </cell>
          <cell r="M444">
            <v>765</v>
          </cell>
          <cell r="N444">
            <v>355</v>
          </cell>
          <cell r="O444">
            <v>220</v>
          </cell>
          <cell r="P444">
            <v>120</v>
          </cell>
          <cell r="Q444">
            <v>65</v>
          </cell>
          <cell r="R444">
            <v>765</v>
          </cell>
          <cell r="S444">
            <v>625</v>
          </cell>
          <cell r="T444">
            <v>565</v>
          </cell>
          <cell r="U444">
            <v>210</v>
          </cell>
          <cell r="V444">
            <v>355</v>
          </cell>
          <cell r="W444">
            <v>170</v>
          </cell>
          <cell r="X444">
            <v>115</v>
          </cell>
          <cell r="Y444">
            <v>70</v>
          </cell>
          <cell r="Z444">
            <v>65</v>
          </cell>
          <cell r="AA444">
            <v>50</v>
          </cell>
          <cell r="AB444">
            <v>15</v>
          </cell>
          <cell r="AC444">
            <v>10</v>
          </cell>
          <cell r="AD444">
            <v>10</v>
          </cell>
          <cell r="AE444">
            <v>0</v>
          </cell>
          <cell r="AF444">
            <v>140</v>
          </cell>
          <cell r="AG444">
            <v>115</v>
          </cell>
          <cell r="AH444">
            <v>85</v>
          </cell>
          <cell r="AI444">
            <v>30</v>
          </cell>
          <cell r="AJ444">
            <v>0</v>
          </cell>
          <cell r="AK444">
            <v>25</v>
          </cell>
          <cell r="AL444">
            <v>15</v>
          </cell>
          <cell r="AM444">
            <v>10</v>
          </cell>
          <cell r="AN444">
            <v>0</v>
          </cell>
          <cell r="AO444">
            <v>845</v>
          </cell>
          <cell r="AP444">
            <v>240</v>
          </cell>
          <cell r="AQ444">
            <v>290</v>
          </cell>
          <cell r="AR444">
            <v>70</v>
          </cell>
          <cell r="AS444">
            <v>105</v>
          </cell>
          <cell r="AT444">
            <v>140</v>
          </cell>
          <cell r="AU444">
            <v>1.1000000000000001</v>
          </cell>
          <cell r="AV444">
            <v>2790</v>
          </cell>
          <cell r="AW444">
            <v>550</v>
          </cell>
          <cell r="AX444">
            <v>105</v>
          </cell>
          <cell r="AY444">
            <v>105</v>
          </cell>
          <cell r="AZ444">
            <v>340</v>
          </cell>
          <cell r="BA444">
            <v>2240</v>
          </cell>
          <cell r="BB444">
            <v>2.9</v>
          </cell>
          <cell r="BC444">
            <v>525</v>
          </cell>
          <cell r="BD444">
            <v>230</v>
          </cell>
          <cell r="BE444">
            <v>70</v>
          </cell>
          <cell r="BF444">
            <v>20</v>
          </cell>
          <cell r="BG444">
            <v>140</v>
          </cell>
          <cell r="BH444">
            <v>290</v>
          </cell>
          <cell r="BI444">
            <v>1160</v>
          </cell>
          <cell r="BJ444">
            <v>4.5999999999999996</v>
          </cell>
          <cell r="BK444">
            <v>5336</v>
          </cell>
          <cell r="BL444">
            <v>2.1</v>
          </cell>
          <cell r="BM444">
            <v>2436</v>
          </cell>
          <cell r="BN444">
            <v>1165</v>
          </cell>
          <cell r="BO444">
            <v>335</v>
          </cell>
          <cell r="BP444">
            <v>825</v>
          </cell>
          <cell r="BQ444">
            <v>0</v>
          </cell>
          <cell r="BR444">
            <v>1165</v>
          </cell>
          <cell r="BS444">
            <v>700</v>
          </cell>
          <cell r="BT444">
            <v>325</v>
          </cell>
          <cell r="BU444">
            <v>140</v>
          </cell>
          <cell r="BV444">
            <v>1160</v>
          </cell>
          <cell r="BW444">
            <v>35</v>
          </cell>
          <cell r="BX444">
            <v>200</v>
          </cell>
          <cell r="BY444">
            <v>465</v>
          </cell>
          <cell r="BZ444">
            <v>360</v>
          </cell>
          <cell r="CA444">
            <v>95</v>
          </cell>
          <cell r="CB444">
            <v>0</v>
          </cell>
          <cell r="CC444">
            <v>0</v>
          </cell>
          <cell r="CD444">
            <v>0</v>
          </cell>
          <cell r="CE444">
            <v>0</v>
          </cell>
          <cell r="CF444">
            <v>1165</v>
          </cell>
          <cell r="CG444">
            <v>5</v>
          </cell>
          <cell r="CH444">
            <v>10</v>
          </cell>
          <cell r="CI444">
            <v>0</v>
          </cell>
          <cell r="CJ444">
            <v>145</v>
          </cell>
          <cell r="CK444">
            <v>0</v>
          </cell>
          <cell r="CL444">
            <v>1005</v>
          </cell>
          <cell r="CM444">
            <v>0</v>
          </cell>
          <cell r="CN444">
            <v>0</v>
          </cell>
          <cell r="CO444">
            <v>1165</v>
          </cell>
          <cell r="CP444">
            <v>350</v>
          </cell>
          <cell r="CQ444">
            <v>365</v>
          </cell>
          <cell r="CR444">
            <v>210</v>
          </cell>
          <cell r="CS444">
            <v>215</v>
          </cell>
          <cell r="CT444">
            <v>25</v>
          </cell>
          <cell r="CU444">
            <v>2790</v>
          </cell>
          <cell r="CV444">
            <v>2.4</v>
          </cell>
          <cell r="CW444">
            <v>1160</v>
          </cell>
          <cell r="CX444">
            <v>740</v>
          </cell>
          <cell r="CY444">
            <v>15</v>
          </cell>
          <cell r="CZ444">
            <v>405</v>
          </cell>
        </row>
        <row r="445">
          <cell r="A445" t="str">
            <v>4620603.01</v>
          </cell>
          <cell r="B445" t="str">
            <v>0603.01</v>
          </cell>
          <cell r="C445" t="str">
            <v>Saint-Léonard</v>
          </cell>
          <cell r="D445">
            <v>3010</v>
          </cell>
          <cell r="E445">
            <v>975</v>
          </cell>
          <cell r="F445">
            <v>1425</v>
          </cell>
          <cell r="G445">
            <v>95</v>
          </cell>
          <cell r="H445">
            <v>320</v>
          </cell>
          <cell r="I445">
            <v>195</v>
          </cell>
          <cell r="J445">
            <v>3010</v>
          </cell>
          <cell r="K445">
            <v>2775</v>
          </cell>
          <cell r="L445">
            <v>235</v>
          </cell>
          <cell r="M445">
            <v>1000</v>
          </cell>
          <cell r="N445">
            <v>480</v>
          </cell>
          <cell r="O445">
            <v>250</v>
          </cell>
          <cell r="P445">
            <v>200</v>
          </cell>
          <cell r="Q445">
            <v>80</v>
          </cell>
          <cell r="R445">
            <v>1005</v>
          </cell>
          <cell r="S445">
            <v>810</v>
          </cell>
          <cell r="T445">
            <v>695</v>
          </cell>
          <cell r="U445">
            <v>265</v>
          </cell>
          <cell r="V445">
            <v>425</v>
          </cell>
          <cell r="W445">
            <v>185</v>
          </cell>
          <cell r="X445">
            <v>175</v>
          </cell>
          <cell r="Y445">
            <v>70</v>
          </cell>
          <cell r="Z445">
            <v>115</v>
          </cell>
          <cell r="AA445">
            <v>85</v>
          </cell>
          <cell r="AB445">
            <v>30</v>
          </cell>
          <cell r="AC445">
            <v>20</v>
          </cell>
          <cell r="AD445">
            <v>10</v>
          </cell>
          <cell r="AE445">
            <v>10</v>
          </cell>
          <cell r="AF445">
            <v>195</v>
          </cell>
          <cell r="AG445">
            <v>190</v>
          </cell>
          <cell r="AH445">
            <v>125</v>
          </cell>
          <cell r="AI445">
            <v>45</v>
          </cell>
          <cell r="AJ445">
            <v>20</v>
          </cell>
          <cell r="AK445">
            <v>0</v>
          </cell>
          <cell r="AL445">
            <v>0</v>
          </cell>
          <cell r="AM445">
            <v>0</v>
          </cell>
          <cell r="AN445">
            <v>0</v>
          </cell>
          <cell r="AO445">
            <v>1095</v>
          </cell>
          <cell r="AP445">
            <v>200</v>
          </cell>
          <cell r="AQ445">
            <v>375</v>
          </cell>
          <cell r="AR445">
            <v>110</v>
          </cell>
          <cell r="AS445">
            <v>195</v>
          </cell>
          <cell r="AT445">
            <v>215</v>
          </cell>
          <cell r="AU445">
            <v>1.1000000000000001</v>
          </cell>
          <cell r="AV445">
            <v>3515</v>
          </cell>
          <cell r="AW445">
            <v>605</v>
          </cell>
          <cell r="AX445">
            <v>100</v>
          </cell>
          <cell r="AY445">
            <v>70</v>
          </cell>
          <cell r="AZ445">
            <v>435</v>
          </cell>
          <cell r="BA445">
            <v>2905</v>
          </cell>
          <cell r="BB445">
            <v>2.9</v>
          </cell>
          <cell r="BC445">
            <v>645</v>
          </cell>
          <cell r="BD445">
            <v>215</v>
          </cell>
          <cell r="BE445">
            <v>55</v>
          </cell>
          <cell r="BF445">
            <v>35</v>
          </cell>
          <cell r="BG445">
            <v>125</v>
          </cell>
          <cell r="BH445">
            <v>435</v>
          </cell>
          <cell r="BI445">
            <v>1495</v>
          </cell>
          <cell r="BJ445">
            <v>4.7</v>
          </cell>
          <cell r="BK445">
            <v>7026.5</v>
          </cell>
          <cell r="BL445">
            <v>2.2000000000000002</v>
          </cell>
          <cell r="BM445">
            <v>3289.0000000000005</v>
          </cell>
          <cell r="BN445">
            <v>1495</v>
          </cell>
          <cell r="BO445">
            <v>320</v>
          </cell>
          <cell r="BP445">
            <v>1175</v>
          </cell>
          <cell r="BQ445">
            <v>0</v>
          </cell>
          <cell r="BR445">
            <v>1495</v>
          </cell>
          <cell r="BS445">
            <v>965</v>
          </cell>
          <cell r="BT445">
            <v>370</v>
          </cell>
          <cell r="BU445">
            <v>165</v>
          </cell>
          <cell r="BV445">
            <v>1495</v>
          </cell>
          <cell r="BW445">
            <v>25</v>
          </cell>
          <cell r="BX445">
            <v>240</v>
          </cell>
          <cell r="BY445">
            <v>560</v>
          </cell>
          <cell r="BZ445">
            <v>480</v>
          </cell>
          <cell r="CA445">
            <v>105</v>
          </cell>
          <cell r="CB445">
            <v>0</v>
          </cell>
          <cell r="CC445">
            <v>30</v>
          </cell>
          <cell r="CD445">
            <v>10</v>
          </cell>
          <cell r="CE445">
            <v>35</v>
          </cell>
          <cell r="CF445">
            <v>1500</v>
          </cell>
          <cell r="CG445">
            <v>0</v>
          </cell>
          <cell r="CH445">
            <v>5</v>
          </cell>
          <cell r="CI445">
            <v>0</v>
          </cell>
          <cell r="CJ445">
            <v>5</v>
          </cell>
          <cell r="CK445">
            <v>0</v>
          </cell>
          <cell r="CL445">
            <v>1485</v>
          </cell>
          <cell r="CM445">
            <v>10</v>
          </cell>
          <cell r="CN445">
            <v>0</v>
          </cell>
          <cell r="CO445">
            <v>1500</v>
          </cell>
          <cell r="CP445">
            <v>435</v>
          </cell>
          <cell r="CQ445">
            <v>505</v>
          </cell>
          <cell r="CR445">
            <v>280</v>
          </cell>
          <cell r="CS445">
            <v>255</v>
          </cell>
          <cell r="CT445">
            <v>20</v>
          </cell>
          <cell r="CU445">
            <v>3520</v>
          </cell>
          <cell r="CV445">
            <v>2.4</v>
          </cell>
          <cell r="CW445">
            <v>1495</v>
          </cell>
          <cell r="CX445">
            <v>1000</v>
          </cell>
          <cell r="CY445">
            <v>10</v>
          </cell>
          <cell r="CZ445">
            <v>490</v>
          </cell>
        </row>
        <row r="446">
          <cell r="A446" t="str">
            <v>4620603.02</v>
          </cell>
          <cell r="B446" t="str">
            <v>0603.02</v>
          </cell>
          <cell r="C446" t="str">
            <v>Saint-Léonard</v>
          </cell>
          <cell r="D446">
            <v>2965</v>
          </cell>
          <cell r="E446">
            <v>865</v>
          </cell>
          <cell r="F446">
            <v>1545</v>
          </cell>
          <cell r="G446">
            <v>65</v>
          </cell>
          <cell r="H446">
            <v>250</v>
          </cell>
          <cell r="I446">
            <v>240</v>
          </cell>
          <cell r="J446">
            <v>2960</v>
          </cell>
          <cell r="K446">
            <v>2755</v>
          </cell>
          <cell r="L446">
            <v>210</v>
          </cell>
          <cell r="M446">
            <v>1055</v>
          </cell>
          <cell r="N446">
            <v>550</v>
          </cell>
          <cell r="O446">
            <v>240</v>
          </cell>
          <cell r="P446">
            <v>205</v>
          </cell>
          <cell r="Q446">
            <v>60</v>
          </cell>
          <cell r="R446">
            <v>1050</v>
          </cell>
          <cell r="S446">
            <v>865</v>
          </cell>
          <cell r="T446">
            <v>760</v>
          </cell>
          <cell r="U446">
            <v>345</v>
          </cell>
          <cell r="V446">
            <v>410</v>
          </cell>
          <cell r="W446">
            <v>170</v>
          </cell>
          <cell r="X446">
            <v>180</v>
          </cell>
          <cell r="Y446">
            <v>55</v>
          </cell>
          <cell r="Z446">
            <v>110</v>
          </cell>
          <cell r="AA446">
            <v>95</v>
          </cell>
          <cell r="AB446">
            <v>10</v>
          </cell>
          <cell r="AC446">
            <v>10</v>
          </cell>
          <cell r="AD446">
            <v>0</v>
          </cell>
          <cell r="AE446">
            <v>0</v>
          </cell>
          <cell r="AF446">
            <v>190</v>
          </cell>
          <cell r="AG446">
            <v>180</v>
          </cell>
          <cell r="AH446">
            <v>100</v>
          </cell>
          <cell r="AI446">
            <v>60</v>
          </cell>
          <cell r="AJ446">
            <v>15</v>
          </cell>
          <cell r="AK446">
            <v>10</v>
          </cell>
          <cell r="AL446">
            <v>0</v>
          </cell>
          <cell r="AM446">
            <v>10</v>
          </cell>
          <cell r="AN446">
            <v>0</v>
          </cell>
          <cell r="AO446">
            <v>1010</v>
          </cell>
          <cell r="AP446">
            <v>230</v>
          </cell>
          <cell r="AQ446">
            <v>325</v>
          </cell>
          <cell r="AR446">
            <v>95</v>
          </cell>
          <cell r="AS446">
            <v>155</v>
          </cell>
          <cell r="AT446">
            <v>200</v>
          </cell>
          <cell r="AU446">
            <v>1</v>
          </cell>
          <cell r="AV446">
            <v>3505</v>
          </cell>
          <cell r="AW446">
            <v>575</v>
          </cell>
          <cell r="AX446">
            <v>80</v>
          </cell>
          <cell r="AY446">
            <v>85</v>
          </cell>
          <cell r="AZ446">
            <v>405</v>
          </cell>
          <cell r="BA446">
            <v>2930</v>
          </cell>
          <cell r="BB446">
            <v>2.8</v>
          </cell>
          <cell r="BC446">
            <v>830</v>
          </cell>
          <cell r="BD446">
            <v>285</v>
          </cell>
          <cell r="BE446">
            <v>65</v>
          </cell>
          <cell r="BF446">
            <v>35</v>
          </cell>
          <cell r="BG446">
            <v>185</v>
          </cell>
          <cell r="BH446">
            <v>540</v>
          </cell>
          <cell r="BI446">
            <v>1480</v>
          </cell>
          <cell r="BJ446">
            <v>5.0999999999999996</v>
          </cell>
          <cell r="BK446">
            <v>7547.9999999999991</v>
          </cell>
          <cell r="BL446">
            <v>2.4</v>
          </cell>
          <cell r="BM446">
            <v>3552</v>
          </cell>
          <cell r="BN446">
            <v>1480</v>
          </cell>
          <cell r="BO446">
            <v>570</v>
          </cell>
          <cell r="BP446">
            <v>915</v>
          </cell>
          <cell r="BQ446">
            <v>0</v>
          </cell>
          <cell r="BR446">
            <v>1480</v>
          </cell>
          <cell r="BS446">
            <v>1035</v>
          </cell>
          <cell r="BT446">
            <v>370</v>
          </cell>
          <cell r="BU446">
            <v>85</v>
          </cell>
          <cell r="BV446">
            <v>1485</v>
          </cell>
          <cell r="BW446">
            <v>25</v>
          </cell>
          <cell r="BX446">
            <v>235</v>
          </cell>
          <cell r="BY446">
            <v>720</v>
          </cell>
          <cell r="BZ446">
            <v>360</v>
          </cell>
          <cell r="CA446">
            <v>85</v>
          </cell>
          <cell r="CB446">
            <v>30</v>
          </cell>
          <cell r="CC446">
            <v>0</v>
          </cell>
          <cell r="CD446">
            <v>0</v>
          </cell>
          <cell r="CE446">
            <v>20</v>
          </cell>
          <cell r="CF446">
            <v>1485</v>
          </cell>
          <cell r="CG446">
            <v>15</v>
          </cell>
          <cell r="CH446">
            <v>0</v>
          </cell>
          <cell r="CI446">
            <v>0</v>
          </cell>
          <cell r="CJ446">
            <v>350</v>
          </cell>
          <cell r="CK446">
            <v>35</v>
          </cell>
          <cell r="CL446">
            <v>1080</v>
          </cell>
          <cell r="CM446">
            <v>0</v>
          </cell>
          <cell r="CN446">
            <v>0</v>
          </cell>
          <cell r="CO446">
            <v>1480</v>
          </cell>
          <cell r="CP446">
            <v>405</v>
          </cell>
          <cell r="CQ446">
            <v>530</v>
          </cell>
          <cell r="CR446">
            <v>260</v>
          </cell>
          <cell r="CS446">
            <v>270</v>
          </cell>
          <cell r="CT446">
            <v>15</v>
          </cell>
          <cell r="CU446">
            <v>3510</v>
          </cell>
          <cell r="CV446">
            <v>2.4</v>
          </cell>
          <cell r="CW446">
            <v>1485</v>
          </cell>
          <cell r="CX446">
            <v>1005</v>
          </cell>
          <cell r="CY446">
            <v>20</v>
          </cell>
          <cell r="CZ446">
            <v>450</v>
          </cell>
        </row>
        <row r="447">
          <cell r="A447" t="str">
            <v>4620603.03</v>
          </cell>
          <cell r="B447" t="str">
            <v>0603.03</v>
          </cell>
          <cell r="C447" t="str">
            <v>Saint-Léonard</v>
          </cell>
          <cell r="D447">
            <v>2735</v>
          </cell>
          <cell r="E447">
            <v>965</v>
          </cell>
          <cell r="F447">
            <v>1260</v>
          </cell>
          <cell r="G447">
            <v>110</v>
          </cell>
          <cell r="H447">
            <v>230</v>
          </cell>
          <cell r="I447">
            <v>175</v>
          </cell>
          <cell r="J447">
            <v>2735</v>
          </cell>
          <cell r="K447">
            <v>2545</v>
          </cell>
          <cell r="L447">
            <v>195</v>
          </cell>
          <cell r="M447">
            <v>965</v>
          </cell>
          <cell r="N447">
            <v>450</v>
          </cell>
          <cell r="O447">
            <v>240</v>
          </cell>
          <cell r="P447">
            <v>175</v>
          </cell>
          <cell r="Q447">
            <v>100</v>
          </cell>
          <cell r="R447">
            <v>970</v>
          </cell>
          <cell r="S447">
            <v>680</v>
          </cell>
          <cell r="T447">
            <v>595</v>
          </cell>
          <cell r="U447">
            <v>230</v>
          </cell>
          <cell r="V447">
            <v>365</v>
          </cell>
          <cell r="W447">
            <v>145</v>
          </cell>
          <cell r="X447">
            <v>135</v>
          </cell>
          <cell r="Y447">
            <v>85</v>
          </cell>
          <cell r="Z447">
            <v>85</v>
          </cell>
          <cell r="AA447">
            <v>45</v>
          </cell>
          <cell r="AB447">
            <v>40</v>
          </cell>
          <cell r="AC447">
            <v>20</v>
          </cell>
          <cell r="AD447">
            <v>10</v>
          </cell>
          <cell r="AE447">
            <v>15</v>
          </cell>
          <cell r="AF447">
            <v>285</v>
          </cell>
          <cell r="AG447">
            <v>270</v>
          </cell>
          <cell r="AH447">
            <v>155</v>
          </cell>
          <cell r="AI447">
            <v>75</v>
          </cell>
          <cell r="AJ447">
            <v>35</v>
          </cell>
          <cell r="AK447">
            <v>20</v>
          </cell>
          <cell r="AL447">
            <v>20</v>
          </cell>
          <cell r="AM447">
            <v>0</v>
          </cell>
          <cell r="AN447">
            <v>0</v>
          </cell>
          <cell r="AO447">
            <v>1230</v>
          </cell>
          <cell r="AP447">
            <v>270</v>
          </cell>
          <cell r="AQ447">
            <v>415</v>
          </cell>
          <cell r="AR447">
            <v>120</v>
          </cell>
          <cell r="AS447">
            <v>225</v>
          </cell>
          <cell r="AT447">
            <v>195</v>
          </cell>
          <cell r="AU447">
            <v>1.3</v>
          </cell>
          <cell r="AV447">
            <v>3435</v>
          </cell>
          <cell r="AW447">
            <v>555</v>
          </cell>
          <cell r="AX447">
            <v>105</v>
          </cell>
          <cell r="AY447">
            <v>135</v>
          </cell>
          <cell r="AZ447">
            <v>320</v>
          </cell>
          <cell r="BA447">
            <v>2880</v>
          </cell>
          <cell r="BB447">
            <v>3</v>
          </cell>
          <cell r="BC447">
            <v>495</v>
          </cell>
          <cell r="BD447">
            <v>155</v>
          </cell>
          <cell r="BE447">
            <v>15</v>
          </cell>
          <cell r="BF447">
            <v>20</v>
          </cell>
          <cell r="BG447">
            <v>120</v>
          </cell>
          <cell r="BH447">
            <v>340</v>
          </cell>
          <cell r="BI447">
            <v>1325</v>
          </cell>
          <cell r="BJ447">
            <v>4.8</v>
          </cell>
          <cell r="BK447">
            <v>6360</v>
          </cell>
          <cell r="BL447">
            <v>2.2999999999999998</v>
          </cell>
          <cell r="BM447">
            <v>3047.4999999999995</v>
          </cell>
          <cell r="BN447">
            <v>1320</v>
          </cell>
          <cell r="BO447">
            <v>310</v>
          </cell>
          <cell r="BP447">
            <v>1015</v>
          </cell>
          <cell r="BQ447">
            <v>0</v>
          </cell>
          <cell r="BR447">
            <v>1325</v>
          </cell>
          <cell r="BS447">
            <v>850</v>
          </cell>
          <cell r="BT447">
            <v>365</v>
          </cell>
          <cell r="BU447">
            <v>105</v>
          </cell>
          <cell r="BV447">
            <v>1325</v>
          </cell>
          <cell r="BW447">
            <v>50</v>
          </cell>
          <cell r="BX447">
            <v>165</v>
          </cell>
          <cell r="BY447">
            <v>465</v>
          </cell>
          <cell r="BZ447">
            <v>505</v>
          </cell>
          <cell r="CA447">
            <v>80</v>
          </cell>
          <cell r="CB447">
            <v>30</v>
          </cell>
          <cell r="CC447">
            <v>10</v>
          </cell>
          <cell r="CD447">
            <v>0</v>
          </cell>
          <cell r="CE447">
            <v>0</v>
          </cell>
          <cell r="CF447">
            <v>1325</v>
          </cell>
          <cell r="CG447">
            <v>0</v>
          </cell>
          <cell r="CH447">
            <v>10</v>
          </cell>
          <cell r="CI447">
            <v>0</v>
          </cell>
          <cell r="CJ447">
            <v>0</v>
          </cell>
          <cell r="CK447">
            <v>0</v>
          </cell>
          <cell r="CL447">
            <v>1310</v>
          </cell>
          <cell r="CM447">
            <v>0</v>
          </cell>
          <cell r="CN447">
            <v>0</v>
          </cell>
          <cell r="CO447">
            <v>1320</v>
          </cell>
          <cell r="CP447">
            <v>315</v>
          </cell>
          <cell r="CQ447">
            <v>425</v>
          </cell>
          <cell r="CR447">
            <v>250</v>
          </cell>
          <cell r="CS447">
            <v>285</v>
          </cell>
          <cell r="CT447">
            <v>45</v>
          </cell>
          <cell r="CU447">
            <v>3440</v>
          </cell>
          <cell r="CV447">
            <v>2.6</v>
          </cell>
          <cell r="CW447">
            <v>1320</v>
          </cell>
          <cell r="CX447">
            <v>890</v>
          </cell>
          <cell r="CY447">
            <v>35</v>
          </cell>
          <cell r="CZ447">
            <v>395</v>
          </cell>
        </row>
        <row r="448">
          <cell r="A448" t="str">
            <v>4620604.01</v>
          </cell>
          <cell r="B448" t="str">
            <v>0604.01</v>
          </cell>
          <cell r="C448" t="str">
            <v>Saint-Léonard</v>
          </cell>
          <cell r="D448">
            <v>2615</v>
          </cell>
          <cell r="E448">
            <v>730</v>
          </cell>
          <cell r="F448">
            <v>1545</v>
          </cell>
          <cell r="G448">
            <v>55</v>
          </cell>
          <cell r="H448">
            <v>130</v>
          </cell>
          <cell r="I448">
            <v>160</v>
          </cell>
          <cell r="J448">
            <v>2620</v>
          </cell>
          <cell r="K448">
            <v>2475</v>
          </cell>
          <cell r="L448">
            <v>140</v>
          </cell>
          <cell r="M448">
            <v>940</v>
          </cell>
          <cell r="N448">
            <v>410</v>
          </cell>
          <cell r="O448">
            <v>215</v>
          </cell>
          <cell r="P448">
            <v>210</v>
          </cell>
          <cell r="Q448">
            <v>110</v>
          </cell>
          <cell r="R448">
            <v>945</v>
          </cell>
          <cell r="S448">
            <v>835</v>
          </cell>
          <cell r="T448">
            <v>755</v>
          </cell>
          <cell r="U448">
            <v>320</v>
          </cell>
          <cell r="V448">
            <v>435</v>
          </cell>
          <cell r="W448">
            <v>125</v>
          </cell>
          <cell r="X448">
            <v>205</v>
          </cell>
          <cell r="Y448">
            <v>100</v>
          </cell>
          <cell r="Z448">
            <v>85</v>
          </cell>
          <cell r="AA448">
            <v>35</v>
          </cell>
          <cell r="AB448">
            <v>45</v>
          </cell>
          <cell r="AC448">
            <v>35</v>
          </cell>
          <cell r="AD448">
            <v>10</v>
          </cell>
          <cell r="AE448">
            <v>0</v>
          </cell>
          <cell r="AF448">
            <v>105</v>
          </cell>
          <cell r="AG448">
            <v>80</v>
          </cell>
          <cell r="AH448">
            <v>35</v>
          </cell>
          <cell r="AI448">
            <v>45</v>
          </cell>
          <cell r="AJ448">
            <v>0</v>
          </cell>
          <cell r="AK448">
            <v>20</v>
          </cell>
          <cell r="AL448">
            <v>20</v>
          </cell>
          <cell r="AM448">
            <v>0</v>
          </cell>
          <cell r="AN448">
            <v>0</v>
          </cell>
          <cell r="AO448">
            <v>1080</v>
          </cell>
          <cell r="AP448">
            <v>190</v>
          </cell>
          <cell r="AQ448">
            <v>330</v>
          </cell>
          <cell r="AR448">
            <v>125</v>
          </cell>
          <cell r="AS448">
            <v>250</v>
          </cell>
          <cell r="AT448">
            <v>180</v>
          </cell>
          <cell r="AU448">
            <v>1.1000000000000001</v>
          </cell>
          <cell r="AV448">
            <v>3130</v>
          </cell>
          <cell r="AW448">
            <v>270</v>
          </cell>
          <cell r="AX448">
            <v>55</v>
          </cell>
          <cell r="AY448">
            <v>45</v>
          </cell>
          <cell r="AZ448">
            <v>170</v>
          </cell>
          <cell r="BA448">
            <v>2860</v>
          </cell>
          <cell r="BB448">
            <v>3</v>
          </cell>
          <cell r="BC448">
            <v>730</v>
          </cell>
          <cell r="BD448">
            <v>160</v>
          </cell>
          <cell r="BE448">
            <v>40</v>
          </cell>
          <cell r="BF448">
            <v>15</v>
          </cell>
          <cell r="BG448">
            <v>100</v>
          </cell>
          <cell r="BH448">
            <v>570</v>
          </cell>
          <cell r="BI448">
            <v>1125</v>
          </cell>
          <cell r="BJ448">
            <v>6.9</v>
          </cell>
          <cell r="BK448">
            <v>7762.5</v>
          </cell>
          <cell r="BL448">
            <v>2.9</v>
          </cell>
          <cell r="BM448">
            <v>3262.5</v>
          </cell>
          <cell r="BN448">
            <v>1130</v>
          </cell>
          <cell r="BO448">
            <v>920</v>
          </cell>
          <cell r="BP448">
            <v>210</v>
          </cell>
          <cell r="BQ448">
            <v>0</v>
          </cell>
          <cell r="BR448">
            <v>1125</v>
          </cell>
          <cell r="BS448">
            <v>780</v>
          </cell>
          <cell r="BT448">
            <v>330</v>
          </cell>
          <cell r="BU448">
            <v>20</v>
          </cell>
          <cell r="BV448">
            <v>1130</v>
          </cell>
          <cell r="BW448">
            <v>20</v>
          </cell>
          <cell r="BX448">
            <v>220</v>
          </cell>
          <cell r="BY448">
            <v>670</v>
          </cell>
          <cell r="BZ448">
            <v>155</v>
          </cell>
          <cell r="CA448">
            <v>15</v>
          </cell>
          <cell r="CB448">
            <v>10</v>
          </cell>
          <cell r="CC448">
            <v>25</v>
          </cell>
          <cell r="CD448">
            <v>10</v>
          </cell>
          <cell r="CE448">
            <v>0</v>
          </cell>
          <cell r="CF448">
            <v>1130</v>
          </cell>
          <cell r="CG448">
            <v>760</v>
          </cell>
          <cell r="CH448">
            <v>15</v>
          </cell>
          <cell r="CI448">
            <v>0</v>
          </cell>
          <cell r="CJ448">
            <v>60</v>
          </cell>
          <cell r="CK448">
            <v>0</v>
          </cell>
          <cell r="CL448">
            <v>295</v>
          </cell>
          <cell r="CM448">
            <v>0</v>
          </cell>
          <cell r="CN448">
            <v>0</v>
          </cell>
          <cell r="CO448">
            <v>1130</v>
          </cell>
          <cell r="CP448">
            <v>170</v>
          </cell>
          <cell r="CQ448">
            <v>415</v>
          </cell>
          <cell r="CR448">
            <v>210</v>
          </cell>
          <cell r="CS448">
            <v>310</v>
          </cell>
          <cell r="CT448">
            <v>25</v>
          </cell>
          <cell r="CU448">
            <v>3120</v>
          </cell>
          <cell r="CV448">
            <v>2.8</v>
          </cell>
          <cell r="CW448">
            <v>1130</v>
          </cell>
          <cell r="CX448">
            <v>930</v>
          </cell>
          <cell r="CY448">
            <v>10</v>
          </cell>
          <cell r="CZ448">
            <v>190</v>
          </cell>
        </row>
        <row r="449">
          <cell r="A449" t="str">
            <v>4620604.02</v>
          </cell>
          <cell r="B449" t="str">
            <v>0604.02</v>
          </cell>
          <cell r="C449" t="str">
            <v>Saint-Léonard</v>
          </cell>
          <cell r="D449">
            <v>3530</v>
          </cell>
          <cell r="E449">
            <v>1155</v>
          </cell>
          <cell r="F449">
            <v>1720</v>
          </cell>
          <cell r="G449">
            <v>105</v>
          </cell>
          <cell r="H449">
            <v>340</v>
          </cell>
          <cell r="I449">
            <v>210</v>
          </cell>
          <cell r="J449">
            <v>3530</v>
          </cell>
          <cell r="K449">
            <v>3210</v>
          </cell>
          <cell r="L449">
            <v>325</v>
          </cell>
          <cell r="M449">
            <v>1305</v>
          </cell>
          <cell r="N449">
            <v>640</v>
          </cell>
          <cell r="O449">
            <v>330</v>
          </cell>
          <cell r="P449">
            <v>245</v>
          </cell>
          <cell r="Q449">
            <v>95</v>
          </cell>
          <cell r="R449">
            <v>1305</v>
          </cell>
          <cell r="S449">
            <v>1000</v>
          </cell>
          <cell r="T449">
            <v>835</v>
          </cell>
          <cell r="U449">
            <v>365</v>
          </cell>
          <cell r="V449">
            <v>465</v>
          </cell>
          <cell r="W449">
            <v>185</v>
          </cell>
          <cell r="X449">
            <v>205</v>
          </cell>
          <cell r="Y449">
            <v>75</v>
          </cell>
          <cell r="Z449">
            <v>165</v>
          </cell>
          <cell r="AA449">
            <v>80</v>
          </cell>
          <cell r="AB449">
            <v>90</v>
          </cell>
          <cell r="AC449">
            <v>70</v>
          </cell>
          <cell r="AD449">
            <v>0</v>
          </cell>
          <cell r="AE449">
            <v>10</v>
          </cell>
          <cell r="AF449">
            <v>310</v>
          </cell>
          <cell r="AG449">
            <v>260</v>
          </cell>
          <cell r="AH449">
            <v>160</v>
          </cell>
          <cell r="AI449">
            <v>70</v>
          </cell>
          <cell r="AJ449">
            <v>30</v>
          </cell>
          <cell r="AK449">
            <v>45</v>
          </cell>
          <cell r="AL449">
            <v>35</v>
          </cell>
          <cell r="AM449">
            <v>0</v>
          </cell>
          <cell r="AN449">
            <v>10</v>
          </cell>
          <cell r="AO449">
            <v>1430</v>
          </cell>
          <cell r="AP449">
            <v>415</v>
          </cell>
          <cell r="AQ449">
            <v>395</v>
          </cell>
          <cell r="AR449">
            <v>130</v>
          </cell>
          <cell r="AS449">
            <v>200</v>
          </cell>
          <cell r="AT449">
            <v>280</v>
          </cell>
          <cell r="AU449">
            <v>1.1000000000000001</v>
          </cell>
          <cell r="AV449">
            <v>4350</v>
          </cell>
          <cell r="AW449">
            <v>610</v>
          </cell>
          <cell r="AX449">
            <v>150</v>
          </cell>
          <cell r="AY449">
            <v>55</v>
          </cell>
          <cell r="AZ449">
            <v>415</v>
          </cell>
          <cell r="BA449">
            <v>3735</v>
          </cell>
          <cell r="BB449">
            <v>2.9</v>
          </cell>
          <cell r="BC449">
            <v>610</v>
          </cell>
          <cell r="BD449">
            <v>130</v>
          </cell>
          <cell r="BE449">
            <v>55</v>
          </cell>
          <cell r="BF449">
            <v>0</v>
          </cell>
          <cell r="BG449">
            <v>75</v>
          </cell>
          <cell r="BH449">
            <v>480</v>
          </cell>
          <cell r="BI449">
            <v>1745</v>
          </cell>
          <cell r="BJ449">
            <v>5</v>
          </cell>
          <cell r="BK449">
            <v>8725</v>
          </cell>
          <cell r="BL449">
            <v>2.4</v>
          </cell>
          <cell r="BM449">
            <v>4188</v>
          </cell>
          <cell r="BN449">
            <v>1745</v>
          </cell>
          <cell r="BO449">
            <v>530</v>
          </cell>
          <cell r="BP449">
            <v>1210</v>
          </cell>
          <cell r="BQ449">
            <v>0</v>
          </cell>
          <cell r="BR449">
            <v>1745</v>
          </cell>
          <cell r="BS449">
            <v>1080</v>
          </cell>
          <cell r="BT449">
            <v>535</v>
          </cell>
          <cell r="BU449">
            <v>125</v>
          </cell>
          <cell r="BV449">
            <v>1745</v>
          </cell>
          <cell r="BW449">
            <v>30</v>
          </cell>
          <cell r="BX449">
            <v>175</v>
          </cell>
          <cell r="BY449">
            <v>585</v>
          </cell>
          <cell r="BZ449">
            <v>690</v>
          </cell>
          <cell r="CA449">
            <v>135</v>
          </cell>
          <cell r="CB449">
            <v>110</v>
          </cell>
          <cell r="CC449">
            <v>20</v>
          </cell>
          <cell r="CD449">
            <v>0</v>
          </cell>
          <cell r="CE449">
            <v>0</v>
          </cell>
          <cell r="CF449">
            <v>1745</v>
          </cell>
          <cell r="CG449">
            <v>10</v>
          </cell>
          <cell r="CH449">
            <v>45</v>
          </cell>
          <cell r="CI449">
            <v>0</v>
          </cell>
          <cell r="CJ449">
            <v>45</v>
          </cell>
          <cell r="CK449">
            <v>0</v>
          </cell>
          <cell r="CL449">
            <v>1640</v>
          </cell>
          <cell r="CM449">
            <v>0</v>
          </cell>
          <cell r="CN449">
            <v>0</v>
          </cell>
          <cell r="CO449">
            <v>1745</v>
          </cell>
          <cell r="CP449">
            <v>410</v>
          </cell>
          <cell r="CQ449">
            <v>610</v>
          </cell>
          <cell r="CR449">
            <v>340</v>
          </cell>
          <cell r="CS449">
            <v>355</v>
          </cell>
          <cell r="CT449">
            <v>30</v>
          </cell>
          <cell r="CU449">
            <v>4350</v>
          </cell>
          <cell r="CV449">
            <v>2.5</v>
          </cell>
          <cell r="CW449">
            <v>1745</v>
          </cell>
          <cell r="CX449">
            <v>1275</v>
          </cell>
          <cell r="CY449">
            <v>15</v>
          </cell>
          <cell r="CZ449">
            <v>450</v>
          </cell>
        </row>
        <row r="450">
          <cell r="A450" t="str">
            <v>4620604.03</v>
          </cell>
          <cell r="B450" t="str">
            <v>0604.03</v>
          </cell>
          <cell r="C450" t="str">
            <v>Saint-Léonard</v>
          </cell>
          <cell r="D450">
            <v>2610</v>
          </cell>
          <cell r="E450">
            <v>900</v>
          </cell>
          <cell r="F450">
            <v>1270</v>
          </cell>
          <cell r="G450">
            <v>55</v>
          </cell>
          <cell r="H450">
            <v>220</v>
          </cell>
          <cell r="I450">
            <v>160</v>
          </cell>
          <cell r="J450">
            <v>2610</v>
          </cell>
          <cell r="K450">
            <v>2445</v>
          </cell>
          <cell r="L450">
            <v>165</v>
          </cell>
          <cell r="M450">
            <v>900</v>
          </cell>
          <cell r="N450">
            <v>420</v>
          </cell>
          <cell r="O450">
            <v>230</v>
          </cell>
          <cell r="P450">
            <v>195</v>
          </cell>
          <cell r="Q450">
            <v>50</v>
          </cell>
          <cell r="R450">
            <v>900</v>
          </cell>
          <cell r="S450">
            <v>715</v>
          </cell>
          <cell r="T450">
            <v>635</v>
          </cell>
          <cell r="U450">
            <v>225</v>
          </cell>
          <cell r="V450">
            <v>405</v>
          </cell>
          <cell r="W450">
            <v>160</v>
          </cell>
          <cell r="X450">
            <v>195</v>
          </cell>
          <cell r="Y450">
            <v>45</v>
          </cell>
          <cell r="Z450">
            <v>80</v>
          </cell>
          <cell r="AA450">
            <v>60</v>
          </cell>
          <cell r="AB450">
            <v>25</v>
          </cell>
          <cell r="AC450">
            <v>25</v>
          </cell>
          <cell r="AD450">
            <v>0</v>
          </cell>
          <cell r="AE450">
            <v>0</v>
          </cell>
          <cell r="AF450">
            <v>180</v>
          </cell>
          <cell r="AG450">
            <v>160</v>
          </cell>
          <cell r="AH450">
            <v>115</v>
          </cell>
          <cell r="AI450">
            <v>40</v>
          </cell>
          <cell r="AJ450">
            <v>0</v>
          </cell>
          <cell r="AK450">
            <v>25</v>
          </cell>
          <cell r="AL450">
            <v>15</v>
          </cell>
          <cell r="AM450">
            <v>0</v>
          </cell>
          <cell r="AN450">
            <v>0</v>
          </cell>
          <cell r="AO450">
            <v>970</v>
          </cell>
          <cell r="AP450">
            <v>210</v>
          </cell>
          <cell r="AQ450">
            <v>235</v>
          </cell>
          <cell r="AR450">
            <v>100</v>
          </cell>
          <cell r="AS450">
            <v>190</v>
          </cell>
          <cell r="AT450">
            <v>240</v>
          </cell>
          <cell r="AU450">
            <v>1.1000000000000001</v>
          </cell>
          <cell r="AV450">
            <v>3050</v>
          </cell>
          <cell r="AW450">
            <v>465</v>
          </cell>
          <cell r="AX450">
            <v>95</v>
          </cell>
          <cell r="AY450">
            <v>55</v>
          </cell>
          <cell r="AZ450">
            <v>320</v>
          </cell>
          <cell r="BA450">
            <v>2585</v>
          </cell>
          <cell r="BB450">
            <v>2.9</v>
          </cell>
          <cell r="BC450">
            <v>550</v>
          </cell>
          <cell r="BD450">
            <v>160</v>
          </cell>
          <cell r="BE450">
            <v>45</v>
          </cell>
          <cell r="BF450">
            <v>10</v>
          </cell>
          <cell r="BG450">
            <v>105</v>
          </cell>
          <cell r="BH450">
            <v>385</v>
          </cell>
          <cell r="BI450">
            <v>1235</v>
          </cell>
          <cell r="BJ450">
            <v>5.2</v>
          </cell>
          <cell r="BK450">
            <v>6422</v>
          </cell>
          <cell r="BL450">
            <v>2.2999999999999998</v>
          </cell>
          <cell r="BM450">
            <v>2840.5</v>
          </cell>
          <cell r="BN450">
            <v>1235</v>
          </cell>
          <cell r="BO450">
            <v>440</v>
          </cell>
          <cell r="BP450">
            <v>795</v>
          </cell>
          <cell r="BQ450">
            <v>0</v>
          </cell>
          <cell r="BR450">
            <v>1235</v>
          </cell>
          <cell r="BS450">
            <v>820</v>
          </cell>
          <cell r="BT450">
            <v>365</v>
          </cell>
          <cell r="BU450">
            <v>50</v>
          </cell>
          <cell r="BV450">
            <v>1235</v>
          </cell>
          <cell r="BW450">
            <v>35</v>
          </cell>
          <cell r="BX450">
            <v>120</v>
          </cell>
          <cell r="BY450">
            <v>555</v>
          </cell>
          <cell r="BZ450">
            <v>385</v>
          </cell>
          <cell r="CA450">
            <v>75</v>
          </cell>
          <cell r="CB450">
            <v>55</v>
          </cell>
          <cell r="CC450">
            <v>10</v>
          </cell>
          <cell r="CD450">
            <v>0</v>
          </cell>
          <cell r="CE450">
            <v>10</v>
          </cell>
          <cell r="CF450">
            <v>1235</v>
          </cell>
          <cell r="CG450">
            <v>45</v>
          </cell>
          <cell r="CH450">
            <v>40</v>
          </cell>
          <cell r="CI450">
            <v>0</v>
          </cell>
          <cell r="CJ450">
            <v>25</v>
          </cell>
          <cell r="CK450">
            <v>0</v>
          </cell>
          <cell r="CL450">
            <v>1120</v>
          </cell>
          <cell r="CM450">
            <v>0</v>
          </cell>
          <cell r="CN450">
            <v>0</v>
          </cell>
          <cell r="CO450">
            <v>1240</v>
          </cell>
          <cell r="CP450">
            <v>320</v>
          </cell>
          <cell r="CQ450">
            <v>410</v>
          </cell>
          <cell r="CR450">
            <v>230</v>
          </cell>
          <cell r="CS450">
            <v>250</v>
          </cell>
          <cell r="CT450">
            <v>25</v>
          </cell>
          <cell r="CU450">
            <v>3050</v>
          </cell>
          <cell r="CV450">
            <v>2.5</v>
          </cell>
          <cell r="CW450">
            <v>1235</v>
          </cell>
          <cell r="CX450">
            <v>865</v>
          </cell>
          <cell r="CY450">
            <v>15</v>
          </cell>
          <cell r="CZ450">
            <v>350</v>
          </cell>
        </row>
        <row r="451">
          <cell r="A451" t="str">
            <v>4620604.04</v>
          </cell>
          <cell r="B451" t="str">
            <v>0604.04</v>
          </cell>
          <cell r="C451" t="str">
            <v>Saint-Léonard</v>
          </cell>
          <cell r="D451">
            <v>2720</v>
          </cell>
          <cell r="E451">
            <v>875</v>
          </cell>
          <cell r="F451">
            <v>1350</v>
          </cell>
          <cell r="G451">
            <v>80</v>
          </cell>
          <cell r="H451">
            <v>250</v>
          </cell>
          <cell r="I451">
            <v>165</v>
          </cell>
          <cell r="J451">
            <v>2725</v>
          </cell>
          <cell r="K451">
            <v>2485</v>
          </cell>
          <cell r="L451">
            <v>235</v>
          </cell>
          <cell r="M451">
            <v>975</v>
          </cell>
          <cell r="N451">
            <v>455</v>
          </cell>
          <cell r="O451">
            <v>255</v>
          </cell>
          <cell r="P451">
            <v>185</v>
          </cell>
          <cell r="Q451">
            <v>75</v>
          </cell>
          <cell r="R451">
            <v>970</v>
          </cell>
          <cell r="S451">
            <v>795</v>
          </cell>
          <cell r="T451">
            <v>675</v>
          </cell>
          <cell r="U451">
            <v>240</v>
          </cell>
          <cell r="V451">
            <v>435</v>
          </cell>
          <cell r="W451">
            <v>180</v>
          </cell>
          <cell r="X451">
            <v>180</v>
          </cell>
          <cell r="Y451">
            <v>75</v>
          </cell>
          <cell r="Z451">
            <v>125</v>
          </cell>
          <cell r="AA451">
            <v>95</v>
          </cell>
          <cell r="AB451">
            <v>30</v>
          </cell>
          <cell r="AC451">
            <v>25</v>
          </cell>
          <cell r="AD451">
            <v>0</v>
          </cell>
          <cell r="AE451">
            <v>0</v>
          </cell>
          <cell r="AF451">
            <v>175</v>
          </cell>
          <cell r="AG451">
            <v>160</v>
          </cell>
          <cell r="AH451">
            <v>110</v>
          </cell>
          <cell r="AI451">
            <v>45</v>
          </cell>
          <cell r="AJ451">
            <v>0</v>
          </cell>
          <cell r="AK451">
            <v>15</v>
          </cell>
          <cell r="AL451">
            <v>10</v>
          </cell>
          <cell r="AM451">
            <v>0</v>
          </cell>
          <cell r="AN451">
            <v>0</v>
          </cell>
          <cell r="AO451">
            <v>1065</v>
          </cell>
          <cell r="AP451">
            <v>255</v>
          </cell>
          <cell r="AQ451">
            <v>320</v>
          </cell>
          <cell r="AR451">
            <v>115</v>
          </cell>
          <cell r="AS451">
            <v>160</v>
          </cell>
          <cell r="AT451">
            <v>210</v>
          </cell>
          <cell r="AU451">
            <v>1.1000000000000001</v>
          </cell>
          <cell r="AV451">
            <v>3300</v>
          </cell>
          <cell r="AW451">
            <v>470</v>
          </cell>
          <cell r="AX451">
            <v>60</v>
          </cell>
          <cell r="AY451">
            <v>90</v>
          </cell>
          <cell r="AZ451">
            <v>325</v>
          </cell>
          <cell r="BA451">
            <v>2835</v>
          </cell>
          <cell r="BB451">
            <v>2.9</v>
          </cell>
          <cell r="BC451">
            <v>465</v>
          </cell>
          <cell r="BD451">
            <v>115</v>
          </cell>
          <cell r="BE451">
            <v>15</v>
          </cell>
          <cell r="BF451">
            <v>0</v>
          </cell>
          <cell r="BG451">
            <v>100</v>
          </cell>
          <cell r="BH451">
            <v>345</v>
          </cell>
          <cell r="BI451">
            <v>1335</v>
          </cell>
          <cell r="BJ451">
            <v>5.2</v>
          </cell>
          <cell r="BK451">
            <v>6942</v>
          </cell>
          <cell r="BL451">
            <v>2.4</v>
          </cell>
          <cell r="BM451">
            <v>3204</v>
          </cell>
          <cell r="BN451">
            <v>1330</v>
          </cell>
          <cell r="BO451">
            <v>495</v>
          </cell>
          <cell r="BP451">
            <v>845</v>
          </cell>
          <cell r="BQ451">
            <v>0</v>
          </cell>
          <cell r="BR451">
            <v>1330</v>
          </cell>
          <cell r="BS451">
            <v>890</v>
          </cell>
          <cell r="BT451">
            <v>380</v>
          </cell>
          <cell r="BU451">
            <v>65</v>
          </cell>
          <cell r="BV451">
            <v>1335</v>
          </cell>
          <cell r="BW451">
            <v>15</v>
          </cell>
          <cell r="BX451">
            <v>80</v>
          </cell>
          <cell r="BY451">
            <v>225</v>
          </cell>
          <cell r="BZ451">
            <v>690</v>
          </cell>
          <cell r="CA451">
            <v>190</v>
          </cell>
          <cell r="CB451">
            <v>110</v>
          </cell>
          <cell r="CC451">
            <v>0</v>
          </cell>
          <cell r="CD451">
            <v>15</v>
          </cell>
          <cell r="CE451">
            <v>10</v>
          </cell>
          <cell r="CF451">
            <v>1335</v>
          </cell>
          <cell r="CG451">
            <v>20</v>
          </cell>
          <cell r="CH451">
            <v>105</v>
          </cell>
          <cell r="CI451">
            <v>0</v>
          </cell>
          <cell r="CJ451">
            <v>5</v>
          </cell>
          <cell r="CK451">
            <v>0</v>
          </cell>
          <cell r="CL451">
            <v>1195</v>
          </cell>
          <cell r="CM451">
            <v>0</v>
          </cell>
          <cell r="CN451">
            <v>0</v>
          </cell>
          <cell r="CO451">
            <v>1330</v>
          </cell>
          <cell r="CP451">
            <v>320</v>
          </cell>
          <cell r="CQ451">
            <v>450</v>
          </cell>
          <cell r="CR451">
            <v>270</v>
          </cell>
          <cell r="CS451">
            <v>275</v>
          </cell>
          <cell r="CT451">
            <v>15</v>
          </cell>
          <cell r="CU451">
            <v>3305</v>
          </cell>
          <cell r="CV451">
            <v>2.5</v>
          </cell>
          <cell r="CW451">
            <v>1335</v>
          </cell>
          <cell r="CX451">
            <v>965</v>
          </cell>
          <cell r="CY451">
            <v>10</v>
          </cell>
          <cell r="CZ451">
            <v>365</v>
          </cell>
        </row>
        <row r="452">
          <cell r="A452" t="str">
            <v>4620604.05</v>
          </cell>
          <cell r="B452" t="str">
            <v>0604.05</v>
          </cell>
          <cell r="C452" t="str">
            <v>Saint-Léonard</v>
          </cell>
          <cell r="D452">
            <v>3335</v>
          </cell>
          <cell r="E452">
            <v>1080</v>
          </cell>
          <cell r="F452">
            <v>1640</v>
          </cell>
          <cell r="G452">
            <v>90</v>
          </cell>
          <cell r="H452">
            <v>305</v>
          </cell>
          <cell r="I452">
            <v>215</v>
          </cell>
          <cell r="J452">
            <v>3335</v>
          </cell>
          <cell r="K452">
            <v>3065</v>
          </cell>
          <cell r="L452">
            <v>270</v>
          </cell>
          <cell r="M452">
            <v>1225</v>
          </cell>
          <cell r="N452">
            <v>585</v>
          </cell>
          <cell r="O452">
            <v>355</v>
          </cell>
          <cell r="P452">
            <v>205</v>
          </cell>
          <cell r="Q452">
            <v>80</v>
          </cell>
          <cell r="R452">
            <v>1225</v>
          </cell>
          <cell r="S452">
            <v>950</v>
          </cell>
          <cell r="T452">
            <v>810</v>
          </cell>
          <cell r="U452">
            <v>320</v>
          </cell>
          <cell r="V452">
            <v>495</v>
          </cell>
          <cell r="W452">
            <v>250</v>
          </cell>
          <cell r="X452">
            <v>180</v>
          </cell>
          <cell r="Y452">
            <v>65</v>
          </cell>
          <cell r="Z452">
            <v>140</v>
          </cell>
          <cell r="AA452">
            <v>55</v>
          </cell>
          <cell r="AB452">
            <v>85</v>
          </cell>
          <cell r="AC452">
            <v>55</v>
          </cell>
          <cell r="AD452">
            <v>20</v>
          </cell>
          <cell r="AE452">
            <v>10</v>
          </cell>
          <cell r="AF452">
            <v>270</v>
          </cell>
          <cell r="AG452">
            <v>250</v>
          </cell>
          <cell r="AH452">
            <v>200</v>
          </cell>
          <cell r="AI452">
            <v>40</v>
          </cell>
          <cell r="AJ452">
            <v>0</v>
          </cell>
          <cell r="AK452">
            <v>25</v>
          </cell>
          <cell r="AL452">
            <v>15</v>
          </cell>
          <cell r="AM452">
            <v>0</v>
          </cell>
          <cell r="AN452">
            <v>10</v>
          </cell>
          <cell r="AO452">
            <v>1310</v>
          </cell>
          <cell r="AP452">
            <v>285</v>
          </cell>
          <cell r="AQ452">
            <v>440</v>
          </cell>
          <cell r="AR452">
            <v>115</v>
          </cell>
          <cell r="AS452">
            <v>260</v>
          </cell>
          <cell r="AT452">
            <v>215</v>
          </cell>
          <cell r="AU452">
            <v>1.1000000000000001</v>
          </cell>
          <cell r="AV452">
            <v>4060</v>
          </cell>
          <cell r="AW452">
            <v>575</v>
          </cell>
          <cell r="AX452">
            <v>110</v>
          </cell>
          <cell r="AY452">
            <v>80</v>
          </cell>
          <cell r="AZ452">
            <v>390</v>
          </cell>
          <cell r="BA452">
            <v>3485</v>
          </cell>
          <cell r="BB452">
            <v>2.8</v>
          </cell>
          <cell r="BC452">
            <v>595</v>
          </cell>
          <cell r="BD452">
            <v>170</v>
          </cell>
          <cell r="BE452">
            <v>35</v>
          </cell>
          <cell r="BF452">
            <v>15</v>
          </cell>
          <cell r="BG452">
            <v>120</v>
          </cell>
          <cell r="BH452">
            <v>420</v>
          </cell>
          <cell r="BI452">
            <v>1620</v>
          </cell>
          <cell r="BJ452">
            <v>5.0999999999999996</v>
          </cell>
          <cell r="BK452">
            <v>8262</v>
          </cell>
          <cell r="BL452">
            <v>2.2999999999999998</v>
          </cell>
          <cell r="BM452">
            <v>3725.9999999999995</v>
          </cell>
          <cell r="BN452">
            <v>1620</v>
          </cell>
          <cell r="BO452">
            <v>505</v>
          </cell>
          <cell r="BP452">
            <v>1120</v>
          </cell>
          <cell r="BQ452">
            <v>0</v>
          </cell>
          <cell r="BR452">
            <v>1625</v>
          </cell>
          <cell r="BS452">
            <v>1125</v>
          </cell>
          <cell r="BT452">
            <v>365</v>
          </cell>
          <cell r="BU452">
            <v>135</v>
          </cell>
          <cell r="BV452">
            <v>1620</v>
          </cell>
          <cell r="BW452">
            <v>10</v>
          </cell>
          <cell r="BX452">
            <v>160</v>
          </cell>
          <cell r="BY452">
            <v>460</v>
          </cell>
          <cell r="BZ452">
            <v>775</v>
          </cell>
          <cell r="CA452">
            <v>65</v>
          </cell>
          <cell r="CB452">
            <v>10</v>
          </cell>
          <cell r="CC452">
            <v>20</v>
          </cell>
          <cell r="CD452">
            <v>0</v>
          </cell>
          <cell r="CE452">
            <v>135</v>
          </cell>
          <cell r="CF452">
            <v>1625</v>
          </cell>
          <cell r="CG452">
            <v>80</v>
          </cell>
          <cell r="CH452">
            <v>65</v>
          </cell>
          <cell r="CI452">
            <v>5</v>
          </cell>
          <cell r="CJ452">
            <v>85</v>
          </cell>
          <cell r="CK452">
            <v>0</v>
          </cell>
          <cell r="CL452">
            <v>1380</v>
          </cell>
          <cell r="CM452">
            <v>0</v>
          </cell>
          <cell r="CN452">
            <v>0</v>
          </cell>
          <cell r="CO452">
            <v>1620</v>
          </cell>
          <cell r="CP452">
            <v>390</v>
          </cell>
          <cell r="CQ452">
            <v>550</v>
          </cell>
          <cell r="CR452">
            <v>315</v>
          </cell>
          <cell r="CS452">
            <v>330</v>
          </cell>
          <cell r="CT452">
            <v>35</v>
          </cell>
          <cell r="CU452">
            <v>4065</v>
          </cell>
          <cell r="CV452">
            <v>2.5</v>
          </cell>
          <cell r="CW452">
            <v>1620</v>
          </cell>
          <cell r="CX452">
            <v>1170</v>
          </cell>
          <cell r="CY452">
            <v>25</v>
          </cell>
          <cell r="CZ452">
            <v>425</v>
          </cell>
        </row>
        <row r="453">
          <cell r="A453" t="str">
            <v>4620605.01</v>
          </cell>
          <cell r="B453" t="str">
            <v>0605.01</v>
          </cell>
          <cell r="C453" t="str">
            <v>Saint-Léonard</v>
          </cell>
          <cell r="D453">
            <v>2595</v>
          </cell>
          <cell r="E453">
            <v>815</v>
          </cell>
          <cell r="F453">
            <v>1210</v>
          </cell>
          <cell r="G453">
            <v>60</v>
          </cell>
          <cell r="H453">
            <v>260</v>
          </cell>
          <cell r="I453">
            <v>250</v>
          </cell>
          <cell r="J453">
            <v>2595</v>
          </cell>
          <cell r="K453">
            <v>2395</v>
          </cell>
          <cell r="L453">
            <v>200</v>
          </cell>
          <cell r="M453">
            <v>875</v>
          </cell>
          <cell r="N453">
            <v>415</v>
          </cell>
          <cell r="O453">
            <v>250</v>
          </cell>
          <cell r="P453">
            <v>165</v>
          </cell>
          <cell r="Q453">
            <v>40</v>
          </cell>
          <cell r="R453">
            <v>880</v>
          </cell>
          <cell r="S453">
            <v>705</v>
          </cell>
          <cell r="T453">
            <v>610</v>
          </cell>
          <cell r="U453">
            <v>260</v>
          </cell>
          <cell r="V453">
            <v>350</v>
          </cell>
          <cell r="W453">
            <v>165</v>
          </cell>
          <cell r="X453">
            <v>150</v>
          </cell>
          <cell r="Y453">
            <v>40</v>
          </cell>
          <cell r="Z453">
            <v>90</v>
          </cell>
          <cell r="AA453">
            <v>55</v>
          </cell>
          <cell r="AB453">
            <v>35</v>
          </cell>
          <cell r="AC453">
            <v>20</v>
          </cell>
          <cell r="AD453">
            <v>15</v>
          </cell>
          <cell r="AE453">
            <v>0</v>
          </cell>
          <cell r="AF453">
            <v>175</v>
          </cell>
          <cell r="AG453">
            <v>160</v>
          </cell>
          <cell r="AH453">
            <v>95</v>
          </cell>
          <cell r="AI453">
            <v>65</v>
          </cell>
          <cell r="AJ453">
            <v>0</v>
          </cell>
          <cell r="AK453">
            <v>10</v>
          </cell>
          <cell r="AL453">
            <v>10</v>
          </cell>
          <cell r="AM453">
            <v>10</v>
          </cell>
          <cell r="AN453">
            <v>0</v>
          </cell>
          <cell r="AO453">
            <v>875</v>
          </cell>
          <cell r="AP453">
            <v>185</v>
          </cell>
          <cell r="AQ453">
            <v>240</v>
          </cell>
          <cell r="AR453">
            <v>45</v>
          </cell>
          <cell r="AS453">
            <v>200</v>
          </cell>
          <cell r="AT453">
            <v>205</v>
          </cell>
          <cell r="AU453">
            <v>1</v>
          </cell>
          <cell r="AV453">
            <v>3020</v>
          </cell>
          <cell r="AW453">
            <v>565</v>
          </cell>
          <cell r="AX453">
            <v>35</v>
          </cell>
          <cell r="AY453">
            <v>30</v>
          </cell>
          <cell r="AZ453">
            <v>495</v>
          </cell>
          <cell r="BA453">
            <v>2460</v>
          </cell>
          <cell r="BB453">
            <v>2.8</v>
          </cell>
          <cell r="BC453">
            <v>720</v>
          </cell>
          <cell r="BD453">
            <v>295</v>
          </cell>
          <cell r="BE453">
            <v>10</v>
          </cell>
          <cell r="BF453">
            <v>10</v>
          </cell>
          <cell r="BG453">
            <v>275</v>
          </cell>
          <cell r="BH453">
            <v>430</v>
          </cell>
          <cell r="BI453">
            <v>1370</v>
          </cell>
          <cell r="BJ453">
            <v>5</v>
          </cell>
          <cell r="BK453">
            <v>6850</v>
          </cell>
          <cell r="BL453">
            <v>2.2000000000000002</v>
          </cell>
          <cell r="BM453">
            <v>3014.0000000000005</v>
          </cell>
          <cell r="BN453">
            <v>1370</v>
          </cell>
          <cell r="BO453">
            <v>515</v>
          </cell>
          <cell r="BP453">
            <v>855</v>
          </cell>
          <cell r="BQ453">
            <v>0</v>
          </cell>
          <cell r="BR453">
            <v>1370</v>
          </cell>
          <cell r="BS453">
            <v>970</v>
          </cell>
          <cell r="BT453">
            <v>330</v>
          </cell>
          <cell r="BU453">
            <v>65</v>
          </cell>
          <cell r="BV453">
            <v>1370</v>
          </cell>
          <cell r="BW453">
            <v>40</v>
          </cell>
          <cell r="BX453">
            <v>80</v>
          </cell>
          <cell r="BY453">
            <v>675</v>
          </cell>
          <cell r="BZ453">
            <v>360</v>
          </cell>
          <cell r="CA453">
            <v>100</v>
          </cell>
          <cell r="CB453">
            <v>25</v>
          </cell>
          <cell r="CC453">
            <v>0</v>
          </cell>
          <cell r="CD453">
            <v>0</v>
          </cell>
          <cell r="CE453">
            <v>85</v>
          </cell>
          <cell r="CF453">
            <v>1370</v>
          </cell>
          <cell r="CG453">
            <v>30</v>
          </cell>
          <cell r="CH453">
            <v>0</v>
          </cell>
          <cell r="CI453">
            <v>0</v>
          </cell>
          <cell r="CJ453">
            <v>190</v>
          </cell>
          <cell r="CK453">
            <v>275</v>
          </cell>
          <cell r="CL453">
            <v>875</v>
          </cell>
          <cell r="CM453">
            <v>0</v>
          </cell>
          <cell r="CN453">
            <v>0</v>
          </cell>
          <cell r="CO453">
            <v>1365</v>
          </cell>
          <cell r="CP453">
            <v>495</v>
          </cell>
          <cell r="CQ453">
            <v>420</v>
          </cell>
          <cell r="CR453">
            <v>220</v>
          </cell>
          <cell r="CS453">
            <v>215</v>
          </cell>
          <cell r="CT453">
            <v>20</v>
          </cell>
          <cell r="CU453">
            <v>3020</v>
          </cell>
          <cell r="CV453">
            <v>2.2000000000000002</v>
          </cell>
          <cell r="CW453">
            <v>1370</v>
          </cell>
          <cell r="CX453">
            <v>840</v>
          </cell>
          <cell r="CY453">
            <v>20</v>
          </cell>
          <cell r="CZ453">
            <v>510</v>
          </cell>
        </row>
        <row r="454">
          <cell r="A454" t="str">
            <v>4620605.02</v>
          </cell>
          <cell r="B454" t="str">
            <v>0605.02</v>
          </cell>
          <cell r="C454" t="str">
            <v>Saint-Léonard</v>
          </cell>
          <cell r="D454">
            <v>1695</v>
          </cell>
          <cell r="E454">
            <v>465</v>
          </cell>
          <cell r="F454">
            <v>1030</v>
          </cell>
          <cell r="G454">
            <v>25</v>
          </cell>
          <cell r="H454">
            <v>75</v>
          </cell>
          <cell r="I454">
            <v>100</v>
          </cell>
          <cell r="J454">
            <v>1695</v>
          </cell>
          <cell r="K454">
            <v>1620</v>
          </cell>
          <cell r="L454">
            <v>75</v>
          </cell>
          <cell r="M454">
            <v>615</v>
          </cell>
          <cell r="N454">
            <v>305</v>
          </cell>
          <cell r="O454">
            <v>125</v>
          </cell>
          <cell r="P454">
            <v>140</v>
          </cell>
          <cell r="Q454">
            <v>40</v>
          </cell>
          <cell r="R454">
            <v>615</v>
          </cell>
          <cell r="S454">
            <v>560</v>
          </cell>
          <cell r="T454">
            <v>520</v>
          </cell>
          <cell r="U454">
            <v>235</v>
          </cell>
          <cell r="V454">
            <v>285</v>
          </cell>
          <cell r="W454">
            <v>110</v>
          </cell>
          <cell r="X454">
            <v>130</v>
          </cell>
          <cell r="Y454">
            <v>40</v>
          </cell>
          <cell r="Z454">
            <v>45</v>
          </cell>
          <cell r="AA454">
            <v>35</v>
          </cell>
          <cell r="AB454">
            <v>10</v>
          </cell>
          <cell r="AC454">
            <v>0</v>
          </cell>
          <cell r="AD454">
            <v>0</v>
          </cell>
          <cell r="AE454">
            <v>0</v>
          </cell>
          <cell r="AF454">
            <v>50</v>
          </cell>
          <cell r="AG454">
            <v>35</v>
          </cell>
          <cell r="AH454">
            <v>15</v>
          </cell>
          <cell r="AI454">
            <v>10</v>
          </cell>
          <cell r="AJ454">
            <v>10</v>
          </cell>
          <cell r="AK454">
            <v>15</v>
          </cell>
          <cell r="AL454">
            <v>15</v>
          </cell>
          <cell r="AM454">
            <v>0</v>
          </cell>
          <cell r="AN454">
            <v>0</v>
          </cell>
          <cell r="AO454">
            <v>595</v>
          </cell>
          <cell r="AP454">
            <v>70</v>
          </cell>
          <cell r="AQ454">
            <v>170</v>
          </cell>
          <cell r="AR454">
            <v>55</v>
          </cell>
          <cell r="AS454">
            <v>110</v>
          </cell>
          <cell r="AT454">
            <v>185</v>
          </cell>
          <cell r="AU454">
            <v>1</v>
          </cell>
          <cell r="AV454">
            <v>1960</v>
          </cell>
          <cell r="AW454">
            <v>190</v>
          </cell>
          <cell r="AX454">
            <v>70</v>
          </cell>
          <cell r="AY454">
            <v>10</v>
          </cell>
          <cell r="AZ454">
            <v>105</v>
          </cell>
          <cell r="BA454">
            <v>1770</v>
          </cell>
          <cell r="BB454">
            <v>2.9</v>
          </cell>
          <cell r="BC454">
            <v>525</v>
          </cell>
          <cell r="BD454">
            <v>100</v>
          </cell>
          <cell r="BE454">
            <v>45</v>
          </cell>
          <cell r="BF454">
            <v>0</v>
          </cell>
          <cell r="BG454">
            <v>60</v>
          </cell>
          <cell r="BH454">
            <v>420</v>
          </cell>
          <cell r="BI454">
            <v>725</v>
          </cell>
          <cell r="BJ454">
            <v>6.8</v>
          </cell>
          <cell r="BK454">
            <v>4930</v>
          </cell>
          <cell r="BL454">
            <v>2.9</v>
          </cell>
          <cell r="BM454">
            <v>2102.5</v>
          </cell>
          <cell r="BN454">
            <v>725</v>
          </cell>
          <cell r="BO454">
            <v>625</v>
          </cell>
          <cell r="BP454">
            <v>105</v>
          </cell>
          <cell r="BQ454">
            <v>0</v>
          </cell>
          <cell r="BR454">
            <v>725</v>
          </cell>
          <cell r="BS454">
            <v>435</v>
          </cell>
          <cell r="BT454">
            <v>255</v>
          </cell>
          <cell r="BU454">
            <v>35</v>
          </cell>
          <cell r="BV454">
            <v>725</v>
          </cell>
          <cell r="BW454">
            <v>15</v>
          </cell>
          <cell r="BX454">
            <v>145</v>
          </cell>
          <cell r="BY454">
            <v>370</v>
          </cell>
          <cell r="BZ454">
            <v>150</v>
          </cell>
          <cell r="CA454">
            <v>0</v>
          </cell>
          <cell r="CB454">
            <v>0</v>
          </cell>
          <cell r="CC454">
            <v>0</v>
          </cell>
          <cell r="CD454">
            <v>25</v>
          </cell>
          <cell r="CE454">
            <v>25</v>
          </cell>
          <cell r="CF454">
            <v>725</v>
          </cell>
          <cell r="CG454">
            <v>550</v>
          </cell>
          <cell r="CH454">
            <v>15</v>
          </cell>
          <cell r="CI454">
            <v>0</v>
          </cell>
          <cell r="CJ454">
            <v>5</v>
          </cell>
          <cell r="CK454">
            <v>0</v>
          </cell>
          <cell r="CL454">
            <v>155</v>
          </cell>
          <cell r="CM454">
            <v>5</v>
          </cell>
          <cell r="CN454">
            <v>0</v>
          </cell>
          <cell r="CO454">
            <v>725</v>
          </cell>
          <cell r="CP454">
            <v>110</v>
          </cell>
          <cell r="CQ454">
            <v>270</v>
          </cell>
          <cell r="CR454">
            <v>140</v>
          </cell>
          <cell r="CS454">
            <v>195</v>
          </cell>
          <cell r="CT454">
            <v>15</v>
          </cell>
          <cell r="CU454">
            <v>1960</v>
          </cell>
          <cell r="CV454">
            <v>2.7</v>
          </cell>
          <cell r="CW454">
            <v>725</v>
          </cell>
          <cell r="CX454">
            <v>580</v>
          </cell>
          <cell r="CY454">
            <v>15</v>
          </cell>
          <cell r="CZ454">
            <v>125</v>
          </cell>
        </row>
        <row r="455">
          <cell r="A455" t="str">
            <v>4620605.03</v>
          </cell>
          <cell r="B455" t="str">
            <v>0605.03</v>
          </cell>
          <cell r="C455" t="str">
            <v>Saint-Léonard</v>
          </cell>
          <cell r="D455">
            <v>4565</v>
          </cell>
          <cell r="E455">
            <v>1515</v>
          </cell>
          <cell r="F455">
            <v>2175</v>
          </cell>
          <cell r="G455">
            <v>125</v>
          </cell>
          <cell r="H455">
            <v>480</v>
          </cell>
          <cell r="I455">
            <v>275</v>
          </cell>
          <cell r="J455">
            <v>4565</v>
          </cell>
          <cell r="K455">
            <v>4175</v>
          </cell>
          <cell r="L455">
            <v>390</v>
          </cell>
          <cell r="M455">
            <v>1635</v>
          </cell>
          <cell r="N455">
            <v>775</v>
          </cell>
          <cell r="O455">
            <v>395</v>
          </cell>
          <cell r="P455">
            <v>360</v>
          </cell>
          <cell r="Q455">
            <v>100</v>
          </cell>
          <cell r="R455">
            <v>1635</v>
          </cell>
          <cell r="S455">
            <v>1280</v>
          </cell>
          <cell r="T455">
            <v>1080</v>
          </cell>
          <cell r="U455">
            <v>400</v>
          </cell>
          <cell r="V455">
            <v>675</v>
          </cell>
          <cell r="W455">
            <v>295</v>
          </cell>
          <cell r="X455">
            <v>295</v>
          </cell>
          <cell r="Y455">
            <v>85</v>
          </cell>
          <cell r="Z455">
            <v>195</v>
          </cell>
          <cell r="AA455">
            <v>150</v>
          </cell>
          <cell r="AB455">
            <v>45</v>
          </cell>
          <cell r="AC455">
            <v>10</v>
          </cell>
          <cell r="AD455">
            <v>35</v>
          </cell>
          <cell r="AE455">
            <v>0</v>
          </cell>
          <cell r="AF455">
            <v>355</v>
          </cell>
          <cell r="AG455">
            <v>315</v>
          </cell>
          <cell r="AH455">
            <v>200</v>
          </cell>
          <cell r="AI455">
            <v>80</v>
          </cell>
          <cell r="AJ455">
            <v>35</v>
          </cell>
          <cell r="AK455">
            <v>40</v>
          </cell>
          <cell r="AL455">
            <v>20</v>
          </cell>
          <cell r="AM455">
            <v>10</v>
          </cell>
          <cell r="AN455">
            <v>0</v>
          </cell>
          <cell r="AO455">
            <v>1805</v>
          </cell>
          <cell r="AP455">
            <v>485</v>
          </cell>
          <cell r="AQ455">
            <v>565</v>
          </cell>
          <cell r="AR455">
            <v>160</v>
          </cell>
          <cell r="AS455">
            <v>280</v>
          </cell>
          <cell r="AT455">
            <v>310</v>
          </cell>
          <cell r="AU455">
            <v>1.1000000000000001</v>
          </cell>
          <cell r="AV455">
            <v>5600</v>
          </cell>
          <cell r="AW455">
            <v>885</v>
          </cell>
          <cell r="AX455">
            <v>70</v>
          </cell>
          <cell r="AY455">
            <v>100</v>
          </cell>
          <cell r="AZ455">
            <v>715</v>
          </cell>
          <cell r="BA455">
            <v>4715</v>
          </cell>
          <cell r="BB455">
            <v>2.9</v>
          </cell>
          <cell r="BC455">
            <v>750</v>
          </cell>
          <cell r="BD455">
            <v>195</v>
          </cell>
          <cell r="BE455">
            <v>20</v>
          </cell>
          <cell r="BF455">
            <v>0</v>
          </cell>
          <cell r="BG455">
            <v>170</v>
          </cell>
          <cell r="BH455">
            <v>550</v>
          </cell>
          <cell r="BI455">
            <v>2365</v>
          </cell>
          <cell r="BJ455">
            <v>4.9000000000000004</v>
          </cell>
          <cell r="BK455">
            <v>11588.5</v>
          </cell>
          <cell r="BL455">
            <v>2.2000000000000002</v>
          </cell>
          <cell r="BM455">
            <v>5203</v>
          </cell>
          <cell r="BN455">
            <v>2365</v>
          </cell>
          <cell r="BO455">
            <v>705</v>
          </cell>
          <cell r="BP455">
            <v>1665</v>
          </cell>
          <cell r="BQ455">
            <v>0</v>
          </cell>
          <cell r="BR455">
            <v>2365</v>
          </cell>
          <cell r="BS455">
            <v>1725</v>
          </cell>
          <cell r="BT455">
            <v>530</v>
          </cell>
          <cell r="BU455">
            <v>115</v>
          </cell>
          <cell r="BV455">
            <v>2365</v>
          </cell>
          <cell r="BW455">
            <v>30</v>
          </cell>
          <cell r="BX455">
            <v>145</v>
          </cell>
          <cell r="BY455">
            <v>585</v>
          </cell>
          <cell r="BZ455">
            <v>1105</v>
          </cell>
          <cell r="CA455">
            <v>80</v>
          </cell>
          <cell r="CB455">
            <v>95</v>
          </cell>
          <cell r="CC455">
            <v>150</v>
          </cell>
          <cell r="CD455">
            <v>145</v>
          </cell>
          <cell r="CE455">
            <v>25</v>
          </cell>
          <cell r="CF455">
            <v>2365</v>
          </cell>
          <cell r="CG455">
            <v>45</v>
          </cell>
          <cell r="CH455">
            <v>70</v>
          </cell>
          <cell r="CI455">
            <v>0</v>
          </cell>
          <cell r="CJ455">
            <v>110</v>
          </cell>
          <cell r="CK455">
            <v>115</v>
          </cell>
          <cell r="CL455">
            <v>2025</v>
          </cell>
          <cell r="CM455">
            <v>0</v>
          </cell>
          <cell r="CN455">
            <v>0</v>
          </cell>
          <cell r="CO455">
            <v>2365</v>
          </cell>
          <cell r="CP455">
            <v>715</v>
          </cell>
          <cell r="CQ455">
            <v>765</v>
          </cell>
          <cell r="CR455">
            <v>395</v>
          </cell>
          <cell r="CS455">
            <v>460</v>
          </cell>
          <cell r="CT455">
            <v>35</v>
          </cell>
          <cell r="CU455">
            <v>5605</v>
          </cell>
          <cell r="CV455">
            <v>2.4</v>
          </cell>
          <cell r="CW455">
            <v>2365</v>
          </cell>
          <cell r="CX455">
            <v>1570</v>
          </cell>
          <cell r="CY455">
            <v>30</v>
          </cell>
          <cell r="CZ455">
            <v>760</v>
          </cell>
        </row>
        <row r="456">
          <cell r="A456" t="str">
            <v>4620605.04</v>
          </cell>
          <cell r="B456" t="str">
            <v>0605.04</v>
          </cell>
          <cell r="C456" t="str">
            <v>Saint-Léonard</v>
          </cell>
          <cell r="D456">
            <v>3930</v>
          </cell>
          <cell r="E456">
            <v>1265</v>
          </cell>
          <cell r="F456">
            <v>1985</v>
          </cell>
          <cell r="G456">
            <v>110</v>
          </cell>
          <cell r="H456">
            <v>350</v>
          </cell>
          <cell r="I456">
            <v>225</v>
          </cell>
          <cell r="J456">
            <v>3935</v>
          </cell>
          <cell r="K456">
            <v>3585</v>
          </cell>
          <cell r="L456">
            <v>345</v>
          </cell>
          <cell r="M456">
            <v>1430</v>
          </cell>
          <cell r="N456">
            <v>720</v>
          </cell>
          <cell r="O456">
            <v>330</v>
          </cell>
          <cell r="P456">
            <v>235</v>
          </cell>
          <cell r="Q456">
            <v>145</v>
          </cell>
          <cell r="R456">
            <v>1430</v>
          </cell>
          <cell r="S456">
            <v>1155</v>
          </cell>
          <cell r="T456">
            <v>985</v>
          </cell>
          <cell r="U456">
            <v>410</v>
          </cell>
          <cell r="V456">
            <v>575</v>
          </cell>
          <cell r="W456">
            <v>235</v>
          </cell>
          <cell r="X456">
            <v>215</v>
          </cell>
          <cell r="Y456">
            <v>120</v>
          </cell>
          <cell r="Z456">
            <v>175</v>
          </cell>
          <cell r="AA456">
            <v>115</v>
          </cell>
          <cell r="AB456">
            <v>60</v>
          </cell>
          <cell r="AC456">
            <v>30</v>
          </cell>
          <cell r="AD456">
            <v>10</v>
          </cell>
          <cell r="AE456">
            <v>20</v>
          </cell>
          <cell r="AF456">
            <v>270</v>
          </cell>
          <cell r="AG456">
            <v>225</v>
          </cell>
          <cell r="AH456">
            <v>170</v>
          </cell>
          <cell r="AI456">
            <v>40</v>
          </cell>
          <cell r="AJ456">
            <v>15</v>
          </cell>
          <cell r="AK456">
            <v>45</v>
          </cell>
          <cell r="AL456">
            <v>30</v>
          </cell>
          <cell r="AM456">
            <v>15</v>
          </cell>
          <cell r="AN456">
            <v>0</v>
          </cell>
          <cell r="AO456">
            <v>1540</v>
          </cell>
          <cell r="AP456">
            <v>340</v>
          </cell>
          <cell r="AQ456">
            <v>480</v>
          </cell>
          <cell r="AR456">
            <v>155</v>
          </cell>
          <cell r="AS456">
            <v>310</v>
          </cell>
          <cell r="AT456">
            <v>255</v>
          </cell>
          <cell r="AU456">
            <v>1.1000000000000001</v>
          </cell>
          <cell r="AV456">
            <v>4755</v>
          </cell>
          <cell r="AW456">
            <v>625</v>
          </cell>
          <cell r="AX456">
            <v>50</v>
          </cell>
          <cell r="AY456">
            <v>100</v>
          </cell>
          <cell r="AZ456">
            <v>475</v>
          </cell>
          <cell r="BA456">
            <v>4125</v>
          </cell>
          <cell r="BB456">
            <v>2.9</v>
          </cell>
          <cell r="BC456">
            <v>735</v>
          </cell>
          <cell r="BD456">
            <v>195</v>
          </cell>
          <cell r="BE456">
            <v>25</v>
          </cell>
          <cell r="BF456">
            <v>20</v>
          </cell>
          <cell r="BG456">
            <v>150</v>
          </cell>
          <cell r="BH456">
            <v>540</v>
          </cell>
          <cell r="BI456">
            <v>1930</v>
          </cell>
          <cell r="BJ456">
            <v>5.3</v>
          </cell>
          <cell r="BK456">
            <v>10229</v>
          </cell>
          <cell r="BL456">
            <v>2.5</v>
          </cell>
          <cell r="BM456">
            <v>4825</v>
          </cell>
          <cell r="BN456">
            <v>1925</v>
          </cell>
          <cell r="BO456">
            <v>810</v>
          </cell>
          <cell r="BP456">
            <v>1120</v>
          </cell>
          <cell r="BQ456">
            <v>0</v>
          </cell>
          <cell r="BR456">
            <v>1925</v>
          </cell>
          <cell r="BS456">
            <v>1285</v>
          </cell>
          <cell r="BT456">
            <v>515</v>
          </cell>
          <cell r="BU456">
            <v>125</v>
          </cell>
          <cell r="BV456">
            <v>1925</v>
          </cell>
          <cell r="BW456">
            <v>45</v>
          </cell>
          <cell r="BX456">
            <v>105</v>
          </cell>
          <cell r="BY456">
            <v>600</v>
          </cell>
          <cell r="BZ456">
            <v>860</v>
          </cell>
          <cell r="CA456">
            <v>125</v>
          </cell>
          <cell r="CB456">
            <v>20</v>
          </cell>
          <cell r="CC456">
            <v>25</v>
          </cell>
          <cell r="CD456">
            <v>125</v>
          </cell>
          <cell r="CE456">
            <v>10</v>
          </cell>
          <cell r="CF456">
            <v>1930</v>
          </cell>
          <cell r="CG456">
            <v>5</v>
          </cell>
          <cell r="CH456">
            <v>235</v>
          </cell>
          <cell r="CI456">
            <v>0</v>
          </cell>
          <cell r="CJ456">
            <v>245</v>
          </cell>
          <cell r="CK456">
            <v>0</v>
          </cell>
          <cell r="CL456">
            <v>1435</v>
          </cell>
          <cell r="CM456">
            <v>0</v>
          </cell>
          <cell r="CN456">
            <v>0</v>
          </cell>
          <cell r="CO456">
            <v>1925</v>
          </cell>
          <cell r="CP456">
            <v>480</v>
          </cell>
          <cell r="CQ456">
            <v>685</v>
          </cell>
          <cell r="CR456">
            <v>345</v>
          </cell>
          <cell r="CS456">
            <v>385</v>
          </cell>
          <cell r="CT456">
            <v>35</v>
          </cell>
          <cell r="CU456">
            <v>4755</v>
          </cell>
          <cell r="CV456">
            <v>2.5</v>
          </cell>
          <cell r="CW456">
            <v>1925</v>
          </cell>
          <cell r="CX456">
            <v>1380</v>
          </cell>
          <cell r="CY456">
            <v>25</v>
          </cell>
          <cell r="CZ456">
            <v>525</v>
          </cell>
        </row>
        <row r="457">
          <cell r="A457" t="str">
            <v>4620605.05</v>
          </cell>
          <cell r="B457" t="str">
            <v>0605.05</v>
          </cell>
          <cell r="C457" t="str">
            <v>Saint-Léonard</v>
          </cell>
          <cell r="D457">
            <v>1980</v>
          </cell>
          <cell r="E457">
            <v>630</v>
          </cell>
          <cell r="F457">
            <v>1040</v>
          </cell>
          <cell r="G457">
            <v>35</v>
          </cell>
          <cell r="H457">
            <v>160</v>
          </cell>
          <cell r="I457">
            <v>110</v>
          </cell>
          <cell r="J457">
            <v>1980</v>
          </cell>
          <cell r="K457">
            <v>1820</v>
          </cell>
          <cell r="L457">
            <v>160</v>
          </cell>
          <cell r="M457">
            <v>720</v>
          </cell>
          <cell r="N457">
            <v>340</v>
          </cell>
          <cell r="O457">
            <v>185</v>
          </cell>
          <cell r="P457">
            <v>145</v>
          </cell>
          <cell r="Q457">
            <v>50</v>
          </cell>
          <cell r="R457">
            <v>720</v>
          </cell>
          <cell r="S457">
            <v>580</v>
          </cell>
          <cell r="T457">
            <v>505</v>
          </cell>
          <cell r="U457">
            <v>200</v>
          </cell>
          <cell r="V457">
            <v>305</v>
          </cell>
          <cell r="W457">
            <v>130</v>
          </cell>
          <cell r="X457">
            <v>130</v>
          </cell>
          <cell r="Y457">
            <v>35</v>
          </cell>
          <cell r="Z457">
            <v>75</v>
          </cell>
          <cell r="AA457">
            <v>40</v>
          </cell>
          <cell r="AB457">
            <v>30</v>
          </cell>
          <cell r="AC457">
            <v>20</v>
          </cell>
          <cell r="AD457">
            <v>0</v>
          </cell>
          <cell r="AE457">
            <v>10</v>
          </cell>
          <cell r="AF457">
            <v>135</v>
          </cell>
          <cell r="AG457">
            <v>125</v>
          </cell>
          <cell r="AH457">
            <v>80</v>
          </cell>
          <cell r="AI457">
            <v>35</v>
          </cell>
          <cell r="AJ457">
            <v>10</v>
          </cell>
          <cell r="AK457">
            <v>20</v>
          </cell>
          <cell r="AL457">
            <v>10</v>
          </cell>
          <cell r="AM457">
            <v>0</v>
          </cell>
          <cell r="AN457">
            <v>0</v>
          </cell>
          <cell r="AO457">
            <v>760</v>
          </cell>
          <cell r="AP457">
            <v>200</v>
          </cell>
          <cell r="AQ457">
            <v>220</v>
          </cell>
          <cell r="AR457">
            <v>90</v>
          </cell>
          <cell r="AS457">
            <v>145</v>
          </cell>
          <cell r="AT457">
            <v>105</v>
          </cell>
          <cell r="AU457">
            <v>1.1000000000000001</v>
          </cell>
          <cell r="AV457">
            <v>2375</v>
          </cell>
          <cell r="AW457">
            <v>315</v>
          </cell>
          <cell r="AX457">
            <v>80</v>
          </cell>
          <cell r="AY457">
            <v>10</v>
          </cell>
          <cell r="AZ457">
            <v>220</v>
          </cell>
          <cell r="BA457">
            <v>2060</v>
          </cell>
          <cell r="BB457">
            <v>2.9</v>
          </cell>
          <cell r="BC457">
            <v>430</v>
          </cell>
          <cell r="BD457">
            <v>120</v>
          </cell>
          <cell r="BE457">
            <v>30</v>
          </cell>
          <cell r="BF457">
            <v>0</v>
          </cell>
          <cell r="BG457">
            <v>80</v>
          </cell>
          <cell r="BH457">
            <v>310</v>
          </cell>
          <cell r="BI457">
            <v>970</v>
          </cell>
          <cell r="BJ457">
            <v>5.4</v>
          </cell>
          <cell r="BK457">
            <v>5238</v>
          </cell>
          <cell r="BL457">
            <v>2.4</v>
          </cell>
          <cell r="BM457">
            <v>2328</v>
          </cell>
          <cell r="BN457">
            <v>970</v>
          </cell>
          <cell r="BO457">
            <v>420</v>
          </cell>
          <cell r="BP457">
            <v>555</v>
          </cell>
          <cell r="BQ457">
            <v>0</v>
          </cell>
          <cell r="BR457">
            <v>970</v>
          </cell>
          <cell r="BS457">
            <v>675</v>
          </cell>
          <cell r="BT457">
            <v>235</v>
          </cell>
          <cell r="BU457">
            <v>60</v>
          </cell>
          <cell r="BV457">
            <v>970</v>
          </cell>
          <cell r="BW457">
            <v>15</v>
          </cell>
          <cell r="BX457">
            <v>180</v>
          </cell>
          <cell r="BY457">
            <v>305</v>
          </cell>
          <cell r="BZ457">
            <v>310</v>
          </cell>
          <cell r="CA457">
            <v>50</v>
          </cell>
          <cell r="CB457">
            <v>30</v>
          </cell>
          <cell r="CC457">
            <v>20</v>
          </cell>
          <cell r="CD457">
            <v>20</v>
          </cell>
          <cell r="CE457">
            <v>40</v>
          </cell>
          <cell r="CF457">
            <v>970</v>
          </cell>
          <cell r="CG457">
            <v>250</v>
          </cell>
          <cell r="CH457">
            <v>55</v>
          </cell>
          <cell r="CI457">
            <v>0</v>
          </cell>
          <cell r="CJ457">
            <v>45</v>
          </cell>
          <cell r="CK457">
            <v>0</v>
          </cell>
          <cell r="CL457">
            <v>625</v>
          </cell>
          <cell r="CM457">
            <v>0</v>
          </cell>
          <cell r="CN457">
            <v>0</v>
          </cell>
          <cell r="CO457">
            <v>970</v>
          </cell>
          <cell r="CP457">
            <v>220</v>
          </cell>
          <cell r="CQ457">
            <v>370</v>
          </cell>
          <cell r="CR457">
            <v>180</v>
          </cell>
          <cell r="CS457">
            <v>190</v>
          </cell>
          <cell r="CT457">
            <v>15</v>
          </cell>
          <cell r="CU457">
            <v>2375</v>
          </cell>
          <cell r="CV457">
            <v>2.4</v>
          </cell>
          <cell r="CW457">
            <v>970</v>
          </cell>
          <cell r="CX457">
            <v>720</v>
          </cell>
          <cell r="CY457">
            <v>0</v>
          </cell>
          <cell r="CZ457">
            <v>250</v>
          </cell>
        </row>
        <row r="458">
          <cell r="C458" t="str">
            <v>Saint-Léonard</v>
          </cell>
          <cell r="D458">
            <v>59820</v>
          </cell>
          <cell r="E458">
            <v>18980</v>
          </cell>
          <cell r="F458">
            <v>29195</v>
          </cell>
          <cell r="G458">
            <v>1590</v>
          </cell>
          <cell r="H458">
            <v>5430</v>
          </cell>
          <cell r="I458">
            <v>4635</v>
          </cell>
          <cell r="J458">
            <v>59830</v>
          </cell>
          <cell r="K458">
            <v>55220</v>
          </cell>
          <cell r="L458">
            <v>4610</v>
          </cell>
          <cell r="M458">
            <v>20680</v>
          </cell>
          <cell r="N458">
            <v>10195</v>
          </cell>
          <cell r="O458">
            <v>5035</v>
          </cell>
          <cell r="P458">
            <v>3845</v>
          </cell>
          <cell r="Q458">
            <v>1605</v>
          </cell>
          <cell r="R458">
            <v>20705</v>
          </cell>
          <cell r="S458">
            <v>16655</v>
          </cell>
          <cell r="T458">
            <v>14355</v>
          </cell>
          <cell r="U458">
            <v>6035</v>
          </cell>
          <cell r="V458">
            <v>8280</v>
          </cell>
          <cell r="W458">
            <v>3405</v>
          </cell>
          <cell r="X458">
            <v>3450</v>
          </cell>
          <cell r="Y458">
            <v>1415</v>
          </cell>
          <cell r="Z458">
            <v>2330</v>
          </cell>
          <cell r="AA458">
            <v>1500</v>
          </cell>
          <cell r="AB458">
            <v>805</v>
          </cell>
          <cell r="AC458">
            <v>525</v>
          </cell>
          <cell r="AD458">
            <v>170</v>
          </cell>
          <cell r="AE458">
            <v>125</v>
          </cell>
          <cell r="AF458">
            <v>4015</v>
          </cell>
          <cell r="AG458">
            <v>3505</v>
          </cell>
          <cell r="AH458">
            <v>2280</v>
          </cell>
          <cell r="AI458">
            <v>985</v>
          </cell>
          <cell r="AJ458">
            <v>215</v>
          </cell>
          <cell r="AK458">
            <v>520</v>
          </cell>
          <cell r="AL458">
            <v>360</v>
          </cell>
          <cell r="AM458">
            <v>90</v>
          </cell>
          <cell r="AN458">
            <v>30</v>
          </cell>
          <cell r="AO458">
            <v>21950</v>
          </cell>
          <cell r="AP458">
            <v>5095</v>
          </cell>
          <cell r="AQ458">
            <v>6720</v>
          </cell>
          <cell r="AR458">
            <v>2045</v>
          </cell>
          <cell r="AS458">
            <v>3905</v>
          </cell>
          <cell r="AT458">
            <v>4135</v>
          </cell>
          <cell r="AU458">
            <v>1.0601304032842309</v>
          </cell>
          <cell r="AV458">
            <v>71380</v>
          </cell>
          <cell r="AW458">
            <v>12050</v>
          </cell>
          <cell r="AX458">
            <v>1750</v>
          </cell>
          <cell r="AY458">
            <v>1680</v>
          </cell>
          <cell r="AZ458">
            <v>8630</v>
          </cell>
          <cell r="BA458">
            <v>59315</v>
          </cell>
          <cell r="BB458">
            <v>2.8647669645013281</v>
          </cell>
          <cell r="BC458">
            <v>13765</v>
          </cell>
          <cell r="BD458">
            <v>4580</v>
          </cell>
          <cell r="BE458">
            <v>810</v>
          </cell>
          <cell r="BF458">
            <v>260</v>
          </cell>
          <cell r="BG458">
            <v>3480</v>
          </cell>
          <cell r="BH458">
            <v>9165</v>
          </cell>
          <cell r="BI458">
            <v>30000</v>
          </cell>
          <cell r="BJ458">
            <v>5.0287666666666668</v>
          </cell>
          <cell r="BK458">
            <v>150863</v>
          </cell>
          <cell r="BL458">
            <v>2.2790166666666667</v>
          </cell>
          <cell r="BM458">
            <v>68370.5</v>
          </cell>
          <cell r="BN458">
            <v>29985</v>
          </cell>
          <cell r="BO458">
            <v>10205</v>
          </cell>
          <cell r="BP458">
            <v>19820</v>
          </cell>
          <cell r="BQ458">
            <v>0</v>
          </cell>
          <cell r="BR458">
            <v>30000</v>
          </cell>
          <cell r="BS458">
            <v>20315</v>
          </cell>
          <cell r="BT458">
            <v>7770</v>
          </cell>
          <cell r="BU458">
            <v>1915</v>
          </cell>
          <cell r="BV458">
            <v>30005</v>
          </cell>
          <cell r="BW458">
            <v>525</v>
          </cell>
          <cell r="BX458">
            <v>3510</v>
          </cell>
          <cell r="BY458">
            <v>11940</v>
          </cell>
          <cell r="BZ458">
            <v>9490</v>
          </cell>
          <cell r="CA458">
            <v>1570</v>
          </cell>
          <cell r="CB458">
            <v>845</v>
          </cell>
          <cell r="CC458">
            <v>565</v>
          </cell>
          <cell r="CD458">
            <v>480</v>
          </cell>
          <cell r="CE458">
            <v>1015</v>
          </cell>
          <cell r="CF458">
            <v>30035</v>
          </cell>
          <cell r="CG458">
            <v>1860</v>
          </cell>
          <cell r="CH458">
            <v>790</v>
          </cell>
          <cell r="CI458">
            <v>5</v>
          </cell>
          <cell r="CJ458">
            <v>3315</v>
          </cell>
          <cell r="CK458">
            <v>1660</v>
          </cell>
          <cell r="CL458">
            <v>22285</v>
          </cell>
          <cell r="CM458">
            <v>55</v>
          </cell>
          <cell r="CN458">
            <v>10</v>
          </cell>
          <cell r="CO458">
            <v>30005</v>
          </cell>
          <cell r="CP458">
            <v>8630</v>
          </cell>
          <cell r="CQ458">
            <v>10120</v>
          </cell>
          <cell r="CR458">
            <v>5215</v>
          </cell>
          <cell r="CS458">
            <v>5560</v>
          </cell>
          <cell r="CT458">
            <v>495</v>
          </cell>
          <cell r="CU458">
            <v>71400</v>
          </cell>
          <cell r="CV458">
            <v>2.3796033994334276</v>
          </cell>
          <cell r="CW458">
            <v>29995</v>
          </cell>
          <cell r="CX458">
            <v>20060</v>
          </cell>
          <cell r="CY458">
            <v>320</v>
          </cell>
          <cell r="CZ458">
            <v>9585</v>
          </cell>
        </row>
        <row r="461">
          <cell r="A461" t="str">
            <v>4620500.00</v>
          </cell>
          <cell r="B461" t="str">
            <v>0500.00</v>
          </cell>
          <cell r="C461" t="str">
            <v>SENNEVILLE</v>
          </cell>
          <cell r="D461">
            <v>800</v>
          </cell>
          <cell r="E461">
            <v>220</v>
          </cell>
          <cell r="F461">
            <v>475</v>
          </cell>
          <cell r="G461">
            <v>15</v>
          </cell>
          <cell r="H461">
            <v>55</v>
          </cell>
          <cell r="I461">
            <v>30</v>
          </cell>
          <cell r="J461">
            <v>800</v>
          </cell>
          <cell r="K461">
            <v>735</v>
          </cell>
          <cell r="L461">
            <v>65</v>
          </cell>
          <cell r="M461">
            <v>275</v>
          </cell>
          <cell r="N461">
            <v>140</v>
          </cell>
          <cell r="O461">
            <v>40</v>
          </cell>
          <cell r="P461">
            <v>55</v>
          </cell>
          <cell r="Q461">
            <v>35</v>
          </cell>
          <cell r="R461">
            <v>275</v>
          </cell>
          <cell r="S461">
            <v>255</v>
          </cell>
          <cell r="T461">
            <v>225</v>
          </cell>
          <cell r="U461">
            <v>110</v>
          </cell>
          <cell r="V461">
            <v>115</v>
          </cell>
          <cell r="W461">
            <v>30</v>
          </cell>
          <cell r="X461">
            <v>50</v>
          </cell>
          <cell r="Y461">
            <v>35</v>
          </cell>
          <cell r="Z461">
            <v>25</v>
          </cell>
          <cell r="AA461">
            <v>20</v>
          </cell>
          <cell r="AB461">
            <v>10</v>
          </cell>
          <cell r="AC461">
            <v>0</v>
          </cell>
          <cell r="AD461">
            <v>0</v>
          </cell>
          <cell r="AE461">
            <v>0</v>
          </cell>
          <cell r="AF461">
            <v>25</v>
          </cell>
          <cell r="AG461">
            <v>10</v>
          </cell>
          <cell r="AH461">
            <v>15</v>
          </cell>
          <cell r="AI461">
            <v>0</v>
          </cell>
          <cell r="AJ461">
            <v>0</v>
          </cell>
          <cell r="AK461">
            <v>10</v>
          </cell>
          <cell r="AL461">
            <v>10</v>
          </cell>
          <cell r="AM461">
            <v>0</v>
          </cell>
          <cell r="AN461">
            <v>0</v>
          </cell>
          <cell r="AO461">
            <v>285</v>
          </cell>
          <cell r="AP461">
            <v>50</v>
          </cell>
          <cell r="AQ461">
            <v>85</v>
          </cell>
          <cell r="AR461">
            <v>25</v>
          </cell>
          <cell r="AS461">
            <v>100</v>
          </cell>
          <cell r="AT461">
            <v>35</v>
          </cell>
          <cell r="AU461">
            <v>1.1000000000000001</v>
          </cell>
          <cell r="AV461">
            <v>950</v>
          </cell>
          <cell r="AW461">
            <v>140</v>
          </cell>
          <cell r="AX461">
            <v>25</v>
          </cell>
          <cell r="AY461">
            <v>35</v>
          </cell>
          <cell r="AZ461">
            <v>80</v>
          </cell>
          <cell r="BA461">
            <v>810</v>
          </cell>
          <cell r="BB461">
            <v>3</v>
          </cell>
          <cell r="BC461">
            <v>175</v>
          </cell>
          <cell r="BD461">
            <v>65</v>
          </cell>
          <cell r="BE461">
            <v>10</v>
          </cell>
          <cell r="BF461">
            <v>10</v>
          </cell>
          <cell r="BG461">
            <v>50</v>
          </cell>
          <cell r="BH461">
            <v>110</v>
          </cell>
          <cell r="BI461">
            <v>365</v>
          </cell>
          <cell r="BJ461">
            <v>9.1999999999999993</v>
          </cell>
          <cell r="BK461">
            <v>3357.9999999999995</v>
          </cell>
          <cell r="BL461">
            <v>3.5</v>
          </cell>
          <cell r="BM461">
            <v>1277.5</v>
          </cell>
          <cell r="BN461">
            <v>365</v>
          </cell>
          <cell r="BO461">
            <v>350</v>
          </cell>
          <cell r="BP461">
            <v>15</v>
          </cell>
          <cell r="BQ461">
            <v>0</v>
          </cell>
          <cell r="BR461">
            <v>370</v>
          </cell>
          <cell r="BS461">
            <v>230</v>
          </cell>
          <cell r="BT461">
            <v>105</v>
          </cell>
          <cell r="BU461">
            <v>25</v>
          </cell>
          <cell r="BV461">
            <v>365</v>
          </cell>
          <cell r="BW461">
            <v>150</v>
          </cell>
          <cell r="BX461">
            <v>115</v>
          </cell>
          <cell r="BY461">
            <v>50</v>
          </cell>
          <cell r="BZ461">
            <v>10</v>
          </cell>
          <cell r="CA461">
            <v>20</v>
          </cell>
          <cell r="CB461">
            <v>10</v>
          </cell>
          <cell r="CC461">
            <v>10</v>
          </cell>
          <cell r="CD461">
            <v>0</v>
          </cell>
          <cell r="CE461">
            <v>0</v>
          </cell>
          <cell r="CF461">
            <v>370</v>
          </cell>
          <cell r="CG461">
            <v>345</v>
          </cell>
          <cell r="CH461">
            <v>10</v>
          </cell>
          <cell r="CI461">
            <v>0</v>
          </cell>
          <cell r="CJ461">
            <v>10</v>
          </cell>
          <cell r="CK461">
            <v>0</v>
          </cell>
          <cell r="CL461">
            <v>5</v>
          </cell>
          <cell r="CM461">
            <v>0</v>
          </cell>
          <cell r="CN461">
            <v>0</v>
          </cell>
          <cell r="CO461">
            <v>365</v>
          </cell>
          <cell r="CP461">
            <v>70</v>
          </cell>
          <cell r="CQ461">
            <v>150</v>
          </cell>
          <cell r="CR461">
            <v>45</v>
          </cell>
          <cell r="CS461">
            <v>95</v>
          </cell>
          <cell r="CT461">
            <v>5</v>
          </cell>
          <cell r="CU461">
            <v>960</v>
          </cell>
          <cell r="CV461">
            <v>2.6</v>
          </cell>
          <cell r="CW461">
            <v>365</v>
          </cell>
          <cell r="CX461">
            <v>275</v>
          </cell>
          <cell r="CY461">
            <v>0</v>
          </cell>
          <cell r="CZ461">
            <v>95</v>
          </cell>
        </row>
        <row r="462">
          <cell r="C462" t="str">
            <v>SENNEVILLE</v>
          </cell>
          <cell r="D462">
            <v>800</v>
          </cell>
          <cell r="E462">
            <v>220</v>
          </cell>
          <cell r="F462">
            <v>475</v>
          </cell>
          <cell r="G462">
            <v>15</v>
          </cell>
          <cell r="H462">
            <v>55</v>
          </cell>
          <cell r="I462">
            <v>30</v>
          </cell>
          <cell r="J462">
            <v>800</v>
          </cell>
          <cell r="K462">
            <v>735</v>
          </cell>
          <cell r="L462">
            <v>65</v>
          </cell>
          <cell r="M462">
            <v>275</v>
          </cell>
          <cell r="N462">
            <v>140</v>
          </cell>
          <cell r="O462">
            <v>40</v>
          </cell>
          <cell r="P462">
            <v>55</v>
          </cell>
          <cell r="Q462">
            <v>35</v>
          </cell>
          <cell r="R462">
            <v>275</v>
          </cell>
          <cell r="S462">
            <v>255</v>
          </cell>
          <cell r="T462">
            <v>225</v>
          </cell>
          <cell r="U462">
            <v>110</v>
          </cell>
          <cell r="V462">
            <v>115</v>
          </cell>
          <cell r="W462">
            <v>30</v>
          </cell>
          <cell r="X462">
            <v>50</v>
          </cell>
          <cell r="Y462">
            <v>35</v>
          </cell>
          <cell r="Z462">
            <v>25</v>
          </cell>
          <cell r="AA462">
            <v>20</v>
          </cell>
          <cell r="AB462">
            <v>10</v>
          </cell>
          <cell r="AC462">
            <v>0</v>
          </cell>
          <cell r="AD462">
            <v>0</v>
          </cell>
          <cell r="AE462">
            <v>0</v>
          </cell>
          <cell r="AF462">
            <v>25</v>
          </cell>
          <cell r="AG462">
            <v>10</v>
          </cell>
          <cell r="AH462">
            <v>15</v>
          </cell>
          <cell r="AI462">
            <v>0</v>
          </cell>
          <cell r="AJ462">
            <v>0</v>
          </cell>
          <cell r="AK462">
            <v>10</v>
          </cell>
          <cell r="AL462">
            <v>10</v>
          </cell>
          <cell r="AM462">
            <v>0</v>
          </cell>
          <cell r="AN462">
            <v>0</v>
          </cell>
          <cell r="AO462">
            <v>285</v>
          </cell>
          <cell r="AP462">
            <v>50</v>
          </cell>
          <cell r="AQ462">
            <v>85</v>
          </cell>
          <cell r="AR462">
            <v>25</v>
          </cell>
          <cell r="AS462">
            <v>100</v>
          </cell>
          <cell r="AT462">
            <v>35</v>
          </cell>
          <cell r="AU462">
            <v>1.0363636363636364</v>
          </cell>
          <cell r="AV462">
            <v>950</v>
          </cell>
          <cell r="AW462">
            <v>140</v>
          </cell>
          <cell r="AX462">
            <v>25</v>
          </cell>
          <cell r="AY462">
            <v>35</v>
          </cell>
          <cell r="AZ462">
            <v>80</v>
          </cell>
          <cell r="BA462">
            <v>810</v>
          </cell>
          <cell r="BB462">
            <v>2.9454545454545453</v>
          </cell>
          <cell r="BC462">
            <v>175</v>
          </cell>
          <cell r="BD462">
            <v>65</v>
          </cell>
          <cell r="BE462">
            <v>10</v>
          </cell>
          <cell r="BF462">
            <v>10</v>
          </cell>
          <cell r="BG462">
            <v>50</v>
          </cell>
          <cell r="BH462">
            <v>110</v>
          </cell>
          <cell r="BI462">
            <v>365</v>
          </cell>
          <cell r="BJ462">
            <v>9.1999999999999993</v>
          </cell>
          <cell r="BK462">
            <v>3357.9999999999995</v>
          </cell>
          <cell r="BL462">
            <v>3.5</v>
          </cell>
          <cell r="BM462">
            <v>1277.5</v>
          </cell>
          <cell r="BN462">
            <v>365</v>
          </cell>
          <cell r="BO462">
            <v>350</v>
          </cell>
          <cell r="BP462">
            <v>15</v>
          </cell>
          <cell r="BQ462">
            <v>0</v>
          </cell>
          <cell r="BR462">
            <v>370</v>
          </cell>
          <cell r="BS462">
            <v>230</v>
          </cell>
          <cell r="BT462">
            <v>105</v>
          </cell>
          <cell r="BU462">
            <v>25</v>
          </cell>
          <cell r="BV462">
            <v>365</v>
          </cell>
          <cell r="BW462">
            <v>150</v>
          </cell>
          <cell r="BX462">
            <v>115</v>
          </cell>
          <cell r="BY462">
            <v>50</v>
          </cell>
          <cell r="BZ462">
            <v>10</v>
          </cell>
          <cell r="CA462">
            <v>20</v>
          </cell>
          <cell r="CB462">
            <v>10</v>
          </cell>
          <cell r="CC462">
            <v>10</v>
          </cell>
          <cell r="CD462">
            <v>0</v>
          </cell>
          <cell r="CE462">
            <v>0</v>
          </cell>
          <cell r="CF462">
            <v>370</v>
          </cell>
          <cell r="CG462">
            <v>345</v>
          </cell>
          <cell r="CH462">
            <v>10</v>
          </cell>
          <cell r="CI462">
            <v>0</v>
          </cell>
          <cell r="CJ462">
            <v>10</v>
          </cell>
          <cell r="CK462">
            <v>0</v>
          </cell>
          <cell r="CL462">
            <v>5</v>
          </cell>
          <cell r="CM462">
            <v>0</v>
          </cell>
          <cell r="CN462">
            <v>0</v>
          </cell>
          <cell r="CO462">
            <v>365</v>
          </cell>
          <cell r="CP462">
            <v>70</v>
          </cell>
          <cell r="CQ462">
            <v>150</v>
          </cell>
          <cell r="CR462">
            <v>45</v>
          </cell>
          <cell r="CS462">
            <v>95</v>
          </cell>
          <cell r="CT462">
            <v>5</v>
          </cell>
          <cell r="CU462">
            <v>960</v>
          </cell>
          <cell r="CV462">
            <v>2.6301369863013697</v>
          </cell>
          <cell r="CW462">
            <v>365</v>
          </cell>
          <cell r="CX462">
            <v>275</v>
          </cell>
          <cell r="CY462">
            <v>0</v>
          </cell>
          <cell r="CZ462">
            <v>95</v>
          </cell>
        </row>
        <row r="465">
          <cell r="A465" t="str">
            <v>4620067.00</v>
          </cell>
          <cell r="B465" t="str">
            <v>0067.00</v>
          </cell>
          <cell r="C465" t="str">
            <v>Sud-Ouest</v>
          </cell>
          <cell r="D465">
            <v>1480</v>
          </cell>
          <cell r="E465">
            <v>835</v>
          </cell>
          <cell r="F465">
            <v>365</v>
          </cell>
          <cell r="G465">
            <v>40</v>
          </cell>
          <cell r="H465">
            <v>180</v>
          </cell>
          <cell r="I465">
            <v>50</v>
          </cell>
          <cell r="J465">
            <v>1480</v>
          </cell>
          <cell r="K465">
            <v>1245</v>
          </cell>
          <cell r="L465">
            <v>235</v>
          </cell>
          <cell r="M465">
            <v>415</v>
          </cell>
          <cell r="N465">
            <v>175</v>
          </cell>
          <cell r="O465">
            <v>110</v>
          </cell>
          <cell r="P465">
            <v>45</v>
          </cell>
          <cell r="Q465">
            <v>85</v>
          </cell>
          <cell r="R465">
            <v>415</v>
          </cell>
          <cell r="S465">
            <v>290</v>
          </cell>
          <cell r="T465">
            <v>165</v>
          </cell>
          <cell r="U465">
            <v>45</v>
          </cell>
          <cell r="V465">
            <v>120</v>
          </cell>
          <cell r="W465">
            <v>55</v>
          </cell>
          <cell r="X465">
            <v>25</v>
          </cell>
          <cell r="Y465">
            <v>40</v>
          </cell>
          <cell r="Z465">
            <v>125</v>
          </cell>
          <cell r="AA465">
            <v>85</v>
          </cell>
          <cell r="AB465">
            <v>40</v>
          </cell>
          <cell r="AC465">
            <v>20</v>
          </cell>
          <cell r="AD465">
            <v>20</v>
          </cell>
          <cell r="AE465">
            <v>0</v>
          </cell>
          <cell r="AF465">
            <v>125</v>
          </cell>
          <cell r="AG465">
            <v>115</v>
          </cell>
          <cell r="AH465">
            <v>30</v>
          </cell>
          <cell r="AI465">
            <v>35</v>
          </cell>
          <cell r="AJ465">
            <v>50</v>
          </cell>
          <cell r="AK465">
            <v>10</v>
          </cell>
          <cell r="AL465">
            <v>10</v>
          </cell>
          <cell r="AM465">
            <v>0</v>
          </cell>
          <cell r="AN465">
            <v>0</v>
          </cell>
          <cell r="AO465">
            <v>640</v>
          </cell>
          <cell r="AP465">
            <v>155</v>
          </cell>
          <cell r="AQ465">
            <v>235</v>
          </cell>
          <cell r="AR465">
            <v>60</v>
          </cell>
          <cell r="AS465">
            <v>140</v>
          </cell>
          <cell r="AT465">
            <v>50</v>
          </cell>
          <cell r="AU465">
            <v>1.5</v>
          </cell>
          <cell r="AV465">
            <v>1855</v>
          </cell>
          <cell r="AW465">
            <v>510</v>
          </cell>
          <cell r="AX465">
            <v>75</v>
          </cell>
          <cell r="AY465">
            <v>95</v>
          </cell>
          <cell r="AZ465">
            <v>340</v>
          </cell>
          <cell r="BA465">
            <v>1350</v>
          </cell>
          <cell r="BB465">
            <v>3.2</v>
          </cell>
          <cell r="BC465">
            <v>140</v>
          </cell>
          <cell r="BD465">
            <v>75</v>
          </cell>
          <cell r="BE465">
            <v>10</v>
          </cell>
          <cell r="BF465">
            <v>10</v>
          </cell>
          <cell r="BG465">
            <v>60</v>
          </cell>
          <cell r="BH465">
            <v>65</v>
          </cell>
          <cell r="BI465">
            <v>820</v>
          </cell>
          <cell r="BJ465">
            <v>4.7</v>
          </cell>
          <cell r="BK465">
            <v>3854</v>
          </cell>
          <cell r="BL465">
            <v>2</v>
          </cell>
          <cell r="BM465">
            <v>1640</v>
          </cell>
          <cell r="BN465">
            <v>820</v>
          </cell>
          <cell r="BO465">
            <v>285</v>
          </cell>
          <cell r="BP465">
            <v>535</v>
          </cell>
          <cell r="BQ465">
            <v>0</v>
          </cell>
          <cell r="BR465">
            <v>820</v>
          </cell>
          <cell r="BS465">
            <v>390</v>
          </cell>
          <cell r="BT465">
            <v>340</v>
          </cell>
          <cell r="BU465">
            <v>90</v>
          </cell>
          <cell r="BV465">
            <v>815</v>
          </cell>
          <cell r="BW465">
            <v>320</v>
          </cell>
          <cell r="BX465">
            <v>55</v>
          </cell>
          <cell r="BY465">
            <v>95</v>
          </cell>
          <cell r="BZ465">
            <v>55</v>
          </cell>
          <cell r="CA465">
            <v>100</v>
          </cell>
          <cell r="CB465">
            <v>170</v>
          </cell>
          <cell r="CC465">
            <v>20</v>
          </cell>
          <cell r="CD465">
            <v>0</v>
          </cell>
          <cell r="CE465">
            <v>10</v>
          </cell>
          <cell r="CF465">
            <v>820</v>
          </cell>
          <cell r="CG465">
            <v>0</v>
          </cell>
          <cell r="CH465">
            <v>0</v>
          </cell>
          <cell r="CI465">
            <v>240</v>
          </cell>
          <cell r="CJ465">
            <v>10</v>
          </cell>
          <cell r="CK465">
            <v>70</v>
          </cell>
          <cell r="CL465">
            <v>490</v>
          </cell>
          <cell r="CM465">
            <v>10</v>
          </cell>
          <cell r="CN465">
            <v>0</v>
          </cell>
          <cell r="CO465">
            <v>820</v>
          </cell>
          <cell r="CP465">
            <v>335</v>
          </cell>
          <cell r="CQ465">
            <v>240</v>
          </cell>
          <cell r="CR465">
            <v>95</v>
          </cell>
          <cell r="CS465">
            <v>100</v>
          </cell>
          <cell r="CT465">
            <v>45</v>
          </cell>
          <cell r="CU465">
            <v>1860</v>
          </cell>
          <cell r="CV465">
            <v>2.2999999999999998</v>
          </cell>
          <cell r="CW465">
            <v>820</v>
          </cell>
          <cell r="CX465">
            <v>400</v>
          </cell>
          <cell r="CY465">
            <v>0</v>
          </cell>
          <cell r="CZ465">
            <v>410</v>
          </cell>
        </row>
        <row r="466">
          <cell r="A466" t="str">
            <v>4620068.00</v>
          </cell>
          <cell r="B466" t="str">
            <v>0068.00</v>
          </cell>
          <cell r="C466" t="str">
            <v>Sud-Ouest</v>
          </cell>
          <cell r="D466">
            <v>1550</v>
          </cell>
          <cell r="E466">
            <v>875</v>
          </cell>
          <cell r="F466">
            <v>435</v>
          </cell>
          <cell r="G466">
            <v>60</v>
          </cell>
          <cell r="H466">
            <v>150</v>
          </cell>
          <cell r="I466">
            <v>40</v>
          </cell>
          <cell r="J466">
            <v>1555</v>
          </cell>
          <cell r="K466">
            <v>1505</v>
          </cell>
          <cell r="L466">
            <v>45</v>
          </cell>
          <cell r="M466">
            <v>445</v>
          </cell>
          <cell r="N466">
            <v>110</v>
          </cell>
          <cell r="O466">
            <v>120</v>
          </cell>
          <cell r="P466">
            <v>110</v>
          </cell>
          <cell r="Q466">
            <v>100</v>
          </cell>
          <cell r="R466">
            <v>440</v>
          </cell>
          <cell r="S466">
            <v>220</v>
          </cell>
          <cell r="T466">
            <v>200</v>
          </cell>
          <cell r="U466">
            <v>20</v>
          </cell>
          <cell r="V466">
            <v>185</v>
          </cell>
          <cell r="W466">
            <v>30</v>
          </cell>
          <cell r="X466">
            <v>80</v>
          </cell>
          <cell r="Y466">
            <v>75</v>
          </cell>
          <cell r="Z466">
            <v>20</v>
          </cell>
          <cell r="AA466">
            <v>10</v>
          </cell>
          <cell r="AB466">
            <v>10</v>
          </cell>
          <cell r="AC466">
            <v>0</v>
          </cell>
          <cell r="AD466">
            <v>10</v>
          </cell>
          <cell r="AE466">
            <v>10</v>
          </cell>
          <cell r="AF466">
            <v>220</v>
          </cell>
          <cell r="AG466">
            <v>210</v>
          </cell>
          <cell r="AH466">
            <v>80</v>
          </cell>
          <cell r="AI466">
            <v>80</v>
          </cell>
          <cell r="AJ466">
            <v>45</v>
          </cell>
          <cell r="AK466">
            <v>10</v>
          </cell>
          <cell r="AL466">
            <v>0</v>
          </cell>
          <cell r="AM466">
            <v>10</v>
          </cell>
          <cell r="AN466">
            <v>0</v>
          </cell>
          <cell r="AO466">
            <v>970</v>
          </cell>
          <cell r="AP466">
            <v>205</v>
          </cell>
          <cell r="AQ466">
            <v>370</v>
          </cell>
          <cell r="AR466">
            <v>125</v>
          </cell>
          <cell r="AS466">
            <v>175</v>
          </cell>
          <cell r="AT466">
            <v>85</v>
          </cell>
          <cell r="AU466">
            <v>2.2000000000000002</v>
          </cell>
          <cell r="AV466">
            <v>1965</v>
          </cell>
          <cell r="AW466">
            <v>330</v>
          </cell>
          <cell r="AX466">
            <v>55</v>
          </cell>
          <cell r="AY466">
            <v>30</v>
          </cell>
          <cell r="AZ466">
            <v>240</v>
          </cell>
          <cell r="BA466">
            <v>1630</v>
          </cell>
          <cell r="BB466">
            <v>3.7</v>
          </cell>
          <cell r="BC466">
            <v>90</v>
          </cell>
          <cell r="BD466">
            <v>45</v>
          </cell>
          <cell r="BE466">
            <v>0</v>
          </cell>
          <cell r="BF466">
            <v>0</v>
          </cell>
          <cell r="BG466">
            <v>45</v>
          </cell>
          <cell r="BH466">
            <v>45</v>
          </cell>
          <cell r="BI466">
            <v>695</v>
          </cell>
          <cell r="BJ466">
            <v>4.4000000000000004</v>
          </cell>
          <cell r="BK466">
            <v>3058.0000000000005</v>
          </cell>
          <cell r="BL466">
            <v>2.2000000000000002</v>
          </cell>
          <cell r="BM466">
            <v>1529.0000000000002</v>
          </cell>
          <cell r="BN466">
            <v>695</v>
          </cell>
          <cell r="BO466">
            <v>60</v>
          </cell>
          <cell r="BP466">
            <v>635</v>
          </cell>
          <cell r="BQ466">
            <v>0</v>
          </cell>
          <cell r="BR466">
            <v>695</v>
          </cell>
          <cell r="BS466">
            <v>400</v>
          </cell>
          <cell r="BT466">
            <v>190</v>
          </cell>
          <cell r="BU466">
            <v>110</v>
          </cell>
          <cell r="BV466">
            <v>695</v>
          </cell>
          <cell r="BW466">
            <v>85</v>
          </cell>
          <cell r="BX466">
            <v>60</v>
          </cell>
          <cell r="BY466">
            <v>115</v>
          </cell>
          <cell r="BZ466">
            <v>165</v>
          </cell>
          <cell r="CA466">
            <v>140</v>
          </cell>
          <cell r="CB466">
            <v>85</v>
          </cell>
          <cell r="CC466">
            <v>35</v>
          </cell>
          <cell r="CD466">
            <v>0</v>
          </cell>
          <cell r="CE466">
            <v>10</v>
          </cell>
          <cell r="CF466">
            <v>695</v>
          </cell>
          <cell r="CG466">
            <v>0</v>
          </cell>
          <cell r="CH466">
            <v>5</v>
          </cell>
          <cell r="CI466">
            <v>115</v>
          </cell>
          <cell r="CJ466">
            <v>0</v>
          </cell>
          <cell r="CK466">
            <v>55</v>
          </cell>
          <cell r="CL466">
            <v>520</v>
          </cell>
          <cell r="CM466">
            <v>0</v>
          </cell>
          <cell r="CN466">
            <v>0</v>
          </cell>
          <cell r="CO466">
            <v>695</v>
          </cell>
          <cell r="CP466">
            <v>250</v>
          </cell>
          <cell r="CQ466">
            <v>105</v>
          </cell>
          <cell r="CR466">
            <v>105</v>
          </cell>
          <cell r="CS466">
            <v>165</v>
          </cell>
          <cell r="CT466">
            <v>70</v>
          </cell>
          <cell r="CU466">
            <v>1965</v>
          </cell>
          <cell r="CV466">
            <v>2.8</v>
          </cell>
          <cell r="CW466">
            <v>695</v>
          </cell>
          <cell r="CX466">
            <v>430</v>
          </cell>
          <cell r="CY466">
            <v>0</v>
          </cell>
          <cell r="CZ466">
            <v>260</v>
          </cell>
        </row>
        <row r="467">
          <cell r="A467" t="str">
            <v>4620072.00</v>
          </cell>
          <cell r="B467" t="str">
            <v>0072.00</v>
          </cell>
          <cell r="C467" t="str">
            <v>Sud-Ouest</v>
          </cell>
          <cell r="D467">
            <v>2870</v>
          </cell>
          <cell r="E467">
            <v>1555</v>
          </cell>
          <cell r="F467">
            <v>700</v>
          </cell>
          <cell r="G467">
            <v>80</v>
          </cell>
          <cell r="H467">
            <v>350</v>
          </cell>
          <cell r="I467">
            <v>190</v>
          </cell>
          <cell r="J467">
            <v>2870</v>
          </cell>
          <cell r="K467">
            <v>2415</v>
          </cell>
          <cell r="L467">
            <v>460</v>
          </cell>
          <cell r="M467">
            <v>885</v>
          </cell>
          <cell r="N467">
            <v>490</v>
          </cell>
          <cell r="O467">
            <v>185</v>
          </cell>
          <cell r="P467">
            <v>135</v>
          </cell>
          <cell r="Q467">
            <v>75</v>
          </cell>
          <cell r="R467">
            <v>890</v>
          </cell>
          <cell r="S467">
            <v>565</v>
          </cell>
          <cell r="T467">
            <v>335</v>
          </cell>
          <cell r="U467">
            <v>165</v>
          </cell>
          <cell r="V467">
            <v>175</v>
          </cell>
          <cell r="W467">
            <v>70</v>
          </cell>
          <cell r="X467">
            <v>80</v>
          </cell>
          <cell r="Y467">
            <v>20</v>
          </cell>
          <cell r="Z467">
            <v>230</v>
          </cell>
          <cell r="AA467">
            <v>140</v>
          </cell>
          <cell r="AB467">
            <v>90</v>
          </cell>
          <cell r="AC467">
            <v>30</v>
          </cell>
          <cell r="AD467">
            <v>25</v>
          </cell>
          <cell r="AE467">
            <v>30</v>
          </cell>
          <cell r="AF467">
            <v>320</v>
          </cell>
          <cell r="AG467">
            <v>275</v>
          </cell>
          <cell r="AH467">
            <v>140</v>
          </cell>
          <cell r="AI467">
            <v>75</v>
          </cell>
          <cell r="AJ467">
            <v>55</v>
          </cell>
          <cell r="AK467">
            <v>45</v>
          </cell>
          <cell r="AL467">
            <v>40</v>
          </cell>
          <cell r="AM467">
            <v>10</v>
          </cell>
          <cell r="AN467">
            <v>0</v>
          </cell>
          <cell r="AO467">
            <v>1025</v>
          </cell>
          <cell r="AP467">
            <v>300</v>
          </cell>
          <cell r="AQ467">
            <v>380</v>
          </cell>
          <cell r="AR467">
            <v>90</v>
          </cell>
          <cell r="AS467">
            <v>145</v>
          </cell>
          <cell r="AT467">
            <v>110</v>
          </cell>
          <cell r="AU467">
            <v>1.2</v>
          </cell>
          <cell r="AV467">
            <v>3525</v>
          </cell>
          <cell r="AW467">
            <v>1045</v>
          </cell>
          <cell r="AX467">
            <v>60</v>
          </cell>
          <cell r="AY467">
            <v>250</v>
          </cell>
          <cell r="AZ467">
            <v>735</v>
          </cell>
          <cell r="BA467">
            <v>2475</v>
          </cell>
          <cell r="BB467">
            <v>2.8</v>
          </cell>
          <cell r="BC467">
            <v>405</v>
          </cell>
          <cell r="BD467">
            <v>245</v>
          </cell>
          <cell r="BE467">
            <v>10</v>
          </cell>
          <cell r="BF467">
            <v>10</v>
          </cell>
          <cell r="BG467">
            <v>230</v>
          </cell>
          <cell r="BH467">
            <v>155</v>
          </cell>
          <cell r="BI467">
            <v>1710</v>
          </cell>
          <cell r="BJ467">
            <v>4.5999999999999996</v>
          </cell>
          <cell r="BK467">
            <v>7865.9999999999991</v>
          </cell>
          <cell r="BL467">
            <v>1.9</v>
          </cell>
          <cell r="BM467">
            <v>3249</v>
          </cell>
          <cell r="BN467">
            <v>1710</v>
          </cell>
          <cell r="BO467">
            <v>370</v>
          </cell>
          <cell r="BP467">
            <v>1345</v>
          </cell>
          <cell r="BQ467">
            <v>0</v>
          </cell>
          <cell r="BR467">
            <v>1710</v>
          </cell>
          <cell r="BS467">
            <v>935</v>
          </cell>
          <cell r="BT467">
            <v>520</v>
          </cell>
          <cell r="BU467">
            <v>260</v>
          </cell>
          <cell r="BV467">
            <v>1710</v>
          </cell>
          <cell r="BW467">
            <v>715</v>
          </cell>
          <cell r="BX467">
            <v>345</v>
          </cell>
          <cell r="BY467">
            <v>190</v>
          </cell>
          <cell r="BZ467">
            <v>165</v>
          </cell>
          <cell r="CA467">
            <v>100</v>
          </cell>
          <cell r="CB467">
            <v>50</v>
          </cell>
          <cell r="CC467">
            <v>95</v>
          </cell>
          <cell r="CD467">
            <v>20</v>
          </cell>
          <cell r="CE467">
            <v>35</v>
          </cell>
          <cell r="CF467">
            <v>1710</v>
          </cell>
          <cell r="CG467">
            <v>5</v>
          </cell>
          <cell r="CH467">
            <v>15</v>
          </cell>
          <cell r="CI467">
            <v>180</v>
          </cell>
          <cell r="CJ467">
            <v>460</v>
          </cell>
          <cell r="CK467">
            <v>185</v>
          </cell>
          <cell r="CL467">
            <v>855</v>
          </cell>
          <cell r="CM467">
            <v>10</v>
          </cell>
          <cell r="CN467">
            <v>0</v>
          </cell>
          <cell r="CO467">
            <v>1710</v>
          </cell>
          <cell r="CP467">
            <v>735</v>
          </cell>
          <cell r="CQ467">
            <v>495</v>
          </cell>
          <cell r="CR467">
            <v>245</v>
          </cell>
          <cell r="CS467">
            <v>210</v>
          </cell>
          <cell r="CT467">
            <v>25</v>
          </cell>
          <cell r="CU467">
            <v>3525</v>
          </cell>
          <cell r="CV467">
            <v>2.1</v>
          </cell>
          <cell r="CW467">
            <v>1710</v>
          </cell>
          <cell r="CX467">
            <v>860</v>
          </cell>
          <cell r="CY467">
            <v>10</v>
          </cell>
          <cell r="CZ467">
            <v>835</v>
          </cell>
        </row>
        <row r="468">
          <cell r="A468" t="str">
            <v>4620073.00</v>
          </cell>
          <cell r="B468" t="str">
            <v>0073.00</v>
          </cell>
          <cell r="C468" t="str">
            <v>Sud-Ouest</v>
          </cell>
          <cell r="D468">
            <v>1150</v>
          </cell>
          <cell r="E468">
            <v>595</v>
          </cell>
          <cell r="F468">
            <v>290</v>
          </cell>
          <cell r="G468">
            <v>35</v>
          </cell>
          <cell r="H468">
            <v>160</v>
          </cell>
          <cell r="I468">
            <v>70</v>
          </cell>
          <cell r="J468">
            <v>1150</v>
          </cell>
          <cell r="K468">
            <v>935</v>
          </cell>
          <cell r="L468">
            <v>215</v>
          </cell>
          <cell r="M468">
            <v>310</v>
          </cell>
          <cell r="N468">
            <v>185</v>
          </cell>
          <cell r="O468">
            <v>80</v>
          </cell>
          <cell r="P468">
            <v>40</v>
          </cell>
          <cell r="Q468">
            <v>10</v>
          </cell>
          <cell r="R468">
            <v>315</v>
          </cell>
          <cell r="S468">
            <v>260</v>
          </cell>
          <cell r="T468">
            <v>160</v>
          </cell>
          <cell r="U468">
            <v>85</v>
          </cell>
          <cell r="V468">
            <v>75</v>
          </cell>
          <cell r="W468">
            <v>35</v>
          </cell>
          <cell r="X468">
            <v>35</v>
          </cell>
          <cell r="Y468">
            <v>10</v>
          </cell>
          <cell r="Z468">
            <v>95</v>
          </cell>
          <cell r="AA468">
            <v>50</v>
          </cell>
          <cell r="AB468">
            <v>45</v>
          </cell>
          <cell r="AC468">
            <v>35</v>
          </cell>
          <cell r="AD468">
            <v>10</v>
          </cell>
          <cell r="AE468">
            <v>0</v>
          </cell>
          <cell r="AF468">
            <v>55</v>
          </cell>
          <cell r="AG468">
            <v>40</v>
          </cell>
          <cell r="AH468">
            <v>30</v>
          </cell>
          <cell r="AI468">
            <v>10</v>
          </cell>
          <cell r="AJ468">
            <v>0</v>
          </cell>
          <cell r="AK468">
            <v>15</v>
          </cell>
          <cell r="AL468">
            <v>10</v>
          </cell>
          <cell r="AM468">
            <v>0</v>
          </cell>
          <cell r="AN468">
            <v>0</v>
          </cell>
          <cell r="AO468">
            <v>265</v>
          </cell>
          <cell r="AP468">
            <v>70</v>
          </cell>
          <cell r="AQ468">
            <v>95</v>
          </cell>
          <cell r="AR468">
            <v>35</v>
          </cell>
          <cell r="AS468">
            <v>15</v>
          </cell>
          <cell r="AT468">
            <v>55</v>
          </cell>
          <cell r="AU468">
            <v>0.8</v>
          </cell>
          <cell r="AV468">
            <v>1310</v>
          </cell>
          <cell r="AW468">
            <v>470</v>
          </cell>
          <cell r="AX468">
            <v>65</v>
          </cell>
          <cell r="AY468">
            <v>30</v>
          </cell>
          <cell r="AZ468">
            <v>370</v>
          </cell>
          <cell r="BA468">
            <v>840</v>
          </cell>
          <cell r="BB468">
            <v>2.7</v>
          </cell>
          <cell r="BC468">
            <v>125</v>
          </cell>
          <cell r="BD468">
            <v>55</v>
          </cell>
          <cell r="BE468">
            <v>0</v>
          </cell>
          <cell r="BF468">
            <v>0</v>
          </cell>
          <cell r="BG468">
            <v>55</v>
          </cell>
          <cell r="BH468">
            <v>75</v>
          </cell>
          <cell r="BI468">
            <v>700</v>
          </cell>
          <cell r="BJ468">
            <v>4.2</v>
          </cell>
          <cell r="BK468">
            <v>2940</v>
          </cell>
          <cell r="BL468">
            <v>1.6</v>
          </cell>
          <cell r="BM468">
            <v>1120</v>
          </cell>
          <cell r="BN468">
            <v>695</v>
          </cell>
          <cell r="BO468">
            <v>235</v>
          </cell>
          <cell r="BP468">
            <v>460</v>
          </cell>
          <cell r="BQ468">
            <v>0</v>
          </cell>
          <cell r="BR468">
            <v>700</v>
          </cell>
          <cell r="BS468">
            <v>475</v>
          </cell>
          <cell r="BT468">
            <v>150</v>
          </cell>
          <cell r="BU468">
            <v>70</v>
          </cell>
          <cell r="BV468">
            <v>700</v>
          </cell>
          <cell r="BW468">
            <v>310</v>
          </cell>
          <cell r="BX468">
            <v>60</v>
          </cell>
          <cell r="BY468">
            <v>65</v>
          </cell>
          <cell r="BZ468">
            <v>100</v>
          </cell>
          <cell r="CA468">
            <v>70</v>
          </cell>
          <cell r="CB468">
            <v>25</v>
          </cell>
          <cell r="CC468">
            <v>15</v>
          </cell>
          <cell r="CD468">
            <v>0</v>
          </cell>
          <cell r="CE468">
            <v>50</v>
          </cell>
          <cell r="CF468">
            <v>700</v>
          </cell>
          <cell r="CG468">
            <v>0</v>
          </cell>
          <cell r="CH468">
            <v>0</v>
          </cell>
          <cell r="CI468">
            <v>25</v>
          </cell>
          <cell r="CJ468">
            <v>110</v>
          </cell>
          <cell r="CK468">
            <v>85</v>
          </cell>
          <cell r="CL468">
            <v>475</v>
          </cell>
          <cell r="CM468">
            <v>5</v>
          </cell>
          <cell r="CN468">
            <v>0</v>
          </cell>
          <cell r="CO468">
            <v>700</v>
          </cell>
          <cell r="CP468">
            <v>360</v>
          </cell>
          <cell r="CQ468">
            <v>195</v>
          </cell>
          <cell r="CR468">
            <v>70</v>
          </cell>
          <cell r="CS468">
            <v>65</v>
          </cell>
          <cell r="CT468">
            <v>10</v>
          </cell>
          <cell r="CU468">
            <v>1310</v>
          </cell>
          <cell r="CV468">
            <v>1.9</v>
          </cell>
          <cell r="CW468">
            <v>700</v>
          </cell>
          <cell r="CX468">
            <v>295</v>
          </cell>
          <cell r="CY468">
            <v>10</v>
          </cell>
          <cell r="CZ468">
            <v>395</v>
          </cell>
        </row>
        <row r="469">
          <cell r="A469" t="str">
            <v>4620074.00</v>
          </cell>
          <cell r="B469" t="str">
            <v>0074.00</v>
          </cell>
          <cell r="C469" t="str">
            <v>Sud-Ouest</v>
          </cell>
          <cell r="D469">
            <v>3065</v>
          </cell>
          <cell r="E469">
            <v>1775</v>
          </cell>
          <cell r="F469">
            <v>745</v>
          </cell>
          <cell r="G469">
            <v>70</v>
          </cell>
          <cell r="H469">
            <v>335</v>
          </cell>
          <cell r="I469">
            <v>130</v>
          </cell>
          <cell r="J469">
            <v>3060</v>
          </cell>
          <cell r="K469">
            <v>2535</v>
          </cell>
          <cell r="L469">
            <v>530</v>
          </cell>
          <cell r="M469">
            <v>930</v>
          </cell>
          <cell r="N469">
            <v>490</v>
          </cell>
          <cell r="O469">
            <v>225</v>
          </cell>
          <cell r="P469">
            <v>150</v>
          </cell>
          <cell r="Q469">
            <v>60</v>
          </cell>
          <cell r="R469">
            <v>930</v>
          </cell>
          <cell r="S469">
            <v>635</v>
          </cell>
          <cell r="T469">
            <v>360</v>
          </cell>
          <cell r="U469">
            <v>140</v>
          </cell>
          <cell r="V469">
            <v>220</v>
          </cell>
          <cell r="W469">
            <v>80</v>
          </cell>
          <cell r="X469">
            <v>85</v>
          </cell>
          <cell r="Y469">
            <v>50</v>
          </cell>
          <cell r="Z469">
            <v>270</v>
          </cell>
          <cell r="AA469">
            <v>170</v>
          </cell>
          <cell r="AB469">
            <v>100</v>
          </cell>
          <cell r="AC469">
            <v>60</v>
          </cell>
          <cell r="AD469">
            <v>35</v>
          </cell>
          <cell r="AE469">
            <v>10</v>
          </cell>
          <cell r="AF469">
            <v>295</v>
          </cell>
          <cell r="AG469">
            <v>250</v>
          </cell>
          <cell r="AH469">
            <v>165</v>
          </cell>
          <cell r="AI469">
            <v>80</v>
          </cell>
          <cell r="AJ469">
            <v>10</v>
          </cell>
          <cell r="AK469">
            <v>45</v>
          </cell>
          <cell r="AL469">
            <v>20</v>
          </cell>
          <cell r="AM469">
            <v>0</v>
          </cell>
          <cell r="AN469">
            <v>20</v>
          </cell>
          <cell r="AO469">
            <v>1035</v>
          </cell>
          <cell r="AP469">
            <v>265</v>
          </cell>
          <cell r="AQ469">
            <v>385</v>
          </cell>
          <cell r="AR469">
            <v>100</v>
          </cell>
          <cell r="AS469">
            <v>180</v>
          </cell>
          <cell r="AT469">
            <v>105</v>
          </cell>
          <cell r="AU469">
            <v>1.1000000000000001</v>
          </cell>
          <cell r="AV469">
            <v>3685</v>
          </cell>
          <cell r="AW469">
            <v>1090</v>
          </cell>
          <cell r="AX469">
            <v>170</v>
          </cell>
          <cell r="AY469">
            <v>230</v>
          </cell>
          <cell r="AZ469">
            <v>690</v>
          </cell>
          <cell r="BA469">
            <v>2595</v>
          </cell>
          <cell r="BB469">
            <v>2.8</v>
          </cell>
          <cell r="BC469">
            <v>285</v>
          </cell>
          <cell r="BD469">
            <v>155</v>
          </cell>
          <cell r="BE469">
            <v>45</v>
          </cell>
          <cell r="BF469">
            <v>0</v>
          </cell>
          <cell r="BG469">
            <v>105</v>
          </cell>
          <cell r="BH469">
            <v>130</v>
          </cell>
          <cell r="BI469">
            <v>1720</v>
          </cell>
          <cell r="BJ469">
            <v>4.9000000000000004</v>
          </cell>
          <cell r="BK469">
            <v>8428</v>
          </cell>
          <cell r="BL469">
            <v>2</v>
          </cell>
          <cell r="BM469">
            <v>3440</v>
          </cell>
          <cell r="BN469">
            <v>1720</v>
          </cell>
          <cell r="BO469">
            <v>495</v>
          </cell>
          <cell r="BP469">
            <v>1230</v>
          </cell>
          <cell r="BQ469">
            <v>0</v>
          </cell>
          <cell r="BR469">
            <v>1720</v>
          </cell>
          <cell r="BS469">
            <v>935</v>
          </cell>
          <cell r="BT469">
            <v>590</v>
          </cell>
          <cell r="BU469">
            <v>200</v>
          </cell>
          <cell r="BV469">
            <v>1720</v>
          </cell>
          <cell r="BW469">
            <v>1055</v>
          </cell>
          <cell r="BX469">
            <v>225</v>
          </cell>
          <cell r="BY469">
            <v>130</v>
          </cell>
          <cell r="BZ469">
            <v>50</v>
          </cell>
          <cell r="CA469">
            <v>30</v>
          </cell>
          <cell r="CB469">
            <v>90</v>
          </cell>
          <cell r="CC469">
            <v>50</v>
          </cell>
          <cell r="CD469">
            <v>10</v>
          </cell>
          <cell r="CE469">
            <v>85</v>
          </cell>
          <cell r="CF469">
            <v>1725</v>
          </cell>
          <cell r="CG469">
            <v>20</v>
          </cell>
          <cell r="CH469">
            <v>20</v>
          </cell>
          <cell r="CI469">
            <v>160</v>
          </cell>
          <cell r="CJ469">
            <v>395</v>
          </cell>
          <cell r="CK469">
            <v>10</v>
          </cell>
          <cell r="CL469">
            <v>1110</v>
          </cell>
          <cell r="CM469">
            <v>0</v>
          </cell>
          <cell r="CN469">
            <v>0</v>
          </cell>
          <cell r="CO469">
            <v>1720</v>
          </cell>
          <cell r="CP469">
            <v>690</v>
          </cell>
          <cell r="CQ469">
            <v>525</v>
          </cell>
          <cell r="CR469">
            <v>250</v>
          </cell>
          <cell r="CS469">
            <v>210</v>
          </cell>
          <cell r="CT469">
            <v>45</v>
          </cell>
          <cell r="CU469">
            <v>3685</v>
          </cell>
          <cell r="CV469">
            <v>2.1</v>
          </cell>
          <cell r="CW469">
            <v>1725</v>
          </cell>
          <cell r="CX469">
            <v>845</v>
          </cell>
          <cell r="CY469">
            <v>40</v>
          </cell>
          <cell r="CZ469">
            <v>835</v>
          </cell>
        </row>
        <row r="470">
          <cell r="A470" t="str">
            <v>4620075.00</v>
          </cell>
          <cell r="B470" t="str">
            <v>0075.00</v>
          </cell>
          <cell r="C470" t="str">
            <v>Sud-Ouest</v>
          </cell>
          <cell r="D470">
            <v>2275</v>
          </cell>
          <cell r="E470">
            <v>1245</v>
          </cell>
          <cell r="F470">
            <v>595</v>
          </cell>
          <cell r="G470">
            <v>60</v>
          </cell>
          <cell r="H470">
            <v>255</v>
          </cell>
          <cell r="I470">
            <v>115</v>
          </cell>
          <cell r="J470">
            <v>2280</v>
          </cell>
          <cell r="K470">
            <v>1935</v>
          </cell>
          <cell r="L470">
            <v>345</v>
          </cell>
          <cell r="M470">
            <v>675</v>
          </cell>
          <cell r="N470">
            <v>390</v>
          </cell>
          <cell r="O470">
            <v>150</v>
          </cell>
          <cell r="P470">
            <v>90</v>
          </cell>
          <cell r="Q470">
            <v>45</v>
          </cell>
          <cell r="R470">
            <v>680</v>
          </cell>
          <cell r="S470">
            <v>455</v>
          </cell>
          <cell r="T470">
            <v>285</v>
          </cell>
          <cell r="U470">
            <v>115</v>
          </cell>
          <cell r="V470">
            <v>170</v>
          </cell>
          <cell r="W470">
            <v>50</v>
          </cell>
          <cell r="X470">
            <v>80</v>
          </cell>
          <cell r="Y470">
            <v>45</v>
          </cell>
          <cell r="Z470">
            <v>170</v>
          </cell>
          <cell r="AA470">
            <v>90</v>
          </cell>
          <cell r="AB470">
            <v>80</v>
          </cell>
          <cell r="AC470">
            <v>70</v>
          </cell>
          <cell r="AD470">
            <v>10</v>
          </cell>
          <cell r="AE470">
            <v>0</v>
          </cell>
          <cell r="AF470">
            <v>220</v>
          </cell>
          <cell r="AG470">
            <v>195</v>
          </cell>
          <cell r="AH470">
            <v>160</v>
          </cell>
          <cell r="AI470">
            <v>30</v>
          </cell>
          <cell r="AJ470">
            <v>0</v>
          </cell>
          <cell r="AK470">
            <v>25</v>
          </cell>
          <cell r="AL470">
            <v>25</v>
          </cell>
          <cell r="AM470">
            <v>0</v>
          </cell>
          <cell r="AN470">
            <v>0</v>
          </cell>
          <cell r="AO470">
            <v>710</v>
          </cell>
          <cell r="AP470">
            <v>115</v>
          </cell>
          <cell r="AQ470">
            <v>310</v>
          </cell>
          <cell r="AR470">
            <v>105</v>
          </cell>
          <cell r="AS470">
            <v>100</v>
          </cell>
          <cell r="AT470">
            <v>80</v>
          </cell>
          <cell r="AU470">
            <v>1.1000000000000001</v>
          </cell>
          <cell r="AV470">
            <v>2700</v>
          </cell>
          <cell r="AW470">
            <v>860</v>
          </cell>
          <cell r="AX470">
            <v>75</v>
          </cell>
          <cell r="AY470">
            <v>260</v>
          </cell>
          <cell r="AZ470">
            <v>520</v>
          </cell>
          <cell r="BA470">
            <v>1840</v>
          </cell>
          <cell r="BB470">
            <v>2.7</v>
          </cell>
          <cell r="BC470">
            <v>315</v>
          </cell>
          <cell r="BD470">
            <v>185</v>
          </cell>
          <cell r="BE470">
            <v>30</v>
          </cell>
          <cell r="BF470">
            <v>10</v>
          </cell>
          <cell r="BG470">
            <v>150</v>
          </cell>
          <cell r="BH470">
            <v>125</v>
          </cell>
          <cell r="BI470">
            <v>1290</v>
          </cell>
          <cell r="BJ470">
            <v>4.2</v>
          </cell>
          <cell r="BK470">
            <v>5418</v>
          </cell>
          <cell r="BL470">
            <v>1.9</v>
          </cell>
          <cell r="BM470">
            <v>2451</v>
          </cell>
          <cell r="BN470">
            <v>1285</v>
          </cell>
          <cell r="BO470">
            <v>195</v>
          </cell>
          <cell r="BP470">
            <v>1095</v>
          </cell>
          <cell r="BQ470">
            <v>0</v>
          </cell>
          <cell r="BR470">
            <v>1290</v>
          </cell>
          <cell r="BS470">
            <v>805</v>
          </cell>
          <cell r="BT470">
            <v>350</v>
          </cell>
          <cell r="BU470">
            <v>135</v>
          </cell>
          <cell r="BV470">
            <v>1290</v>
          </cell>
          <cell r="BW470">
            <v>580</v>
          </cell>
          <cell r="BX470">
            <v>135</v>
          </cell>
          <cell r="BY470">
            <v>80</v>
          </cell>
          <cell r="BZ470">
            <v>210</v>
          </cell>
          <cell r="CA470">
            <v>120</v>
          </cell>
          <cell r="CB470">
            <v>140</v>
          </cell>
          <cell r="CC470">
            <v>10</v>
          </cell>
          <cell r="CD470">
            <v>10</v>
          </cell>
          <cell r="CE470">
            <v>10</v>
          </cell>
          <cell r="CF470">
            <v>1290</v>
          </cell>
          <cell r="CG470">
            <v>5</v>
          </cell>
          <cell r="CH470">
            <v>0</v>
          </cell>
          <cell r="CI470">
            <v>80</v>
          </cell>
          <cell r="CJ470">
            <v>165</v>
          </cell>
          <cell r="CK470">
            <v>75</v>
          </cell>
          <cell r="CL470">
            <v>960</v>
          </cell>
          <cell r="CM470">
            <v>5</v>
          </cell>
          <cell r="CN470">
            <v>0</v>
          </cell>
          <cell r="CO470">
            <v>1290</v>
          </cell>
          <cell r="CP470">
            <v>520</v>
          </cell>
          <cell r="CQ470">
            <v>410</v>
          </cell>
          <cell r="CR470">
            <v>180</v>
          </cell>
          <cell r="CS470">
            <v>140</v>
          </cell>
          <cell r="CT470">
            <v>30</v>
          </cell>
          <cell r="CU470">
            <v>2705</v>
          </cell>
          <cell r="CV470">
            <v>2.1</v>
          </cell>
          <cell r="CW470">
            <v>1285</v>
          </cell>
          <cell r="CX470">
            <v>590</v>
          </cell>
          <cell r="CY470">
            <v>35</v>
          </cell>
          <cell r="CZ470">
            <v>660</v>
          </cell>
        </row>
        <row r="471">
          <cell r="A471" t="str">
            <v>4620076.00</v>
          </cell>
          <cell r="B471" t="str">
            <v>0076.00</v>
          </cell>
          <cell r="C471" t="str">
            <v>Sud-Ouest</v>
          </cell>
          <cell r="D471">
            <v>2185</v>
          </cell>
          <cell r="E471">
            <v>1320</v>
          </cell>
          <cell r="F471">
            <v>400</v>
          </cell>
          <cell r="G471">
            <v>60</v>
          </cell>
          <cell r="H471">
            <v>260</v>
          </cell>
          <cell r="I471">
            <v>140</v>
          </cell>
          <cell r="J471">
            <v>2185</v>
          </cell>
          <cell r="K471">
            <v>1820</v>
          </cell>
          <cell r="L471">
            <v>370</v>
          </cell>
          <cell r="M471">
            <v>620</v>
          </cell>
          <cell r="N471">
            <v>365</v>
          </cell>
          <cell r="O471">
            <v>110</v>
          </cell>
          <cell r="P471">
            <v>105</v>
          </cell>
          <cell r="Q471">
            <v>40</v>
          </cell>
          <cell r="R471">
            <v>615</v>
          </cell>
          <cell r="S471">
            <v>365</v>
          </cell>
          <cell r="T471">
            <v>175</v>
          </cell>
          <cell r="U471">
            <v>85</v>
          </cell>
          <cell r="V471">
            <v>90</v>
          </cell>
          <cell r="W471">
            <v>20</v>
          </cell>
          <cell r="X471">
            <v>60</v>
          </cell>
          <cell r="Y471">
            <v>15</v>
          </cell>
          <cell r="Z471">
            <v>185</v>
          </cell>
          <cell r="AA471">
            <v>120</v>
          </cell>
          <cell r="AB471">
            <v>65</v>
          </cell>
          <cell r="AC471">
            <v>45</v>
          </cell>
          <cell r="AD471">
            <v>0</v>
          </cell>
          <cell r="AE471">
            <v>15</v>
          </cell>
          <cell r="AF471">
            <v>250</v>
          </cell>
          <cell r="AG471">
            <v>205</v>
          </cell>
          <cell r="AH471">
            <v>130</v>
          </cell>
          <cell r="AI471">
            <v>30</v>
          </cell>
          <cell r="AJ471">
            <v>45</v>
          </cell>
          <cell r="AK471">
            <v>45</v>
          </cell>
          <cell r="AL471">
            <v>25</v>
          </cell>
          <cell r="AM471">
            <v>10</v>
          </cell>
          <cell r="AN471">
            <v>10</v>
          </cell>
          <cell r="AO471">
            <v>725</v>
          </cell>
          <cell r="AP471">
            <v>185</v>
          </cell>
          <cell r="AQ471">
            <v>250</v>
          </cell>
          <cell r="AR471">
            <v>110</v>
          </cell>
          <cell r="AS471">
            <v>100</v>
          </cell>
          <cell r="AT471">
            <v>80</v>
          </cell>
          <cell r="AU471">
            <v>1.2</v>
          </cell>
          <cell r="AV471">
            <v>2510</v>
          </cell>
          <cell r="AW471">
            <v>800</v>
          </cell>
          <cell r="AX471">
            <v>70</v>
          </cell>
          <cell r="AY471">
            <v>150</v>
          </cell>
          <cell r="AZ471">
            <v>570</v>
          </cell>
          <cell r="BA471">
            <v>1710</v>
          </cell>
          <cell r="BB471">
            <v>2.8</v>
          </cell>
          <cell r="BC471">
            <v>190</v>
          </cell>
          <cell r="BD471">
            <v>110</v>
          </cell>
          <cell r="BE471">
            <v>20</v>
          </cell>
          <cell r="BF471">
            <v>10</v>
          </cell>
          <cell r="BG471">
            <v>85</v>
          </cell>
          <cell r="BH471">
            <v>80</v>
          </cell>
          <cell r="BI471">
            <v>1250</v>
          </cell>
          <cell r="BJ471">
            <v>4.2</v>
          </cell>
          <cell r="BK471">
            <v>5250</v>
          </cell>
          <cell r="BL471">
            <v>1.7</v>
          </cell>
          <cell r="BM471">
            <v>2125</v>
          </cell>
          <cell r="BN471">
            <v>1250</v>
          </cell>
          <cell r="BO471">
            <v>245</v>
          </cell>
          <cell r="BP471">
            <v>1005</v>
          </cell>
          <cell r="BQ471">
            <v>0</v>
          </cell>
          <cell r="BR471">
            <v>1255</v>
          </cell>
          <cell r="BS471">
            <v>835</v>
          </cell>
          <cell r="BT471">
            <v>305</v>
          </cell>
          <cell r="BU471">
            <v>115</v>
          </cell>
          <cell r="BV471">
            <v>1255</v>
          </cell>
          <cell r="BW471">
            <v>400</v>
          </cell>
          <cell r="BX471">
            <v>140</v>
          </cell>
          <cell r="BY471">
            <v>90</v>
          </cell>
          <cell r="BZ471">
            <v>90</v>
          </cell>
          <cell r="CA471">
            <v>70</v>
          </cell>
          <cell r="CB471">
            <v>170</v>
          </cell>
          <cell r="CC471">
            <v>105</v>
          </cell>
          <cell r="CD471">
            <v>95</v>
          </cell>
          <cell r="CE471">
            <v>85</v>
          </cell>
          <cell r="CF471">
            <v>1255</v>
          </cell>
          <cell r="CG471">
            <v>10</v>
          </cell>
          <cell r="CH471">
            <v>0</v>
          </cell>
          <cell r="CI471">
            <v>45</v>
          </cell>
          <cell r="CJ471">
            <v>45</v>
          </cell>
          <cell r="CK471">
            <v>90</v>
          </cell>
          <cell r="CL471">
            <v>1050</v>
          </cell>
          <cell r="CM471">
            <v>10</v>
          </cell>
          <cell r="CN471">
            <v>0</v>
          </cell>
          <cell r="CO471">
            <v>1250</v>
          </cell>
          <cell r="CP471">
            <v>570</v>
          </cell>
          <cell r="CQ471">
            <v>380</v>
          </cell>
          <cell r="CR471">
            <v>140</v>
          </cell>
          <cell r="CS471">
            <v>130</v>
          </cell>
          <cell r="CT471">
            <v>35</v>
          </cell>
          <cell r="CU471">
            <v>2510</v>
          </cell>
          <cell r="CV471">
            <v>2</v>
          </cell>
          <cell r="CW471">
            <v>1250</v>
          </cell>
          <cell r="CX471">
            <v>580</v>
          </cell>
          <cell r="CY471">
            <v>15</v>
          </cell>
          <cell r="CZ471">
            <v>650</v>
          </cell>
        </row>
        <row r="472">
          <cell r="A472" t="str">
            <v>4620077.00</v>
          </cell>
          <cell r="B472" t="str">
            <v>0077.00</v>
          </cell>
          <cell r="C472" t="str">
            <v>Sud-Ouest</v>
          </cell>
          <cell r="D472">
            <v>1930</v>
          </cell>
          <cell r="E472">
            <v>970</v>
          </cell>
          <cell r="F472">
            <v>555</v>
          </cell>
          <cell r="G472">
            <v>75</v>
          </cell>
          <cell r="H472">
            <v>215</v>
          </cell>
          <cell r="I472">
            <v>115</v>
          </cell>
          <cell r="J472">
            <v>1930</v>
          </cell>
          <cell r="K472">
            <v>1735</v>
          </cell>
          <cell r="L472">
            <v>200</v>
          </cell>
          <cell r="M472">
            <v>550</v>
          </cell>
          <cell r="N472">
            <v>255</v>
          </cell>
          <cell r="O472">
            <v>130</v>
          </cell>
          <cell r="P472">
            <v>85</v>
          </cell>
          <cell r="Q472">
            <v>80</v>
          </cell>
          <cell r="R472">
            <v>550</v>
          </cell>
          <cell r="S472">
            <v>345</v>
          </cell>
          <cell r="T472">
            <v>240</v>
          </cell>
          <cell r="U472">
            <v>70</v>
          </cell>
          <cell r="V472">
            <v>165</v>
          </cell>
          <cell r="W472">
            <v>65</v>
          </cell>
          <cell r="X472">
            <v>40</v>
          </cell>
          <cell r="Y472">
            <v>60</v>
          </cell>
          <cell r="Z472">
            <v>110</v>
          </cell>
          <cell r="AA472">
            <v>75</v>
          </cell>
          <cell r="AB472">
            <v>35</v>
          </cell>
          <cell r="AC472">
            <v>20</v>
          </cell>
          <cell r="AD472">
            <v>10</v>
          </cell>
          <cell r="AE472">
            <v>10</v>
          </cell>
          <cell r="AF472">
            <v>200</v>
          </cell>
          <cell r="AG472">
            <v>190</v>
          </cell>
          <cell r="AH472">
            <v>95</v>
          </cell>
          <cell r="AI472">
            <v>40</v>
          </cell>
          <cell r="AJ472">
            <v>50</v>
          </cell>
          <cell r="AK472">
            <v>10</v>
          </cell>
          <cell r="AL472">
            <v>15</v>
          </cell>
          <cell r="AM472">
            <v>0</v>
          </cell>
          <cell r="AN472">
            <v>0</v>
          </cell>
          <cell r="AO472">
            <v>790</v>
          </cell>
          <cell r="AP472">
            <v>180</v>
          </cell>
          <cell r="AQ472">
            <v>325</v>
          </cell>
          <cell r="AR472">
            <v>95</v>
          </cell>
          <cell r="AS472">
            <v>135</v>
          </cell>
          <cell r="AT472">
            <v>45</v>
          </cell>
          <cell r="AU472">
            <v>1.4</v>
          </cell>
          <cell r="AV472">
            <v>2255</v>
          </cell>
          <cell r="AW472">
            <v>560</v>
          </cell>
          <cell r="AX472">
            <v>70</v>
          </cell>
          <cell r="AY472">
            <v>95</v>
          </cell>
          <cell r="AZ472">
            <v>395</v>
          </cell>
          <cell r="BA472">
            <v>1690</v>
          </cell>
          <cell r="BB472">
            <v>3</v>
          </cell>
          <cell r="BC472">
            <v>200</v>
          </cell>
          <cell r="BD472">
            <v>100</v>
          </cell>
          <cell r="BE472">
            <v>15</v>
          </cell>
          <cell r="BF472">
            <v>0</v>
          </cell>
          <cell r="BG472">
            <v>80</v>
          </cell>
          <cell r="BH472">
            <v>105</v>
          </cell>
          <cell r="BI472">
            <v>1015</v>
          </cell>
          <cell r="BJ472">
            <v>4.5</v>
          </cell>
          <cell r="BK472">
            <v>4567.5</v>
          </cell>
          <cell r="BL472">
            <v>2.1</v>
          </cell>
          <cell r="BM472">
            <v>2131.5</v>
          </cell>
          <cell r="BN472">
            <v>1015</v>
          </cell>
          <cell r="BO472">
            <v>355</v>
          </cell>
          <cell r="BP472">
            <v>660</v>
          </cell>
          <cell r="BQ472">
            <v>0</v>
          </cell>
          <cell r="BR472">
            <v>1015</v>
          </cell>
          <cell r="BS472">
            <v>640</v>
          </cell>
          <cell r="BT472">
            <v>290</v>
          </cell>
          <cell r="BU472">
            <v>85</v>
          </cell>
          <cell r="BV472">
            <v>1015</v>
          </cell>
          <cell r="BW472">
            <v>70</v>
          </cell>
          <cell r="BX472">
            <v>25</v>
          </cell>
          <cell r="BY472">
            <v>95</v>
          </cell>
          <cell r="BZ472">
            <v>145</v>
          </cell>
          <cell r="CA472">
            <v>340</v>
          </cell>
          <cell r="CB472">
            <v>265</v>
          </cell>
          <cell r="CC472">
            <v>45</v>
          </cell>
          <cell r="CD472">
            <v>0</v>
          </cell>
          <cell r="CE472">
            <v>20</v>
          </cell>
          <cell r="CF472">
            <v>1015</v>
          </cell>
          <cell r="CG472">
            <v>0</v>
          </cell>
          <cell r="CH472">
            <v>140</v>
          </cell>
          <cell r="CI472">
            <v>50</v>
          </cell>
          <cell r="CJ472">
            <v>0</v>
          </cell>
          <cell r="CK472">
            <v>220</v>
          </cell>
          <cell r="CL472">
            <v>590</v>
          </cell>
          <cell r="CM472">
            <v>20</v>
          </cell>
          <cell r="CN472">
            <v>0</v>
          </cell>
          <cell r="CO472">
            <v>1015</v>
          </cell>
          <cell r="CP472">
            <v>410</v>
          </cell>
          <cell r="CQ472">
            <v>295</v>
          </cell>
          <cell r="CR472">
            <v>135</v>
          </cell>
          <cell r="CS472">
            <v>150</v>
          </cell>
          <cell r="CT472">
            <v>30</v>
          </cell>
          <cell r="CU472">
            <v>2255</v>
          </cell>
          <cell r="CV472">
            <v>2.2000000000000002</v>
          </cell>
          <cell r="CW472">
            <v>1015</v>
          </cell>
          <cell r="CX472">
            <v>550</v>
          </cell>
          <cell r="CY472">
            <v>0</v>
          </cell>
          <cell r="CZ472">
            <v>465</v>
          </cell>
        </row>
        <row r="473">
          <cell r="A473" t="str">
            <v>4620078.00</v>
          </cell>
          <cell r="B473" t="str">
            <v>0078.00</v>
          </cell>
          <cell r="C473" t="str">
            <v>Sud-Ouest</v>
          </cell>
          <cell r="D473">
            <v>3205</v>
          </cell>
          <cell r="E473">
            <v>1565</v>
          </cell>
          <cell r="F473">
            <v>955</v>
          </cell>
          <cell r="G473">
            <v>90</v>
          </cell>
          <cell r="H473">
            <v>420</v>
          </cell>
          <cell r="I473">
            <v>170</v>
          </cell>
          <cell r="J473">
            <v>3205</v>
          </cell>
          <cell r="K473">
            <v>2690</v>
          </cell>
          <cell r="L473">
            <v>515</v>
          </cell>
          <cell r="M473">
            <v>945</v>
          </cell>
          <cell r="N473">
            <v>535</v>
          </cell>
          <cell r="O473">
            <v>190</v>
          </cell>
          <cell r="P473">
            <v>110</v>
          </cell>
          <cell r="Q473">
            <v>110</v>
          </cell>
          <cell r="R473">
            <v>945</v>
          </cell>
          <cell r="S473">
            <v>740</v>
          </cell>
          <cell r="T473">
            <v>470</v>
          </cell>
          <cell r="U473">
            <v>210</v>
          </cell>
          <cell r="V473">
            <v>265</v>
          </cell>
          <cell r="W473">
            <v>105</v>
          </cell>
          <cell r="X473">
            <v>65</v>
          </cell>
          <cell r="Y473">
            <v>95</v>
          </cell>
          <cell r="Z473">
            <v>265</v>
          </cell>
          <cell r="AA473">
            <v>215</v>
          </cell>
          <cell r="AB473">
            <v>45</v>
          </cell>
          <cell r="AC473">
            <v>25</v>
          </cell>
          <cell r="AD473">
            <v>15</v>
          </cell>
          <cell r="AE473">
            <v>0</v>
          </cell>
          <cell r="AF473">
            <v>210</v>
          </cell>
          <cell r="AG473">
            <v>195</v>
          </cell>
          <cell r="AH473">
            <v>105</v>
          </cell>
          <cell r="AI473">
            <v>55</v>
          </cell>
          <cell r="AJ473">
            <v>35</v>
          </cell>
          <cell r="AK473">
            <v>15</v>
          </cell>
          <cell r="AL473">
            <v>10</v>
          </cell>
          <cell r="AM473">
            <v>10</v>
          </cell>
          <cell r="AN473">
            <v>0</v>
          </cell>
          <cell r="AO473">
            <v>995</v>
          </cell>
          <cell r="AP473">
            <v>255</v>
          </cell>
          <cell r="AQ473">
            <v>295</v>
          </cell>
          <cell r="AR473">
            <v>80</v>
          </cell>
          <cell r="AS473">
            <v>290</v>
          </cell>
          <cell r="AT473">
            <v>80</v>
          </cell>
          <cell r="AU473">
            <v>1</v>
          </cell>
          <cell r="AV473">
            <v>3755</v>
          </cell>
          <cell r="AW473">
            <v>1075</v>
          </cell>
          <cell r="AX473">
            <v>35</v>
          </cell>
          <cell r="AY473">
            <v>125</v>
          </cell>
          <cell r="AZ473">
            <v>915</v>
          </cell>
          <cell r="BA473">
            <v>2680</v>
          </cell>
          <cell r="BB473">
            <v>2.8</v>
          </cell>
          <cell r="BC473">
            <v>440</v>
          </cell>
          <cell r="BD473">
            <v>305</v>
          </cell>
          <cell r="BE473">
            <v>0</v>
          </cell>
          <cell r="BF473">
            <v>0</v>
          </cell>
          <cell r="BG473">
            <v>305</v>
          </cell>
          <cell r="BH473">
            <v>140</v>
          </cell>
          <cell r="BI473">
            <v>1925</v>
          </cell>
          <cell r="BJ473">
            <v>4.3</v>
          </cell>
          <cell r="BK473">
            <v>8277.5</v>
          </cell>
          <cell r="BL473">
            <v>1.8</v>
          </cell>
          <cell r="BM473">
            <v>3465</v>
          </cell>
          <cell r="BN473">
            <v>1930</v>
          </cell>
          <cell r="BO473">
            <v>805</v>
          </cell>
          <cell r="BP473">
            <v>1120</v>
          </cell>
          <cell r="BQ473">
            <v>0</v>
          </cell>
          <cell r="BR473">
            <v>1925</v>
          </cell>
          <cell r="BS473">
            <v>1445</v>
          </cell>
          <cell r="BT473">
            <v>370</v>
          </cell>
          <cell r="BU473">
            <v>115</v>
          </cell>
          <cell r="BV473">
            <v>1925</v>
          </cell>
          <cell r="BW473">
            <v>170</v>
          </cell>
          <cell r="BX473">
            <v>80</v>
          </cell>
          <cell r="BY473">
            <v>95</v>
          </cell>
          <cell r="BZ473">
            <v>195</v>
          </cell>
          <cell r="CA473">
            <v>290</v>
          </cell>
          <cell r="CB473">
            <v>430</v>
          </cell>
          <cell r="CC473">
            <v>245</v>
          </cell>
          <cell r="CD473">
            <v>175</v>
          </cell>
          <cell r="CE473">
            <v>255</v>
          </cell>
          <cell r="CF473">
            <v>1925</v>
          </cell>
          <cell r="CG473">
            <v>0</v>
          </cell>
          <cell r="CH473">
            <v>5</v>
          </cell>
          <cell r="CI473">
            <v>295</v>
          </cell>
          <cell r="CJ473">
            <v>85</v>
          </cell>
          <cell r="CK473">
            <v>610</v>
          </cell>
          <cell r="CL473">
            <v>890</v>
          </cell>
          <cell r="CM473">
            <v>35</v>
          </cell>
          <cell r="CN473">
            <v>0</v>
          </cell>
          <cell r="CO473">
            <v>1925</v>
          </cell>
          <cell r="CP473">
            <v>915</v>
          </cell>
          <cell r="CQ473">
            <v>595</v>
          </cell>
          <cell r="CR473">
            <v>200</v>
          </cell>
          <cell r="CS473">
            <v>180</v>
          </cell>
          <cell r="CT473">
            <v>40</v>
          </cell>
          <cell r="CU473">
            <v>3755</v>
          </cell>
          <cell r="CV473">
            <v>1.9</v>
          </cell>
          <cell r="CW473">
            <v>1925</v>
          </cell>
          <cell r="CX473">
            <v>940</v>
          </cell>
          <cell r="CY473">
            <v>0</v>
          </cell>
          <cell r="CZ473">
            <v>980</v>
          </cell>
        </row>
        <row r="474">
          <cell r="A474" t="str">
            <v>4620079.00</v>
          </cell>
          <cell r="B474" t="str">
            <v>0079.00</v>
          </cell>
          <cell r="C474" t="str">
            <v>Sud-Ouest</v>
          </cell>
          <cell r="D474">
            <v>3840</v>
          </cell>
          <cell r="E474">
            <v>2230</v>
          </cell>
          <cell r="F474">
            <v>900</v>
          </cell>
          <cell r="G474">
            <v>90</v>
          </cell>
          <cell r="H474">
            <v>405</v>
          </cell>
          <cell r="I474">
            <v>220</v>
          </cell>
          <cell r="J474">
            <v>3840</v>
          </cell>
          <cell r="K474">
            <v>3165</v>
          </cell>
          <cell r="L474">
            <v>675</v>
          </cell>
          <cell r="M474">
            <v>1080</v>
          </cell>
          <cell r="N474">
            <v>635</v>
          </cell>
          <cell r="O474">
            <v>220</v>
          </cell>
          <cell r="P474">
            <v>145</v>
          </cell>
          <cell r="Q474">
            <v>75</v>
          </cell>
          <cell r="R474">
            <v>1075</v>
          </cell>
          <cell r="S474">
            <v>775</v>
          </cell>
          <cell r="T474">
            <v>435</v>
          </cell>
          <cell r="U474">
            <v>170</v>
          </cell>
          <cell r="V474">
            <v>260</v>
          </cell>
          <cell r="W474">
            <v>120</v>
          </cell>
          <cell r="X474">
            <v>70</v>
          </cell>
          <cell r="Y474">
            <v>70</v>
          </cell>
          <cell r="Z474">
            <v>340</v>
          </cell>
          <cell r="AA474">
            <v>265</v>
          </cell>
          <cell r="AB474">
            <v>75</v>
          </cell>
          <cell r="AC474">
            <v>55</v>
          </cell>
          <cell r="AD474">
            <v>20</v>
          </cell>
          <cell r="AE474">
            <v>0</v>
          </cell>
          <cell r="AF474">
            <v>300</v>
          </cell>
          <cell r="AG474">
            <v>245</v>
          </cell>
          <cell r="AH474">
            <v>150</v>
          </cell>
          <cell r="AI474">
            <v>40</v>
          </cell>
          <cell r="AJ474">
            <v>55</v>
          </cell>
          <cell r="AK474">
            <v>55</v>
          </cell>
          <cell r="AL474">
            <v>50</v>
          </cell>
          <cell r="AM474">
            <v>0</v>
          </cell>
          <cell r="AN474">
            <v>0</v>
          </cell>
          <cell r="AO474">
            <v>1045</v>
          </cell>
          <cell r="AP474">
            <v>270</v>
          </cell>
          <cell r="AQ474">
            <v>330</v>
          </cell>
          <cell r="AR474">
            <v>145</v>
          </cell>
          <cell r="AS474">
            <v>160</v>
          </cell>
          <cell r="AT474">
            <v>140</v>
          </cell>
          <cell r="AU474">
            <v>1</v>
          </cell>
          <cell r="AV474">
            <v>4430</v>
          </cell>
          <cell r="AW474">
            <v>1530</v>
          </cell>
          <cell r="AX474">
            <v>85</v>
          </cell>
          <cell r="AY474">
            <v>400</v>
          </cell>
          <cell r="AZ474">
            <v>1050</v>
          </cell>
          <cell r="BA474">
            <v>2895</v>
          </cell>
          <cell r="BB474">
            <v>2.7</v>
          </cell>
          <cell r="BC474">
            <v>455</v>
          </cell>
          <cell r="BD474">
            <v>235</v>
          </cell>
          <cell r="BE474">
            <v>20</v>
          </cell>
          <cell r="BF474">
            <v>20</v>
          </cell>
          <cell r="BG474">
            <v>195</v>
          </cell>
          <cell r="BH474">
            <v>220</v>
          </cell>
          <cell r="BI474">
            <v>2290</v>
          </cell>
          <cell r="BJ474">
            <v>4.2</v>
          </cell>
          <cell r="BK474">
            <v>9618</v>
          </cell>
          <cell r="BL474">
            <v>1.7</v>
          </cell>
          <cell r="BM474">
            <v>3893</v>
          </cell>
          <cell r="BN474">
            <v>2290</v>
          </cell>
          <cell r="BO474">
            <v>470</v>
          </cell>
          <cell r="BP474">
            <v>1815</v>
          </cell>
          <cell r="BQ474">
            <v>0</v>
          </cell>
          <cell r="BR474">
            <v>2290</v>
          </cell>
          <cell r="BS474">
            <v>1435</v>
          </cell>
          <cell r="BT474">
            <v>605</v>
          </cell>
          <cell r="BU474">
            <v>245</v>
          </cell>
          <cell r="BV474">
            <v>2290</v>
          </cell>
          <cell r="BW474">
            <v>835</v>
          </cell>
          <cell r="BX474">
            <v>415</v>
          </cell>
          <cell r="BY474">
            <v>190</v>
          </cell>
          <cell r="BZ474">
            <v>165</v>
          </cell>
          <cell r="CA474">
            <v>175</v>
          </cell>
          <cell r="CB474">
            <v>85</v>
          </cell>
          <cell r="CC474">
            <v>30</v>
          </cell>
          <cell r="CD474">
            <v>95</v>
          </cell>
          <cell r="CE474">
            <v>305</v>
          </cell>
          <cell r="CF474">
            <v>2290</v>
          </cell>
          <cell r="CG474">
            <v>15</v>
          </cell>
          <cell r="CH474">
            <v>15</v>
          </cell>
          <cell r="CI474">
            <v>155</v>
          </cell>
          <cell r="CJ474">
            <v>30</v>
          </cell>
          <cell r="CK474">
            <v>150</v>
          </cell>
          <cell r="CL474">
            <v>1845</v>
          </cell>
          <cell r="CM474">
            <v>90</v>
          </cell>
          <cell r="CN474">
            <v>0</v>
          </cell>
          <cell r="CO474">
            <v>2285</v>
          </cell>
          <cell r="CP474">
            <v>1050</v>
          </cell>
          <cell r="CQ474">
            <v>725</v>
          </cell>
          <cell r="CR474">
            <v>265</v>
          </cell>
          <cell r="CS474">
            <v>215</v>
          </cell>
          <cell r="CT474">
            <v>30</v>
          </cell>
          <cell r="CU474">
            <v>4430</v>
          </cell>
          <cell r="CV474">
            <v>1.9</v>
          </cell>
          <cell r="CW474">
            <v>2285</v>
          </cell>
          <cell r="CX474">
            <v>1005</v>
          </cell>
          <cell r="CY474">
            <v>35</v>
          </cell>
          <cell r="CZ474">
            <v>1250</v>
          </cell>
        </row>
        <row r="475">
          <cell r="A475" t="str">
            <v>4620080.00</v>
          </cell>
          <cell r="B475" t="str">
            <v>0080.00</v>
          </cell>
          <cell r="C475" t="str">
            <v>Sud-Ouest</v>
          </cell>
          <cell r="D475">
            <v>720</v>
          </cell>
          <cell r="E475">
            <v>520</v>
          </cell>
          <cell r="F475">
            <v>115</v>
          </cell>
          <cell r="G475">
            <v>15</v>
          </cell>
          <cell r="H475">
            <v>60</v>
          </cell>
          <cell r="I475">
            <v>15</v>
          </cell>
          <cell r="J475">
            <v>720</v>
          </cell>
          <cell r="K475">
            <v>575</v>
          </cell>
          <cell r="L475">
            <v>145</v>
          </cell>
          <cell r="M475">
            <v>150</v>
          </cell>
          <cell r="N475">
            <v>105</v>
          </cell>
          <cell r="O475">
            <v>20</v>
          </cell>
          <cell r="P475">
            <v>25</v>
          </cell>
          <cell r="Q475">
            <v>0</v>
          </cell>
          <cell r="R475">
            <v>150</v>
          </cell>
          <cell r="S475">
            <v>135</v>
          </cell>
          <cell r="T475">
            <v>65</v>
          </cell>
          <cell r="U475">
            <v>35</v>
          </cell>
          <cell r="V475">
            <v>35</v>
          </cell>
          <cell r="W475">
            <v>10</v>
          </cell>
          <cell r="X475">
            <v>25</v>
          </cell>
          <cell r="Y475">
            <v>0</v>
          </cell>
          <cell r="Z475">
            <v>65</v>
          </cell>
          <cell r="AA475">
            <v>65</v>
          </cell>
          <cell r="AB475">
            <v>0</v>
          </cell>
          <cell r="AC475">
            <v>0</v>
          </cell>
          <cell r="AD475">
            <v>0</v>
          </cell>
          <cell r="AE475">
            <v>0</v>
          </cell>
          <cell r="AF475">
            <v>15</v>
          </cell>
          <cell r="AG475">
            <v>15</v>
          </cell>
          <cell r="AH475">
            <v>10</v>
          </cell>
          <cell r="AI475">
            <v>10</v>
          </cell>
          <cell r="AJ475">
            <v>0</v>
          </cell>
          <cell r="AK475">
            <v>0</v>
          </cell>
          <cell r="AL475">
            <v>0</v>
          </cell>
          <cell r="AM475">
            <v>0</v>
          </cell>
          <cell r="AN475">
            <v>0</v>
          </cell>
          <cell r="AO475">
            <v>85</v>
          </cell>
          <cell r="AP475">
            <v>25</v>
          </cell>
          <cell r="AQ475">
            <v>25</v>
          </cell>
          <cell r="AR475">
            <v>10</v>
          </cell>
          <cell r="AS475">
            <v>30</v>
          </cell>
          <cell r="AT475">
            <v>0</v>
          </cell>
          <cell r="AU475">
            <v>0.6</v>
          </cell>
          <cell r="AV475">
            <v>775</v>
          </cell>
          <cell r="AW475">
            <v>410</v>
          </cell>
          <cell r="AX475">
            <v>90</v>
          </cell>
          <cell r="AY475">
            <v>160</v>
          </cell>
          <cell r="AZ475">
            <v>160</v>
          </cell>
          <cell r="BA475">
            <v>365</v>
          </cell>
          <cell r="BB475">
            <v>2.4</v>
          </cell>
          <cell r="BC475">
            <v>20</v>
          </cell>
          <cell r="BD475">
            <v>0</v>
          </cell>
          <cell r="BE475">
            <v>0</v>
          </cell>
          <cell r="BF475">
            <v>0</v>
          </cell>
          <cell r="BG475">
            <v>10</v>
          </cell>
          <cell r="BH475">
            <v>25</v>
          </cell>
          <cell r="BI475">
            <v>410</v>
          </cell>
          <cell r="BJ475">
            <v>4.7</v>
          </cell>
          <cell r="BK475">
            <v>1927</v>
          </cell>
          <cell r="BL475">
            <v>1.8</v>
          </cell>
          <cell r="BM475">
            <v>738</v>
          </cell>
          <cell r="BN475">
            <v>410</v>
          </cell>
          <cell r="BO475">
            <v>55</v>
          </cell>
          <cell r="BP475">
            <v>355</v>
          </cell>
          <cell r="BQ475">
            <v>0</v>
          </cell>
          <cell r="BR475">
            <v>410</v>
          </cell>
          <cell r="BS475">
            <v>130</v>
          </cell>
          <cell r="BT475">
            <v>185</v>
          </cell>
          <cell r="BU475">
            <v>95</v>
          </cell>
          <cell r="BV475">
            <v>410</v>
          </cell>
          <cell r="BW475">
            <v>295</v>
          </cell>
          <cell r="BX475">
            <v>35</v>
          </cell>
          <cell r="BY475">
            <v>15</v>
          </cell>
          <cell r="BZ475">
            <v>25</v>
          </cell>
          <cell r="CA475">
            <v>25</v>
          </cell>
          <cell r="CB475">
            <v>15</v>
          </cell>
          <cell r="CC475">
            <v>0</v>
          </cell>
          <cell r="CD475">
            <v>0</v>
          </cell>
          <cell r="CE475">
            <v>0</v>
          </cell>
          <cell r="CF475">
            <v>410</v>
          </cell>
          <cell r="CG475">
            <v>0</v>
          </cell>
          <cell r="CH475">
            <v>0</v>
          </cell>
          <cell r="CI475">
            <v>20</v>
          </cell>
          <cell r="CJ475">
            <v>0</v>
          </cell>
          <cell r="CK475">
            <v>0</v>
          </cell>
          <cell r="CL475">
            <v>385</v>
          </cell>
          <cell r="CM475">
            <v>5</v>
          </cell>
          <cell r="CN475">
            <v>0</v>
          </cell>
          <cell r="CO475">
            <v>410</v>
          </cell>
          <cell r="CP475">
            <v>165</v>
          </cell>
          <cell r="CQ475">
            <v>160</v>
          </cell>
          <cell r="CR475">
            <v>60</v>
          </cell>
          <cell r="CS475">
            <v>25</v>
          </cell>
          <cell r="CT475">
            <v>0</v>
          </cell>
          <cell r="CU475">
            <v>775</v>
          </cell>
          <cell r="CV475">
            <v>1.9</v>
          </cell>
          <cell r="CW475">
            <v>410</v>
          </cell>
          <cell r="CX475">
            <v>145</v>
          </cell>
          <cell r="CY475">
            <v>0</v>
          </cell>
          <cell r="CZ475">
            <v>260</v>
          </cell>
        </row>
        <row r="476">
          <cell r="A476" t="str">
            <v>4620081.00</v>
          </cell>
          <cell r="B476" t="str">
            <v>0081.00</v>
          </cell>
          <cell r="C476" t="str">
            <v>Sud-Ouest</v>
          </cell>
          <cell r="D476">
            <v>2165</v>
          </cell>
          <cell r="E476">
            <v>1400</v>
          </cell>
          <cell r="F476">
            <v>435</v>
          </cell>
          <cell r="G476">
            <v>50</v>
          </cell>
          <cell r="H476">
            <v>200</v>
          </cell>
          <cell r="I476">
            <v>80</v>
          </cell>
          <cell r="J476">
            <v>2165</v>
          </cell>
          <cell r="K476">
            <v>1665</v>
          </cell>
          <cell r="L476">
            <v>500</v>
          </cell>
          <cell r="M476">
            <v>600</v>
          </cell>
          <cell r="N476">
            <v>380</v>
          </cell>
          <cell r="O476">
            <v>140</v>
          </cell>
          <cell r="P476">
            <v>50</v>
          </cell>
          <cell r="Q476">
            <v>25</v>
          </cell>
          <cell r="R476">
            <v>600</v>
          </cell>
          <cell r="S476">
            <v>455</v>
          </cell>
          <cell r="T476">
            <v>200</v>
          </cell>
          <cell r="U476">
            <v>125</v>
          </cell>
          <cell r="V476">
            <v>75</v>
          </cell>
          <cell r="W476">
            <v>45</v>
          </cell>
          <cell r="X476">
            <v>20</v>
          </cell>
          <cell r="Y476">
            <v>0</v>
          </cell>
          <cell r="Z476">
            <v>255</v>
          </cell>
          <cell r="AA476">
            <v>170</v>
          </cell>
          <cell r="AB476">
            <v>85</v>
          </cell>
          <cell r="AC476">
            <v>50</v>
          </cell>
          <cell r="AD476">
            <v>30</v>
          </cell>
          <cell r="AE476">
            <v>10</v>
          </cell>
          <cell r="AF476">
            <v>145</v>
          </cell>
          <cell r="AG476">
            <v>95</v>
          </cell>
          <cell r="AH476">
            <v>45</v>
          </cell>
          <cell r="AI476">
            <v>40</v>
          </cell>
          <cell r="AJ476">
            <v>0</v>
          </cell>
          <cell r="AK476">
            <v>50</v>
          </cell>
          <cell r="AL476">
            <v>45</v>
          </cell>
          <cell r="AM476">
            <v>0</v>
          </cell>
          <cell r="AN476">
            <v>0</v>
          </cell>
          <cell r="AO476">
            <v>475</v>
          </cell>
          <cell r="AP476">
            <v>140</v>
          </cell>
          <cell r="AQ476">
            <v>160</v>
          </cell>
          <cell r="AR476">
            <v>50</v>
          </cell>
          <cell r="AS476">
            <v>85</v>
          </cell>
          <cell r="AT476">
            <v>45</v>
          </cell>
          <cell r="AU476">
            <v>0.8</v>
          </cell>
          <cell r="AV476">
            <v>2425</v>
          </cell>
          <cell r="AW476">
            <v>895</v>
          </cell>
          <cell r="AX476">
            <v>95</v>
          </cell>
          <cell r="AY476">
            <v>235</v>
          </cell>
          <cell r="AZ476">
            <v>560</v>
          </cell>
          <cell r="BA476">
            <v>1530</v>
          </cell>
          <cell r="BB476">
            <v>2.6</v>
          </cell>
          <cell r="BC476">
            <v>180</v>
          </cell>
          <cell r="BD476">
            <v>70</v>
          </cell>
          <cell r="BE476">
            <v>0</v>
          </cell>
          <cell r="BF476">
            <v>0</v>
          </cell>
          <cell r="BG476">
            <v>70</v>
          </cell>
          <cell r="BH476">
            <v>110</v>
          </cell>
          <cell r="BI476">
            <v>1270</v>
          </cell>
          <cell r="BJ476">
            <v>4.5</v>
          </cell>
          <cell r="BK476">
            <v>5715</v>
          </cell>
          <cell r="BL476">
            <v>1.8</v>
          </cell>
          <cell r="BM476">
            <v>2286</v>
          </cell>
          <cell r="BN476">
            <v>1270</v>
          </cell>
          <cell r="BO476">
            <v>155</v>
          </cell>
          <cell r="BP476">
            <v>1110</v>
          </cell>
          <cell r="BQ476">
            <v>0</v>
          </cell>
          <cell r="BR476">
            <v>1270</v>
          </cell>
          <cell r="BS476">
            <v>600</v>
          </cell>
          <cell r="BT476">
            <v>505</v>
          </cell>
          <cell r="BU476">
            <v>160</v>
          </cell>
          <cell r="BV476">
            <v>1270</v>
          </cell>
          <cell r="BW476">
            <v>730</v>
          </cell>
          <cell r="BX476">
            <v>140</v>
          </cell>
          <cell r="BY476">
            <v>105</v>
          </cell>
          <cell r="BZ476">
            <v>110</v>
          </cell>
          <cell r="CA476">
            <v>60</v>
          </cell>
          <cell r="CB476">
            <v>25</v>
          </cell>
          <cell r="CC476">
            <v>30</v>
          </cell>
          <cell r="CD476">
            <v>10</v>
          </cell>
          <cell r="CE476">
            <v>55</v>
          </cell>
          <cell r="CF476">
            <v>1270</v>
          </cell>
          <cell r="CG476">
            <v>0</v>
          </cell>
          <cell r="CH476">
            <v>0</v>
          </cell>
          <cell r="CI476">
            <v>5</v>
          </cell>
          <cell r="CJ476">
            <v>5</v>
          </cell>
          <cell r="CK476">
            <v>0</v>
          </cell>
          <cell r="CL476">
            <v>1250</v>
          </cell>
          <cell r="CM476">
            <v>5</v>
          </cell>
          <cell r="CN476">
            <v>0</v>
          </cell>
          <cell r="CO476">
            <v>1270</v>
          </cell>
          <cell r="CP476">
            <v>560</v>
          </cell>
          <cell r="CQ476">
            <v>435</v>
          </cell>
          <cell r="CR476">
            <v>165</v>
          </cell>
          <cell r="CS476">
            <v>95</v>
          </cell>
          <cell r="CT476">
            <v>15</v>
          </cell>
          <cell r="CU476">
            <v>2425</v>
          </cell>
          <cell r="CV476">
            <v>1.9</v>
          </cell>
          <cell r="CW476">
            <v>1270</v>
          </cell>
          <cell r="CX476">
            <v>585</v>
          </cell>
          <cell r="CY476">
            <v>10</v>
          </cell>
          <cell r="CZ476">
            <v>680</v>
          </cell>
        </row>
        <row r="477">
          <cell r="A477" t="str">
            <v>4620082.00</v>
          </cell>
          <cell r="B477" t="str">
            <v>0082.00</v>
          </cell>
          <cell r="C477" t="str">
            <v>Sud-Ouest</v>
          </cell>
          <cell r="D477">
            <v>1770</v>
          </cell>
          <cell r="E477">
            <v>1095</v>
          </cell>
          <cell r="F477">
            <v>310</v>
          </cell>
          <cell r="G477">
            <v>55</v>
          </cell>
          <cell r="H477">
            <v>215</v>
          </cell>
          <cell r="I477">
            <v>100</v>
          </cell>
          <cell r="J477">
            <v>1770</v>
          </cell>
          <cell r="K477">
            <v>1475</v>
          </cell>
          <cell r="L477">
            <v>295</v>
          </cell>
          <cell r="M477">
            <v>490</v>
          </cell>
          <cell r="N477">
            <v>295</v>
          </cell>
          <cell r="O477">
            <v>135</v>
          </cell>
          <cell r="P477">
            <v>50</v>
          </cell>
          <cell r="Q477">
            <v>10</v>
          </cell>
          <cell r="R477">
            <v>490</v>
          </cell>
          <cell r="S477">
            <v>280</v>
          </cell>
          <cell r="T477">
            <v>165</v>
          </cell>
          <cell r="U477">
            <v>65</v>
          </cell>
          <cell r="V477">
            <v>100</v>
          </cell>
          <cell r="W477">
            <v>65</v>
          </cell>
          <cell r="X477">
            <v>30</v>
          </cell>
          <cell r="Y477">
            <v>0</v>
          </cell>
          <cell r="Z477">
            <v>115</v>
          </cell>
          <cell r="AA477">
            <v>85</v>
          </cell>
          <cell r="AB477">
            <v>30</v>
          </cell>
          <cell r="AC477">
            <v>30</v>
          </cell>
          <cell r="AD477">
            <v>0</v>
          </cell>
          <cell r="AE477">
            <v>0</v>
          </cell>
          <cell r="AF477">
            <v>205</v>
          </cell>
          <cell r="AG477">
            <v>165</v>
          </cell>
          <cell r="AH477">
            <v>120</v>
          </cell>
          <cell r="AI477">
            <v>25</v>
          </cell>
          <cell r="AJ477">
            <v>20</v>
          </cell>
          <cell r="AK477">
            <v>40</v>
          </cell>
          <cell r="AL477">
            <v>20</v>
          </cell>
          <cell r="AM477">
            <v>10</v>
          </cell>
          <cell r="AN477">
            <v>0</v>
          </cell>
          <cell r="AO477">
            <v>460</v>
          </cell>
          <cell r="AP477">
            <v>115</v>
          </cell>
          <cell r="AQ477">
            <v>165</v>
          </cell>
          <cell r="AR477">
            <v>55</v>
          </cell>
          <cell r="AS477">
            <v>80</v>
          </cell>
          <cell r="AT477">
            <v>50</v>
          </cell>
          <cell r="AU477">
            <v>0.9</v>
          </cell>
          <cell r="AV477">
            <v>2080</v>
          </cell>
          <cell r="AW477">
            <v>850</v>
          </cell>
          <cell r="AX477">
            <v>160</v>
          </cell>
          <cell r="AY477">
            <v>295</v>
          </cell>
          <cell r="AZ477">
            <v>395</v>
          </cell>
          <cell r="BA477">
            <v>1230</v>
          </cell>
          <cell r="BB477">
            <v>2.5</v>
          </cell>
          <cell r="BC477">
            <v>150</v>
          </cell>
          <cell r="BD477">
            <v>100</v>
          </cell>
          <cell r="BE477">
            <v>0</v>
          </cell>
          <cell r="BF477">
            <v>0</v>
          </cell>
          <cell r="BG477">
            <v>95</v>
          </cell>
          <cell r="BH477">
            <v>55</v>
          </cell>
          <cell r="BI477">
            <v>1015</v>
          </cell>
          <cell r="BJ477">
            <v>4.3</v>
          </cell>
          <cell r="BK477">
            <v>4364.5</v>
          </cell>
          <cell r="BL477">
            <v>1.9</v>
          </cell>
          <cell r="BM477">
            <v>1928.5</v>
          </cell>
          <cell r="BN477">
            <v>1015</v>
          </cell>
          <cell r="BO477">
            <v>60</v>
          </cell>
          <cell r="BP477">
            <v>955</v>
          </cell>
          <cell r="BQ477">
            <v>0</v>
          </cell>
          <cell r="BR477">
            <v>1010</v>
          </cell>
          <cell r="BS477">
            <v>495</v>
          </cell>
          <cell r="BT477">
            <v>340</v>
          </cell>
          <cell r="BU477">
            <v>175</v>
          </cell>
          <cell r="BV477">
            <v>1010</v>
          </cell>
          <cell r="BW477">
            <v>355</v>
          </cell>
          <cell r="BX477">
            <v>95</v>
          </cell>
          <cell r="BY477">
            <v>125</v>
          </cell>
          <cell r="BZ477">
            <v>190</v>
          </cell>
          <cell r="CA477">
            <v>135</v>
          </cell>
          <cell r="CB477">
            <v>20</v>
          </cell>
          <cell r="CC477">
            <v>40</v>
          </cell>
          <cell r="CD477">
            <v>10</v>
          </cell>
          <cell r="CE477">
            <v>30</v>
          </cell>
          <cell r="CF477">
            <v>1015</v>
          </cell>
          <cell r="CG477">
            <v>0</v>
          </cell>
          <cell r="CH477">
            <v>0</v>
          </cell>
          <cell r="CI477">
            <v>0</v>
          </cell>
          <cell r="CJ477">
            <v>10</v>
          </cell>
          <cell r="CK477">
            <v>120</v>
          </cell>
          <cell r="CL477">
            <v>885</v>
          </cell>
          <cell r="CM477">
            <v>5</v>
          </cell>
          <cell r="CN477">
            <v>5</v>
          </cell>
          <cell r="CO477">
            <v>1010</v>
          </cell>
          <cell r="CP477">
            <v>410</v>
          </cell>
          <cell r="CQ477">
            <v>330</v>
          </cell>
          <cell r="CR477">
            <v>160</v>
          </cell>
          <cell r="CS477">
            <v>90</v>
          </cell>
          <cell r="CT477">
            <v>25</v>
          </cell>
          <cell r="CU477">
            <v>2085</v>
          </cell>
          <cell r="CV477">
            <v>2.1</v>
          </cell>
          <cell r="CW477">
            <v>1015</v>
          </cell>
          <cell r="CX477">
            <v>430</v>
          </cell>
          <cell r="CY477">
            <v>30</v>
          </cell>
          <cell r="CZ477">
            <v>555</v>
          </cell>
        </row>
        <row r="478">
          <cell r="A478" t="str">
            <v>4620083.00</v>
          </cell>
          <cell r="B478" t="str">
            <v>0083.00</v>
          </cell>
          <cell r="C478" t="str">
            <v>Sud-Ouest</v>
          </cell>
          <cell r="D478">
            <v>2685</v>
          </cell>
          <cell r="E478">
            <v>1620</v>
          </cell>
          <cell r="F478">
            <v>625</v>
          </cell>
          <cell r="G478">
            <v>70</v>
          </cell>
          <cell r="H478">
            <v>220</v>
          </cell>
          <cell r="I478">
            <v>150</v>
          </cell>
          <cell r="J478">
            <v>2690</v>
          </cell>
          <cell r="K478">
            <v>2130</v>
          </cell>
          <cell r="L478">
            <v>560</v>
          </cell>
          <cell r="M478">
            <v>820</v>
          </cell>
          <cell r="N478">
            <v>480</v>
          </cell>
          <cell r="O478">
            <v>215</v>
          </cell>
          <cell r="P478">
            <v>90</v>
          </cell>
          <cell r="Q478">
            <v>35</v>
          </cell>
          <cell r="R478">
            <v>815</v>
          </cell>
          <cell r="S478">
            <v>580</v>
          </cell>
          <cell r="T478">
            <v>300</v>
          </cell>
          <cell r="U478">
            <v>140</v>
          </cell>
          <cell r="V478">
            <v>160</v>
          </cell>
          <cell r="W478">
            <v>95</v>
          </cell>
          <cell r="X478">
            <v>50</v>
          </cell>
          <cell r="Y478">
            <v>15</v>
          </cell>
          <cell r="Z478">
            <v>280</v>
          </cell>
          <cell r="AA478">
            <v>155</v>
          </cell>
          <cell r="AB478">
            <v>120</v>
          </cell>
          <cell r="AC478">
            <v>90</v>
          </cell>
          <cell r="AD478">
            <v>25</v>
          </cell>
          <cell r="AE478">
            <v>10</v>
          </cell>
          <cell r="AF478">
            <v>240</v>
          </cell>
          <cell r="AG478">
            <v>175</v>
          </cell>
          <cell r="AH478">
            <v>120</v>
          </cell>
          <cell r="AI478">
            <v>25</v>
          </cell>
          <cell r="AJ478">
            <v>25</v>
          </cell>
          <cell r="AK478">
            <v>65</v>
          </cell>
          <cell r="AL478">
            <v>65</v>
          </cell>
          <cell r="AM478">
            <v>0</v>
          </cell>
          <cell r="AN478">
            <v>0</v>
          </cell>
          <cell r="AO478">
            <v>740</v>
          </cell>
          <cell r="AP478">
            <v>205</v>
          </cell>
          <cell r="AQ478">
            <v>205</v>
          </cell>
          <cell r="AR478">
            <v>110</v>
          </cell>
          <cell r="AS478">
            <v>150</v>
          </cell>
          <cell r="AT478">
            <v>65</v>
          </cell>
          <cell r="AU478">
            <v>0.9</v>
          </cell>
          <cell r="AV478">
            <v>3105</v>
          </cell>
          <cell r="AW478">
            <v>970</v>
          </cell>
          <cell r="AX478">
            <v>125</v>
          </cell>
          <cell r="AY478">
            <v>240</v>
          </cell>
          <cell r="AZ478">
            <v>605</v>
          </cell>
          <cell r="BA478">
            <v>2130</v>
          </cell>
          <cell r="BB478">
            <v>2.6</v>
          </cell>
          <cell r="BC478">
            <v>370</v>
          </cell>
          <cell r="BD478">
            <v>190</v>
          </cell>
          <cell r="BE478">
            <v>55</v>
          </cell>
          <cell r="BF478">
            <v>30</v>
          </cell>
          <cell r="BG478">
            <v>100</v>
          </cell>
          <cell r="BH478">
            <v>180</v>
          </cell>
          <cell r="BI478">
            <v>1535</v>
          </cell>
          <cell r="BJ478">
            <v>4.9000000000000004</v>
          </cell>
          <cell r="BK478">
            <v>7521.5000000000009</v>
          </cell>
          <cell r="BL478">
            <v>2.1</v>
          </cell>
          <cell r="BM478">
            <v>3223.5</v>
          </cell>
          <cell r="BN478">
            <v>1535</v>
          </cell>
          <cell r="BO478">
            <v>440</v>
          </cell>
          <cell r="BP478">
            <v>1090</v>
          </cell>
          <cell r="BQ478">
            <v>0</v>
          </cell>
          <cell r="BR478">
            <v>1530</v>
          </cell>
          <cell r="BS478">
            <v>900</v>
          </cell>
          <cell r="BT478">
            <v>450</v>
          </cell>
          <cell r="BU478">
            <v>180</v>
          </cell>
          <cell r="BV478">
            <v>1530</v>
          </cell>
          <cell r="BW478">
            <v>900</v>
          </cell>
          <cell r="BX478">
            <v>210</v>
          </cell>
          <cell r="BY478">
            <v>55</v>
          </cell>
          <cell r="BZ478">
            <v>65</v>
          </cell>
          <cell r="CA478">
            <v>45</v>
          </cell>
          <cell r="CB478">
            <v>40</v>
          </cell>
          <cell r="CC478">
            <v>50</v>
          </cell>
          <cell r="CD478">
            <v>15</v>
          </cell>
          <cell r="CE478">
            <v>150</v>
          </cell>
          <cell r="CF478">
            <v>1535</v>
          </cell>
          <cell r="CG478">
            <v>0</v>
          </cell>
          <cell r="CH478">
            <v>15</v>
          </cell>
          <cell r="CI478">
            <v>45</v>
          </cell>
          <cell r="CJ478">
            <v>95</v>
          </cell>
          <cell r="CK478">
            <v>0</v>
          </cell>
          <cell r="CL478">
            <v>1375</v>
          </cell>
          <cell r="CM478">
            <v>5</v>
          </cell>
          <cell r="CN478">
            <v>0</v>
          </cell>
          <cell r="CO478">
            <v>1530</v>
          </cell>
          <cell r="CP478">
            <v>605</v>
          </cell>
          <cell r="CQ478">
            <v>545</v>
          </cell>
          <cell r="CR478">
            <v>200</v>
          </cell>
          <cell r="CS478">
            <v>165</v>
          </cell>
          <cell r="CT478">
            <v>10</v>
          </cell>
          <cell r="CU478">
            <v>3105</v>
          </cell>
          <cell r="CV478">
            <v>2</v>
          </cell>
          <cell r="CW478">
            <v>1530</v>
          </cell>
          <cell r="CX478">
            <v>810</v>
          </cell>
          <cell r="CY478">
            <v>0</v>
          </cell>
          <cell r="CZ478">
            <v>720</v>
          </cell>
        </row>
        <row r="479">
          <cell r="A479" t="str">
            <v>4620084.00</v>
          </cell>
          <cell r="B479" t="str">
            <v>0084.00</v>
          </cell>
          <cell r="C479" t="str">
            <v>Sud-Ouest</v>
          </cell>
          <cell r="D479">
            <v>1590</v>
          </cell>
          <cell r="E479">
            <v>845</v>
          </cell>
          <cell r="F479">
            <v>290</v>
          </cell>
          <cell r="G479">
            <v>50</v>
          </cell>
          <cell r="H479">
            <v>200</v>
          </cell>
          <cell r="I479">
            <v>200</v>
          </cell>
          <cell r="J479">
            <v>1590</v>
          </cell>
          <cell r="K479">
            <v>1380</v>
          </cell>
          <cell r="L479">
            <v>210</v>
          </cell>
          <cell r="M479">
            <v>360</v>
          </cell>
          <cell r="N479">
            <v>175</v>
          </cell>
          <cell r="O479">
            <v>90</v>
          </cell>
          <cell r="P479">
            <v>45</v>
          </cell>
          <cell r="Q479">
            <v>50</v>
          </cell>
          <cell r="R479">
            <v>360</v>
          </cell>
          <cell r="S479">
            <v>255</v>
          </cell>
          <cell r="T479">
            <v>115</v>
          </cell>
          <cell r="U479">
            <v>50</v>
          </cell>
          <cell r="V479">
            <v>70</v>
          </cell>
          <cell r="W479">
            <v>15</v>
          </cell>
          <cell r="X479">
            <v>25</v>
          </cell>
          <cell r="Y479">
            <v>30</v>
          </cell>
          <cell r="Z479">
            <v>140</v>
          </cell>
          <cell r="AA479">
            <v>90</v>
          </cell>
          <cell r="AB479">
            <v>50</v>
          </cell>
          <cell r="AC479">
            <v>30</v>
          </cell>
          <cell r="AD479">
            <v>0</v>
          </cell>
          <cell r="AE479">
            <v>15</v>
          </cell>
          <cell r="AF479">
            <v>100</v>
          </cell>
          <cell r="AG479">
            <v>90</v>
          </cell>
          <cell r="AH479">
            <v>30</v>
          </cell>
          <cell r="AI479">
            <v>40</v>
          </cell>
          <cell r="AJ479">
            <v>20</v>
          </cell>
          <cell r="AK479">
            <v>10</v>
          </cell>
          <cell r="AL479">
            <v>0</v>
          </cell>
          <cell r="AM479">
            <v>0</v>
          </cell>
          <cell r="AN479">
            <v>0</v>
          </cell>
          <cell r="AO479">
            <v>480</v>
          </cell>
          <cell r="AP479">
            <v>130</v>
          </cell>
          <cell r="AQ479">
            <v>190</v>
          </cell>
          <cell r="AR479">
            <v>30</v>
          </cell>
          <cell r="AS479">
            <v>95</v>
          </cell>
          <cell r="AT479">
            <v>40</v>
          </cell>
          <cell r="AU479">
            <v>1.3</v>
          </cell>
          <cell r="AV479">
            <v>1685</v>
          </cell>
          <cell r="AW479">
            <v>590</v>
          </cell>
          <cell r="AX479">
            <v>70</v>
          </cell>
          <cell r="AY479">
            <v>120</v>
          </cell>
          <cell r="AZ479">
            <v>395</v>
          </cell>
          <cell r="BA479">
            <v>1100</v>
          </cell>
          <cell r="BB479">
            <v>3.1</v>
          </cell>
          <cell r="BC479">
            <v>275</v>
          </cell>
          <cell r="BD479">
            <v>140</v>
          </cell>
          <cell r="BE479">
            <v>10</v>
          </cell>
          <cell r="BF479">
            <v>10</v>
          </cell>
          <cell r="BG479">
            <v>125</v>
          </cell>
          <cell r="BH479">
            <v>130</v>
          </cell>
          <cell r="BI479">
            <v>845</v>
          </cell>
          <cell r="BJ479">
            <v>4</v>
          </cell>
          <cell r="BK479">
            <v>3380</v>
          </cell>
          <cell r="BL479">
            <v>1.7</v>
          </cell>
          <cell r="BM479">
            <v>1436.5</v>
          </cell>
          <cell r="BN479">
            <v>840</v>
          </cell>
          <cell r="BO479">
            <v>165</v>
          </cell>
          <cell r="BP479">
            <v>680</v>
          </cell>
          <cell r="BQ479">
            <v>0</v>
          </cell>
          <cell r="BR479">
            <v>845</v>
          </cell>
          <cell r="BS479">
            <v>470</v>
          </cell>
          <cell r="BT479">
            <v>250</v>
          </cell>
          <cell r="BU479">
            <v>120</v>
          </cell>
          <cell r="BV479">
            <v>840</v>
          </cell>
          <cell r="BW479">
            <v>295</v>
          </cell>
          <cell r="BX479">
            <v>105</v>
          </cell>
          <cell r="BY479">
            <v>60</v>
          </cell>
          <cell r="BZ479">
            <v>105</v>
          </cell>
          <cell r="CA479">
            <v>100</v>
          </cell>
          <cell r="CB479">
            <v>35</v>
          </cell>
          <cell r="CC479">
            <v>0</v>
          </cell>
          <cell r="CD479">
            <v>10</v>
          </cell>
          <cell r="CE479">
            <v>125</v>
          </cell>
          <cell r="CF479">
            <v>840</v>
          </cell>
          <cell r="CG479">
            <v>10</v>
          </cell>
          <cell r="CH479">
            <v>20</v>
          </cell>
          <cell r="CI479">
            <v>15</v>
          </cell>
          <cell r="CJ479">
            <v>35</v>
          </cell>
          <cell r="CK479">
            <v>100</v>
          </cell>
          <cell r="CL479">
            <v>665</v>
          </cell>
          <cell r="CM479">
            <v>0</v>
          </cell>
          <cell r="CN479">
            <v>0</v>
          </cell>
          <cell r="CO479">
            <v>840</v>
          </cell>
          <cell r="CP479">
            <v>390</v>
          </cell>
          <cell r="CQ479">
            <v>245</v>
          </cell>
          <cell r="CR479">
            <v>95</v>
          </cell>
          <cell r="CS479">
            <v>95</v>
          </cell>
          <cell r="CT479">
            <v>15</v>
          </cell>
          <cell r="CU479">
            <v>1685</v>
          </cell>
          <cell r="CV479">
            <v>2</v>
          </cell>
          <cell r="CW479">
            <v>840</v>
          </cell>
          <cell r="CX479">
            <v>360</v>
          </cell>
          <cell r="CY479">
            <v>0</v>
          </cell>
          <cell r="CZ479">
            <v>480</v>
          </cell>
        </row>
        <row r="480">
          <cell r="A480" t="str">
            <v>4620085.00</v>
          </cell>
          <cell r="B480" t="str">
            <v>0085.00</v>
          </cell>
          <cell r="C480" t="str">
            <v>Sud-Ouest</v>
          </cell>
          <cell r="D480">
            <v>665</v>
          </cell>
          <cell r="E480">
            <v>380</v>
          </cell>
          <cell r="F480">
            <v>175</v>
          </cell>
          <cell r="G480">
            <v>20</v>
          </cell>
          <cell r="H480">
            <v>70</v>
          </cell>
          <cell r="I480">
            <v>25</v>
          </cell>
          <cell r="J480">
            <v>665</v>
          </cell>
          <cell r="K480">
            <v>560</v>
          </cell>
          <cell r="L480">
            <v>105</v>
          </cell>
          <cell r="M480">
            <v>210</v>
          </cell>
          <cell r="N480">
            <v>115</v>
          </cell>
          <cell r="O480">
            <v>25</v>
          </cell>
          <cell r="P480">
            <v>35</v>
          </cell>
          <cell r="Q480">
            <v>25</v>
          </cell>
          <cell r="R480">
            <v>210</v>
          </cell>
          <cell r="S480">
            <v>130</v>
          </cell>
          <cell r="T480">
            <v>80</v>
          </cell>
          <cell r="U480">
            <v>30</v>
          </cell>
          <cell r="V480">
            <v>45</v>
          </cell>
          <cell r="W480">
            <v>15</v>
          </cell>
          <cell r="X480">
            <v>25</v>
          </cell>
          <cell r="Y480">
            <v>10</v>
          </cell>
          <cell r="Z480">
            <v>55</v>
          </cell>
          <cell r="AA480">
            <v>35</v>
          </cell>
          <cell r="AB480">
            <v>20</v>
          </cell>
          <cell r="AC480">
            <v>10</v>
          </cell>
          <cell r="AD480">
            <v>0</v>
          </cell>
          <cell r="AE480">
            <v>10</v>
          </cell>
          <cell r="AF480">
            <v>75</v>
          </cell>
          <cell r="AG480">
            <v>75</v>
          </cell>
          <cell r="AH480">
            <v>50</v>
          </cell>
          <cell r="AI480">
            <v>10</v>
          </cell>
          <cell r="AJ480">
            <v>20</v>
          </cell>
          <cell r="AK480">
            <v>0</v>
          </cell>
          <cell r="AL480">
            <v>0</v>
          </cell>
          <cell r="AM480">
            <v>0</v>
          </cell>
          <cell r="AN480">
            <v>0</v>
          </cell>
          <cell r="AO480">
            <v>290</v>
          </cell>
          <cell r="AP480">
            <v>65</v>
          </cell>
          <cell r="AQ480">
            <v>145</v>
          </cell>
          <cell r="AR480">
            <v>25</v>
          </cell>
          <cell r="AS480">
            <v>35</v>
          </cell>
          <cell r="AT480">
            <v>10</v>
          </cell>
          <cell r="AU480">
            <v>1.4</v>
          </cell>
          <cell r="AV480">
            <v>820</v>
          </cell>
          <cell r="AW480">
            <v>185</v>
          </cell>
          <cell r="AX480">
            <v>15</v>
          </cell>
          <cell r="AY480">
            <v>40</v>
          </cell>
          <cell r="AZ480">
            <v>125</v>
          </cell>
          <cell r="BA480">
            <v>635</v>
          </cell>
          <cell r="BB480">
            <v>3</v>
          </cell>
          <cell r="BC480">
            <v>45</v>
          </cell>
          <cell r="BD480">
            <v>10</v>
          </cell>
          <cell r="BE480">
            <v>0</v>
          </cell>
          <cell r="BF480">
            <v>0</v>
          </cell>
          <cell r="BG480">
            <v>10</v>
          </cell>
          <cell r="BH480">
            <v>40</v>
          </cell>
          <cell r="BI480">
            <v>355</v>
          </cell>
          <cell r="BJ480">
            <v>4.5</v>
          </cell>
          <cell r="BK480">
            <v>1597.5</v>
          </cell>
          <cell r="BL480">
            <v>2</v>
          </cell>
          <cell r="BM480">
            <v>710</v>
          </cell>
          <cell r="BN480">
            <v>355</v>
          </cell>
          <cell r="BO480">
            <v>90</v>
          </cell>
          <cell r="BP480">
            <v>265</v>
          </cell>
          <cell r="BQ480">
            <v>0</v>
          </cell>
          <cell r="BR480">
            <v>355</v>
          </cell>
          <cell r="BS480">
            <v>210</v>
          </cell>
          <cell r="BT480">
            <v>110</v>
          </cell>
          <cell r="BU480">
            <v>40</v>
          </cell>
          <cell r="BV480">
            <v>355</v>
          </cell>
          <cell r="BW480">
            <v>130</v>
          </cell>
          <cell r="BX480">
            <v>40</v>
          </cell>
          <cell r="BY480">
            <v>20</v>
          </cell>
          <cell r="BZ480">
            <v>40</v>
          </cell>
          <cell r="CA480">
            <v>0</v>
          </cell>
          <cell r="CB480">
            <v>20</v>
          </cell>
          <cell r="CC480">
            <v>10</v>
          </cell>
          <cell r="CD480">
            <v>0</v>
          </cell>
          <cell r="CE480">
            <v>90</v>
          </cell>
          <cell r="CF480">
            <v>355</v>
          </cell>
          <cell r="CG480">
            <v>15</v>
          </cell>
          <cell r="CH480">
            <v>0</v>
          </cell>
          <cell r="CI480">
            <v>20</v>
          </cell>
          <cell r="CJ480">
            <v>60</v>
          </cell>
          <cell r="CK480">
            <v>0</v>
          </cell>
          <cell r="CL480">
            <v>265</v>
          </cell>
          <cell r="CM480">
            <v>0</v>
          </cell>
          <cell r="CN480">
            <v>0</v>
          </cell>
          <cell r="CO480">
            <v>355</v>
          </cell>
          <cell r="CP480">
            <v>115</v>
          </cell>
          <cell r="CQ480">
            <v>115</v>
          </cell>
          <cell r="CR480">
            <v>60</v>
          </cell>
          <cell r="CS480">
            <v>60</v>
          </cell>
          <cell r="CT480">
            <v>10</v>
          </cell>
          <cell r="CU480">
            <v>820</v>
          </cell>
          <cell r="CV480">
            <v>2.2999999999999998</v>
          </cell>
          <cell r="CW480">
            <v>355</v>
          </cell>
          <cell r="CX480">
            <v>205</v>
          </cell>
          <cell r="CY480">
            <v>10</v>
          </cell>
          <cell r="CZ480">
            <v>150</v>
          </cell>
        </row>
        <row r="481">
          <cell r="A481" t="str">
            <v>4620086.00</v>
          </cell>
          <cell r="B481" t="str">
            <v>0086.00</v>
          </cell>
          <cell r="C481" t="str">
            <v>Sud-Ouest</v>
          </cell>
          <cell r="D481">
            <v>3535</v>
          </cell>
          <cell r="E481">
            <v>1605</v>
          </cell>
          <cell r="F481">
            <v>1095</v>
          </cell>
          <cell r="G481">
            <v>85</v>
          </cell>
          <cell r="H481">
            <v>400</v>
          </cell>
          <cell r="I481">
            <v>350</v>
          </cell>
          <cell r="J481">
            <v>3535</v>
          </cell>
          <cell r="K481">
            <v>2955</v>
          </cell>
          <cell r="L481">
            <v>580</v>
          </cell>
          <cell r="M481">
            <v>1020</v>
          </cell>
          <cell r="N481">
            <v>635</v>
          </cell>
          <cell r="O481">
            <v>225</v>
          </cell>
          <cell r="P481">
            <v>105</v>
          </cell>
          <cell r="Q481">
            <v>50</v>
          </cell>
          <cell r="R481">
            <v>1020</v>
          </cell>
          <cell r="S481">
            <v>820</v>
          </cell>
          <cell r="T481">
            <v>535</v>
          </cell>
          <cell r="U481">
            <v>325</v>
          </cell>
          <cell r="V481">
            <v>205</v>
          </cell>
          <cell r="W481">
            <v>100</v>
          </cell>
          <cell r="X481">
            <v>75</v>
          </cell>
          <cell r="Y481">
            <v>30</v>
          </cell>
          <cell r="Z481">
            <v>285</v>
          </cell>
          <cell r="AA481">
            <v>190</v>
          </cell>
          <cell r="AB481">
            <v>95</v>
          </cell>
          <cell r="AC481">
            <v>55</v>
          </cell>
          <cell r="AD481">
            <v>25</v>
          </cell>
          <cell r="AE481">
            <v>15</v>
          </cell>
          <cell r="AF481">
            <v>200</v>
          </cell>
          <cell r="AG481">
            <v>150</v>
          </cell>
          <cell r="AH481">
            <v>80</v>
          </cell>
          <cell r="AI481">
            <v>60</v>
          </cell>
          <cell r="AJ481">
            <v>10</v>
          </cell>
          <cell r="AK481">
            <v>45</v>
          </cell>
          <cell r="AL481">
            <v>35</v>
          </cell>
          <cell r="AM481">
            <v>10</v>
          </cell>
          <cell r="AN481">
            <v>0</v>
          </cell>
          <cell r="AO481">
            <v>820</v>
          </cell>
          <cell r="AP481">
            <v>190</v>
          </cell>
          <cell r="AQ481">
            <v>280</v>
          </cell>
          <cell r="AR481">
            <v>95</v>
          </cell>
          <cell r="AS481">
            <v>145</v>
          </cell>
          <cell r="AT481">
            <v>110</v>
          </cell>
          <cell r="AU481">
            <v>0.8</v>
          </cell>
          <cell r="AV481">
            <v>3940</v>
          </cell>
          <cell r="AW481">
            <v>1275</v>
          </cell>
          <cell r="AX481">
            <v>140</v>
          </cell>
          <cell r="AY481">
            <v>200</v>
          </cell>
          <cell r="AZ481">
            <v>940</v>
          </cell>
          <cell r="BA481">
            <v>2665</v>
          </cell>
          <cell r="BB481">
            <v>2.6</v>
          </cell>
          <cell r="BC481">
            <v>730</v>
          </cell>
          <cell r="BD481">
            <v>370</v>
          </cell>
          <cell r="BE481">
            <v>50</v>
          </cell>
          <cell r="BF481">
            <v>0</v>
          </cell>
          <cell r="BG481">
            <v>315</v>
          </cell>
          <cell r="BH481">
            <v>365</v>
          </cell>
          <cell r="BI481">
            <v>2070</v>
          </cell>
          <cell r="BJ481">
            <v>4.7</v>
          </cell>
          <cell r="BK481">
            <v>9729</v>
          </cell>
          <cell r="BL481">
            <v>1.9</v>
          </cell>
          <cell r="BM481">
            <v>3933</v>
          </cell>
          <cell r="BN481">
            <v>2070</v>
          </cell>
          <cell r="BO481">
            <v>665</v>
          </cell>
          <cell r="BP481">
            <v>1410</v>
          </cell>
          <cell r="BQ481">
            <v>0</v>
          </cell>
          <cell r="BR481">
            <v>2070</v>
          </cell>
          <cell r="BS481">
            <v>1305</v>
          </cell>
          <cell r="BT481">
            <v>550</v>
          </cell>
          <cell r="BU481">
            <v>215</v>
          </cell>
          <cell r="BV481">
            <v>2070</v>
          </cell>
          <cell r="BW481">
            <v>515</v>
          </cell>
          <cell r="BX481">
            <v>935</v>
          </cell>
          <cell r="BY481">
            <v>215</v>
          </cell>
          <cell r="BZ481">
            <v>150</v>
          </cell>
          <cell r="CA481">
            <v>75</v>
          </cell>
          <cell r="CB481">
            <v>60</v>
          </cell>
          <cell r="CC481">
            <v>30</v>
          </cell>
          <cell r="CD481">
            <v>45</v>
          </cell>
          <cell r="CE481">
            <v>40</v>
          </cell>
          <cell r="CF481">
            <v>2075</v>
          </cell>
          <cell r="CG481">
            <v>145</v>
          </cell>
          <cell r="CH481">
            <v>15</v>
          </cell>
          <cell r="CI481">
            <v>20</v>
          </cell>
          <cell r="CJ481">
            <v>395</v>
          </cell>
          <cell r="CK481">
            <v>100</v>
          </cell>
          <cell r="CL481">
            <v>1400</v>
          </cell>
          <cell r="CM481">
            <v>5</v>
          </cell>
          <cell r="CN481">
            <v>0</v>
          </cell>
          <cell r="CO481">
            <v>2070</v>
          </cell>
          <cell r="CP481">
            <v>940</v>
          </cell>
          <cell r="CQ481">
            <v>680</v>
          </cell>
          <cell r="CR481">
            <v>250</v>
          </cell>
          <cell r="CS481">
            <v>185</v>
          </cell>
          <cell r="CT481">
            <v>15</v>
          </cell>
          <cell r="CU481">
            <v>3945</v>
          </cell>
          <cell r="CV481">
            <v>1.9</v>
          </cell>
          <cell r="CW481">
            <v>2070</v>
          </cell>
          <cell r="CX481">
            <v>1015</v>
          </cell>
          <cell r="CY481">
            <v>0</v>
          </cell>
          <cell r="CZ481">
            <v>1055</v>
          </cell>
        </row>
        <row r="482">
          <cell r="A482" t="str">
            <v>4620087.00</v>
          </cell>
          <cell r="B482" t="str">
            <v>0087.00</v>
          </cell>
          <cell r="C482" t="str">
            <v>Sud-Ouest</v>
          </cell>
          <cell r="D482">
            <v>2575</v>
          </cell>
          <cell r="E482">
            <v>1375</v>
          </cell>
          <cell r="F482">
            <v>760</v>
          </cell>
          <cell r="G482">
            <v>85</v>
          </cell>
          <cell r="H482">
            <v>245</v>
          </cell>
          <cell r="I482">
            <v>120</v>
          </cell>
          <cell r="J482">
            <v>2580</v>
          </cell>
          <cell r="K482">
            <v>2160</v>
          </cell>
          <cell r="L482">
            <v>420</v>
          </cell>
          <cell r="M482">
            <v>825</v>
          </cell>
          <cell r="N482">
            <v>415</v>
          </cell>
          <cell r="O482">
            <v>245</v>
          </cell>
          <cell r="P482">
            <v>115</v>
          </cell>
          <cell r="Q482">
            <v>50</v>
          </cell>
          <cell r="R482">
            <v>825</v>
          </cell>
          <cell r="S482">
            <v>580</v>
          </cell>
          <cell r="T482">
            <v>365</v>
          </cell>
          <cell r="U482">
            <v>185</v>
          </cell>
          <cell r="V482">
            <v>185</v>
          </cell>
          <cell r="W482">
            <v>115</v>
          </cell>
          <cell r="X482">
            <v>50</v>
          </cell>
          <cell r="Y482">
            <v>20</v>
          </cell>
          <cell r="Z482">
            <v>210</v>
          </cell>
          <cell r="AA482">
            <v>90</v>
          </cell>
          <cell r="AB482">
            <v>120</v>
          </cell>
          <cell r="AC482">
            <v>85</v>
          </cell>
          <cell r="AD482">
            <v>20</v>
          </cell>
          <cell r="AE482">
            <v>10</v>
          </cell>
          <cell r="AF482">
            <v>245</v>
          </cell>
          <cell r="AG482">
            <v>195</v>
          </cell>
          <cell r="AH482">
            <v>100</v>
          </cell>
          <cell r="AI482">
            <v>35</v>
          </cell>
          <cell r="AJ482">
            <v>55</v>
          </cell>
          <cell r="AK482">
            <v>50</v>
          </cell>
          <cell r="AL482">
            <v>40</v>
          </cell>
          <cell r="AM482">
            <v>10</v>
          </cell>
          <cell r="AN482">
            <v>10</v>
          </cell>
          <cell r="AO482">
            <v>900</v>
          </cell>
          <cell r="AP482">
            <v>245</v>
          </cell>
          <cell r="AQ482">
            <v>300</v>
          </cell>
          <cell r="AR482">
            <v>100</v>
          </cell>
          <cell r="AS482">
            <v>215</v>
          </cell>
          <cell r="AT482">
            <v>45</v>
          </cell>
          <cell r="AU482">
            <v>1.1000000000000001</v>
          </cell>
          <cell r="AV482">
            <v>3175</v>
          </cell>
          <cell r="AW482">
            <v>875</v>
          </cell>
          <cell r="AX482">
            <v>145</v>
          </cell>
          <cell r="AY482">
            <v>245</v>
          </cell>
          <cell r="AZ482">
            <v>480</v>
          </cell>
          <cell r="BA482">
            <v>2305</v>
          </cell>
          <cell r="BB482">
            <v>2.8</v>
          </cell>
          <cell r="BC482">
            <v>255</v>
          </cell>
          <cell r="BD482">
            <v>105</v>
          </cell>
          <cell r="BE482">
            <v>40</v>
          </cell>
          <cell r="BF482">
            <v>15</v>
          </cell>
          <cell r="BG482">
            <v>45</v>
          </cell>
          <cell r="BH482">
            <v>150</v>
          </cell>
          <cell r="BI482">
            <v>1410</v>
          </cell>
          <cell r="BJ482">
            <v>4.5</v>
          </cell>
          <cell r="BK482">
            <v>6345</v>
          </cell>
          <cell r="BL482">
            <v>2</v>
          </cell>
          <cell r="BM482">
            <v>2820</v>
          </cell>
          <cell r="BN482">
            <v>1410</v>
          </cell>
          <cell r="BO482">
            <v>365</v>
          </cell>
          <cell r="BP482">
            <v>1045</v>
          </cell>
          <cell r="BQ482">
            <v>0</v>
          </cell>
          <cell r="BR482">
            <v>1410</v>
          </cell>
          <cell r="BS482">
            <v>800</v>
          </cell>
          <cell r="BT482">
            <v>505</v>
          </cell>
          <cell r="BU482">
            <v>100</v>
          </cell>
          <cell r="BV482">
            <v>1410</v>
          </cell>
          <cell r="BW482">
            <v>570</v>
          </cell>
          <cell r="BX482">
            <v>385</v>
          </cell>
          <cell r="BY482">
            <v>110</v>
          </cell>
          <cell r="BZ482">
            <v>115</v>
          </cell>
          <cell r="CA482">
            <v>30</v>
          </cell>
          <cell r="CB482">
            <v>120</v>
          </cell>
          <cell r="CC482">
            <v>15</v>
          </cell>
          <cell r="CD482">
            <v>25</v>
          </cell>
          <cell r="CE482">
            <v>35</v>
          </cell>
          <cell r="CF482">
            <v>1410</v>
          </cell>
          <cell r="CG482">
            <v>10</v>
          </cell>
          <cell r="CH482">
            <v>5</v>
          </cell>
          <cell r="CI482">
            <v>0</v>
          </cell>
          <cell r="CJ482">
            <v>330</v>
          </cell>
          <cell r="CK482">
            <v>75</v>
          </cell>
          <cell r="CL482">
            <v>985</v>
          </cell>
          <cell r="CM482">
            <v>0</v>
          </cell>
          <cell r="CN482">
            <v>0</v>
          </cell>
          <cell r="CO482">
            <v>1410</v>
          </cell>
          <cell r="CP482">
            <v>480</v>
          </cell>
          <cell r="CQ482">
            <v>455</v>
          </cell>
          <cell r="CR482">
            <v>255</v>
          </cell>
          <cell r="CS482">
            <v>195</v>
          </cell>
          <cell r="CT482">
            <v>25</v>
          </cell>
          <cell r="CU482">
            <v>3175</v>
          </cell>
          <cell r="CV482">
            <v>2.2999999999999998</v>
          </cell>
          <cell r="CW482">
            <v>1410</v>
          </cell>
          <cell r="CX482">
            <v>825</v>
          </cell>
          <cell r="CY482">
            <v>0</v>
          </cell>
          <cell r="CZ482">
            <v>585</v>
          </cell>
        </row>
        <row r="483">
          <cell r="A483" t="str">
            <v>4620088.00</v>
          </cell>
          <cell r="B483" t="str">
            <v>0088.00</v>
          </cell>
          <cell r="C483" t="str">
            <v>Sud-Ouest</v>
          </cell>
          <cell r="D483">
            <v>3155</v>
          </cell>
          <cell r="E483">
            <v>1485</v>
          </cell>
          <cell r="F483">
            <v>905</v>
          </cell>
          <cell r="G483">
            <v>85</v>
          </cell>
          <cell r="H483">
            <v>340</v>
          </cell>
          <cell r="I483">
            <v>340</v>
          </cell>
          <cell r="J483">
            <v>3155</v>
          </cell>
          <cell r="K483">
            <v>2650</v>
          </cell>
          <cell r="L483">
            <v>505</v>
          </cell>
          <cell r="M483">
            <v>935</v>
          </cell>
          <cell r="N483">
            <v>575</v>
          </cell>
          <cell r="O483">
            <v>215</v>
          </cell>
          <cell r="P483">
            <v>95</v>
          </cell>
          <cell r="Q483">
            <v>55</v>
          </cell>
          <cell r="R483">
            <v>935</v>
          </cell>
          <cell r="S483">
            <v>690</v>
          </cell>
          <cell r="T483">
            <v>440</v>
          </cell>
          <cell r="U483">
            <v>260</v>
          </cell>
          <cell r="V483">
            <v>180</v>
          </cell>
          <cell r="W483">
            <v>125</v>
          </cell>
          <cell r="X483">
            <v>40</v>
          </cell>
          <cell r="Y483">
            <v>15</v>
          </cell>
          <cell r="Z483">
            <v>250</v>
          </cell>
          <cell r="AA483">
            <v>115</v>
          </cell>
          <cell r="AB483">
            <v>135</v>
          </cell>
          <cell r="AC483">
            <v>60</v>
          </cell>
          <cell r="AD483">
            <v>45</v>
          </cell>
          <cell r="AE483">
            <v>25</v>
          </cell>
          <cell r="AF483">
            <v>245</v>
          </cell>
          <cell r="AG483">
            <v>200</v>
          </cell>
          <cell r="AH483">
            <v>160</v>
          </cell>
          <cell r="AI483">
            <v>30</v>
          </cell>
          <cell r="AJ483">
            <v>15</v>
          </cell>
          <cell r="AK483">
            <v>40</v>
          </cell>
          <cell r="AL483">
            <v>40</v>
          </cell>
          <cell r="AM483">
            <v>10</v>
          </cell>
          <cell r="AN483">
            <v>0</v>
          </cell>
          <cell r="AO483">
            <v>810</v>
          </cell>
          <cell r="AP483">
            <v>185</v>
          </cell>
          <cell r="AQ483">
            <v>265</v>
          </cell>
          <cell r="AR483">
            <v>70</v>
          </cell>
          <cell r="AS483">
            <v>190</v>
          </cell>
          <cell r="AT483">
            <v>100</v>
          </cell>
          <cell r="AU483">
            <v>0.9</v>
          </cell>
          <cell r="AV483">
            <v>3585</v>
          </cell>
          <cell r="AW483">
            <v>1150</v>
          </cell>
          <cell r="AX483">
            <v>115</v>
          </cell>
          <cell r="AY483">
            <v>185</v>
          </cell>
          <cell r="AZ483">
            <v>855</v>
          </cell>
          <cell r="BA483">
            <v>2435</v>
          </cell>
          <cell r="BB483">
            <v>2.6</v>
          </cell>
          <cell r="BC483">
            <v>695</v>
          </cell>
          <cell r="BD483">
            <v>350</v>
          </cell>
          <cell r="BE483">
            <v>30</v>
          </cell>
          <cell r="BF483">
            <v>0</v>
          </cell>
          <cell r="BG483">
            <v>320</v>
          </cell>
          <cell r="BH483">
            <v>340</v>
          </cell>
          <cell r="BI483">
            <v>1870</v>
          </cell>
          <cell r="BJ483">
            <v>4.5999999999999996</v>
          </cell>
          <cell r="BK483">
            <v>8602</v>
          </cell>
          <cell r="BL483">
            <v>1.9</v>
          </cell>
          <cell r="BM483">
            <v>3553</v>
          </cell>
          <cell r="BN483">
            <v>1870</v>
          </cell>
          <cell r="BO483">
            <v>555</v>
          </cell>
          <cell r="BP483">
            <v>1315</v>
          </cell>
          <cell r="BQ483">
            <v>0</v>
          </cell>
          <cell r="BR483">
            <v>1870</v>
          </cell>
          <cell r="BS483">
            <v>1075</v>
          </cell>
          <cell r="BT483">
            <v>660</v>
          </cell>
          <cell r="BU483">
            <v>135</v>
          </cell>
          <cell r="BV483">
            <v>1870</v>
          </cell>
          <cell r="BW483">
            <v>720</v>
          </cell>
          <cell r="BX483">
            <v>615</v>
          </cell>
          <cell r="BY483">
            <v>180</v>
          </cell>
          <cell r="BZ483">
            <v>65</v>
          </cell>
          <cell r="CA483">
            <v>70</v>
          </cell>
          <cell r="CB483">
            <v>160</v>
          </cell>
          <cell r="CC483">
            <v>50</v>
          </cell>
          <cell r="CD483">
            <v>0</v>
          </cell>
          <cell r="CE483">
            <v>10</v>
          </cell>
          <cell r="CF483">
            <v>1875</v>
          </cell>
          <cell r="CG483">
            <v>5</v>
          </cell>
          <cell r="CH483">
            <v>5</v>
          </cell>
          <cell r="CI483">
            <v>0</v>
          </cell>
          <cell r="CJ483">
            <v>500</v>
          </cell>
          <cell r="CK483">
            <v>200</v>
          </cell>
          <cell r="CL483">
            <v>1145</v>
          </cell>
          <cell r="CM483">
            <v>15</v>
          </cell>
          <cell r="CN483">
            <v>0</v>
          </cell>
          <cell r="CO483">
            <v>1870</v>
          </cell>
          <cell r="CP483">
            <v>855</v>
          </cell>
          <cell r="CQ483">
            <v>580</v>
          </cell>
          <cell r="CR483">
            <v>260</v>
          </cell>
          <cell r="CS483">
            <v>165</v>
          </cell>
          <cell r="CT483">
            <v>15</v>
          </cell>
          <cell r="CU483">
            <v>3585</v>
          </cell>
          <cell r="CV483">
            <v>1.9</v>
          </cell>
          <cell r="CW483">
            <v>1870</v>
          </cell>
          <cell r="CX483">
            <v>910</v>
          </cell>
          <cell r="CY483">
            <v>10</v>
          </cell>
          <cell r="CZ483">
            <v>945</v>
          </cell>
        </row>
        <row r="484">
          <cell r="A484" t="str">
            <v>4620089.00</v>
          </cell>
          <cell r="B484" t="str">
            <v>0089.00</v>
          </cell>
          <cell r="C484" t="str">
            <v>Sud-Ouest</v>
          </cell>
          <cell r="D484">
            <v>4200</v>
          </cell>
          <cell r="E484">
            <v>1840</v>
          </cell>
          <cell r="F484">
            <v>1425</v>
          </cell>
          <cell r="G484">
            <v>130</v>
          </cell>
          <cell r="H484">
            <v>470</v>
          </cell>
          <cell r="I484">
            <v>335</v>
          </cell>
          <cell r="J484">
            <v>4200</v>
          </cell>
          <cell r="K484">
            <v>3505</v>
          </cell>
          <cell r="L484">
            <v>700</v>
          </cell>
          <cell r="M484">
            <v>1345</v>
          </cell>
          <cell r="N484">
            <v>840</v>
          </cell>
          <cell r="O484">
            <v>275</v>
          </cell>
          <cell r="P484">
            <v>165</v>
          </cell>
          <cell r="Q484">
            <v>70</v>
          </cell>
          <cell r="R484">
            <v>1345</v>
          </cell>
          <cell r="S484">
            <v>1040</v>
          </cell>
          <cell r="T484">
            <v>700</v>
          </cell>
          <cell r="U484">
            <v>405</v>
          </cell>
          <cell r="V484">
            <v>290</v>
          </cell>
          <cell r="W484">
            <v>145</v>
          </cell>
          <cell r="X484">
            <v>100</v>
          </cell>
          <cell r="Y484">
            <v>40</v>
          </cell>
          <cell r="Z484">
            <v>340</v>
          </cell>
          <cell r="AA484">
            <v>190</v>
          </cell>
          <cell r="AB484">
            <v>150</v>
          </cell>
          <cell r="AC484">
            <v>75</v>
          </cell>
          <cell r="AD484">
            <v>50</v>
          </cell>
          <cell r="AE484">
            <v>15</v>
          </cell>
          <cell r="AF484">
            <v>305</v>
          </cell>
          <cell r="AG484">
            <v>205</v>
          </cell>
          <cell r="AH484">
            <v>160</v>
          </cell>
          <cell r="AI484">
            <v>30</v>
          </cell>
          <cell r="AJ484">
            <v>15</v>
          </cell>
          <cell r="AK484">
            <v>100</v>
          </cell>
          <cell r="AL484">
            <v>80</v>
          </cell>
          <cell r="AM484">
            <v>15</v>
          </cell>
          <cell r="AN484">
            <v>10</v>
          </cell>
          <cell r="AO484">
            <v>1125</v>
          </cell>
          <cell r="AP484">
            <v>205</v>
          </cell>
          <cell r="AQ484">
            <v>355</v>
          </cell>
          <cell r="AR484">
            <v>155</v>
          </cell>
          <cell r="AS484">
            <v>250</v>
          </cell>
          <cell r="AT484">
            <v>165</v>
          </cell>
          <cell r="AU484">
            <v>0.8</v>
          </cell>
          <cell r="AV484">
            <v>4775</v>
          </cell>
          <cell r="AW484">
            <v>1260</v>
          </cell>
          <cell r="AX484">
            <v>155</v>
          </cell>
          <cell r="AY484">
            <v>205</v>
          </cell>
          <cell r="AZ484">
            <v>905</v>
          </cell>
          <cell r="BA484">
            <v>3510</v>
          </cell>
          <cell r="BB484">
            <v>2.6</v>
          </cell>
          <cell r="BC484">
            <v>825</v>
          </cell>
          <cell r="BD484">
            <v>360</v>
          </cell>
          <cell r="BE484">
            <v>50</v>
          </cell>
          <cell r="BF484">
            <v>25</v>
          </cell>
          <cell r="BG484">
            <v>285</v>
          </cell>
          <cell r="BH484">
            <v>465</v>
          </cell>
          <cell r="BI484">
            <v>2355</v>
          </cell>
          <cell r="BJ484">
            <v>4.7</v>
          </cell>
          <cell r="BK484">
            <v>11068.5</v>
          </cell>
          <cell r="BL484">
            <v>2</v>
          </cell>
          <cell r="BM484">
            <v>4710</v>
          </cell>
          <cell r="BN484">
            <v>2360</v>
          </cell>
          <cell r="BO484">
            <v>915</v>
          </cell>
          <cell r="BP484">
            <v>1450</v>
          </cell>
          <cell r="BQ484">
            <v>0</v>
          </cell>
          <cell r="BR484">
            <v>2355</v>
          </cell>
          <cell r="BS484">
            <v>1405</v>
          </cell>
          <cell r="BT484">
            <v>730</v>
          </cell>
          <cell r="BU484">
            <v>225</v>
          </cell>
          <cell r="BV484">
            <v>2355</v>
          </cell>
          <cell r="BW484">
            <v>560</v>
          </cell>
          <cell r="BX484">
            <v>1190</v>
          </cell>
          <cell r="BY484">
            <v>285</v>
          </cell>
          <cell r="BZ484">
            <v>140</v>
          </cell>
          <cell r="CA484">
            <v>55</v>
          </cell>
          <cell r="CB484">
            <v>50</v>
          </cell>
          <cell r="CC484">
            <v>40</v>
          </cell>
          <cell r="CD484">
            <v>10</v>
          </cell>
          <cell r="CE484">
            <v>20</v>
          </cell>
          <cell r="CF484">
            <v>2355</v>
          </cell>
          <cell r="CG484">
            <v>80</v>
          </cell>
          <cell r="CH484">
            <v>20</v>
          </cell>
          <cell r="CI484">
            <v>15</v>
          </cell>
          <cell r="CJ484">
            <v>850</v>
          </cell>
          <cell r="CK484">
            <v>5</v>
          </cell>
          <cell r="CL484">
            <v>1360</v>
          </cell>
          <cell r="CM484">
            <v>30</v>
          </cell>
          <cell r="CN484">
            <v>0</v>
          </cell>
          <cell r="CO484">
            <v>2360</v>
          </cell>
          <cell r="CP484">
            <v>905</v>
          </cell>
          <cell r="CQ484">
            <v>840</v>
          </cell>
          <cell r="CR484">
            <v>355</v>
          </cell>
          <cell r="CS484">
            <v>240</v>
          </cell>
          <cell r="CT484">
            <v>15</v>
          </cell>
          <cell r="CU484">
            <v>4775</v>
          </cell>
          <cell r="CV484">
            <v>2</v>
          </cell>
          <cell r="CW484">
            <v>2360</v>
          </cell>
          <cell r="CX484">
            <v>1340</v>
          </cell>
          <cell r="CY484">
            <v>10</v>
          </cell>
          <cell r="CZ484">
            <v>1015</v>
          </cell>
        </row>
        <row r="485">
          <cell r="A485" t="str">
            <v>4620090.00</v>
          </cell>
          <cell r="B485" t="str">
            <v>0090.00</v>
          </cell>
          <cell r="C485" t="str">
            <v>Sud-Ouest</v>
          </cell>
          <cell r="D485">
            <v>3755</v>
          </cell>
          <cell r="E485">
            <v>1595</v>
          </cell>
          <cell r="F485">
            <v>1350</v>
          </cell>
          <cell r="G485">
            <v>85</v>
          </cell>
          <cell r="H485">
            <v>415</v>
          </cell>
          <cell r="I485">
            <v>310</v>
          </cell>
          <cell r="J485">
            <v>3755</v>
          </cell>
          <cell r="K485">
            <v>3260</v>
          </cell>
          <cell r="L485">
            <v>495</v>
          </cell>
          <cell r="M485">
            <v>1175</v>
          </cell>
          <cell r="N485">
            <v>645</v>
          </cell>
          <cell r="O485">
            <v>280</v>
          </cell>
          <cell r="P485">
            <v>185</v>
          </cell>
          <cell r="Q485">
            <v>60</v>
          </cell>
          <cell r="R485">
            <v>1175</v>
          </cell>
          <cell r="S485">
            <v>910</v>
          </cell>
          <cell r="T485">
            <v>660</v>
          </cell>
          <cell r="U485">
            <v>295</v>
          </cell>
          <cell r="V485">
            <v>365</v>
          </cell>
          <cell r="W485">
            <v>195</v>
          </cell>
          <cell r="X485">
            <v>135</v>
          </cell>
          <cell r="Y485">
            <v>30</v>
          </cell>
          <cell r="Z485">
            <v>250</v>
          </cell>
          <cell r="AA485">
            <v>160</v>
          </cell>
          <cell r="AB485">
            <v>85</v>
          </cell>
          <cell r="AC485">
            <v>25</v>
          </cell>
          <cell r="AD485">
            <v>35</v>
          </cell>
          <cell r="AE485">
            <v>20</v>
          </cell>
          <cell r="AF485">
            <v>270</v>
          </cell>
          <cell r="AG485">
            <v>225</v>
          </cell>
          <cell r="AH485">
            <v>165</v>
          </cell>
          <cell r="AI485">
            <v>45</v>
          </cell>
          <cell r="AJ485">
            <v>20</v>
          </cell>
          <cell r="AK485">
            <v>45</v>
          </cell>
          <cell r="AL485">
            <v>30</v>
          </cell>
          <cell r="AM485">
            <v>15</v>
          </cell>
          <cell r="AN485">
            <v>0</v>
          </cell>
          <cell r="AO485">
            <v>1140</v>
          </cell>
          <cell r="AP485">
            <v>245</v>
          </cell>
          <cell r="AQ485">
            <v>375</v>
          </cell>
          <cell r="AR485">
            <v>125</v>
          </cell>
          <cell r="AS485">
            <v>225</v>
          </cell>
          <cell r="AT485">
            <v>170</v>
          </cell>
          <cell r="AU485">
            <v>1</v>
          </cell>
          <cell r="AV485">
            <v>4360</v>
          </cell>
          <cell r="AW485">
            <v>1135</v>
          </cell>
          <cell r="AX485">
            <v>95</v>
          </cell>
          <cell r="AY485">
            <v>200</v>
          </cell>
          <cell r="AZ485">
            <v>845</v>
          </cell>
          <cell r="BA485">
            <v>3225</v>
          </cell>
          <cell r="BB485">
            <v>2.7</v>
          </cell>
          <cell r="BC485">
            <v>780</v>
          </cell>
          <cell r="BD485">
            <v>360</v>
          </cell>
          <cell r="BE485">
            <v>35</v>
          </cell>
          <cell r="BF485">
            <v>35</v>
          </cell>
          <cell r="BG485">
            <v>285</v>
          </cell>
          <cell r="BH485">
            <v>420</v>
          </cell>
          <cell r="BI485">
            <v>2105</v>
          </cell>
          <cell r="BJ485">
            <v>4.5999999999999996</v>
          </cell>
          <cell r="BK485">
            <v>9683</v>
          </cell>
          <cell r="BL485">
            <v>2</v>
          </cell>
          <cell r="BM485">
            <v>4210</v>
          </cell>
          <cell r="BN485">
            <v>2100</v>
          </cell>
          <cell r="BO485">
            <v>740</v>
          </cell>
          <cell r="BP485">
            <v>1365</v>
          </cell>
          <cell r="BQ485">
            <v>0</v>
          </cell>
          <cell r="BR485">
            <v>2100</v>
          </cell>
          <cell r="BS485">
            <v>1220</v>
          </cell>
          <cell r="BT485">
            <v>715</v>
          </cell>
          <cell r="BU485">
            <v>165</v>
          </cell>
          <cell r="BV485">
            <v>2100</v>
          </cell>
          <cell r="BW485">
            <v>295</v>
          </cell>
          <cell r="BX485">
            <v>900</v>
          </cell>
          <cell r="BY485">
            <v>440</v>
          </cell>
          <cell r="BZ485">
            <v>205</v>
          </cell>
          <cell r="CA485">
            <v>135</v>
          </cell>
          <cell r="CB485">
            <v>95</v>
          </cell>
          <cell r="CC485">
            <v>20</v>
          </cell>
          <cell r="CD485">
            <v>0</v>
          </cell>
          <cell r="CE485">
            <v>10</v>
          </cell>
          <cell r="CF485">
            <v>2105</v>
          </cell>
          <cell r="CG485">
            <v>120</v>
          </cell>
          <cell r="CH485">
            <v>30</v>
          </cell>
          <cell r="CI485">
            <v>75</v>
          </cell>
          <cell r="CJ485">
            <v>1150</v>
          </cell>
          <cell r="CK485">
            <v>70</v>
          </cell>
          <cell r="CL485">
            <v>655</v>
          </cell>
          <cell r="CM485">
            <v>5</v>
          </cell>
          <cell r="CN485">
            <v>0</v>
          </cell>
          <cell r="CO485">
            <v>2105</v>
          </cell>
          <cell r="CP485">
            <v>845</v>
          </cell>
          <cell r="CQ485">
            <v>665</v>
          </cell>
          <cell r="CR485">
            <v>305</v>
          </cell>
          <cell r="CS485">
            <v>260</v>
          </cell>
          <cell r="CT485">
            <v>25</v>
          </cell>
          <cell r="CU485">
            <v>4360</v>
          </cell>
          <cell r="CV485">
            <v>2.1</v>
          </cell>
          <cell r="CW485">
            <v>2105</v>
          </cell>
          <cell r="CX485">
            <v>1135</v>
          </cell>
          <cell r="CY485">
            <v>25</v>
          </cell>
          <cell r="CZ485">
            <v>945</v>
          </cell>
        </row>
        <row r="486">
          <cell r="A486" t="str">
            <v>4620092.00</v>
          </cell>
          <cell r="B486" t="str">
            <v>0092.00</v>
          </cell>
          <cell r="C486" t="str">
            <v>Sud-Ouest</v>
          </cell>
          <cell r="D486">
            <v>5435</v>
          </cell>
          <cell r="E486">
            <v>2265</v>
          </cell>
          <cell r="F486">
            <v>1925</v>
          </cell>
          <cell r="G486">
            <v>150</v>
          </cell>
          <cell r="H486">
            <v>590</v>
          </cell>
          <cell r="I486">
            <v>510</v>
          </cell>
          <cell r="J486">
            <v>5440</v>
          </cell>
          <cell r="K486">
            <v>4720</v>
          </cell>
          <cell r="L486">
            <v>720</v>
          </cell>
          <cell r="M486">
            <v>1705</v>
          </cell>
          <cell r="N486">
            <v>910</v>
          </cell>
          <cell r="O486">
            <v>470</v>
          </cell>
          <cell r="P486">
            <v>255</v>
          </cell>
          <cell r="Q486">
            <v>70</v>
          </cell>
          <cell r="R486">
            <v>1705</v>
          </cell>
          <cell r="S486">
            <v>1290</v>
          </cell>
          <cell r="T486">
            <v>925</v>
          </cell>
          <cell r="U486">
            <v>440</v>
          </cell>
          <cell r="V486">
            <v>485</v>
          </cell>
          <cell r="W486">
            <v>235</v>
          </cell>
          <cell r="X486">
            <v>195</v>
          </cell>
          <cell r="Y486">
            <v>55</v>
          </cell>
          <cell r="Z486">
            <v>360</v>
          </cell>
          <cell r="AA486">
            <v>205</v>
          </cell>
          <cell r="AB486">
            <v>155</v>
          </cell>
          <cell r="AC486">
            <v>110</v>
          </cell>
          <cell r="AD486">
            <v>35</v>
          </cell>
          <cell r="AE486">
            <v>10</v>
          </cell>
          <cell r="AF486">
            <v>415</v>
          </cell>
          <cell r="AG486">
            <v>360</v>
          </cell>
          <cell r="AH486">
            <v>230</v>
          </cell>
          <cell r="AI486">
            <v>100</v>
          </cell>
          <cell r="AJ486">
            <v>25</v>
          </cell>
          <cell r="AK486">
            <v>55</v>
          </cell>
          <cell r="AL486">
            <v>30</v>
          </cell>
          <cell r="AM486">
            <v>25</v>
          </cell>
          <cell r="AN486">
            <v>0</v>
          </cell>
          <cell r="AO486">
            <v>1610</v>
          </cell>
          <cell r="AP486">
            <v>285</v>
          </cell>
          <cell r="AQ486">
            <v>500</v>
          </cell>
          <cell r="AR486">
            <v>200</v>
          </cell>
          <cell r="AS486">
            <v>340</v>
          </cell>
          <cell r="AT486">
            <v>285</v>
          </cell>
          <cell r="AU486">
            <v>0.9</v>
          </cell>
          <cell r="AV486">
            <v>6015</v>
          </cell>
          <cell r="AW486">
            <v>1415</v>
          </cell>
          <cell r="AX486">
            <v>75</v>
          </cell>
          <cell r="AY486">
            <v>295</v>
          </cell>
          <cell r="AZ486">
            <v>1040</v>
          </cell>
          <cell r="BA486">
            <v>4605</v>
          </cell>
          <cell r="BB486">
            <v>2.7</v>
          </cell>
          <cell r="BC486">
            <v>1045</v>
          </cell>
          <cell r="BD486">
            <v>455</v>
          </cell>
          <cell r="BE486">
            <v>30</v>
          </cell>
          <cell r="BF486">
            <v>10</v>
          </cell>
          <cell r="BG486">
            <v>420</v>
          </cell>
          <cell r="BH486">
            <v>590</v>
          </cell>
          <cell r="BI486">
            <v>2810</v>
          </cell>
          <cell r="BJ486">
            <v>4.8</v>
          </cell>
          <cell r="BK486">
            <v>13488</v>
          </cell>
          <cell r="BL486">
            <v>2</v>
          </cell>
          <cell r="BM486">
            <v>5620</v>
          </cell>
          <cell r="BN486">
            <v>2810</v>
          </cell>
          <cell r="BO486">
            <v>990</v>
          </cell>
          <cell r="BP486">
            <v>1815</v>
          </cell>
          <cell r="BQ486">
            <v>0</v>
          </cell>
          <cell r="BR486">
            <v>2810</v>
          </cell>
          <cell r="BS486">
            <v>1790</v>
          </cell>
          <cell r="BT486">
            <v>775</v>
          </cell>
          <cell r="BU486">
            <v>245</v>
          </cell>
          <cell r="BV486">
            <v>2805</v>
          </cell>
          <cell r="BW486">
            <v>665</v>
          </cell>
          <cell r="BX486">
            <v>1115</v>
          </cell>
          <cell r="BY486">
            <v>400</v>
          </cell>
          <cell r="BZ486">
            <v>155</v>
          </cell>
          <cell r="CA486">
            <v>230</v>
          </cell>
          <cell r="CB486">
            <v>130</v>
          </cell>
          <cell r="CC486">
            <v>55</v>
          </cell>
          <cell r="CD486">
            <v>25</v>
          </cell>
          <cell r="CE486">
            <v>30</v>
          </cell>
          <cell r="CF486">
            <v>2810</v>
          </cell>
          <cell r="CG486">
            <v>30</v>
          </cell>
          <cell r="CH486">
            <v>25</v>
          </cell>
          <cell r="CI486">
            <v>345</v>
          </cell>
          <cell r="CJ486">
            <v>1760</v>
          </cell>
          <cell r="CK486">
            <v>105</v>
          </cell>
          <cell r="CL486">
            <v>515</v>
          </cell>
          <cell r="CM486">
            <v>0</v>
          </cell>
          <cell r="CN486">
            <v>25</v>
          </cell>
          <cell r="CO486">
            <v>2810</v>
          </cell>
          <cell r="CP486">
            <v>1045</v>
          </cell>
          <cell r="CQ486">
            <v>900</v>
          </cell>
          <cell r="CR486">
            <v>455</v>
          </cell>
          <cell r="CS486">
            <v>370</v>
          </cell>
          <cell r="CT486">
            <v>35</v>
          </cell>
          <cell r="CU486">
            <v>6020</v>
          </cell>
          <cell r="CV486">
            <v>2.1</v>
          </cell>
          <cell r="CW486">
            <v>2810</v>
          </cell>
          <cell r="CX486">
            <v>1600</v>
          </cell>
          <cell r="CY486">
            <v>50</v>
          </cell>
          <cell r="CZ486">
            <v>1160</v>
          </cell>
        </row>
        <row r="487">
          <cell r="A487" t="str">
            <v>4620093.00</v>
          </cell>
          <cell r="B487" t="str">
            <v>0093.00</v>
          </cell>
          <cell r="C487" t="str">
            <v>Sud-Ouest</v>
          </cell>
          <cell r="D487">
            <v>2865</v>
          </cell>
          <cell r="E487">
            <v>1535</v>
          </cell>
          <cell r="F487">
            <v>820</v>
          </cell>
          <cell r="G487">
            <v>70</v>
          </cell>
          <cell r="H487">
            <v>280</v>
          </cell>
          <cell r="I487">
            <v>155</v>
          </cell>
          <cell r="J487">
            <v>2865</v>
          </cell>
          <cell r="K487">
            <v>2350</v>
          </cell>
          <cell r="L487">
            <v>515</v>
          </cell>
          <cell r="M487">
            <v>920</v>
          </cell>
          <cell r="N487">
            <v>525</v>
          </cell>
          <cell r="O487">
            <v>210</v>
          </cell>
          <cell r="P487">
            <v>155</v>
          </cell>
          <cell r="Q487">
            <v>35</v>
          </cell>
          <cell r="R487">
            <v>925</v>
          </cell>
          <cell r="S487">
            <v>665</v>
          </cell>
          <cell r="T487">
            <v>385</v>
          </cell>
          <cell r="U487">
            <v>205</v>
          </cell>
          <cell r="V487">
            <v>180</v>
          </cell>
          <cell r="W487">
            <v>70</v>
          </cell>
          <cell r="X487">
            <v>85</v>
          </cell>
          <cell r="Y487">
            <v>20</v>
          </cell>
          <cell r="Z487">
            <v>275</v>
          </cell>
          <cell r="AA487">
            <v>150</v>
          </cell>
          <cell r="AB487">
            <v>125</v>
          </cell>
          <cell r="AC487">
            <v>75</v>
          </cell>
          <cell r="AD487">
            <v>45</v>
          </cell>
          <cell r="AE487">
            <v>10</v>
          </cell>
          <cell r="AF487">
            <v>255</v>
          </cell>
          <cell r="AG487">
            <v>200</v>
          </cell>
          <cell r="AH487">
            <v>115</v>
          </cell>
          <cell r="AI487">
            <v>65</v>
          </cell>
          <cell r="AJ487">
            <v>15</v>
          </cell>
          <cell r="AK487">
            <v>55</v>
          </cell>
          <cell r="AL487">
            <v>55</v>
          </cell>
          <cell r="AM487">
            <v>10</v>
          </cell>
          <cell r="AN487">
            <v>0</v>
          </cell>
          <cell r="AO487">
            <v>880</v>
          </cell>
          <cell r="AP487">
            <v>225</v>
          </cell>
          <cell r="AQ487">
            <v>270</v>
          </cell>
          <cell r="AR487">
            <v>130</v>
          </cell>
          <cell r="AS487">
            <v>170</v>
          </cell>
          <cell r="AT487">
            <v>80</v>
          </cell>
          <cell r="AU487">
            <v>1</v>
          </cell>
          <cell r="AV487">
            <v>3300</v>
          </cell>
          <cell r="AW487">
            <v>835</v>
          </cell>
          <cell r="AX487">
            <v>120</v>
          </cell>
          <cell r="AY487">
            <v>130</v>
          </cell>
          <cell r="AZ487">
            <v>590</v>
          </cell>
          <cell r="BA487">
            <v>2470</v>
          </cell>
          <cell r="BB487">
            <v>2.7</v>
          </cell>
          <cell r="BC487">
            <v>350</v>
          </cell>
          <cell r="BD487">
            <v>160</v>
          </cell>
          <cell r="BE487">
            <v>25</v>
          </cell>
          <cell r="BF487">
            <v>0</v>
          </cell>
          <cell r="BG487">
            <v>125</v>
          </cell>
          <cell r="BH487">
            <v>190</v>
          </cell>
          <cell r="BI487">
            <v>1555</v>
          </cell>
          <cell r="BJ487">
            <v>4.5999999999999996</v>
          </cell>
          <cell r="BK487">
            <v>7152.9999999999991</v>
          </cell>
          <cell r="BL487">
            <v>2</v>
          </cell>
          <cell r="BM487">
            <v>3110</v>
          </cell>
          <cell r="BN487">
            <v>1555</v>
          </cell>
          <cell r="BO487">
            <v>540</v>
          </cell>
          <cell r="BP487">
            <v>1015</v>
          </cell>
          <cell r="BQ487">
            <v>0</v>
          </cell>
          <cell r="BR487">
            <v>1555</v>
          </cell>
          <cell r="BS487">
            <v>805</v>
          </cell>
          <cell r="BT487">
            <v>585</v>
          </cell>
          <cell r="BU487">
            <v>165</v>
          </cell>
          <cell r="BV487">
            <v>1555</v>
          </cell>
          <cell r="BW487">
            <v>545</v>
          </cell>
          <cell r="BX487">
            <v>405</v>
          </cell>
          <cell r="BY487">
            <v>150</v>
          </cell>
          <cell r="BZ487">
            <v>165</v>
          </cell>
          <cell r="CA487">
            <v>95</v>
          </cell>
          <cell r="CB487">
            <v>50</v>
          </cell>
          <cell r="CC487">
            <v>30</v>
          </cell>
          <cell r="CD487">
            <v>80</v>
          </cell>
          <cell r="CE487">
            <v>30</v>
          </cell>
          <cell r="CF487">
            <v>1555</v>
          </cell>
          <cell r="CG487">
            <v>5</v>
          </cell>
          <cell r="CH487">
            <v>10</v>
          </cell>
          <cell r="CI487">
            <v>100</v>
          </cell>
          <cell r="CJ487">
            <v>875</v>
          </cell>
          <cell r="CK487">
            <v>10</v>
          </cell>
          <cell r="CL487">
            <v>535</v>
          </cell>
          <cell r="CM487">
            <v>0</v>
          </cell>
          <cell r="CN487">
            <v>15</v>
          </cell>
          <cell r="CO487">
            <v>1555</v>
          </cell>
          <cell r="CP487">
            <v>595</v>
          </cell>
          <cell r="CQ487">
            <v>510</v>
          </cell>
          <cell r="CR487">
            <v>215</v>
          </cell>
          <cell r="CS487">
            <v>220</v>
          </cell>
          <cell r="CT487">
            <v>20</v>
          </cell>
          <cell r="CU487">
            <v>3325</v>
          </cell>
          <cell r="CV487">
            <v>2.1</v>
          </cell>
          <cell r="CW487">
            <v>1555</v>
          </cell>
          <cell r="CX487">
            <v>865</v>
          </cell>
          <cell r="CY487">
            <v>30</v>
          </cell>
          <cell r="CZ487">
            <v>665</v>
          </cell>
        </row>
        <row r="488">
          <cell r="C488" t="str">
            <v>Sud-Ouest</v>
          </cell>
          <cell r="D488">
            <v>58665</v>
          </cell>
          <cell r="E488">
            <v>30525</v>
          </cell>
          <cell r="F488">
            <v>16170</v>
          </cell>
          <cell r="G488">
            <v>1610</v>
          </cell>
          <cell r="H488">
            <v>6435</v>
          </cell>
          <cell r="I488">
            <v>3930</v>
          </cell>
          <cell r="J488">
            <v>58685</v>
          </cell>
          <cell r="K488">
            <v>49365</v>
          </cell>
          <cell r="L488">
            <v>9340</v>
          </cell>
          <cell r="M488">
            <v>17410</v>
          </cell>
          <cell r="N488">
            <v>9725</v>
          </cell>
          <cell r="O488">
            <v>4065</v>
          </cell>
          <cell r="P488">
            <v>2385</v>
          </cell>
          <cell r="Q488">
            <v>1215</v>
          </cell>
          <cell r="R488">
            <v>17410</v>
          </cell>
          <cell r="S488">
            <v>12480</v>
          </cell>
          <cell r="T488">
            <v>7760</v>
          </cell>
          <cell r="U488">
            <v>3665</v>
          </cell>
          <cell r="V488">
            <v>4100</v>
          </cell>
          <cell r="W488">
            <v>1860</v>
          </cell>
          <cell r="X488">
            <v>1475</v>
          </cell>
          <cell r="Y488">
            <v>745</v>
          </cell>
          <cell r="Z488">
            <v>4690</v>
          </cell>
          <cell r="AA488">
            <v>2920</v>
          </cell>
          <cell r="AB488">
            <v>1755</v>
          </cell>
          <cell r="AC488">
            <v>1055</v>
          </cell>
          <cell r="AD488">
            <v>465</v>
          </cell>
          <cell r="AE488">
            <v>225</v>
          </cell>
          <cell r="AF488">
            <v>4910</v>
          </cell>
          <cell r="AG488">
            <v>4070</v>
          </cell>
          <cell r="AH488">
            <v>2470</v>
          </cell>
          <cell r="AI488">
            <v>990</v>
          </cell>
          <cell r="AJ488">
            <v>585</v>
          </cell>
          <cell r="AK488">
            <v>830</v>
          </cell>
          <cell r="AL488">
            <v>645</v>
          </cell>
          <cell r="AM488">
            <v>145</v>
          </cell>
          <cell r="AN488">
            <v>50</v>
          </cell>
          <cell r="AO488">
            <v>18015</v>
          </cell>
          <cell r="AP488">
            <v>4260</v>
          </cell>
          <cell r="AQ488">
            <v>6210</v>
          </cell>
          <cell r="AR488">
            <v>2100</v>
          </cell>
          <cell r="AS488">
            <v>3450</v>
          </cell>
          <cell r="AT488">
            <v>1995</v>
          </cell>
          <cell r="AU488">
            <v>1.0347501435956348</v>
          </cell>
          <cell r="AV488">
            <v>68030</v>
          </cell>
          <cell r="AW488">
            <v>20115</v>
          </cell>
          <cell r="AX488">
            <v>2160</v>
          </cell>
          <cell r="AY488">
            <v>4215</v>
          </cell>
          <cell r="AZ488">
            <v>13720</v>
          </cell>
          <cell r="BA488">
            <v>47910</v>
          </cell>
          <cell r="BB488">
            <v>2.7518667432510053</v>
          </cell>
          <cell r="BC488">
            <v>8365</v>
          </cell>
          <cell r="BD488">
            <v>4180</v>
          </cell>
          <cell r="BE488">
            <v>475</v>
          </cell>
          <cell r="BF488">
            <v>185</v>
          </cell>
          <cell r="BG488">
            <v>3515</v>
          </cell>
          <cell r="BH488">
            <v>4200</v>
          </cell>
          <cell r="BI488">
            <v>33020</v>
          </cell>
          <cell r="BJ488">
            <v>4.5381889763779526</v>
          </cell>
          <cell r="BK488">
            <v>149851</v>
          </cell>
          <cell r="BL488">
            <v>1.9176862507571169</v>
          </cell>
          <cell r="BM488">
            <v>63322</v>
          </cell>
          <cell r="BN488">
            <v>33010</v>
          </cell>
          <cell r="BO488">
            <v>9250</v>
          </cell>
          <cell r="BP488">
            <v>23770</v>
          </cell>
          <cell r="BQ488">
            <v>0</v>
          </cell>
          <cell r="BR488">
            <v>33010</v>
          </cell>
          <cell r="BS488">
            <v>19500</v>
          </cell>
          <cell r="BT488">
            <v>10070</v>
          </cell>
          <cell r="BU488">
            <v>3445</v>
          </cell>
          <cell r="BV488">
            <v>32995</v>
          </cell>
          <cell r="BW488">
            <v>11115</v>
          </cell>
          <cell r="BX488">
            <v>7710</v>
          </cell>
          <cell r="BY488">
            <v>3305</v>
          </cell>
          <cell r="BZ488">
            <v>2870</v>
          </cell>
          <cell r="CA488">
            <v>2490</v>
          </cell>
          <cell r="CB488">
            <v>2330</v>
          </cell>
          <cell r="CC488">
            <v>1020</v>
          </cell>
          <cell r="CD488">
            <v>635</v>
          </cell>
          <cell r="CE488">
            <v>1490</v>
          </cell>
          <cell r="CF488">
            <v>33035</v>
          </cell>
          <cell r="CG488">
            <v>475</v>
          </cell>
          <cell r="CH488">
            <v>345</v>
          </cell>
          <cell r="CI488">
            <v>2005</v>
          </cell>
          <cell r="CJ488">
            <v>7365</v>
          </cell>
          <cell r="CK488">
            <v>2335</v>
          </cell>
          <cell r="CL488">
            <v>20205</v>
          </cell>
          <cell r="CM488">
            <v>260</v>
          </cell>
          <cell r="CN488">
            <v>45</v>
          </cell>
          <cell r="CO488">
            <v>33005</v>
          </cell>
          <cell r="CP488">
            <v>13745</v>
          </cell>
          <cell r="CQ488">
            <v>10425</v>
          </cell>
          <cell r="CR488">
            <v>4520</v>
          </cell>
          <cell r="CS488">
            <v>3730</v>
          </cell>
          <cell r="CT488">
            <v>585</v>
          </cell>
          <cell r="CU488">
            <v>68080</v>
          </cell>
          <cell r="CV488">
            <v>2.0627177700348431</v>
          </cell>
          <cell r="CW488">
            <v>33010</v>
          </cell>
          <cell r="CX488">
            <v>16720</v>
          </cell>
          <cell r="CY488">
            <v>320</v>
          </cell>
          <cell r="CZ488">
            <v>15955</v>
          </cell>
        </row>
        <row r="491">
          <cell r="A491" t="str">
            <v>4620300.00</v>
          </cell>
          <cell r="B491" t="str">
            <v>0300.00</v>
          </cell>
          <cell r="C491" t="str">
            <v>Verdun</v>
          </cell>
          <cell r="D491">
            <v>2390</v>
          </cell>
          <cell r="E491">
            <v>1205</v>
          </cell>
          <cell r="F491">
            <v>660</v>
          </cell>
          <cell r="G491">
            <v>65</v>
          </cell>
          <cell r="H491">
            <v>255</v>
          </cell>
          <cell r="I491">
            <v>205</v>
          </cell>
          <cell r="J491">
            <v>2390</v>
          </cell>
          <cell r="K491">
            <v>2065</v>
          </cell>
          <cell r="L491">
            <v>330</v>
          </cell>
          <cell r="M491">
            <v>590</v>
          </cell>
          <cell r="N491">
            <v>330</v>
          </cell>
          <cell r="O491">
            <v>140</v>
          </cell>
          <cell r="P491">
            <v>85</v>
          </cell>
          <cell r="Q491">
            <v>30</v>
          </cell>
          <cell r="R491">
            <v>585</v>
          </cell>
          <cell r="S491">
            <v>465</v>
          </cell>
          <cell r="T491">
            <v>305</v>
          </cell>
          <cell r="U491">
            <v>125</v>
          </cell>
          <cell r="V491">
            <v>180</v>
          </cell>
          <cell r="W491">
            <v>115</v>
          </cell>
          <cell r="X491">
            <v>65</v>
          </cell>
          <cell r="Y491">
            <v>0</v>
          </cell>
          <cell r="Z491">
            <v>160</v>
          </cell>
          <cell r="AA491">
            <v>110</v>
          </cell>
          <cell r="AB491">
            <v>50</v>
          </cell>
          <cell r="AC491">
            <v>15</v>
          </cell>
          <cell r="AD491">
            <v>15</v>
          </cell>
          <cell r="AE491">
            <v>15</v>
          </cell>
          <cell r="AF491">
            <v>120</v>
          </cell>
          <cell r="AG491">
            <v>90</v>
          </cell>
          <cell r="AH491">
            <v>65</v>
          </cell>
          <cell r="AI491">
            <v>10</v>
          </cell>
          <cell r="AJ491">
            <v>10</v>
          </cell>
          <cell r="AK491">
            <v>25</v>
          </cell>
          <cell r="AL491">
            <v>30</v>
          </cell>
          <cell r="AM491">
            <v>0</v>
          </cell>
          <cell r="AN491">
            <v>0</v>
          </cell>
          <cell r="AO491">
            <v>530</v>
          </cell>
          <cell r="AP491">
            <v>195</v>
          </cell>
          <cell r="AQ491">
            <v>145</v>
          </cell>
          <cell r="AR491">
            <v>50</v>
          </cell>
          <cell r="AS491">
            <v>65</v>
          </cell>
          <cell r="AT491">
            <v>75</v>
          </cell>
          <cell r="AU491">
            <v>0.9</v>
          </cell>
          <cell r="AV491">
            <v>2405</v>
          </cell>
          <cell r="AW491">
            <v>825</v>
          </cell>
          <cell r="AX491">
            <v>50</v>
          </cell>
          <cell r="AY491">
            <v>215</v>
          </cell>
          <cell r="AZ491">
            <v>560</v>
          </cell>
          <cell r="BA491">
            <v>1585</v>
          </cell>
          <cell r="BB491">
            <v>2.7</v>
          </cell>
          <cell r="BC491">
            <v>210</v>
          </cell>
          <cell r="BD491">
            <v>155</v>
          </cell>
          <cell r="BE491">
            <v>15</v>
          </cell>
          <cell r="BF491">
            <v>0</v>
          </cell>
          <cell r="BG491">
            <v>145</v>
          </cell>
          <cell r="BH491">
            <v>50</v>
          </cell>
          <cell r="BI491">
            <v>1250</v>
          </cell>
          <cell r="BJ491">
            <v>3.9</v>
          </cell>
          <cell r="BK491">
            <v>4875</v>
          </cell>
          <cell r="BL491">
            <v>1.5</v>
          </cell>
          <cell r="BM491">
            <v>1875</v>
          </cell>
          <cell r="BN491">
            <v>1250</v>
          </cell>
          <cell r="BO491">
            <v>175</v>
          </cell>
          <cell r="BP491">
            <v>1080</v>
          </cell>
          <cell r="BQ491">
            <v>0</v>
          </cell>
          <cell r="BR491">
            <v>1255</v>
          </cell>
          <cell r="BS491">
            <v>785</v>
          </cell>
          <cell r="BT491">
            <v>310</v>
          </cell>
          <cell r="BU491">
            <v>155</v>
          </cell>
          <cell r="BV491">
            <v>1250</v>
          </cell>
          <cell r="BW491">
            <v>435</v>
          </cell>
          <cell r="BX491">
            <v>285</v>
          </cell>
          <cell r="BY491">
            <v>130</v>
          </cell>
          <cell r="BZ491">
            <v>85</v>
          </cell>
          <cell r="CA491">
            <v>55</v>
          </cell>
          <cell r="CB491">
            <v>35</v>
          </cell>
          <cell r="CC491">
            <v>50</v>
          </cell>
          <cell r="CD491">
            <v>20</v>
          </cell>
          <cell r="CE491">
            <v>155</v>
          </cell>
          <cell r="CF491">
            <v>1255</v>
          </cell>
          <cell r="CG491">
            <v>0</v>
          </cell>
          <cell r="CH491">
            <v>5</v>
          </cell>
          <cell r="CI491">
            <v>0</v>
          </cell>
          <cell r="CJ491">
            <v>115</v>
          </cell>
          <cell r="CK491">
            <v>120</v>
          </cell>
          <cell r="CL491">
            <v>1000</v>
          </cell>
          <cell r="CM491">
            <v>10</v>
          </cell>
          <cell r="CN491">
            <v>0</v>
          </cell>
          <cell r="CO491">
            <v>1255</v>
          </cell>
          <cell r="CP491">
            <v>560</v>
          </cell>
          <cell r="CQ491">
            <v>395</v>
          </cell>
          <cell r="CR491">
            <v>180</v>
          </cell>
          <cell r="CS491">
            <v>105</v>
          </cell>
          <cell r="CT491">
            <v>15</v>
          </cell>
          <cell r="CU491">
            <v>2405</v>
          </cell>
          <cell r="CV491">
            <v>1.9</v>
          </cell>
          <cell r="CW491">
            <v>1250</v>
          </cell>
          <cell r="CX491">
            <v>585</v>
          </cell>
          <cell r="CY491">
            <v>0</v>
          </cell>
          <cell r="CZ491">
            <v>665</v>
          </cell>
        </row>
        <row r="492">
          <cell r="A492" t="str">
            <v>4620301.00</v>
          </cell>
          <cell r="B492" t="str">
            <v>0301.00</v>
          </cell>
          <cell r="C492" t="str">
            <v>Verdun</v>
          </cell>
          <cell r="D492">
            <v>4375</v>
          </cell>
          <cell r="E492">
            <v>2410</v>
          </cell>
          <cell r="F492">
            <v>1175</v>
          </cell>
          <cell r="G492">
            <v>105</v>
          </cell>
          <cell r="H492">
            <v>440</v>
          </cell>
          <cell r="I492">
            <v>245</v>
          </cell>
          <cell r="J492">
            <v>4375</v>
          </cell>
          <cell r="K492">
            <v>3525</v>
          </cell>
          <cell r="L492">
            <v>850</v>
          </cell>
          <cell r="M492">
            <v>1295</v>
          </cell>
          <cell r="N492">
            <v>775</v>
          </cell>
          <cell r="O492">
            <v>305</v>
          </cell>
          <cell r="P492">
            <v>165</v>
          </cell>
          <cell r="Q492">
            <v>50</v>
          </cell>
          <cell r="R492">
            <v>1295</v>
          </cell>
          <cell r="S492">
            <v>1000</v>
          </cell>
          <cell r="T492">
            <v>580</v>
          </cell>
          <cell r="U492">
            <v>270</v>
          </cell>
          <cell r="V492">
            <v>310</v>
          </cell>
          <cell r="W492">
            <v>185</v>
          </cell>
          <cell r="X492">
            <v>95</v>
          </cell>
          <cell r="Y492">
            <v>30</v>
          </cell>
          <cell r="Z492">
            <v>420</v>
          </cell>
          <cell r="AA492">
            <v>300</v>
          </cell>
          <cell r="AB492">
            <v>120</v>
          </cell>
          <cell r="AC492">
            <v>70</v>
          </cell>
          <cell r="AD492">
            <v>50</v>
          </cell>
          <cell r="AE492">
            <v>10</v>
          </cell>
          <cell r="AF492">
            <v>290</v>
          </cell>
          <cell r="AG492">
            <v>250</v>
          </cell>
          <cell r="AH492">
            <v>175</v>
          </cell>
          <cell r="AI492">
            <v>50</v>
          </cell>
          <cell r="AJ492">
            <v>30</v>
          </cell>
          <cell r="AK492">
            <v>40</v>
          </cell>
          <cell r="AL492">
            <v>35</v>
          </cell>
          <cell r="AM492">
            <v>10</v>
          </cell>
          <cell r="AN492">
            <v>0</v>
          </cell>
          <cell r="AO492">
            <v>1100</v>
          </cell>
          <cell r="AP492">
            <v>260</v>
          </cell>
          <cell r="AQ492">
            <v>360</v>
          </cell>
          <cell r="AR492">
            <v>120</v>
          </cell>
          <cell r="AS492">
            <v>175</v>
          </cell>
          <cell r="AT492">
            <v>180</v>
          </cell>
          <cell r="AU492">
            <v>0.8</v>
          </cell>
          <cell r="AV492">
            <v>4970</v>
          </cell>
          <cell r="AW492">
            <v>1585</v>
          </cell>
          <cell r="AX492">
            <v>125</v>
          </cell>
          <cell r="AY492">
            <v>390</v>
          </cell>
          <cell r="AZ492">
            <v>1070</v>
          </cell>
          <cell r="BA492">
            <v>3390</v>
          </cell>
          <cell r="BB492">
            <v>2.6</v>
          </cell>
          <cell r="BC492">
            <v>580</v>
          </cell>
          <cell r="BD492">
            <v>305</v>
          </cell>
          <cell r="BE492">
            <v>15</v>
          </cell>
          <cell r="BF492">
            <v>15</v>
          </cell>
          <cell r="BG492">
            <v>270</v>
          </cell>
          <cell r="BH492">
            <v>275</v>
          </cell>
          <cell r="BI492">
            <v>2535</v>
          </cell>
          <cell r="BJ492">
            <v>4.4000000000000004</v>
          </cell>
          <cell r="BK492">
            <v>11154</v>
          </cell>
          <cell r="BL492">
            <v>1.9</v>
          </cell>
          <cell r="BM492">
            <v>4816.5</v>
          </cell>
          <cell r="BN492">
            <v>2540</v>
          </cell>
          <cell r="BO492">
            <v>760</v>
          </cell>
          <cell r="BP492">
            <v>1775</v>
          </cell>
          <cell r="BQ492">
            <v>0</v>
          </cell>
          <cell r="BR492">
            <v>2535</v>
          </cell>
          <cell r="BS492">
            <v>1385</v>
          </cell>
          <cell r="BT492">
            <v>910</v>
          </cell>
          <cell r="BU492">
            <v>240</v>
          </cell>
          <cell r="BV492">
            <v>2535</v>
          </cell>
          <cell r="BW492">
            <v>970</v>
          </cell>
          <cell r="BX492">
            <v>430</v>
          </cell>
          <cell r="BY492">
            <v>205</v>
          </cell>
          <cell r="BZ492">
            <v>105</v>
          </cell>
          <cell r="CA492">
            <v>350</v>
          </cell>
          <cell r="CB492">
            <v>220</v>
          </cell>
          <cell r="CC492">
            <v>105</v>
          </cell>
          <cell r="CD492">
            <v>70</v>
          </cell>
          <cell r="CE492">
            <v>85</v>
          </cell>
          <cell r="CF492">
            <v>2535</v>
          </cell>
          <cell r="CG492">
            <v>10</v>
          </cell>
          <cell r="CH492">
            <v>110</v>
          </cell>
          <cell r="CI492">
            <v>35</v>
          </cell>
          <cell r="CJ492">
            <v>160</v>
          </cell>
          <cell r="CK492">
            <v>5</v>
          </cell>
          <cell r="CL492">
            <v>2210</v>
          </cell>
          <cell r="CM492">
            <v>10</v>
          </cell>
          <cell r="CN492">
            <v>0</v>
          </cell>
          <cell r="CO492">
            <v>2540</v>
          </cell>
          <cell r="CP492">
            <v>1070</v>
          </cell>
          <cell r="CQ492">
            <v>875</v>
          </cell>
          <cell r="CR492">
            <v>355</v>
          </cell>
          <cell r="CS492">
            <v>210</v>
          </cell>
          <cell r="CT492">
            <v>30</v>
          </cell>
          <cell r="CU492">
            <v>4975</v>
          </cell>
          <cell r="CV492">
            <v>2</v>
          </cell>
          <cell r="CW492">
            <v>2535</v>
          </cell>
          <cell r="CX492">
            <v>1295</v>
          </cell>
          <cell r="CY492">
            <v>0</v>
          </cell>
          <cell r="CZ492">
            <v>1240</v>
          </cell>
        </row>
        <row r="493">
          <cell r="A493" t="str">
            <v>4620302.00</v>
          </cell>
          <cell r="B493" t="str">
            <v>0302.00</v>
          </cell>
          <cell r="C493" t="str">
            <v>Verdun</v>
          </cell>
          <cell r="D493">
            <v>2555</v>
          </cell>
          <cell r="E493">
            <v>1485</v>
          </cell>
          <cell r="F493">
            <v>610</v>
          </cell>
          <cell r="G493">
            <v>60</v>
          </cell>
          <cell r="H493">
            <v>270</v>
          </cell>
          <cell r="I493">
            <v>130</v>
          </cell>
          <cell r="J493">
            <v>2555</v>
          </cell>
          <cell r="K493">
            <v>2030</v>
          </cell>
          <cell r="L493">
            <v>520</v>
          </cell>
          <cell r="M493">
            <v>795</v>
          </cell>
          <cell r="N493">
            <v>480</v>
          </cell>
          <cell r="O493">
            <v>180</v>
          </cell>
          <cell r="P493">
            <v>85</v>
          </cell>
          <cell r="Q493">
            <v>45</v>
          </cell>
          <cell r="R493">
            <v>795</v>
          </cell>
          <cell r="S493">
            <v>560</v>
          </cell>
          <cell r="T493">
            <v>295</v>
          </cell>
          <cell r="U493">
            <v>145</v>
          </cell>
          <cell r="V493">
            <v>150</v>
          </cell>
          <cell r="W493">
            <v>65</v>
          </cell>
          <cell r="X493">
            <v>45</v>
          </cell>
          <cell r="Y493">
            <v>40</v>
          </cell>
          <cell r="Z493">
            <v>265</v>
          </cell>
          <cell r="AA493">
            <v>175</v>
          </cell>
          <cell r="AB493">
            <v>90</v>
          </cell>
          <cell r="AC493">
            <v>80</v>
          </cell>
          <cell r="AD493">
            <v>15</v>
          </cell>
          <cell r="AE493">
            <v>0</v>
          </cell>
          <cell r="AF493">
            <v>235</v>
          </cell>
          <cell r="AG493">
            <v>205</v>
          </cell>
          <cell r="AH493">
            <v>155</v>
          </cell>
          <cell r="AI493">
            <v>20</v>
          </cell>
          <cell r="AJ493">
            <v>25</v>
          </cell>
          <cell r="AK493">
            <v>30</v>
          </cell>
          <cell r="AL493">
            <v>10</v>
          </cell>
          <cell r="AM493">
            <v>15</v>
          </cell>
          <cell r="AN493">
            <v>10</v>
          </cell>
          <cell r="AO493">
            <v>760</v>
          </cell>
          <cell r="AP493">
            <v>170</v>
          </cell>
          <cell r="AQ493">
            <v>295</v>
          </cell>
          <cell r="AR493">
            <v>90</v>
          </cell>
          <cell r="AS493">
            <v>115</v>
          </cell>
          <cell r="AT493">
            <v>90</v>
          </cell>
          <cell r="AU493">
            <v>1</v>
          </cell>
          <cell r="AV493">
            <v>3000</v>
          </cell>
          <cell r="AW493">
            <v>885</v>
          </cell>
          <cell r="AX493">
            <v>80</v>
          </cell>
          <cell r="AY493">
            <v>170</v>
          </cell>
          <cell r="AZ493">
            <v>635</v>
          </cell>
          <cell r="BA493">
            <v>2115</v>
          </cell>
          <cell r="BB493">
            <v>2.7</v>
          </cell>
          <cell r="BC493">
            <v>265</v>
          </cell>
          <cell r="BD493">
            <v>130</v>
          </cell>
          <cell r="BE493">
            <v>15</v>
          </cell>
          <cell r="BF493">
            <v>15</v>
          </cell>
          <cell r="BG493">
            <v>95</v>
          </cell>
          <cell r="BH493">
            <v>135</v>
          </cell>
          <cell r="BI493">
            <v>1500</v>
          </cell>
          <cell r="BJ493">
            <v>4.3</v>
          </cell>
          <cell r="BK493">
            <v>6450</v>
          </cell>
          <cell r="BL493">
            <v>1.7</v>
          </cell>
          <cell r="BM493">
            <v>2550</v>
          </cell>
          <cell r="BN493">
            <v>1500</v>
          </cell>
          <cell r="BO493">
            <v>285</v>
          </cell>
          <cell r="BP493">
            <v>1210</v>
          </cell>
          <cell r="BQ493">
            <v>0</v>
          </cell>
          <cell r="BR493">
            <v>1500</v>
          </cell>
          <cell r="BS493">
            <v>715</v>
          </cell>
          <cell r="BT493">
            <v>625</v>
          </cell>
          <cell r="BU493">
            <v>155</v>
          </cell>
          <cell r="BV493">
            <v>1500</v>
          </cell>
          <cell r="BW493">
            <v>830</v>
          </cell>
          <cell r="BX493">
            <v>265</v>
          </cell>
          <cell r="BY493">
            <v>185</v>
          </cell>
          <cell r="BZ493">
            <v>90</v>
          </cell>
          <cell r="CA493">
            <v>65</v>
          </cell>
          <cell r="CB493">
            <v>0</v>
          </cell>
          <cell r="CC493">
            <v>25</v>
          </cell>
          <cell r="CD493">
            <v>10</v>
          </cell>
          <cell r="CE493">
            <v>20</v>
          </cell>
          <cell r="CF493">
            <v>1500</v>
          </cell>
          <cell r="CG493">
            <v>10</v>
          </cell>
          <cell r="CH493">
            <v>15</v>
          </cell>
          <cell r="CI493">
            <v>15</v>
          </cell>
          <cell r="CJ493">
            <v>215</v>
          </cell>
          <cell r="CK493">
            <v>5</v>
          </cell>
          <cell r="CL493">
            <v>1240</v>
          </cell>
          <cell r="CM493">
            <v>5</v>
          </cell>
          <cell r="CN493">
            <v>0</v>
          </cell>
          <cell r="CO493">
            <v>1500</v>
          </cell>
          <cell r="CP493">
            <v>630</v>
          </cell>
          <cell r="CQ493">
            <v>495</v>
          </cell>
          <cell r="CR493">
            <v>220</v>
          </cell>
          <cell r="CS493">
            <v>140</v>
          </cell>
          <cell r="CT493">
            <v>20</v>
          </cell>
          <cell r="CU493">
            <v>3005</v>
          </cell>
          <cell r="CV493">
            <v>2</v>
          </cell>
          <cell r="CW493">
            <v>1500</v>
          </cell>
          <cell r="CX493">
            <v>795</v>
          </cell>
          <cell r="CY493">
            <v>0</v>
          </cell>
          <cell r="CZ493">
            <v>710</v>
          </cell>
        </row>
        <row r="494">
          <cell r="A494" t="str">
            <v>4620303.00</v>
          </cell>
          <cell r="B494" t="str">
            <v>0303.00</v>
          </cell>
          <cell r="C494" t="str">
            <v>Verdun</v>
          </cell>
          <cell r="D494">
            <v>1955</v>
          </cell>
          <cell r="E494">
            <v>1140</v>
          </cell>
          <cell r="F494">
            <v>390</v>
          </cell>
          <cell r="G494">
            <v>50</v>
          </cell>
          <cell r="H494">
            <v>270</v>
          </cell>
          <cell r="I494">
            <v>90</v>
          </cell>
          <cell r="J494">
            <v>1955</v>
          </cell>
          <cell r="K494">
            <v>1555</v>
          </cell>
          <cell r="L494">
            <v>400</v>
          </cell>
          <cell r="M494">
            <v>565</v>
          </cell>
          <cell r="N494">
            <v>325</v>
          </cell>
          <cell r="O494">
            <v>135</v>
          </cell>
          <cell r="P494">
            <v>90</v>
          </cell>
          <cell r="Q494">
            <v>10</v>
          </cell>
          <cell r="R494">
            <v>570</v>
          </cell>
          <cell r="S494">
            <v>390</v>
          </cell>
          <cell r="T494">
            <v>195</v>
          </cell>
          <cell r="U494">
            <v>85</v>
          </cell>
          <cell r="V494">
            <v>105</v>
          </cell>
          <cell r="W494">
            <v>45</v>
          </cell>
          <cell r="X494">
            <v>55</v>
          </cell>
          <cell r="Y494">
            <v>10</v>
          </cell>
          <cell r="Z494">
            <v>195</v>
          </cell>
          <cell r="AA494">
            <v>130</v>
          </cell>
          <cell r="AB494">
            <v>65</v>
          </cell>
          <cell r="AC494">
            <v>25</v>
          </cell>
          <cell r="AD494">
            <v>35</v>
          </cell>
          <cell r="AE494">
            <v>0</v>
          </cell>
          <cell r="AF494">
            <v>180</v>
          </cell>
          <cell r="AG494">
            <v>155</v>
          </cell>
          <cell r="AH494">
            <v>85</v>
          </cell>
          <cell r="AI494">
            <v>65</v>
          </cell>
          <cell r="AJ494">
            <v>10</v>
          </cell>
          <cell r="AK494">
            <v>20</v>
          </cell>
          <cell r="AL494">
            <v>20</v>
          </cell>
          <cell r="AM494">
            <v>0</v>
          </cell>
          <cell r="AN494">
            <v>0</v>
          </cell>
          <cell r="AO494">
            <v>550</v>
          </cell>
          <cell r="AP494">
            <v>160</v>
          </cell>
          <cell r="AQ494">
            <v>160</v>
          </cell>
          <cell r="AR494">
            <v>70</v>
          </cell>
          <cell r="AS494">
            <v>95</v>
          </cell>
          <cell r="AT494">
            <v>60</v>
          </cell>
          <cell r="AU494">
            <v>1</v>
          </cell>
          <cell r="AV494">
            <v>2295</v>
          </cell>
          <cell r="AW494">
            <v>785</v>
          </cell>
          <cell r="AX494">
            <v>55</v>
          </cell>
          <cell r="AY494">
            <v>260</v>
          </cell>
          <cell r="AZ494">
            <v>470</v>
          </cell>
          <cell r="BA494">
            <v>1505</v>
          </cell>
          <cell r="BB494">
            <v>2.6</v>
          </cell>
          <cell r="BC494">
            <v>240</v>
          </cell>
          <cell r="BD494">
            <v>135</v>
          </cell>
          <cell r="BE494">
            <v>0</v>
          </cell>
          <cell r="BF494">
            <v>15</v>
          </cell>
          <cell r="BG494">
            <v>120</v>
          </cell>
          <cell r="BH494">
            <v>100</v>
          </cell>
          <cell r="BI494">
            <v>1155</v>
          </cell>
          <cell r="BJ494">
            <v>4.4000000000000004</v>
          </cell>
          <cell r="BK494">
            <v>5082</v>
          </cell>
          <cell r="BL494">
            <v>1.7</v>
          </cell>
          <cell r="BM494">
            <v>1963.5</v>
          </cell>
          <cell r="BN494">
            <v>1150</v>
          </cell>
          <cell r="BO494">
            <v>185</v>
          </cell>
          <cell r="BP494">
            <v>970</v>
          </cell>
          <cell r="BQ494">
            <v>0</v>
          </cell>
          <cell r="BR494">
            <v>1155</v>
          </cell>
          <cell r="BS494">
            <v>635</v>
          </cell>
          <cell r="BT494">
            <v>335</v>
          </cell>
          <cell r="BU494">
            <v>185</v>
          </cell>
          <cell r="BV494">
            <v>1150</v>
          </cell>
          <cell r="BW494">
            <v>410</v>
          </cell>
          <cell r="BX494">
            <v>210</v>
          </cell>
          <cell r="BY494">
            <v>170</v>
          </cell>
          <cell r="BZ494">
            <v>35</v>
          </cell>
          <cell r="CA494">
            <v>115</v>
          </cell>
          <cell r="CB494">
            <v>75</v>
          </cell>
          <cell r="CC494">
            <v>25</v>
          </cell>
          <cell r="CD494">
            <v>0</v>
          </cell>
          <cell r="CE494">
            <v>105</v>
          </cell>
          <cell r="CF494">
            <v>1155</v>
          </cell>
          <cell r="CG494">
            <v>15</v>
          </cell>
          <cell r="CH494">
            <v>10</v>
          </cell>
          <cell r="CI494">
            <v>10</v>
          </cell>
          <cell r="CJ494">
            <v>155</v>
          </cell>
          <cell r="CK494">
            <v>75</v>
          </cell>
          <cell r="CL494">
            <v>885</v>
          </cell>
          <cell r="CM494">
            <v>0</v>
          </cell>
          <cell r="CN494">
            <v>0</v>
          </cell>
          <cell r="CO494">
            <v>1155</v>
          </cell>
          <cell r="CP494">
            <v>485</v>
          </cell>
          <cell r="CQ494">
            <v>390</v>
          </cell>
          <cell r="CR494">
            <v>160</v>
          </cell>
          <cell r="CS494">
            <v>105</v>
          </cell>
          <cell r="CT494">
            <v>15</v>
          </cell>
          <cell r="CU494">
            <v>2285</v>
          </cell>
          <cell r="CV494">
            <v>2</v>
          </cell>
          <cell r="CW494">
            <v>1150</v>
          </cell>
          <cell r="CX494">
            <v>540</v>
          </cell>
          <cell r="CY494">
            <v>10</v>
          </cell>
          <cell r="CZ494">
            <v>600</v>
          </cell>
        </row>
        <row r="495">
          <cell r="A495" t="str">
            <v>4620304.00</v>
          </cell>
          <cell r="B495" t="str">
            <v>0304.00</v>
          </cell>
          <cell r="C495" t="str">
            <v>Verdun</v>
          </cell>
          <cell r="D495">
            <v>2645</v>
          </cell>
          <cell r="E495">
            <v>1220</v>
          </cell>
          <cell r="F495">
            <v>735</v>
          </cell>
          <cell r="G495">
            <v>80</v>
          </cell>
          <cell r="H495">
            <v>345</v>
          </cell>
          <cell r="I495">
            <v>270</v>
          </cell>
          <cell r="J495">
            <v>2645</v>
          </cell>
          <cell r="K495">
            <v>2275</v>
          </cell>
          <cell r="L495">
            <v>365</v>
          </cell>
          <cell r="M495">
            <v>735</v>
          </cell>
          <cell r="N495">
            <v>490</v>
          </cell>
          <cell r="O495">
            <v>150</v>
          </cell>
          <cell r="P495">
            <v>75</v>
          </cell>
          <cell r="Q495">
            <v>25</v>
          </cell>
          <cell r="R495">
            <v>730</v>
          </cell>
          <cell r="S495">
            <v>525</v>
          </cell>
          <cell r="T495">
            <v>340</v>
          </cell>
          <cell r="U495">
            <v>195</v>
          </cell>
          <cell r="V495">
            <v>145</v>
          </cell>
          <cell r="W495">
            <v>85</v>
          </cell>
          <cell r="X495">
            <v>35</v>
          </cell>
          <cell r="Y495">
            <v>25</v>
          </cell>
          <cell r="Z495">
            <v>185</v>
          </cell>
          <cell r="AA495">
            <v>145</v>
          </cell>
          <cell r="AB495">
            <v>40</v>
          </cell>
          <cell r="AC495">
            <v>20</v>
          </cell>
          <cell r="AD495">
            <v>25</v>
          </cell>
          <cell r="AE495">
            <v>0</v>
          </cell>
          <cell r="AF495">
            <v>205</v>
          </cell>
          <cell r="AG495">
            <v>175</v>
          </cell>
          <cell r="AH495">
            <v>135</v>
          </cell>
          <cell r="AI495">
            <v>30</v>
          </cell>
          <cell r="AJ495">
            <v>10</v>
          </cell>
          <cell r="AK495">
            <v>25</v>
          </cell>
          <cell r="AL495">
            <v>10</v>
          </cell>
          <cell r="AM495">
            <v>15</v>
          </cell>
          <cell r="AN495">
            <v>0</v>
          </cell>
          <cell r="AO495">
            <v>585</v>
          </cell>
          <cell r="AP495">
            <v>125</v>
          </cell>
          <cell r="AQ495">
            <v>170</v>
          </cell>
          <cell r="AR495">
            <v>70</v>
          </cell>
          <cell r="AS495">
            <v>120</v>
          </cell>
          <cell r="AT495">
            <v>90</v>
          </cell>
          <cell r="AU495">
            <v>0.8</v>
          </cell>
          <cell r="AV495">
            <v>2820</v>
          </cell>
          <cell r="AW495">
            <v>980</v>
          </cell>
          <cell r="AX495">
            <v>50</v>
          </cell>
          <cell r="AY495">
            <v>130</v>
          </cell>
          <cell r="AZ495">
            <v>790</v>
          </cell>
          <cell r="BA495">
            <v>1840</v>
          </cell>
          <cell r="BB495">
            <v>2.5</v>
          </cell>
          <cell r="BC495">
            <v>445</v>
          </cell>
          <cell r="BD495">
            <v>250</v>
          </cell>
          <cell r="BE495">
            <v>15</v>
          </cell>
          <cell r="BF495">
            <v>10</v>
          </cell>
          <cell r="BG495">
            <v>225</v>
          </cell>
          <cell r="BH495">
            <v>195</v>
          </cell>
          <cell r="BI495">
            <v>1580</v>
          </cell>
          <cell r="BJ495">
            <v>4</v>
          </cell>
          <cell r="BK495">
            <v>6320</v>
          </cell>
          <cell r="BL495">
            <v>1.6</v>
          </cell>
          <cell r="BM495">
            <v>2528</v>
          </cell>
          <cell r="BN495">
            <v>1580</v>
          </cell>
          <cell r="BO495">
            <v>350</v>
          </cell>
          <cell r="BP495">
            <v>1230</v>
          </cell>
          <cell r="BQ495">
            <v>0</v>
          </cell>
          <cell r="BR495">
            <v>1580</v>
          </cell>
          <cell r="BS495">
            <v>1075</v>
          </cell>
          <cell r="BT495">
            <v>385</v>
          </cell>
          <cell r="BU495">
            <v>125</v>
          </cell>
          <cell r="BV495">
            <v>1580</v>
          </cell>
          <cell r="BW495">
            <v>380</v>
          </cell>
          <cell r="BX495">
            <v>455</v>
          </cell>
          <cell r="BY495">
            <v>215</v>
          </cell>
          <cell r="BZ495">
            <v>215</v>
          </cell>
          <cell r="CA495">
            <v>80</v>
          </cell>
          <cell r="CB495">
            <v>80</v>
          </cell>
          <cell r="CC495">
            <v>55</v>
          </cell>
          <cell r="CD495">
            <v>55</v>
          </cell>
          <cell r="CE495">
            <v>40</v>
          </cell>
          <cell r="CF495">
            <v>1580</v>
          </cell>
          <cell r="CG495">
            <v>15</v>
          </cell>
          <cell r="CH495">
            <v>10</v>
          </cell>
          <cell r="CI495">
            <v>40</v>
          </cell>
          <cell r="CJ495">
            <v>180</v>
          </cell>
          <cell r="CK495">
            <v>385</v>
          </cell>
          <cell r="CL495">
            <v>950</v>
          </cell>
          <cell r="CM495">
            <v>5</v>
          </cell>
          <cell r="CN495">
            <v>0</v>
          </cell>
          <cell r="CO495">
            <v>1580</v>
          </cell>
          <cell r="CP495">
            <v>790</v>
          </cell>
          <cell r="CQ495">
            <v>520</v>
          </cell>
          <cell r="CR495">
            <v>155</v>
          </cell>
          <cell r="CS495">
            <v>100</v>
          </cell>
          <cell r="CT495">
            <v>15</v>
          </cell>
          <cell r="CU495">
            <v>2820</v>
          </cell>
          <cell r="CV495">
            <v>1.8</v>
          </cell>
          <cell r="CW495">
            <v>1580</v>
          </cell>
          <cell r="CX495">
            <v>700</v>
          </cell>
          <cell r="CY495">
            <v>15</v>
          </cell>
          <cell r="CZ495">
            <v>865</v>
          </cell>
        </row>
        <row r="496">
          <cell r="A496" t="str">
            <v>4620305.00</v>
          </cell>
          <cell r="B496" t="str">
            <v>0305.00</v>
          </cell>
          <cell r="C496" t="str">
            <v>Verdun</v>
          </cell>
          <cell r="D496">
            <v>3475</v>
          </cell>
          <cell r="E496">
            <v>1770</v>
          </cell>
          <cell r="F496">
            <v>970</v>
          </cell>
          <cell r="G496">
            <v>110</v>
          </cell>
          <cell r="H496">
            <v>425</v>
          </cell>
          <cell r="I496">
            <v>210</v>
          </cell>
          <cell r="J496">
            <v>3475</v>
          </cell>
          <cell r="K496">
            <v>2895</v>
          </cell>
          <cell r="L496">
            <v>590</v>
          </cell>
          <cell r="M496">
            <v>995</v>
          </cell>
          <cell r="N496">
            <v>650</v>
          </cell>
          <cell r="O496">
            <v>220</v>
          </cell>
          <cell r="P496">
            <v>90</v>
          </cell>
          <cell r="Q496">
            <v>30</v>
          </cell>
          <cell r="R496">
            <v>995</v>
          </cell>
          <cell r="S496">
            <v>775</v>
          </cell>
          <cell r="T496">
            <v>480</v>
          </cell>
          <cell r="U496">
            <v>270</v>
          </cell>
          <cell r="V496">
            <v>205</v>
          </cell>
          <cell r="W496">
            <v>115</v>
          </cell>
          <cell r="X496">
            <v>70</v>
          </cell>
          <cell r="Y496">
            <v>20</v>
          </cell>
          <cell r="Z496">
            <v>295</v>
          </cell>
          <cell r="AA496">
            <v>225</v>
          </cell>
          <cell r="AB496">
            <v>75</v>
          </cell>
          <cell r="AC496">
            <v>35</v>
          </cell>
          <cell r="AD496">
            <v>25</v>
          </cell>
          <cell r="AE496">
            <v>10</v>
          </cell>
          <cell r="AF496">
            <v>215</v>
          </cell>
          <cell r="AG496">
            <v>190</v>
          </cell>
          <cell r="AH496">
            <v>130</v>
          </cell>
          <cell r="AI496">
            <v>60</v>
          </cell>
          <cell r="AJ496">
            <v>0</v>
          </cell>
          <cell r="AK496">
            <v>30</v>
          </cell>
          <cell r="AL496">
            <v>20</v>
          </cell>
          <cell r="AM496">
            <v>10</v>
          </cell>
          <cell r="AN496">
            <v>0</v>
          </cell>
          <cell r="AO496">
            <v>710</v>
          </cell>
          <cell r="AP496">
            <v>180</v>
          </cell>
          <cell r="AQ496">
            <v>255</v>
          </cell>
          <cell r="AR496">
            <v>80</v>
          </cell>
          <cell r="AS496">
            <v>105</v>
          </cell>
          <cell r="AT496">
            <v>90</v>
          </cell>
          <cell r="AU496">
            <v>0.7</v>
          </cell>
          <cell r="AV496">
            <v>3905</v>
          </cell>
          <cell r="AW496">
            <v>1425</v>
          </cell>
          <cell r="AX496">
            <v>80</v>
          </cell>
          <cell r="AY496">
            <v>400</v>
          </cell>
          <cell r="AZ496">
            <v>940</v>
          </cell>
          <cell r="BA496">
            <v>2480</v>
          </cell>
          <cell r="BB496">
            <v>2.5</v>
          </cell>
          <cell r="BC496">
            <v>495</v>
          </cell>
          <cell r="BD496">
            <v>275</v>
          </cell>
          <cell r="BE496">
            <v>0</v>
          </cell>
          <cell r="BF496">
            <v>10</v>
          </cell>
          <cell r="BG496">
            <v>255</v>
          </cell>
          <cell r="BH496">
            <v>215</v>
          </cell>
          <cell r="BI496">
            <v>2085</v>
          </cell>
          <cell r="BJ496">
            <v>4.4000000000000004</v>
          </cell>
          <cell r="BK496">
            <v>9174</v>
          </cell>
          <cell r="BL496">
            <v>1.8</v>
          </cell>
          <cell r="BM496">
            <v>3753</v>
          </cell>
          <cell r="BN496">
            <v>2085</v>
          </cell>
          <cell r="BO496">
            <v>660</v>
          </cell>
          <cell r="BP496">
            <v>1430</v>
          </cell>
          <cell r="BQ496">
            <v>0</v>
          </cell>
          <cell r="BR496">
            <v>2085</v>
          </cell>
          <cell r="BS496">
            <v>1220</v>
          </cell>
          <cell r="BT496">
            <v>580</v>
          </cell>
          <cell r="BU496">
            <v>285</v>
          </cell>
          <cell r="BV496">
            <v>2085</v>
          </cell>
          <cell r="BW496">
            <v>980</v>
          </cell>
          <cell r="BX496">
            <v>290</v>
          </cell>
          <cell r="BY496">
            <v>205</v>
          </cell>
          <cell r="BZ496">
            <v>150</v>
          </cell>
          <cell r="CA496">
            <v>40</v>
          </cell>
          <cell r="CB496">
            <v>50</v>
          </cell>
          <cell r="CC496">
            <v>90</v>
          </cell>
          <cell r="CD496">
            <v>180</v>
          </cell>
          <cell r="CE496">
            <v>100</v>
          </cell>
          <cell r="CF496">
            <v>2085</v>
          </cell>
          <cell r="CG496">
            <v>5</v>
          </cell>
          <cell r="CH496">
            <v>0</v>
          </cell>
          <cell r="CI496">
            <v>35</v>
          </cell>
          <cell r="CJ496">
            <v>290</v>
          </cell>
          <cell r="CK496">
            <v>400</v>
          </cell>
          <cell r="CL496">
            <v>1350</v>
          </cell>
          <cell r="CM496">
            <v>5</v>
          </cell>
          <cell r="CN496">
            <v>0</v>
          </cell>
          <cell r="CO496">
            <v>2090</v>
          </cell>
          <cell r="CP496">
            <v>940</v>
          </cell>
          <cell r="CQ496">
            <v>700</v>
          </cell>
          <cell r="CR496">
            <v>270</v>
          </cell>
          <cell r="CS496">
            <v>165</v>
          </cell>
          <cell r="CT496">
            <v>5</v>
          </cell>
          <cell r="CU496">
            <v>3905</v>
          </cell>
          <cell r="CV496">
            <v>1.9</v>
          </cell>
          <cell r="CW496">
            <v>2085</v>
          </cell>
          <cell r="CX496">
            <v>975</v>
          </cell>
          <cell r="CY496">
            <v>10</v>
          </cell>
          <cell r="CZ496">
            <v>1100</v>
          </cell>
        </row>
        <row r="497">
          <cell r="A497" t="str">
            <v>4620306.00</v>
          </cell>
          <cell r="B497" t="str">
            <v>0306.00</v>
          </cell>
          <cell r="C497" t="str">
            <v>Verdun</v>
          </cell>
          <cell r="D497">
            <v>2805</v>
          </cell>
          <cell r="E497">
            <v>1625</v>
          </cell>
          <cell r="F497">
            <v>655</v>
          </cell>
          <cell r="G497">
            <v>75</v>
          </cell>
          <cell r="H497">
            <v>260</v>
          </cell>
          <cell r="I497">
            <v>190</v>
          </cell>
          <cell r="J497">
            <v>2805</v>
          </cell>
          <cell r="K497">
            <v>2235</v>
          </cell>
          <cell r="L497">
            <v>570</v>
          </cell>
          <cell r="M497">
            <v>800</v>
          </cell>
          <cell r="N497">
            <v>465</v>
          </cell>
          <cell r="O497">
            <v>190</v>
          </cell>
          <cell r="P497">
            <v>90</v>
          </cell>
          <cell r="Q497">
            <v>50</v>
          </cell>
          <cell r="R497">
            <v>800</v>
          </cell>
          <cell r="S497">
            <v>610</v>
          </cell>
          <cell r="T497">
            <v>320</v>
          </cell>
          <cell r="U497">
            <v>165</v>
          </cell>
          <cell r="V497">
            <v>155</v>
          </cell>
          <cell r="W497">
            <v>90</v>
          </cell>
          <cell r="X497">
            <v>45</v>
          </cell>
          <cell r="Y497">
            <v>20</v>
          </cell>
          <cell r="Z497">
            <v>285</v>
          </cell>
          <cell r="AA497">
            <v>180</v>
          </cell>
          <cell r="AB497">
            <v>110</v>
          </cell>
          <cell r="AC497">
            <v>45</v>
          </cell>
          <cell r="AD497">
            <v>40</v>
          </cell>
          <cell r="AE497">
            <v>20</v>
          </cell>
          <cell r="AF497">
            <v>190</v>
          </cell>
          <cell r="AG497">
            <v>140</v>
          </cell>
          <cell r="AH497">
            <v>85</v>
          </cell>
          <cell r="AI497">
            <v>40</v>
          </cell>
          <cell r="AJ497">
            <v>10</v>
          </cell>
          <cell r="AK497">
            <v>50</v>
          </cell>
          <cell r="AL497">
            <v>30</v>
          </cell>
          <cell r="AM497">
            <v>15</v>
          </cell>
          <cell r="AN497">
            <v>10</v>
          </cell>
          <cell r="AO497">
            <v>745</v>
          </cell>
          <cell r="AP497">
            <v>195</v>
          </cell>
          <cell r="AQ497">
            <v>210</v>
          </cell>
          <cell r="AR497">
            <v>130</v>
          </cell>
          <cell r="AS497">
            <v>150</v>
          </cell>
          <cell r="AT497">
            <v>55</v>
          </cell>
          <cell r="AU497">
            <v>0.9</v>
          </cell>
          <cell r="AV497">
            <v>3195</v>
          </cell>
          <cell r="AW497">
            <v>1040</v>
          </cell>
          <cell r="AX497">
            <v>180</v>
          </cell>
          <cell r="AY497">
            <v>245</v>
          </cell>
          <cell r="AZ497">
            <v>610</v>
          </cell>
          <cell r="BA497">
            <v>2155</v>
          </cell>
          <cell r="BB497">
            <v>2.7</v>
          </cell>
          <cell r="BC497">
            <v>420</v>
          </cell>
          <cell r="BD497">
            <v>230</v>
          </cell>
          <cell r="BE497">
            <v>35</v>
          </cell>
          <cell r="BF497">
            <v>0</v>
          </cell>
          <cell r="BG497">
            <v>190</v>
          </cell>
          <cell r="BH497">
            <v>190</v>
          </cell>
          <cell r="BI497">
            <v>1580</v>
          </cell>
          <cell r="BJ497">
            <v>4.5999999999999996</v>
          </cell>
          <cell r="BK497">
            <v>7267.9999999999991</v>
          </cell>
          <cell r="BL497">
            <v>1.9</v>
          </cell>
          <cell r="BM497">
            <v>3002</v>
          </cell>
          <cell r="BN497">
            <v>1580</v>
          </cell>
          <cell r="BO497">
            <v>205</v>
          </cell>
          <cell r="BP497">
            <v>1370</v>
          </cell>
          <cell r="BQ497">
            <v>0</v>
          </cell>
          <cell r="BR497">
            <v>1580</v>
          </cell>
          <cell r="BS497">
            <v>825</v>
          </cell>
          <cell r="BT497">
            <v>475</v>
          </cell>
          <cell r="BU497">
            <v>280</v>
          </cell>
          <cell r="BV497">
            <v>1580</v>
          </cell>
          <cell r="BW497">
            <v>820</v>
          </cell>
          <cell r="BX497">
            <v>340</v>
          </cell>
          <cell r="BY497">
            <v>235</v>
          </cell>
          <cell r="BZ497">
            <v>75</v>
          </cell>
          <cell r="CA497">
            <v>35</v>
          </cell>
          <cell r="CB497">
            <v>70</v>
          </cell>
          <cell r="CC497">
            <v>10</v>
          </cell>
          <cell r="CD497">
            <v>0</v>
          </cell>
          <cell r="CE497">
            <v>0</v>
          </cell>
          <cell r="CF497">
            <v>1580</v>
          </cell>
          <cell r="CG497">
            <v>0</v>
          </cell>
          <cell r="CH497">
            <v>0</v>
          </cell>
          <cell r="CI497">
            <v>10</v>
          </cell>
          <cell r="CJ497">
            <v>240</v>
          </cell>
          <cell r="CK497">
            <v>235</v>
          </cell>
          <cell r="CL497">
            <v>1105</v>
          </cell>
          <cell r="CM497">
            <v>0</v>
          </cell>
          <cell r="CN497">
            <v>0</v>
          </cell>
          <cell r="CO497">
            <v>1580</v>
          </cell>
          <cell r="CP497">
            <v>615</v>
          </cell>
          <cell r="CQ497">
            <v>580</v>
          </cell>
          <cell r="CR497">
            <v>215</v>
          </cell>
          <cell r="CS497">
            <v>150</v>
          </cell>
          <cell r="CT497">
            <v>20</v>
          </cell>
          <cell r="CU497">
            <v>3200</v>
          </cell>
          <cell r="CV497">
            <v>2</v>
          </cell>
          <cell r="CW497">
            <v>1580</v>
          </cell>
          <cell r="CX497">
            <v>785</v>
          </cell>
          <cell r="CY497">
            <v>0</v>
          </cell>
          <cell r="CZ497">
            <v>785</v>
          </cell>
        </row>
        <row r="498">
          <cell r="A498" t="str">
            <v>4620307.00</v>
          </cell>
          <cell r="B498" t="str">
            <v>0307.00</v>
          </cell>
          <cell r="C498" t="str">
            <v>Verdun</v>
          </cell>
          <cell r="D498">
            <v>2910</v>
          </cell>
          <cell r="E498">
            <v>1725</v>
          </cell>
          <cell r="F498">
            <v>745</v>
          </cell>
          <cell r="G498">
            <v>60</v>
          </cell>
          <cell r="H498">
            <v>265</v>
          </cell>
          <cell r="I498">
            <v>110</v>
          </cell>
          <cell r="J498">
            <v>2905</v>
          </cell>
          <cell r="K498">
            <v>2340</v>
          </cell>
          <cell r="L498">
            <v>570</v>
          </cell>
          <cell r="M498">
            <v>900</v>
          </cell>
          <cell r="N498">
            <v>550</v>
          </cell>
          <cell r="O498">
            <v>220</v>
          </cell>
          <cell r="P498">
            <v>70</v>
          </cell>
          <cell r="Q498">
            <v>50</v>
          </cell>
          <cell r="R498">
            <v>900</v>
          </cell>
          <cell r="S498">
            <v>630</v>
          </cell>
          <cell r="T498">
            <v>340</v>
          </cell>
          <cell r="U498">
            <v>210</v>
          </cell>
          <cell r="V498">
            <v>130</v>
          </cell>
          <cell r="W498">
            <v>65</v>
          </cell>
          <cell r="X498">
            <v>50</v>
          </cell>
          <cell r="Y498">
            <v>20</v>
          </cell>
          <cell r="Z498">
            <v>295</v>
          </cell>
          <cell r="AA498">
            <v>185</v>
          </cell>
          <cell r="AB498">
            <v>110</v>
          </cell>
          <cell r="AC498">
            <v>80</v>
          </cell>
          <cell r="AD498">
            <v>15</v>
          </cell>
          <cell r="AE498">
            <v>15</v>
          </cell>
          <cell r="AF498">
            <v>270</v>
          </cell>
          <cell r="AG498">
            <v>225</v>
          </cell>
          <cell r="AH498">
            <v>130</v>
          </cell>
          <cell r="AI498">
            <v>70</v>
          </cell>
          <cell r="AJ498">
            <v>30</v>
          </cell>
          <cell r="AK498">
            <v>35</v>
          </cell>
          <cell r="AL498">
            <v>30</v>
          </cell>
          <cell r="AM498">
            <v>10</v>
          </cell>
          <cell r="AN498">
            <v>0</v>
          </cell>
          <cell r="AO498">
            <v>805</v>
          </cell>
          <cell r="AP498">
            <v>280</v>
          </cell>
          <cell r="AQ498">
            <v>250</v>
          </cell>
          <cell r="AR498">
            <v>100</v>
          </cell>
          <cell r="AS498">
            <v>105</v>
          </cell>
          <cell r="AT498">
            <v>70</v>
          </cell>
          <cell r="AU498">
            <v>0.9</v>
          </cell>
          <cell r="AV498">
            <v>3425</v>
          </cell>
          <cell r="AW498">
            <v>1080</v>
          </cell>
          <cell r="AX498">
            <v>75</v>
          </cell>
          <cell r="AY498">
            <v>435</v>
          </cell>
          <cell r="AZ498">
            <v>575</v>
          </cell>
          <cell r="BA498">
            <v>2340</v>
          </cell>
          <cell r="BB498">
            <v>2.6</v>
          </cell>
          <cell r="BC498">
            <v>270</v>
          </cell>
          <cell r="BD498">
            <v>140</v>
          </cell>
          <cell r="BE498">
            <v>0</v>
          </cell>
          <cell r="BF498">
            <v>25</v>
          </cell>
          <cell r="BG498">
            <v>115</v>
          </cell>
          <cell r="BH498">
            <v>130</v>
          </cell>
          <cell r="BI498">
            <v>1630</v>
          </cell>
          <cell r="BJ498">
            <v>4.5</v>
          </cell>
          <cell r="BK498">
            <v>7335</v>
          </cell>
          <cell r="BL498">
            <v>1.9</v>
          </cell>
          <cell r="BM498">
            <v>3097</v>
          </cell>
          <cell r="BN498">
            <v>1630</v>
          </cell>
          <cell r="BO498">
            <v>205</v>
          </cell>
          <cell r="BP498">
            <v>1425</v>
          </cell>
          <cell r="BQ498">
            <v>0</v>
          </cell>
          <cell r="BR498">
            <v>1630</v>
          </cell>
          <cell r="BS498">
            <v>800</v>
          </cell>
          <cell r="BT498">
            <v>595</v>
          </cell>
          <cell r="BU498">
            <v>235</v>
          </cell>
          <cell r="BV498">
            <v>1630</v>
          </cell>
          <cell r="BW498">
            <v>975</v>
          </cell>
          <cell r="BX498">
            <v>430</v>
          </cell>
          <cell r="BY498">
            <v>115</v>
          </cell>
          <cell r="BZ498">
            <v>35</v>
          </cell>
          <cell r="CA498">
            <v>20</v>
          </cell>
          <cell r="CB498">
            <v>30</v>
          </cell>
          <cell r="CC498">
            <v>0</v>
          </cell>
          <cell r="CD498">
            <v>25</v>
          </cell>
          <cell r="CE498">
            <v>10</v>
          </cell>
          <cell r="CF498">
            <v>1630</v>
          </cell>
          <cell r="CG498">
            <v>5</v>
          </cell>
          <cell r="CH498">
            <v>5</v>
          </cell>
          <cell r="CI498">
            <v>20</v>
          </cell>
          <cell r="CJ498">
            <v>145</v>
          </cell>
          <cell r="CK498">
            <v>0</v>
          </cell>
          <cell r="CL498">
            <v>1465</v>
          </cell>
          <cell r="CM498">
            <v>0</v>
          </cell>
          <cell r="CN498">
            <v>0</v>
          </cell>
          <cell r="CO498">
            <v>1635</v>
          </cell>
          <cell r="CP498">
            <v>570</v>
          </cell>
          <cell r="CQ498">
            <v>620</v>
          </cell>
          <cell r="CR498">
            <v>260</v>
          </cell>
          <cell r="CS498">
            <v>155</v>
          </cell>
          <cell r="CT498">
            <v>25</v>
          </cell>
          <cell r="CU498">
            <v>3425</v>
          </cell>
          <cell r="CV498">
            <v>2.1</v>
          </cell>
          <cell r="CW498">
            <v>1630</v>
          </cell>
          <cell r="CX498">
            <v>865</v>
          </cell>
          <cell r="CY498">
            <v>20</v>
          </cell>
          <cell r="CZ498">
            <v>745</v>
          </cell>
        </row>
        <row r="499">
          <cell r="A499" t="str">
            <v>4620308.00</v>
          </cell>
          <cell r="B499" t="str">
            <v>0308.00</v>
          </cell>
          <cell r="C499" t="str">
            <v>Verdun</v>
          </cell>
          <cell r="D499">
            <v>2360</v>
          </cell>
          <cell r="E499">
            <v>1395</v>
          </cell>
          <cell r="F499">
            <v>480</v>
          </cell>
          <cell r="G499">
            <v>90</v>
          </cell>
          <cell r="H499">
            <v>245</v>
          </cell>
          <cell r="I499">
            <v>150</v>
          </cell>
          <cell r="J499">
            <v>2360</v>
          </cell>
          <cell r="K499">
            <v>1835</v>
          </cell>
          <cell r="L499">
            <v>525</v>
          </cell>
          <cell r="M499">
            <v>725</v>
          </cell>
          <cell r="N499">
            <v>445</v>
          </cell>
          <cell r="O499">
            <v>160</v>
          </cell>
          <cell r="P499">
            <v>110</v>
          </cell>
          <cell r="Q499">
            <v>10</v>
          </cell>
          <cell r="R499">
            <v>725</v>
          </cell>
          <cell r="S499">
            <v>515</v>
          </cell>
          <cell r="T499">
            <v>255</v>
          </cell>
          <cell r="U499">
            <v>140</v>
          </cell>
          <cell r="V499">
            <v>120</v>
          </cell>
          <cell r="W499">
            <v>60</v>
          </cell>
          <cell r="X499">
            <v>45</v>
          </cell>
          <cell r="Y499">
            <v>15</v>
          </cell>
          <cell r="Z499">
            <v>255</v>
          </cell>
          <cell r="AA499">
            <v>150</v>
          </cell>
          <cell r="AB499">
            <v>105</v>
          </cell>
          <cell r="AC499">
            <v>65</v>
          </cell>
          <cell r="AD499">
            <v>40</v>
          </cell>
          <cell r="AE499">
            <v>0</v>
          </cell>
          <cell r="AF499">
            <v>210</v>
          </cell>
          <cell r="AG499">
            <v>190</v>
          </cell>
          <cell r="AH499">
            <v>135</v>
          </cell>
          <cell r="AI499">
            <v>30</v>
          </cell>
          <cell r="AJ499">
            <v>25</v>
          </cell>
          <cell r="AK499">
            <v>25</v>
          </cell>
          <cell r="AL499">
            <v>25</v>
          </cell>
          <cell r="AM499">
            <v>0</v>
          </cell>
          <cell r="AN499">
            <v>0</v>
          </cell>
          <cell r="AO499">
            <v>625</v>
          </cell>
          <cell r="AP499">
            <v>115</v>
          </cell>
          <cell r="AQ499">
            <v>265</v>
          </cell>
          <cell r="AR499">
            <v>30</v>
          </cell>
          <cell r="AS499">
            <v>120</v>
          </cell>
          <cell r="AT499">
            <v>95</v>
          </cell>
          <cell r="AU499">
            <v>0.9</v>
          </cell>
          <cell r="AV499">
            <v>2755</v>
          </cell>
          <cell r="AW499">
            <v>895</v>
          </cell>
          <cell r="AX499">
            <v>110</v>
          </cell>
          <cell r="AY499">
            <v>255</v>
          </cell>
          <cell r="AZ499">
            <v>525</v>
          </cell>
          <cell r="BA499">
            <v>1870</v>
          </cell>
          <cell r="BB499">
            <v>2.6</v>
          </cell>
          <cell r="BC499">
            <v>325</v>
          </cell>
          <cell r="BD499">
            <v>165</v>
          </cell>
          <cell r="BE499">
            <v>25</v>
          </cell>
          <cell r="BF499">
            <v>25</v>
          </cell>
          <cell r="BG499">
            <v>110</v>
          </cell>
          <cell r="BH499">
            <v>155</v>
          </cell>
          <cell r="BI499">
            <v>1370</v>
          </cell>
          <cell r="BJ499">
            <v>4.5999999999999996</v>
          </cell>
          <cell r="BK499">
            <v>6301.9999999999991</v>
          </cell>
          <cell r="BL499">
            <v>1.9</v>
          </cell>
          <cell r="BM499">
            <v>2603</v>
          </cell>
          <cell r="BN499">
            <v>1370</v>
          </cell>
          <cell r="BO499">
            <v>135</v>
          </cell>
          <cell r="BP499">
            <v>1240</v>
          </cell>
          <cell r="BQ499">
            <v>0</v>
          </cell>
          <cell r="BR499">
            <v>1370</v>
          </cell>
          <cell r="BS499">
            <v>655</v>
          </cell>
          <cell r="BT499">
            <v>465</v>
          </cell>
          <cell r="BU499">
            <v>260</v>
          </cell>
          <cell r="BV499">
            <v>1370</v>
          </cell>
          <cell r="BW499">
            <v>825</v>
          </cell>
          <cell r="BX499">
            <v>335</v>
          </cell>
          <cell r="BY499">
            <v>95</v>
          </cell>
          <cell r="BZ499">
            <v>40</v>
          </cell>
          <cell r="CA499">
            <v>10</v>
          </cell>
          <cell r="CB499">
            <v>10</v>
          </cell>
          <cell r="CC499">
            <v>0</v>
          </cell>
          <cell r="CD499">
            <v>60</v>
          </cell>
          <cell r="CE499">
            <v>10</v>
          </cell>
          <cell r="CF499">
            <v>1375</v>
          </cell>
          <cell r="CG499">
            <v>0</v>
          </cell>
          <cell r="CH499">
            <v>0</v>
          </cell>
          <cell r="CI499">
            <v>0</v>
          </cell>
          <cell r="CJ499">
            <v>210</v>
          </cell>
          <cell r="CK499">
            <v>0</v>
          </cell>
          <cell r="CL499">
            <v>1160</v>
          </cell>
          <cell r="CM499">
            <v>5</v>
          </cell>
          <cell r="CN499">
            <v>5</v>
          </cell>
          <cell r="CO499">
            <v>1375</v>
          </cell>
          <cell r="CP499">
            <v>530</v>
          </cell>
          <cell r="CQ499">
            <v>500</v>
          </cell>
          <cell r="CR499">
            <v>200</v>
          </cell>
          <cell r="CS499">
            <v>130</v>
          </cell>
          <cell r="CT499">
            <v>15</v>
          </cell>
          <cell r="CU499">
            <v>2755</v>
          </cell>
          <cell r="CV499">
            <v>2</v>
          </cell>
          <cell r="CW499">
            <v>1375</v>
          </cell>
          <cell r="CX499">
            <v>710</v>
          </cell>
          <cell r="CY499">
            <v>10</v>
          </cell>
          <cell r="CZ499">
            <v>650</v>
          </cell>
        </row>
        <row r="500">
          <cell r="A500" t="str">
            <v>4620309.00</v>
          </cell>
          <cell r="B500" t="str">
            <v>0309.00</v>
          </cell>
          <cell r="C500" t="str">
            <v>Verdun</v>
          </cell>
          <cell r="D500">
            <v>1140</v>
          </cell>
          <cell r="E500">
            <v>555</v>
          </cell>
          <cell r="F500">
            <v>360</v>
          </cell>
          <cell r="G500">
            <v>30</v>
          </cell>
          <cell r="H500">
            <v>115</v>
          </cell>
          <cell r="I500">
            <v>80</v>
          </cell>
          <cell r="J500">
            <v>1140</v>
          </cell>
          <cell r="K500">
            <v>905</v>
          </cell>
          <cell r="L500">
            <v>235</v>
          </cell>
          <cell r="M500">
            <v>385</v>
          </cell>
          <cell r="N500">
            <v>220</v>
          </cell>
          <cell r="O500">
            <v>100</v>
          </cell>
          <cell r="P500">
            <v>40</v>
          </cell>
          <cell r="Q500">
            <v>15</v>
          </cell>
          <cell r="R500">
            <v>385</v>
          </cell>
          <cell r="S500">
            <v>275</v>
          </cell>
          <cell r="T500">
            <v>145</v>
          </cell>
          <cell r="U500">
            <v>60</v>
          </cell>
          <cell r="V500">
            <v>85</v>
          </cell>
          <cell r="W500">
            <v>35</v>
          </cell>
          <cell r="X500">
            <v>25</v>
          </cell>
          <cell r="Y500">
            <v>20</v>
          </cell>
          <cell r="Z500">
            <v>125</v>
          </cell>
          <cell r="AA500">
            <v>85</v>
          </cell>
          <cell r="AB500">
            <v>40</v>
          </cell>
          <cell r="AC500">
            <v>25</v>
          </cell>
          <cell r="AD500">
            <v>10</v>
          </cell>
          <cell r="AE500">
            <v>0</v>
          </cell>
          <cell r="AF500">
            <v>115</v>
          </cell>
          <cell r="AG500">
            <v>105</v>
          </cell>
          <cell r="AH500">
            <v>70</v>
          </cell>
          <cell r="AI500">
            <v>35</v>
          </cell>
          <cell r="AJ500">
            <v>0</v>
          </cell>
          <cell r="AK500">
            <v>10</v>
          </cell>
          <cell r="AL500">
            <v>0</v>
          </cell>
          <cell r="AM500">
            <v>0</v>
          </cell>
          <cell r="AN500">
            <v>0</v>
          </cell>
          <cell r="AO500">
            <v>355</v>
          </cell>
          <cell r="AP500">
            <v>75</v>
          </cell>
          <cell r="AQ500">
            <v>90</v>
          </cell>
          <cell r="AR500">
            <v>45</v>
          </cell>
          <cell r="AS500">
            <v>90</v>
          </cell>
          <cell r="AT500">
            <v>55</v>
          </cell>
          <cell r="AU500">
            <v>0.9</v>
          </cell>
          <cell r="AV500">
            <v>1320</v>
          </cell>
          <cell r="AW500">
            <v>305</v>
          </cell>
          <cell r="AX500">
            <v>35</v>
          </cell>
          <cell r="AY500">
            <v>100</v>
          </cell>
          <cell r="AZ500">
            <v>175</v>
          </cell>
          <cell r="BA500">
            <v>1015</v>
          </cell>
          <cell r="BB500">
            <v>2.6</v>
          </cell>
          <cell r="BC500">
            <v>190</v>
          </cell>
          <cell r="BD500">
            <v>75</v>
          </cell>
          <cell r="BE500">
            <v>0</v>
          </cell>
          <cell r="BF500">
            <v>10</v>
          </cell>
          <cell r="BG500">
            <v>65</v>
          </cell>
          <cell r="BH500">
            <v>115</v>
          </cell>
          <cell r="BI500">
            <v>600</v>
          </cell>
          <cell r="BJ500">
            <v>5.6</v>
          </cell>
          <cell r="BK500">
            <v>3360</v>
          </cell>
          <cell r="BL500">
            <v>2.2000000000000002</v>
          </cell>
          <cell r="BM500">
            <v>1320</v>
          </cell>
          <cell r="BN500">
            <v>600</v>
          </cell>
          <cell r="BO500">
            <v>225</v>
          </cell>
          <cell r="BP500">
            <v>370</v>
          </cell>
          <cell r="BQ500">
            <v>0</v>
          </cell>
          <cell r="BR500">
            <v>600</v>
          </cell>
          <cell r="BS500">
            <v>390</v>
          </cell>
          <cell r="BT500">
            <v>185</v>
          </cell>
          <cell r="BU500">
            <v>25</v>
          </cell>
          <cell r="BV500">
            <v>600</v>
          </cell>
          <cell r="BW500">
            <v>215</v>
          </cell>
          <cell r="BX500">
            <v>275</v>
          </cell>
          <cell r="BY500">
            <v>80</v>
          </cell>
          <cell r="BZ500">
            <v>10</v>
          </cell>
          <cell r="CA500">
            <v>10</v>
          </cell>
          <cell r="CB500">
            <v>0</v>
          </cell>
          <cell r="CC500">
            <v>0</v>
          </cell>
          <cell r="CD500">
            <v>0</v>
          </cell>
          <cell r="CE500">
            <v>15</v>
          </cell>
          <cell r="CF500">
            <v>600</v>
          </cell>
          <cell r="CG500">
            <v>80</v>
          </cell>
          <cell r="CH500">
            <v>20</v>
          </cell>
          <cell r="CI500">
            <v>5</v>
          </cell>
          <cell r="CJ500">
            <v>270</v>
          </cell>
          <cell r="CK500">
            <v>5</v>
          </cell>
          <cell r="CL500">
            <v>225</v>
          </cell>
          <cell r="CM500">
            <v>0</v>
          </cell>
          <cell r="CN500">
            <v>0</v>
          </cell>
          <cell r="CO500">
            <v>600</v>
          </cell>
          <cell r="CP500">
            <v>180</v>
          </cell>
          <cell r="CQ500">
            <v>235</v>
          </cell>
          <cell r="CR500">
            <v>105</v>
          </cell>
          <cell r="CS500">
            <v>70</v>
          </cell>
          <cell r="CT500">
            <v>10</v>
          </cell>
          <cell r="CU500">
            <v>1320</v>
          </cell>
          <cell r="CV500">
            <v>2.2000000000000002</v>
          </cell>
          <cell r="CW500">
            <v>600</v>
          </cell>
          <cell r="CX500">
            <v>380</v>
          </cell>
          <cell r="CY500">
            <v>0</v>
          </cell>
          <cell r="CZ500">
            <v>215</v>
          </cell>
        </row>
        <row r="501">
          <cell r="A501" t="str">
            <v>4620310.00</v>
          </cell>
          <cell r="B501" t="str">
            <v>0310.00</v>
          </cell>
          <cell r="C501" t="str">
            <v>Verdun</v>
          </cell>
          <cell r="D501">
            <v>2970</v>
          </cell>
          <cell r="E501">
            <v>1365</v>
          </cell>
          <cell r="F501">
            <v>920</v>
          </cell>
          <cell r="G501">
            <v>95</v>
          </cell>
          <cell r="H501">
            <v>350</v>
          </cell>
          <cell r="I501">
            <v>240</v>
          </cell>
          <cell r="J501">
            <v>2970</v>
          </cell>
          <cell r="K501">
            <v>2405</v>
          </cell>
          <cell r="L501">
            <v>565</v>
          </cell>
          <cell r="M501">
            <v>1005</v>
          </cell>
          <cell r="N501">
            <v>605</v>
          </cell>
          <cell r="O501">
            <v>210</v>
          </cell>
          <cell r="P501">
            <v>140</v>
          </cell>
          <cell r="Q501">
            <v>40</v>
          </cell>
          <cell r="R501">
            <v>1000</v>
          </cell>
          <cell r="S501">
            <v>745</v>
          </cell>
          <cell r="T501">
            <v>460</v>
          </cell>
          <cell r="U501">
            <v>245</v>
          </cell>
          <cell r="V501">
            <v>210</v>
          </cell>
          <cell r="W501">
            <v>105</v>
          </cell>
          <cell r="X501">
            <v>95</v>
          </cell>
          <cell r="Y501">
            <v>10</v>
          </cell>
          <cell r="Z501">
            <v>290</v>
          </cell>
          <cell r="AA501">
            <v>160</v>
          </cell>
          <cell r="AB501">
            <v>120</v>
          </cell>
          <cell r="AC501">
            <v>65</v>
          </cell>
          <cell r="AD501">
            <v>40</v>
          </cell>
          <cell r="AE501">
            <v>20</v>
          </cell>
          <cell r="AF501">
            <v>255</v>
          </cell>
          <cell r="AG501">
            <v>210</v>
          </cell>
          <cell r="AH501">
            <v>170</v>
          </cell>
          <cell r="AI501">
            <v>35</v>
          </cell>
          <cell r="AJ501">
            <v>10</v>
          </cell>
          <cell r="AK501">
            <v>40</v>
          </cell>
          <cell r="AL501">
            <v>30</v>
          </cell>
          <cell r="AM501">
            <v>10</v>
          </cell>
          <cell r="AN501">
            <v>0</v>
          </cell>
          <cell r="AO501">
            <v>875</v>
          </cell>
          <cell r="AP501">
            <v>185</v>
          </cell>
          <cell r="AQ501">
            <v>325</v>
          </cell>
          <cell r="AR501">
            <v>110</v>
          </cell>
          <cell r="AS501">
            <v>125</v>
          </cell>
          <cell r="AT501">
            <v>125</v>
          </cell>
          <cell r="AU501">
            <v>0.9</v>
          </cell>
          <cell r="AV501">
            <v>3460</v>
          </cell>
          <cell r="AW501">
            <v>830</v>
          </cell>
          <cell r="AX501">
            <v>75</v>
          </cell>
          <cell r="AY501">
            <v>180</v>
          </cell>
          <cell r="AZ501">
            <v>575</v>
          </cell>
          <cell r="BA501">
            <v>2625</v>
          </cell>
          <cell r="BB501">
            <v>2.6</v>
          </cell>
          <cell r="BC501">
            <v>615</v>
          </cell>
          <cell r="BD501">
            <v>240</v>
          </cell>
          <cell r="BE501">
            <v>15</v>
          </cell>
          <cell r="BF501">
            <v>25</v>
          </cell>
          <cell r="BG501">
            <v>190</v>
          </cell>
          <cell r="BH501">
            <v>380</v>
          </cell>
          <cell r="BI501">
            <v>1635</v>
          </cell>
          <cell r="BJ501">
            <v>5</v>
          </cell>
          <cell r="BK501">
            <v>8175</v>
          </cell>
          <cell r="BL501">
            <v>2</v>
          </cell>
          <cell r="BM501">
            <v>3270</v>
          </cell>
          <cell r="BN501">
            <v>1635</v>
          </cell>
          <cell r="BO501">
            <v>460</v>
          </cell>
          <cell r="BP501">
            <v>1175</v>
          </cell>
          <cell r="BQ501">
            <v>0</v>
          </cell>
          <cell r="BR501">
            <v>1635</v>
          </cell>
          <cell r="BS501">
            <v>885</v>
          </cell>
          <cell r="BT501">
            <v>600</v>
          </cell>
          <cell r="BU501">
            <v>150</v>
          </cell>
          <cell r="BV501">
            <v>1635</v>
          </cell>
          <cell r="BW501">
            <v>560</v>
          </cell>
          <cell r="BX501">
            <v>830</v>
          </cell>
          <cell r="BY501">
            <v>145</v>
          </cell>
          <cell r="BZ501">
            <v>60</v>
          </cell>
          <cell r="CA501">
            <v>15</v>
          </cell>
          <cell r="CB501">
            <v>10</v>
          </cell>
          <cell r="CC501">
            <v>10</v>
          </cell>
          <cell r="CD501">
            <v>0</v>
          </cell>
          <cell r="CE501">
            <v>0</v>
          </cell>
          <cell r="CF501">
            <v>1630</v>
          </cell>
          <cell r="CG501">
            <v>125</v>
          </cell>
          <cell r="CH501">
            <v>65</v>
          </cell>
          <cell r="CI501">
            <v>15</v>
          </cell>
          <cell r="CJ501">
            <v>1185</v>
          </cell>
          <cell r="CK501">
            <v>5</v>
          </cell>
          <cell r="CL501">
            <v>240</v>
          </cell>
          <cell r="CM501">
            <v>5</v>
          </cell>
          <cell r="CN501">
            <v>0</v>
          </cell>
          <cell r="CO501">
            <v>1630</v>
          </cell>
          <cell r="CP501">
            <v>575</v>
          </cell>
          <cell r="CQ501">
            <v>600</v>
          </cell>
          <cell r="CR501">
            <v>235</v>
          </cell>
          <cell r="CS501">
            <v>205</v>
          </cell>
          <cell r="CT501">
            <v>20</v>
          </cell>
          <cell r="CU501">
            <v>3455</v>
          </cell>
          <cell r="CV501">
            <v>2.1</v>
          </cell>
          <cell r="CW501">
            <v>1630</v>
          </cell>
          <cell r="CX501">
            <v>975</v>
          </cell>
          <cell r="CY501">
            <v>10</v>
          </cell>
          <cell r="CZ501">
            <v>640</v>
          </cell>
        </row>
        <row r="502">
          <cell r="A502" t="str">
            <v>4620311.00</v>
          </cell>
          <cell r="B502" t="str">
            <v>0311.00</v>
          </cell>
          <cell r="C502" t="str">
            <v>Verdun</v>
          </cell>
          <cell r="D502">
            <v>3625</v>
          </cell>
          <cell r="E502">
            <v>1885</v>
          </cell>
          <cell r="F502">
            <v>815</v>
          </cell>
          <cell r="G502">
            <v>120</v>
          </cell>
          <cell r="H502">
            <v>450</v>
          </cell>
          <cell r="I502">
            <v>350</v>
          </cell>
          <cell r="J502">
            <v>3630</v>
          </cell>
          <cell r="K502">
            <v>3040</v>
          </cell>
          <cell r="L502">
            <v>595</v>
          </cell>
          <cell r="M502">
            <v>955</v>
          </cell>
          <cell r="N502">
            <v>510</v>
          </cell>
          <cell r="O502">
            <v>265</v>
          </cell>
          <cell r="P502">
            <v>120</v>
          </cell>
          <cell r="Q502">
            <v>55</v>
          </cell>
          <cell r="R502">
            <v>955</v>
          </cell>
          <cell r="S502">
            <v>695</v>
          </cell>
          <cell r="T502">
            <v>385</v>
          </cell>
          <cell r="U502">
            <v>200</v>
          </cell>
          <cell r="V502">
            <v>190</v>
          </cell>
          <cell r="W502">
            <v>105</v>
          </cell>
          <cell r="X502">
            <v>65</v>
          </cell>
          <cell r="Y502">
            <v>20</v>
          </cell>
          <cell r="Z502">
            <v>305</v>
          </cell>
          <cell r="AA502">
            <v>140</v>
          </cell>
          <cell r="AB502">
            <v>160</v>
          </cell>
          <cell r="AC502">
            <v>85</v>
          </cell>
          <cell r="AD502">
            <v>45</v>
          </cell>
          <cell r="AE502">
            <v>35</v>
          </cell>
          <cell r="AF502">
            <v>260</v>
          </cell>
          <cell r="AG502">
            <v>215</v>
          </cell>
          <cell r="AH502">
            <v>125</v>
          </cell>
          <cell r="AI502">
            <v>75</v>
          </cell>
          <cell r="AJ502">
            <v>15</v>
          </cell>
          <cell r="AK502">
            <v>45</v>
          </cell>
          <cell r="AL502">
            <v>45</v>
          </cell>
          <cell r="AM502">
            <v>0</v>
          </cell>
          <cell r="AN502">
            <v>0</v>
          </cell>
          <cell r="AO502">
            <v>965</v>
          </cell>
          <cell r="AP502">
            <v>220</v>
          </cell>
          <cell r="AQ502">
            <v>360</v>
          </cell>
          <cell r="AR502">
            <v>110</v>
          </cell>
          <cell r="AS502">
            <v>185</v>
          </cell>
          <cell r="AT502">
            <v>90</v>
          </cell>
          <cell r="AU502">
            <v>1</v>
          </cell>
          <cell r="AV502">
            <v>3990</v>
          </cell>
          <cell r="AW502">
            <v>1380</v>
          </cell>
          <cell r="AX502">
            <v>165</v>
          </cell>
          <cell r="AY502">
            <v>295</v>
          </cell>
          <cell r="AZ502">
            <v>920</v>
          </cell>
          <cell r="BA502">
            <v>2610</v>
          </cell>
          <cell r="BB502">
            <v>2.7</v>
          </cell>
          <cell r="BC502">
            <v>535</v>
          </cell>
          <cell r="BD502">
            <v>325</v>
          </cell>
          <cell r="BE502">
            <v>60</v>
          </cell>
          <cell r="BF502">
            <v>10</v>
          </cell>
          <cell r="BG502">
            <v>255</v>
          </cell>
          <cell r="BH502">
            <v>215</v>
          </cell>
          <cell r="BI502">
            <v>2040</v>
          </cell>
          <cell r="BJ502">
            <v>4.5</v>
          </cell>
          <cell r="BK502">
            <v>9180</v>
          </cell>
          <cell r="BL502">
            <v>1.8</v>
          </cell>
          <cell r="BM502">
            <v>3672</v>
          </cell>
          <cell r="BN502">
            <v>2040</v>
          </cell>
          <cell r="BO502">
            <v>365</v>
          </cell>
          <cell r="BP502">
            <v>1675</v>
          </cell>
          <cell r="BQ502">
            <v>0</v>
          </cell>
          <cell r="BR502">
            <v>2040</v>
          </cell>
          <cell r="BS502">
            <v>980</v>
          </cell>
          <cell r="BT502">
            <v>690</v>
          </cell>
          <cell r="BU502">
            <v>365</v>
          </cell>
          <cell r="BV502">
            <v>2040</v>
          </cell>
          <cell r="BW502">
            <v>1190</v>
          </cell>
          <cell r="BX502">
            <v>535</v>
          </cell>
          <cell r="BY502">
            <v>85</v>
          </cell>
          <cell r="BZ502">
            <v>140</v>
          </cell>
          <cell r="CA502">
            <v>25</v>
          </cell>
          <cell r="CB502">
            <v>40</v>
          </cell>
          <cell r="CC502">
            <v>10</v>
          </cell>
          <cell r="CD502">
            <v>0</v>
          </cell>
          <cell r="CE502">
            <v>20</v>
          </cell>
          <cell r="CF502">
            <v>2030</v>
          </cell>
          <cell r="CG502">
            <v>15</v>
          </cell>
          <cell r="CH502">
            <v>30</v>
          </cell>
          <cell r="CI502">
            <v>30</v>
          </cell>
          <cell r="CJ502">
            <v>665</v>
          </cell>
          <cell r="CK502">
            <v>155</v>
          </cell>
          <cell r="CL502">
            <v>1135</v>
          </cell>
          <cell r="CM502">
            <v>0</v>
          </cell>
          <cell r="CN502">
            <v>0</v>
          </cell>
          <cell r="CO502">
            <v>2030</v>
          </cell>
          <cell r="CP502">
            <v>910</v>
          </cell>
          <cell r="CQ502">
            <v>605</v>
          </cell>
          <cell r="CR502">
            <v>295</v>
          </cell>
          <cell r="CS502">
            <v>200</v>
          </cell>
          <cell r="CT502">
            <v>20</v>
          </cell>
          <cell r="CU502">
            <v>3985</v>
          </cell>
          <cell r="CV502">
            <v>2</v>
          </cell>
          <cell r="CW502">
            <v>2040</v>
          </cell>
          <cell r="CX502">
            <v>955</v>
          </cell>
          <cell r="CY502">
            <v>0</v>
          </cell>
          <cell r="CZ502">
            <v>1085</v>
          </cell>
        </row>
        <row r="503">
          <cell r="A503" t="str">
            <v>4620312.00</v>
          </cell>
          <cell r="B503" t="str">
            <v>0312.00</v>
          </cell>
          <cell r="C503" t="str">
            <v>Verdun</v>
          </cell>
          <cell r="D503">
            <v>2835</v>
          </cell>
          <cell r="E503">
            <v>1440</v>
          </cell>
          <cell r="F503">
            <v>690</v>
          </cell>
          <cell r="G503">
            <v>85</v>
          </cell>
          <cell r="H503">
            <v>370</v>
          </cell>
          <cell r="I503">
            <v>250</v>
          </cell>
          <cell r="J503">
            <v>2840</v>
          </cell>
          <cell r="K503">
            <v>2240</v>
          </cell>
          <cell r="L503">
            <v>595</v>
          </cell>
          <cell r="M503">
            <v>895</v>
          </cell>
          <cell r="N503">
            <v>530</v>
          </cell>
          <cell r="O503">
            <v>190</v>
          </cell>
          <cell r="P503">
            <v>125</v>
          </cell>
          <cell r="Q503">
            <v>45</v>
          </cell>
          <cell r="R503">
            <v>895</v>
          </cell>
          <cell r="S503">
            <v>630</v>
          </cell>
          <cell r="T503">
            <v>340</v>
          </cell>
          <cell r="U503">
            <v>140</v>
          </cell>
          <cell r="V503">
            <v>195</v>
          </cell>
          <cell r="W503">
            <v>80</v>
          </cell>
          <cell r="X503">
            <v>80</v>
          </cell>
          <cell r="Y503">
            <v>40</v>
          </cell>
          <cell r="Z503">
            <v>290</v>
          </cell>
          <cell r="AA503">
            <v>190</v>
          </cell>
          <cell r="AB503">
            <v>110</v>
          </cell>
          <cell r="AC503">
            <v>55</v>
          </cell>
          <cell r="AD503">
            <v>45</v>
          </cell>
          <cell r="AE503">
            <v>0</v>
          </cell>
          <cell r="AF503">
            <v>260</v>
          </cell>
          <cell r="AG503">
            <v>230</v>
          </cell>
          <cell r="AH503">
            <v>185</v>
          </cell>
          <cell r="AI503">
            <v>40</v>
          </cell>
          <cell r="AJ503">
            <v>0</v>
          </cell>
          <cell r="AK503">
            <v>30</v>
          </cell>
          <cell r="AL503">
            <v>20</v>
          </cell>
          <cell r="AM503">
            <v>15</v>
          </cell>
          <cell r="AN503">
            <v>0</v>
          </cell>
          <cell r="AO503">
            <v>855</v>
          </cell>
          <cell r="AP503">
            <v>185</v>
          </cell>
          <cell r="AQ503">
            <v>285</v>
          </cell>
          <cell r="AR503">
            <v>65</v>
          </cell>
          <cell r="AS503">
            <v>135</v>
          </cell>
          <cell r="AT503">
            <v>180</v>
          </cell>
          <cell r="AU503">
            <v>1</v>
          </cell>
          <cell r="AV503">
            <v>3295</v>
          </cell>
          <cell r="AW503">
            <v>910</v>
          </cell>
          <cell r="AX503">
            <v>135</v>
          </cell>
          <cell r="AY503">
            <v>95</v>
          </cell>
          <cell r="AZ503">
            <v>680</v>
          </cell>
          <cell r="BA503">
            <v>2380</v>
          </cell>
          <cell r="BB503">
            <v>2.7</v>
          </cell>
          <cell r="BC503">
            <v>580</v>
          </cell>
          <cell r="BD503">
            <v>260</v>
          </cell>
          <cell r="BE503">
            <v>25</v>
          </cell>
          <cell r="BF503">
            <v>10</v>
          </cell>
          <cell r="BG503">
            <v>235</v>
          </cell>
          <cell r="BH503">
            <v>325</v>
          </cell>
          <cell r="BI503">
            <v>1640</v>
          </cell>
          <cell r="BJ503">
            <v>4.7</v>
          </cell>
          <cell r="BK503">
            <v>7708</v>
          </cell>
          <cell r="BL503">
            <v>1.8</v>
          </cell>
          <cell r="BM503">
            <v>2952</v>
          </cell>
          <cell r="BN503">
            <v>1640</v>
          </cell>
          <cell r="BO503">
            <v>340</v>
          </cell>
          <cell r="BP503">
            <v>1305</v>
          </cell>
          <cell r="BQ503">
            <v>0</v>
          </cell>
          <cell r="BR503">
            <v>1645</v>
          </cell>
          <cell r="BS503">
            <v>1020</v>
          </cell>
          <cell r="BT503">
            <v>455</v>
          </cell>
          <cell r="BU503">
            <v>170</v>
          </cell>
          <cell r="BV503">
            <v>1640</v>
          </cell>
          <cell r="BW503">
            <v>885</v>
          </cell>
          <cell r="BX503">
            <v>445</v>
          </cell>
          <cell r="BY503">
            <v>145</v>
          </cell>
          <cell r="BZ503">
            <v>90</v>
          </cell>
          <cell r="CA503">
            <v>40</v>
          </cell>
          <cell r="CB503">
            <v>25</v>
          </cell>
          <cell r="CC503">
            <v>10</v>
          </cell>
          <cell r="CD503">
            <v>10</v>
          </cell>
          <cell r="CE503">
            <v>0</v>
          </cell>
          <cell r="CF503">
            <v>1645</v>
          </cell>
          <cell r="CG503">
            <v>15</v>
          </cell>
          <cell r="CH503">
            <v>50</v>
          </cell>
          <cell r="CI503">
            <v>5</v>
          </cell>
          <cell r="CJ503">
            <v>1040</v>
          </cell>
          <cell r="CK503">
            <v>150</v>
          </cell>
          <cell r="CL503">
            <v>385</v>
          </cell>
          <cell r="CM503">
            <v>5</v>
          </cell>
          <cell r="CN503">
            <v>5</v>
          </cell>
          <cell r="CO503">
            <v>1640</v>
          </cell>
          <cell r="CP503">
            <v>680</v>
          </cell>
          <cell r="CQ503">
            <v>545</v>
          </cell>
          <cell r="CR503">
            <v>220</v>
          </cell>
          <cell r="CS503">
            <v>180</v>
          </cell>
          <cell r="CT503">
            <v>15</v>
          </cell>
          <cell r="CU503">
            <v>3290</v>
          </cell>
          <cell r="CV503">
            <v>2</v>
          </cell>
          <cell r="CW503">
            <v>1640</v>
          </cell>
          <cell r="CX503">
            <v>860</v>
          </cell>
          <cell r="CY503">
            <v>20</v>
          </cell>
          <cell r="CZ503">
            <v>770</v>
          </cell>
        </row>
        <row r="504">
          <cell r="A504" t="str">
            <v>4620313.00</v>
          </cell>
          <cell r="B504" t="str">
            <v>0313.00</v>
          </cell>
          <cell r="C504" t="str">
            <v>Verdun</v>
          </cell>
          <cell r="D504">
            <v>2745</v>
          </cell>
          <cell r="E504">
            <v>1245</v>
          </cell>
          <cell r="F504">
            <v>865</v>
          </cell>
          <cell r="G504">
            <v>85</v>
          </cell>
          <cell r="H504">
            <v>325</v>
          </cell>
          <cell r="I504">
            <v>220</v>
          </cell>
          <cell r="J504">
            <v>2745</v>
          </cell>
          <cell r="K504">
            <v>2230</v>
          </cell>
          <cell r="L504">
            <v>515</v>
          </cell>
          <cell r="M504">
            <v>940</v>
          </cell>
          <cell r="N504">
            <v>545</v>
          </cell>
          <cell r="O504">
            <v>180</v>
          </cell>
          <cell r="P504">
            <v>160</v>
          </cell>
          <cell r="Q504">
            <v>55</v>
          </cell>
          <cell r="R504">
            <v>940</v>
          </cell>
          <cell r="S504">
            <v>700</v>
          </cell>
          <cell r="T504">
            <v>430</v>
          </cell>
          <cell r="U504">
            <v>250</v>
          </cell>
          <cell r="V504">
            <v>185</v>
          </cell>
          <cell r="W504">
            <v>95</v>
          </cell>
          <cell r="X504">
            <v>60</v>
          </cell>
          <cell r="Y504">
            <v>25</v>
          </cell>
          <cell r="Z504">
            <v>270</v>
          </cell>
          <cell r="AA504">
            <v>145</v>
          </cell>
          <cell r="AB504">
            <v>120</v>
          </cell>
          <cell r="AC504">
            <v>45</v>
          </cell>
          <cell r="AD504">
            <v>65</v>
          </cell>
          <cell r="AE504">
            <v>10</v>
          </cell>
          <cell r="AF504">
            <v>245</v>
          </cell>
          <cell r="AG504">
            <v>225</v>
          </cell>
          <cell r="AH504">
            <v>130</v>
          </cell>
          <cell r="AI504">
            <v>35</v>
          </cell>
          <cell r="AJ504">
            <v>50</v>
          </cell>
          <cell r="AK504">
            <v>20</v>
          </cell>
          <cell r="AL504">
            <v>20</v>
          </cell>
          <cell r="AM504">
            <v>0</v>
          </cell>
          <cell r="AN504">
            <v>0</v>
          </cell>
          <cell r="AO504">
            <v>910</v>
          </cell>
          <cell r="AP504">
            <v>175</v>
          </cell>
          <cell r="AQ504">
            <v>310</v>
          </cell>
          <cell r="AR504">
            <v>150</v>
          </cell>
          <cell r="AS504">
            <v>105</v>
          </cell>
          <cell r="AT504">
            <v>165</v>
          </cell>
          <cell r="AU504">
            <v>1</v>
          </cell>
          <cell r="AV504">
            <v>3230</v>
          </cell>
          <cell r="AW504">
            <v>685</v>
          </cell>
          <cell r="AX504">
            <v>45</v>
          </cell>
          <cell r="AY504">
            <v>105</v>
          </cell>
          <cell r="AZ504">
            <v>525</v>
          </cell>
          <cell r="BA504">
            <v>2550</v>
          </cell>
          <cell r="BB504">
            <v>2.7</v>
          </cell>
          <cell r="BC504">
            <v>540</v>
          </cell>
          <cell r="BD504">
            <v>225</v>
          </cell>
          <cell r="BE504">
            <v>25</v>
          </cell>
          <cell r="BF504">
            <v>0</v>
          </cell>
          <cell r="BG504">
            <v>190</v>
          </cell>
          <cell r="BH504">
            <v>315</v>
          </cell>
          <cell r="BI504">
            <v>1525</v>
          </cell>
          <cell r="BJ504">
            <v>5.0999999999999996</v>
          </cell>
          <cell r="BK504">
            <v>7777.4999999999991</v>
          </cell>
          <cell r="BL504">
            <v>2</v>
          </cell>
          <cell r="BM504">
            <v>3050</v>
          </cell>
          <cell r="BN504">
            <v>1525</v>
          </cell>
          <cell r="BO504">
            <v>425</v>
          </cell>
          <cell r="BP504">
            <v>1095</v>
          </cell>
          <cell r="BQ504">
            <v>0</v>
          </cell>
          <cell r="BR504">
            <v>1525</v>
          </cell>
          <cell r="BS504">
            <v>840</v>
          </cell>
          <cell r="BT504">
            <v>540</v>
          </cell>
          <cell r="BU504">
            <v>135</v>
          </cell>
          <cell r="BV504">
            <v>1520</v>
          </cell>
          <cell r="BW504">
            <v>530</v>
          </cell>
          <cell r="BX504">
            <v>795</v>
          </cell>
          <cell r="BY504">
            <v>155</v>
          </cell>
          <cell r="BZ504">
            <v>25</v>
          </cell>
          <cell r="CA504">
            <v>10</v>
          </cell>
          <cell r="CB504">
            <v>0</v>
          </cell>
          <cell r="CC504">
            <v>0</v>
          </cell>
          <cell r="CD504">
            <v>0</v>
          </cell>
          <cell r="CE504">
            <v>0</v>
          </cell>
          <cell r="CF504">
            <v>1525</v>
          </cell>
          <cell r="CG504">
            <v>30</v>
          </cell>
          <cell r="CH504">
            <v>5</v>
          </cell>
          <cell r="CI504">
            <v>10</v>
          </cell>
          <cell r="CJ504">
            <v>1390</v>
          </cell>
          <cell r="CK504">
            <v>5</v>
          </cell>
          <cell r="CL504">
            <v>90</v>
          </cell>
          <cell r="CM504">
            <v>0</v>
          </cell>
          <cell r="CN504">
            <v>0</v>
          </cell>
          <cell r="CO504">
            <v>1525</v>
          </cell>
          <cell r="CP504">
            <v>530</v>
          </cell>
          <cell r="CQ504">
            <v>560</v>
          </cell>
          <cell r="CR504">
            <v>230</v>
          </cell>
          <cell r="CS504">
            <v>195</v>
          </cell>
          <cell r="CT504">
            <v>10</v>
          </cell>
          <cell r="CU504">
            <v>3230</v>
          </cell>
          <cell r="CV504">
            <v>2.1</v>
          </cell>
          <cell r="CW504">
            <v>1525</v>
          </cell>
          <cell r="CX504">
            <v>940</v>
          </cell>
          <cell r="CY504">
            <v>0</v>
          </cell>
          <cell r="CZ504">
            <v>580</v>
          </cell>
        </row>
        <row r="505">
          <cell r="A505" t="str">
            <v>4620314.00</v>
          </cell>
          <cell r="B505" t="str">
            <v>0314.00</v>
          </cell>
          <cell r="C505" t="str">
            <v>Verdun</v>
          </cell>
          <cell r="D505">
            <v>2195</v>
          </cell>
          <cell r="E505">
            <v>935</v>
          </cell>
          <cell r="F505">
            <v>790</v>
          </cell>
          <cell r="G505">
            <v>55</v>
          </cell>
          <cell r="H505">
            <v>230</v>
          </cell>
          <cell r="I505">
            <v>180</v>
          </cell>
          <cell r="J505">
            <v>2195</v>
          </cell>
          <cell r="K505">
            <v>1835</v>
          </cell>
          <cell r="L505">
            <v>360</v>
          </cell>
          <cell r="M505">
            <v>730</v>
          </cell>
          <cell r="N505">
            <v>450</v>
          </cell>
          <cell r="O505">
            <v>150</v>
          </cell>
          <cell r="P505">
            <v>125</v>
          </cell>
          <cell r="Q505">
            <v>15</v>
          </cell>
          <cell r="R505">
            <v>735</v>
          </cell>
          <cell r="S505">
            <v>555</v>
          </cell>
          <cell r="T505">
            <v>355</v>
          </cell>
          <cell r="U505">
            <v>195</v>
          </cell>
          <cell r="V505">
            <v>165</v>
          </cell>
          <cell r="W505">
            <v>75</v>
          </cell>
          <cell r="X505">
            <v>80</v>
          </cell>
          <cell r="Y505">
            <v>10</v>
          </cell>
          <cell r="Z505">
            <v>195</v>
          </cell>
          <cell r="AA505">
            <v>120</v>
          </cell>
          <cell r="AB505">
            <v>75</v>
          </cell>
          <cell r="AC505">
            <v>35</v>
          </cell>
          <cell r="AD505">
            <v>40</v>
          </cell>
          <cell r="AE505">
            <v>0</v>
          </cell>
          <cell r="AF505">
            <v>175</v>
          </cell>
          <cell r="AG505">
            <v>125</v>
          </cell>
          <cell r="AH505">
            <v>105</v>
          </cell>
          <cell r="AI505">
            <v>20</v>
          </cell>
          <cell r="AJ505">
            <v>10</v>
          </cell>
          <cell r="AK505">
            <v>50</v>
          </cell>
          <cell r="AL505">
            <v>35</v>
          </cell>
          <cell r="AM505">
            <v>15</v>
          </cell>
          <cell r="AN505">
            <v>0</v>
          </cell>
          <cell r="AO505">
            <v>615</v>
          </cell>
          <cell r="AP505">
            <v>105</v>
          </cell>
          <cell r="AQ505">
            <v>205</v>
          </cell>
          <cell r="AR505">
            <v>115</v>
          </cell>
          <cell r="AS505">
            <v>105</v>
          </cell>
          <cell r="AT505">
            <v>85</v>
          </cell>
          <cell r="AU505">
            <v>0.8</v>
          </cell>
          <cell r="AV505">
            <v>2505</v>
          </cell>
          <cell r="AW505">
            <v>605</v>
          </cell>
          <cell r="AX505">
            <v>55</v>
          </cell>
          <cell r="AY505">
            <v>110</v>
          </cell>
          <cell r="AZ505">
            <v>430</v>
          </cell>
          <cell r="BA505">
            <v>1900</v>
          </cell>
          <cell r="BB505">
            <v>2.6</v>
          </cell>
          <cell r="BC505">
            <v>495</v>
          </cell>
          <cell r="BD505">
            <v>220</v>
          </cell>
          <cell r="BE505">
            <v>15</v>
          </cell>
          <cell r="BF505">
            <v>15</v>
          </cell>
          <cell r="BG505">
            <v>190</v>
          </cell>
          <cell r="BH505">
            <v>275</v>
          </cell>
          <cell r="BI505">
            <v>1200</v>
          </cell>
          <cell r="BJ505">
            <v>5.0999999999999996</v>
          </cell>
          <cell r="BK505">
            <v>6120</v>
          </cell>
          <cell r="BL505">
            <v>2.1</v>
          </cell>
          <cell r="BM505">
            <v>2520</v>
          </cell>
          <cell r="BN505">
            <v>1200</v>
          </cell>
          <cell r="BO505">
            <v>400</v>
          </cell>
          <cell r="BP505">
            <v>800</v>
          </cell>
          <cell r="BQ505">
            <v>0</v>
          </cell>
          <cell r="BR505">
            <v>1200</v>
          </cell>
          <cell r="BS505">
            <v>705</v>
          </cell>
          <cell r="BT505">
            <v>365</v>
          </cell>
          <cell r="BU505">
            <v>130</v>
          </cell>
          <cell r="BV505">
            <v>1200</v>
          </cell>
          <cell r="BW505">
            <v>235</v>
          </cell>
          <cell r="BX505">
            <v>830</v>
          </cell>
          <cell r="BY505">
            <v>105</v>
          </cell>
          <cell r="BZ505">
            <v>25</v>
          </cell>
          <cell r="CA505">
            <v>10</v>
          </cell>
          <cell r="CB505">
            <v>0</v>
          </cell>
          <cell r="CC505">
            <v>0</v>
          </cell>
          <cell r="CD505">
            <v>0</v>
          </cell>
          <cell r="CE505">
            <v>0</v>
          </cell>
          <cell r="CF505">
            <v>1205</v>
          </cell>
          <cell r="CG505">
            <v>10</v>
          </cell>
          <cell r="CH505">
            <v>5</v>
          </cell>
          <cell r="CI505">
            <v>10</v>
          </cell>
          <cell r="CJ505">
            <v>1155</v>
          </cell>
          <cell r="CK505">
            <v>0</v>
          </cell>
          <cell r="CL505">
            <v>20</v>
          </cell>
          <cell r="CM505">
            <v>0</v>
          </cell>
          <cell r="CN505">
            <v>0</v>
          </cell>
          <cell r="CO505">
            <v>1205</v>
          </cell>
          <cell r="CP505">
            <v>440</v>
          </cell>
          <cell r="CQ505">
            <v>435</v>
          </cell>
          <cell r="CR505">
            <v>175</v>
          </cell>
          <cell r="CS505">
            <v>135</v>
          </cell>
          <cell r="CT505">
            <v>15</v>
          </cell>
          <cell r="CU505">
            <v>2515</v>
          </cell>
          <cell r="CV505">
            <v>2.1</v>
          </cell>
          <cell r="CW505">
            <v>1200</v>
          </cell>
          <cell r="CX505">
            <v>710</v>
          </cell>
          <cell r="CY505">
            <v>15</v>
          </cell>
          <cell r="CZ505">
            <v>480</v>
          </cell>
        </row>
        <row r="506">
          <cell r="A506" t="str">
            <v>4620315.00</v>
          </cell>
          <cell r="B506" t="str">
            <v>0315.00</v>
          </cell>
          <cell r="C506" t="str">
            <v>Verdun</v>
          </cell>
          <cell r="D506">
            <v>245</v>
          </cell>
          <cell r="E506">
            <v>175</v>
          </cell>
          <cell r="F506">
            <v>20</v>
          </cell>
          <cell r="G506">
            <v>5</v>
          </cell>
          <cell r="H506">
            <v>15</v>
          </cell>
          <cell r="I506">
            <v>20</v>
          </cell>
          <cell r="J506">
            <v>245</v>
          </cell>
          <cell r="K506">
            <v>245</v>
          </cell>
          <cell r="L506">
            <v>0</v>
          </cell>
          <cell r="M506" t="str">
            <v>-</v>
          </cell>
          <cell r="N506" t="str">
            <v>-</v>
          </cell>
          <cell r="O506" t="str">
            <v>-</v>
          </cell>
          <cell r="P506" t="str">
            <v>-</v>
          </cell>
          <cell r="Q506" t="str">
            <v>-</v>
          </cell>
          <cell r="R506" t="str">
            <v>-</v>
          </cell>
          <cell r="S506" t="str">
            <v>-</v>
          </cell>
          <cell r="T506" t="str">
            <v>-</v>
          </cell>
          <cell r="U506" t="str">
            <v>-</v>
          </cell>
          <cell r="V506" t="str">
            <v>-</v>
          </cell>
          <cell r="W506" t="str">
            <v>-</v>
          </cell>
          <cell r="X506" t="str">
            <v>-</v>
          </cell>
          <cell r="Y506" t="str">
            <v>-</v>
          </cell>
          <cell r="Z506" t="str">
            <v>-</v>
          </cell>
          <cell r="AA506" t="str">
            <v>-</v>
          </cell>
          <cell r="AB506" t="str">
            <v>-</v>
          </cell>
          <cell r="AC506" t="str">
            <v>-</v>
          </cell>
          <cell r="AD506" t="str">
            <v>-</v>
          </cell>
          <cell r="AE506" t="str">
            <v>-</v>
          </cell>
          <cell r="AF506" t="str">
            <v>-</v>
          </cell>
          <cell r="AG506" t="str">
            <v>-</v>
          </cell>
          <cell r="AH506" t="str">
            <v>-</v>
          </cell>
          <cell r="AI506" t="str">
            <v>-</v>
          </cell>
          <cell r="AJ506" t="str">
            <v>-</v>
          </cell>
          <cell r="AK506" t="str">
            <v>-</v>
          </cell>
          <cell r="AL506" t="str">
            <v>-</v>
          </cell>
          <cell r="AM506" t="str">
            <v>-</v>
          </cell>
          <cell r="AN506" t="str">
            <v>-</v>
          </cell>
          <cell r="AO506" t="str">
            <v>-</v>
          </cell>
          <cell r="AP506" t="str">
            <v>-</v>
          </cell>
          <cell r="AQ506" t="str">
            <v>-</v>
          </cell>
          <cell r="AR506" t="str">
            <v>-</v>
          </cell>
          <cell r="AS506" t="str">
            <v>-</v>
          </cell>
          <cell r="AT506" t="str">
            <v>-</v>
          </cell>
          <cell r="AU506" t="str">
            <v>-</v>
          </cell>
          <cell r="AV506" t="str">
            <v>-</v>
          </cell>
          <cell r="AW506" t="str">
            <v>-</v>
          </cell>
          <cell r="AX506" t="str">
            <v>-</v>
          </cell>
          <cell r="AY506" t="str">
            <v>-</v>
          </cell>
          <cell r="AZ506" t="str">
            <v>-</v>
          </cell>
          <cell r="BA506" t="str">
            <v>-</v>
          </cell>
          <cell r="BB506" t="str">
            <v>-</v>
          </cell>
          <cell r="BC506" t="str">
            <v>-</v>
          </cell>
          <cell r="BD506" t="str">
            <v>-</v>
          </cell>
          <cell r="BE506" t="str">
            <v>-</v>
          </cell>
          <cell r="BF506" t="str">
            <v>-</v>
          </cell>
          <cell r="BG506" t="str">
            <v>-</v>
          </cell>
          <cell r="BH506" t="str">
            <v>-</v>
          </cell>
          <cell r="BI506" t="str">
            <v>-</v>
          </cell>
          <cell r="BJ506" t="str">
            <v>-</v>
          </cell>
          <cell r="BK506" t="str">
            <v>-</v>
          </cell>
          <cell r="BL506" t="str">
            <v>-</v>
          </cell>
          <cell r="BM506" t="str">
            <v>-</v>
          </cell>
          <cell r="BN506" t="str">
            <v>-</v>
          </cell>
          <cell r="BO506" t="str">
            <v>-</v>
          </cell>
          <cell r="BP506" t="str">
            <v>-</v>
          </cell>
          <cell r="BQ506" t="str">
            <v>-</v>
          </cell>
          <cell r="BR506" t="str">
            <v>-</v>
          </cell>
          <cell r="BS506" t="str">
            <v>-</v>
          </cell>
          <cell r="BT506" t="str">
            <v>-</v>
          </cell>
          <cell r="BU506" t="str">
            <v>-</v>
          </cell>
          <cell r="BV506" t="str">
            <v>-</v>
          </cell>
          <cell r="BW506" t="str">
            <v>-</v>
          </cell>
          <cell r="BX506" t="str">
            <v>-</v>
          </cell>
          <cell r="BY506" t="str">
            <v>-</v>
          </cell>
          <cell r="BZ506" t="str">
            <v>-</v>
          </cell>
          <cell r="CA506" t="str">
            <v>-</v>
          </cell>
          <cell r="CB506" t="str">
            <v>-</v>
          </cell>
          <cell r="CC506" t="str">
            <v>-</v>
          </cell>
          <cell r="CD506" t="str">
            <v>-</v>
          </cell>
          <cell r="CE506" t="str">
            <v>-</v>
          </cell>
          <cell r="CF506">
            <v>5</v>
          </cell>
          <cell r="CG506">
            <v>0</v>
          </cell>
          <cell r="CH506">
            <v>0</v>
          </cell>
          <cell r="CI506">
            <v>0</v>
          </cell>
          <cell r="CJ506">
            <v>0</v>
          </cell>
          <cell r="CK506">
            <v>0</v>
          </cell>
          <cell r="CL506">
            <v>0</v>
          </cell>
          <cell r="CM506">
            <v>0</v>
          </cell>
          <cell r="CN506">
            <v>0</v>
          </cell>
          <cell r="CO506">
            <v>5</v>
          </cell>
          <cell r="CP506">
            <v>0</v>
          </cell>
          <cell r="CQ506">
            <v>0</v>
          </cell>
          <cell r="CR506">
            <v>5</v>
          </cell>
          <cell r="CS506">
            <v>0</v>
          </cell>
          <cell r="CT506">
            <v>0</v>
          </cell>
          <cell r="CU506">
            <v>0</v>
          </cell>
          <cell r="CV506">
            <v>0</v>
          </cell>
          <cell r="CW506" t="str">
            <v>-</v>
          </cell>
          <cell r="CX506" t="str">
            <v>-</v>
          </cell>
          <cell r="CY506" t="str">
            <v>-</v>
          </cell>
          <cell r="CZ506" t="str">
            <v>-</v>
          </cell>
        </row>
        <row r="507">
          <cell r="A507" t="str">
            <v>4620316.00</v>
          </cell>
          <cell r="B507" t="str">
            <v>0316.00</v>
          </cell>
          <cell r="C507" t="str">
            <v>Verdun</v>
          </cell>
          <cell r="D507">
            <v>1875</v>
          </cell>
          <cell r="E507">
            <v>765</v>
          </cell>
          <cell r="F507">
            <v>730</v>
          </cell>
          <cell r="G507">
            <v>40</v>
          </cell>
          <cell r="H507">
            <v>165</v>
          </cell>
          <cell r="I507">
            <v>165</v>
          </cell>
          <cell r="J507">
            <v>1875</v>
          </cell>
          <cell r="K507">
            <v>1530</v>
          </cell>
          <cell r="L507">
            <v>340</v>
          </cell>
          <cell r="M507">
            <v>565</v>
          </cell>
          <cell r="N507">
            <v>275</v>
          </cell>
          <cell r="O507">
            <v>145</v>
          </cell>
          <cell r="P507">
            <v>110</v>
          </cell>
          <cell r="Q507">
            <v>35</v>
          </cell>
          <cell r="R507">
            <v>565</v>
          </cell>
          <cell r="S507">
            <v>505</v>
          </cell>
          <cell r="T507">
            <v>350</v>
          </cell>
          <cell r="U507">
            <v>175</v>
          </cell>
          <cell r="V507">
            <v>175</v>
          </cell>
          <cell r="W507">
            <v>75</v>
          </cell>
          <cell r="X507">
            <v>80</v>
          </cell>
          <cell r="Y507">
            <v>20</v>
          </cell>
          <cell r="Z507">
            <v>160</v>
          </cell>
          <cell r="AA507">
            <v>50</v>
          </cell>
          <cell r="AB507">
            <v>105</v>
          </cell>
          <cell r="AC507">
            <v>50</v>
          </cell>
          <cell r="AD507">
            <v>30</v>
          </cell>
          <cell r="AE507">
            <v>20</v>
          </cell>
          <cell r="AF507">
            <v>60</v>
          </cell>
          <cell r="AG507">
            <v>50</v>
          </cell>
          <cell r="AH507">
            <v>40</v>
          </cell>
          <cell r="AI507">
            <v>10</v>
          </cell>
          <cell r="AJ507">
            <v>0</v>
          </cell>
          <cell r="AK507">
            <v>10</v>
          </cell>
          <cell r="AL507">
            <v>10</v>
          </cell>
          <cell r="AM507">
            <v>0</v>
          </cell>
          <cell r="AN507">
            <v>0</v>
          </cell>
          <cell r="AO507">
            <v>545</v>
          </cell>
          <cell r="AP507">
            <v>150</v>
          </cell>
          <cell r="AQ507">
            <v>220</v>
          </cell>
          <cell r="AR507">
            <v>70</v>
          </cell>
          <cell r="AS507">
            <v>70</v>
          </cell>
          <cell r="AT507">
            <v>35</v>
          </cell>
          <cell r="AU507">
            <v>1</v>
          </cell>
          <cell r="AV507">
            <v>1965</v>
          </cell>
          <cell r="AW507">
            <v>345</v>
          </cell>
          <cell r="AX507">
            <v>35</v>
          </cell>
          <cell r="AY507">
            <v>70</v>
          </cell>
          <cell r="AZ507">
            <v>245</v>
          </cell>
          <cell r="BA507">
            <v>1620</v>
          </cell>
          <cell r="BB507">
            <v>2.9</v>
          </cell>
          <cell r="BC507">
            <v>310</v>
          </cell>
          <cell r="BD507">
            <v>120</v>
          </cell>
          <cell r="BE507">
            <v>25</v>
          </cell>
          <cell r="BF507">
            <v>0</v>
          </cell>
          <cell r="BG507">
            <v>85</v>
          </cell>
          <cell r="BH507">
            <v>190</v>
          </cell>
          <cell r="BI507">
            <v>845</v>
          </cell>
          <cell r="BJ507">
            <v>6.5</v>
          </cell>
          <cell r="BK507">
            <v>5492.5</v>
          </cell>
          <cell r="BL507">
            <v>2.4</v>
          </cell>
          <cell r="BM507">
            <v>2028</v>
          </cell>
          <cell r="BN507">
            <v>840</v>
          </cell>
          <cell r="BO507">
            <v>670</v>
          </cell>
          <cell r="BP507">
            <v>175</v>
          </cell>
          <cell r="BQ507">
            <v>0</v>
          </cell>
          <cell r="BR507">
            <v>840</v>
          </cell>
          <cell r="BS507">
            <v>495</v>
          </cell>
          <cell r="BT507">
            <v>315</v>
          </cell>
          <cell r="BU507">
            <v>30</v>
          </cell>
          <cell r="BV507">
            <v>840</v>
          </cell>
          <cell r="BW507">
            <v>255</v>
          </cell>
          <cell r="BX507">
            <v>500</v>
          </cell>
          <cell r="BY507">
            <v>25</v>
          </cell>
          <cell r="BZ507">
            <v>10</v>
          </cell>
          <cell r="CA507">
            <v>20</v>
          </cell>
          <cell r="CB507">
            <v>10</v>
          </cell>
          <cell r="CC507">
            <v>10</v>
          </cell>
          <cell r="CD507">
            <v>15</v>
          </cell>
          <cell r="CE507">
            <v>0</v>
          </cell>
          <cell r="CF507">
            <v>845</v>
          </cell>
          <cell r="CG507">
            <v>525</v>
          </cell>
          <cell r="CH507">
            <v>35</v>
          </cell>
          <cell r="CI507">
            <v>10</v>
          </cell>
          <cell r="CJ507">
            <v>250</v>
          </cell>
          <cell r="CK507">
            <v>0</v>
          </cell>
          <cell r="CL507">
            <v>25</v>
          </cell>
          <cell r="CM507">
            <v>0</v>
          </cell>
          <cell r="CN507">
            <v>0</v>
          </cell>
          <cell r="CO507">
            <v>845</v>
          </cell>
          <cell r="CP507">
            <v>235</v>
          </cell>
          <cell r="CQ507">
            <v>310</v>
          </cell>
          <cell r="CR507">
            <v>140</v>
          </cell>
          <cell r="CS507">
            <v>150</v>
          </cell>
          <cell r="CT507">
            <v>15</v>
          </cell>
          <cell r="CU507">
            <v>1965</v>
          </cell>
          <cell r="CV507">
            <v>2.2999999999999998</v>
          </cell>
          <cell r="CW507">
            <v>840</v>
          </cell>
          <cell r="CX507">
            <v>565</v>
          </cell>
          <cell r="CY507">
            <v>0</v>
          </cell>
          <cell r="CZ507">
            <v>275</v>
          </cell>
        </row>
        <row r="508">
          <cell r="A508" t="str">
            <v>4620317.01</v>
          </cell>
          <cell r="B508" t="str">
            <v>0317.01</v>
          </cell>
          <cell r="C508" t="str">
            <v>Verdun</v>
          </cell>
          <cell r="D508">
            <v>8515</v>
          </cell>
          <cell r="E508">
            <v>3340</v>
          </cell>
          <cell r="F508">
            <v>3435</v>
          </cell>
          <cell r="G508">
            <v>205</v>
          </cell>
          <cell r="H508">
            <v>1255</v>
          </cell>
          <cell r="I508">
            <v>275</v>
          </cell>
          <cell r="J508">
            <v>8520</v>
          </cell>
          <cell r="K508">
            <v>6800</v>
          </cell>
          <cell r="L508">
            <v>1720</v>
          </cell>
          <cell r="M508">
            <v>2860</v>
          </cell>
          <cell r="N508">
            <v>1620</v>
          </cell>
          <cell r="O508">
            <v>595</v>
          </cell>
          <cell r="P508">
            <v>495</v>
          </cell>
          <cell r="Q508">
            <v>145</v>
          </cell>
          <cell r="R508">
            <v>2860</v>
          </cell>
          <cell r="S508">
            <v>2555</v>
          </cell>
          <cell r="T508">
            <v>1690</v>
          </cell>
          <cell r="U508">
            <v>840</v>
          </cell>
          <cell r="V508">
            <v>850</v>
          </cell>
          <cell r="W508">
            <v>360</v>
          </cell>
          <cell r="X508">
            <v>370</v>
          </cell>
          <cell r="Y508">
            <v>115</v>
          </cell>
          <cell r="Z508">
            <v>865</v>
          </cell>
          <cell r="AA508">
            <v>595</v>
          </cell>
          <cell r="AB508">
            <v>275</v>
          </cell>
          <cell r="AC508">
            <v>140</v>
          </cell>
          <cell r="AD508">
            <v>110</v>
          </cell>
          <cell r="AE508">
            <v>20</v>
          </cell>
          <cell r="AF508">
            <v>300</v>
          </cell>
          <cell r="AG508">
            <v>220</v>
          </cell>
          <cell r="AH508">
            <v>130</v>
          </cell>
          <cell r="AI508">
            <v>70</v>
          </cell>
          <cell r="AJ508">
            <v>20</v>
          </cell>
          <cell r="AK508">
            <v>80</v>
          </cell>
          <cell r="AL508">
            <v>55</v>
          </cell>
          <cell r="AM508">
            <v>20</v>
          </cell>
          <cell r="AN508">
            <v>0</v>
          </cell>
          <cell r="AO508">
            <v>2375</v>
          </cell>
          <cell r="AP508">
            <v>695</v>
          </cell>
          <cell r="AQ508">
            <v>905</v>
          </cell>
          <cell r="AR508">
            <v>265</v>
          </cell>
          <cell r="AS508">
            <v>335</v>
          </cell>
          <cell r="AT508">
            <v>175</v>
          </cell>
          <cell r="AU508">
            <v>0.8</v>
          </cell>
          <cell r="AV508">
            <v>10115</v>
          </cell>
          <cell r="AW508">
            <v>2320</v>
          </cell>
          <cell r="AX508">
            <v>65</v>
          </cell>
          <cell r="AY508">
            <v>200</v>
          </cell>
          <cell r="AZ508">
            <v>2055</v>
          </cell>
          <cell r="BA508">
            <v>7795</v>
          </cell>
          <cell r="BB508">
            <v>2.7</v>
          </cell>
          <cell r="BC508">
            <v>1060</v>
          </cell>
          <cell r="BD508">
            <v>365</v>
          </cell>
          <cell r="BE508">
            <v>0</v>
          </cell>
          <cell r="BF508">
            <v>35</v>
          </cell>
          <cell r="BG508">
            <v>325</v>
          </cell>
          <cell r="BH508">
            <v>695</v>
          </cell>
          <cell r="BI508">
            <v>4995</v>
          </cell>
          <cell r="BJ508">
            <v>4.9000000000000004</v>
          </cell>
          <cell r="BK508">
            <v>24475.5</v>
          </cell>
          <cell r="BL508">
            <v>1.9</v>
          </cell>
          <cell r="BM508">
            <v>9490.5</v>
          </cell>
          <cell r="BN508">
            <v>4995</v>
          </cell>
          <cell r="BO508">
            <v>2980</v>
          </cell>
          <cell r="BP508">
            <v>2015</v>
          </cell>
          <cell r="BQ508">
            <v>0</v>
          </cell>
          <cell r="BR508">
            <v>4995</v>
          </cell>
          <cell r="BS508">
            <v>3935</v>
          </cell>
          <cell r="BT508">
            <v>970</v>
          </cell>
          <cell r="BU508">
            <v>85</v>
          </cell>
          <cell r="BV508">
            <v>4995</v>
          </cell>
          <cell r="BW508">
            <v>20</v>
          </cell>
          <cell r="BX508">
            <v>80</v>
          </cell>
          <cell r="BY508">
            <v>980</v>
          </cell>
          <cell r="BZ508">
            <v>590</v>
          </cell>
          <cell r="CA508">
            <v>230</v>
          </cell>
          <cell r="CB508">
            <v>930</v>
          </cell>
          <cell r="CC508">
            <v>490</v>
          </cell>
          <cell r="CD508">
            <v>580</v>
          </cell>
          <cell r="CE508">
            <v>1090</v>
          </cell>
          <cell r="CF508">
            <v>4995</v>
          </cell>
          <cell r="CG508">
            <v>165</v>
          </cell>
          <cell r="CH508">
            <v>80</v>
          </cell>
          <cell r="CI508">
            <v>910</v>
          </cell>
          <cell r="CJ508">
            <v>60</v>
          </cell>
          <cell r="CK508">
            <v>2360</v>
          </cell>
          <cell r="CL508">
            <v>1420</v>
          </cell>
          <cell r="CM508">
            <v>0</v>
          </cell>
          <cell r="CN508">
            <v>0</v>
          </cell>
          <cell r="CO508">
            <v>4995</v>
          </cell>
          <cell r="CP508">
            <v>2060</v>
          </cell>
          <cell r="CQ508">
            <v>1680</v>
          </cell>
          <cell r="CR508">
            <v>595</v>
          </cell>
          <cell r="CS508">
            <v>620</v>
          </cell>
          <cell r="CT508">
            <v>50</v>
          </cell>
          <cell r="CU508">
            <v>10120</v>
          </cell>
          <cell r="CV508">
            <v>2</v>
          </cell>
          <cell r="CW508">
            <v>4995</v>
          </cell>
          <cell r="CX508">
            <v>2835</v>
          </cell>
          <cell r="CY508">
            <v>10</v>
          </cell>
          <cell r="CZ508">
            <v>2145</v>
          </cell>
        </row>
        <row r="509">
          <cell r="A509" t="str">
            <v>4620317.02</v>
          </cell>
          <cell r="B509" t="str">
            <v>0317.02</v>
          </cell>
          <cell r="C509" t="str">
            <v>Verdun</v>
          </cell>
          <cell r="D509">
            <v>5390</v>
          </cell>
          <cell r="E509">
            <v>1895</v>
          </cell>
          <cell r="F509">
            <v>2190</v>
          </cell>
          <cell r="G509">
            <v>145</v>
          </cell>
          <cell r="H509">
            <v>745</v>
          </cell>
          <cell r="I509">
            <v>415</v>
          </cell>
          <cell r="J509">
            <v>5390</v>
          </cell>
          <cell r="K509">
            <v>4530</v>
          </cell>
          <cell r="L509">
            <v>855</v>
          </cell>
          <cell r="M509">
            <v>1715</v>
          </cell>
          <cell r="N509">
            <v>1055</v>
          </cell>
          <cell r="O509">
            <v>380</v>
          </cell>
          <cell r="P509">
            <v>205</v>
          </cell>
          <cell r="Q509">
            <v>75</v>
          </cell>
          <cell r="R509">
            <v>1710</v>
          </cell>
          <cell r="S509">
            <v>1505</v>
          </cell>
          <cell r="T509">
            <v>1075</v>
          </cell>
          <cell r="U509">
            <v>575</v>
          </cell>
          <cell r="V509">
            <v>495</v>
          </cell>
          <cell r="W509">
            <v>280</v>
          </cell>
          <cell r="X509">
            <v>160</v>
          </cell>
          <cell r="Y509">
            <v>60</v>
          </cell>
          <cell r="Z509">
            <v>435</v>
          </cell>
          <cell r="AA509">
            <v>350</v>
          </cell>
          <cell r="AB509">
            <v>80</v>
          </cell>
          <cell r="AC509">
            <v>35</v>
          </cell>
          <cell r="AD509">
            <v>35</v>
          </cell>
          <cell r="AE509">
            <v>10</v>
          </cell>
          <cell r="AF509">
            <v>205</v>
          </cell>
          <cell r="AG509">
            <v>170</v>
          </cell>
          <cell r="AH509">
            <v>100</v>
          </cell>
          <cell r="AI509">
            <v>65</v>
          </cell>
          <cell r="AJ509">
            <v>0</v>
          </cell>
          <cell r="AK509">
            <v>35</v>
          </cell>
          <cell r="AL509">
            <v>20</v>
          </cell>
          <cell r="AM509">
            <v>10</v>
          </cell>
          <cell r="AN509">
            <v>10</v>
          </cell>
          <cell r="AO509">
            <v>1230</v>
          </cell>
          <cell r="AP509">
            <v>320</v>
          </cell>
          <cell r="AQ509">
            <v>380</v>
          </cell>
          <cell r="AR509">
            <v>140</v>
          </cell>
          <cell r="AS509">
            <v>240</v>
          </cell>
          <cell r="AT509">
            <v>150</v>
          </cell>
          <cell r="AU509">
            <v>0.7</v>
          </cell>
          <cell r="AV509">
            <v>6090</v>
          </cell>
          <cell r="AW509">
            <v>1640</v>
          </cell>
          <cell r="AX509">
            <v>85</v>
          </cell>
          <cell r="AY509">
            <v>160</v>
          </cell>
          <cell r="AZ509">
            <v>1400</v>
          </cell>
          <cell r="BA509">
            <v>4450</v>
          </cell>
          <cell r="BB509">
            <v>2.6</v>
          </cell>
          <cell r="BC509">
            <v>1375</v>
          </cell>
          <cell r="BD509">
            <v>610</v>
          </cell>
          <cell r="BE509">
            <v>35</v>
          </cell>
          <cell r="BF509">
            <v>25</v>
          </cell>
          <cell r="BG509">
            <v>545</v>
          </cell>
          <cell r="BH509">
            <v>765</v>
          </cell>
          <cell r="BI509">
            <v>3175</v>
          </cell>
          <cell r="BJ509">
            <v>4.5999999999999996</v>
          </cell>
          <cell r="BK509">
            <v>14604.999999999998</v>
          </cell>
          <cell r="BL509">
            <v>1.9</v>
          </cell>
          <cell r="BM509">
            <v>6032.5</v>
          </cell>
          <cell r="BN509">
            <v>3175</v>
          </cell>
          <cell r="BO509">
            <v>1755</v>
          </cell>
          <cell r="BP509">
            <v>1425</v>
          </cell>
          <cell r="BQ509">
            <v>0</v>
          </cell>
          <cell r="BR509">
            <v>3175</v>
          </cell>
          <cell r="BS509">
            <v>2385</v>
          </cell>
          <cell r="BT509">
            <v>595</v>
          </cell>
          <cell r="BU509">
            <v>195</v>
          </cell>
          <cell r="BV509">
            <v>3180</v>
          </cell>
          <cell r="BW509">
            <v>10</v>
          </cell>
          <cell r="BX509">
            <v>35</v>
          </cell>
          <cell r="BY509">
            <v>535</v>
          </cell>
          <cell r="BZ509">
            <v>555</v>
          </cell>
          <cell r="CA509">
            <v>870</v>
          </cell>
          <cell r="CB509">
            <v>690</v>
          </cell>
          <cell r="CC509">
            <v>190</v>
          </cell>
          <cell r="CD509">
            <v>90</v>
          </cell>
          <cell r="CE509">
            <v>185</v>
          </cell>
          <cell r="CF509">
            <v>3180</v>
          </cell>
          <cell r="CG509">
            <v>0</v>
          </cell>
          <cell r="CH509">
            <v>55</v>
          </cell>
          <cell r="CI509">
            <v>410</v>
          </cell>
          <cell r="CJ509">
            <v>115</v>
          </cell>
          <cell r="CK509">
            <v>1960</v>
          </cell>
          <cell r="CL509">
            <v>630</v>
          </cell>
          <cell r="CM509">
            <v>0</v>
          </cell>
          <cell r="CN509">
            <v>0</v>
          </cell>
          <cell r="CO509">
            <v>3180</v>
          </cell>
          <cell r="CP509">
            <v>1400</v>
          </cell>
          <cell r="CQ509">
            <v>1095</v>
          </cell>
          <cell r="CR509">
            <v>360</v>
          </cell>
          <cell r="CS509">
            <v>290</v>
          </cell>
          <cell r="CT509">
            <v>30</v>
          </cell>
          <cell r="CU509">
            <v>6090</v>
          </cell>
          <cell r="CV509">
            <v>1.9</v>
          </cell>
          <cell r="CW509">
            <v>3175</v>
          </cell>
          <cell r="CX509">
            <v>1685</v>
          </cell>
          <cell r="CY509">
            <v>10</v>
          </cell>
          <cell r="CZ509">
            <v>1480</v>
          </cell>
        </row>
        <row r="510">
          <cell r="C510" t="str">
            <v>Verdun</v>
          </cell>
          <cell r="D510">
            <v>57005</v>
          </cell>
          <cell r="E510">
            <v>27575</v>
          </cell>
          <cell r="F510">
            <v>17235</v>
          </cell>
          <cell r="G510">
            <v>1560</v>
          </cell>
          <cell r="H510">
            <v>6795</v>
          </cell>
          <cell r="I510">
            <v>3795</v>
          </cell>
          <cell r="J510">
            <v>57015</v>
          </cell>
          <cell r="K510">
            <v>46515</v>
          </cell>
          <cell r="L510">
            <v>10500</v>
          </cell>
          <cell r="M510">
            <v>17450</v>
          </cell>
          <cell r="N510">
            <v>10320</v>
          </cell>
          <cell r="O510">
            <v>3915</v>
          </cell>
          <cell r="P510">
            <v>2380</v>
          </cell>
          <cell r="Q510">
            <v>780</v>
          </cell>
          <cell r="R510">
            <v>17440</v>
          </cell>
          <cell r="S510">
            <v>13635</v>
          </cell>
          <cell r="T510">
            <v>8340</v>
          </cell>
          <cell r="U510">
            <v>4285</v>
          </cell>
          <cell r="V510">
            <v>4050</v>
          </cell>
          <cell r="W510">
            <v>2035</v>
          </cell>
          <cell r="X510">
            <v>1520</v>
          </cell>
          <cell r="Y510">
            <v>500</v>
          </cell>
          <cell r="Z510">
            <v>5290</v>
          </cell>
          <cell r="AA510">
            <v>3435</v>
          </cell>
          <cell r="AB510">
            <v>1850</v>
          </cell>
          <cell r="AC510">
            <v>970</v>
          </cell>
          <cell r="AD510">
            <v>680</v>
          </cell>
          <cell r="AE510">
            <v>185</v>
          </cell>
          <cell r="AF510">
            <v>3790</v>
          </cell>
          <cell r="AG510">
            <v>3170</v>
          </cell>
          <cell r="AH510">
            <v>2150</v>
          </cell>
          <cell r="AI510">
            <v>760</v>
          </cell>
          <cell r="AJ510">
            <v>255</v>
          </cell>
          <cell r="AK510">
            <v>600</v>
          </cell>
          <cell r="AL510">
            <v>445</v>
          </cell>
          <cell r="AM510">
            <v>145</v>
          </cell>
          <cell r="AN510">
            <v>30</v>
          </cell>
          <cell r="AO510">
            <v>15135</v>
          </cell>
          <cell r="AP510">
            <v>3790</v>
          </cell>
          <cell r="AQ510">
            <v>5190</v>
          </cell>
          <cell r="AR510">
            <v>1810</v>
          </cell>
          <cell r="AS510">
            <v>2440</v>
          </cell>
          <cell r="AT510">
            <v>1865</v>
          </cell>
          <cell r="AU510">
            <v>0.8678325688073395</v>
          </cell>
          <cell r="AV510">
            <v>64740</v>
          </cell>
          <cell r="AW510">
            <v>18520</v>
          </cell>
          <cell r="AX510">
            <v>1500</v>
          </cell>
          <cell r="AY510">
            <v>3815</v>
          </cell>
          <cell r="AZ510">
            <v>13180</v>
          </cell>
          <cell r="BA510">
            <v>46225</v>
          </cell>
          <cell r="BB510">
            <v>2.6505160550458715</v>
          </cell>
          <cell r="BC510">
            <v>8950</v>
          </cell>
          <cell r="BD510">
            <v>4225</v>
          </cell>
          <cell r="BE510">
            <v>320</v>
          </cell>
          <cell r="BF510">
            <v>245</v>
          </cell>
          <cell r="BG510">
            <v>3605</v>
          </cell>
          <cell r="BH510">
            <v>4720</v>
          </cell>
          <cell r="BI510">
            <v>32340</v>
          </cell>
          <cell r="BJ510">
            <v>4.6646103896103899</v>
          </cell>
          <cell r="BK510">
            <v>150853.5</v>
          </cell>
          <cell r="BL510">
            <v>1.8714594928880643</v>
          </cell>
          <cell r="BM510">
            <v>60523</v>
          </cell>
          <cell r="BN510">
            <v>32335</v>
          </cell>
          <cell r="BO510">
            <v>10580</v>
          </cell>
          <cell r="BP510">
            <v>21765</v>
          </cell>
          <cell r="BQ510">
            <v>0</v>
          </cell>
          <cell r="BR510">
            <v>32345</v>
          </cell>
          <cell r="BS510">
            <v>19730</v>
          </cell>
          <cell r="BT510">
            <v>9395</v>
          </cell>
          <cell r="BU510">
            <v>3205</v>
          </cell>
          <cell r="BV510">
            <v>32330</v>
          </cell>
          <cell r="BW510">
            <v>10525</v>
          </cell>
          <cell r="BX510">
            <v>7365</v>
          </cell>
          <cell r="BY510">
            <v>3810</v>
          </cell>
          <cell r="BZ510">
            <v>2335</v>
          </cell>
          <cell r="CA510">
            <v>2000</v>
          </cell>
          <cell r="CB510">
            <v>2275</v>
          </cell>
          <cell r="CC510">
            <v>1080</v>
          </cell>
          <cell r="CD510">
            <v>1115</v>
          </cell>
          <cell r="CE510">
            <v>1835</v>
          </cell>
          <cell r="CF510">
            <v>32355</v>
          </cell>
          <cell r="CG510">
            <v>1025</v>
          </cell>
          <cell r="CH510">
            <v>500</v>
          </cell>
          <cell r="CI510">
            <v>1570</v>
          </cell>
          <cell r="CJ510">
            <v>7840</v>
          </cell>
          <cell r="CK510">
            <v>5865</v>
          </cell>
          <cell r="CL510">
            <v>15535</v>
          </cell>
          <cell r="CM510">
            <v>50</v>
          </cell>
          <cell r="CN510">
            <v>10</v>
          </cell>
          <cell r="CO510">
            <v>32365</v>
          </cell>
          <cell r="CP510">
            <v>13200</v>
          </cell>
          <cell r="CQ510">
            <v>11140</v>
          </cell>
          <cell r="CR510">
            <v>4375</v>
          </cell>
          <cell r="CS510">
            <v>3305</v>
          </cell>
          <cell r="CT510">
            <v>345</v>
          </cell>
          <cell r="CU510">
            <v>64745</v>
          </cell>
          <cell r="CV510">
            <v>2.000463463618106</v>
          </cell>
          <cell r="CW510">
            <v>32330</v>
          </cell>
          <cell r="CX510">
            <v>17155</v>
          </cell>
          <cell r="CY510">
            <v>130</v>
          </cell>
          <cell r="CZ510">
            <v>15030</v>
          </cell>
        </row>
        <row r="513">
          <cell r="A513" t="str">
            <v>4620032.00</v>
          </cell>
          <cell r="B513" t="str">
            <v>0032.00</v>
          </cell>
          <cell r="C513" t="str">
            <v>Ville-Marie</v>
          </cell>
          <cell r="D513">
            <v>1380</v>
          </cell>
          <cell r="E513">
            <v>965</v>
          </cell>
          <cell r="F513">
            <v>240</v>
          </cell>
          <cell r="G513">
            <v>25</v>
          </cell>
          <cell r="H513">
            <v>95</v>
          </cell>
          <cell r="I513">
            <v>50</v>
          </cell>
          <cell r="J513">
            <v>1380</v>
          </cell>
          <cell r="K513">
            <v>1125</v>
          </cell>
          <cell r="L513">
            <v>255</v>
          </cell>
          <cell r="M513">
            <v>305</v>
          </cell>
          <cell r="N513">
            <v>220</v>
          </cell>
          <cell r="O513">
            <v>55</v>
          </cell>
          <cell r="P513">
            <v>25</v>
          </cell>
          <cell r="Q513">
            <v>0</v>
          </cell>
          <cell r="R513">
            <v>305</v>
          </cell>
          <cell r="S513">
            <v>230</v>
          </cell>
          <cell r="T513">
            <v>115</v>
          </cell>
          <cell r="U513">
            <v>70</v>
          </cell>
          <cell r="V513">
            <v>45</v>
          </cell>
          <cell r="W513">
            <v>15</v>
          </cell>
          <cell r="X513">
            <v>25</v>
          </cell>
          <cell r="Y513">
            <v>0</v>
          </cell>
          <cell r="Z513">
            <v>110</v>
          </cell>
          <cell r="AA513">
            <v>95</v>
          </cell>
          <cell r="AB513">
            <v>15</v>
          </cell>
          <cell r="AC513">
            <v>15</v>
          </cell>
          <cell r="AD513">
            <v>0</v>
          </cell>
          <cell r="AE513">
            <v>0</v>
          </cell>
          <cell r="AF513">
            <v>75</v>
          </cell>
          <cell r="AG513">
            <v>75</v>
          </cell>
          <cell r="AH513">
            <v>55</v>
          </cell>
          <cell r="AI513">
            <v>25</v>
          </cell>
          <cell r="AJ513">
            <v>0</v>
          </cell>
          <cell r="AK513">
            <v>0</v>
          </cell>
          <cell r="AL513">
            <v>0</v>
          </cell>
          <cell r="AM513">
            <v>0</v>
          </cell>
          <cell r="AN513">
            <v>0</v>
          </cell>
          <cell r="AO513">
            <v>185</v>
          </cell>
          <cell r="AP513">
            <v>45</v>
          </cell>
          <cell r="AQ513">
            <v>75</v>
          </cell>
          <cell r="AR513">
            <v>10</v>
          </cell>
          <cell r="AS513">
            <v>0</v>
          </cell>
          <cell r="AT513">
            <v>50</v>
          </cell>
          <cell r="AU513">
            <v>0.6</v>
          </cell>
          <cell r="AV513">
            <v>1515</v>
          </cell>
          <cell r="AW513">
            <v>795</v>
          </cell>
          <cell r="AX513">
            <v>150</v>
          </cell>
          <cell r="AY513">
            <v>150</v>
          </cell>
          <cell r="AZ513">
            <v>495</v>
          </cell>
          <cell r="BA513">
            <v>720</v>
          </cell>
          <cell r="BB513">
            <v>2.4</v>
          </cell>
          <cell r="BC513">
            <v>160</v>
          </cell>
          <cell r="BD513">
            <v>110</v>
          </cell>
          <cell r="BE513">
            <v>15</v>
          </cell>
          <cell r="BF513">
            <v>10</v>
          </cell>
          <cell r="BG513">
            <v>90</v>
          </cell>
          <cell r="BH513">
            <v>50</v>
          </cell>
          <cell r="BI513">
            <v>905</v>
          </cell>
          <cell r="BJ513">
            <v>3.9</v>
          </cell>
          <cell r="BK513">
            <v>3529.5</v>
          </cell>
          <cell r="BL513">
            <v>1.5</v>
          </cell>
          <cell r="BM513">
            <v>1357.5</v>
          </cell>
          <cell r="BN513">
            <v>905</v>
          </cell>
          <cell r="BO513">
            <v>175</v>
          </cell>
          <cell r="BP513">
            <v>730</v>
          </cell>
          <cell r="BQ513">
            <v>0</v>
          </cell>
          <cell r="BR513">
            <v>905</v>
          </cell>
          <cell r="BS513">
            <v>475</v>
          </cell>
          <cell r="BT513">
            <v>325</v>
          </cell>
          <cell r="BU513">
            <v>105</v>
          </cell>
          <cell r="BV513">
            <v>905</v>
          </cell>
          <cell r="BW513">
            <v>235</v>
          </cell>
          <cell r="BX513">
            <v>275</v>
          </cell>
          <cell r="BY513">
            <v>200</v>
          </cell>
          <cell r="BZ513">
            <v>135</v>
          </cell>
          <cell r="CA513">
            <v>10</v>
          </cell>
          <cell r="CB513">
            <v>15</v>
          </cell>
          <cell r="CC513">
            <v>15</v>
          </cell>
          <cell r="CD513">
            <v>0</v>
          </cell>
          <cell r="CE513">
            <v>20</v>
          </cell>
          <cell r="CF513">
            <v>905</v>
          </cell>
          <cell r="CG513">
            <v>5</v>
          </cell>
          <cell r="CH513">
            <v>0</v>
          </cell>
          <cell r="CI513">
            <v>15</v>
          </cell>
          <cell r="CJ513">
            <v>120</v>
          </cell>
          <cell r="CK513">
            <v>45</v>
          </cell>
          <cell r="CL513">
            <v>710</v>
          </cell>
          <cell r="CM513">
            <v>5</v>
          </cell>
          <cell r="CN513">
            <v>0</v>
          </cell>
          <cell r="CO513">
            <v>905</v>
          </cell>
          <cell r="CP513">
            <v>505</v>
          </cell>
          <cell r="CQ513">
            <v>255</v>
          </cell>
          <cell r="CR513">
            <v>85</v>
          </cell>
          <cell r="CS513">
            <v>50</v>
          </cell>
          <cell r="CT513">
            <v>5</v>
          </cell>
          <cell r="CU513">
            <v>1510</v>
          </cell>
          <cell r="CV513">
            <v>1.7</v>
          </cell>
          <cell r="CW513">
            <v>905</v>
          </cell>
          <cell r="CX513">
            <v>305</v>
          </cell>
          <cell r="CY513">
            <v>0</v>
          </cell>
          <cell r="CZ513">
            <v>600</v>
          </cell>
        </row>
        <row r="514">
          <cell r="A514" t="str">
            <v>4620033.00</v>
          </cell>
          <cell r="B514" t="str">
            <v>0033.00</v>
          </cell>
          <cell r="C514" t="str">
            <v>Ville-Marie</v>
          </cell>
          <cell r="D514">
            <v>1625</v>
          </cell>
          <cell r="E514">
            <v>1020</v>
          </cell>
          <cell r="F514">
            <v>365</v>
          </cell>
          <cell r="G514">
            <v>25</v>
          </cell>
          <cell r="H514">
            <v>140</v>
          </cell>
          <cell r="I514">
            <v>75</v>
          </cell>
          <cell r="J514">
            <v>1625</v>
          </cell>
          <cell r="K514">
            <v>1335</v>
          </cell>
          <cell r="L514">
            <v>290</v>
          </cell>
          <cell r="M514">
            <v>420</v>
          </cell>
          <cell r="N514">
            <v>225</v>
          </cell>
          <cell r="O514">
            <v>80</v>
          </cell>
          <cell r="P514">
            <v>85</v>
          </cell>
          <cell r="Q514">
            <v>25</v>
          </cell>
          <cell r="R514">
            <v>420</v>
          </cell>
          <cell r="S514">
            <v>345</v>
          </cell>
          <cell r="T514">
            <v>185</v>
          </cell>
          <cell r="U514">
            <v>80</v>
          </cell>
          <cell r="V514">
            <v>100</v>
          </cell>
          <cell r="W514">
            <v>40</v>
          </cell>
          <cell r="X514">
            <v>45</v>
          </cell>
          <cell r="Y514">
            <v>15</v>
          </cell>
          <cell r="Z514">
            <v>160</v>
          </cell>
          <cell r="AA514">
            <v>95</v>
          </cell>
          <cell r="AB514">
            <v>65</v>
          </cell>
          <cell r="AC514">
            <v>25</v>
          </cell>
          <cell r="AD514">
            <v>35</v>
          </cell>
          <cell r="AE514">
            <v>0</v>
          </cell>
          <cell r="AF514">
            <v>75</v>
          </cell>
          <cell r="AG514">
            <v>65</v>
          </cell>
          <cell r="AH514">
            <v>45</v>
          </cell>
          <cell r="AI514">
            <v>10</v>
          </cell>
          <cell r="AJ514">
            <v>10</v>
          </cell>
          <cell r="AK514">
            <v>10</v>
          </cell>
          <cell r="AL514">
            <v>10</v>
          </cell>
          <cell r="AM514">
            <v>0</v>
          </cell>
          <cell r="AN514">
            <v>0</v>
          </cell>
          <cell r="AO514">
            <v>425</v>
          </cell>
          <cell r="AP514">
            <v>90</v>
          </cell>
          <cell r="AQ514">
            <v>155</v>
          </cell>
          <cell r="AR514">
            <v>40</v>
          </cell>
          <cell r="AS514">
            <v>75</v>
          </cell>
          <cell r="AT514">
            <v>60</v>
          </cell>
          <cell r="AU514">
            <v>1</v>
          </cell>
          <cell r="AV514">
            <v>1880</v>
          </cell>
          <cell r="AW514">
            <v>690</v>
          </cell>
          <cell r="AX514">
            <v>35</v>
          </cell>
          <cell r="AY514">
            <v>240</v>
          </cell>
          <cell r="AZ514">
            <v>415</v>
          </cell>
          <cell r="BA514">
            <v>1185</v>
          </cell>
          <cell r="BB514">
            <v>2.8</v>
          </cell>
          <cell r="BC514">
            <v>190</v>
          </cell>
          <cell r="BD514">
            <v>70</v>
          </cell>
          <cell r="BE514">
            <v>15</v>
          </cell>
          <cell r="BF514">
            <v>0</v>
          </cell>
          <cell r="BG514">
            <v>55</v>
          </cell>
          <cell r="BH514">
            <v>120</v>
          </cell>
          <cell r="BI514">
            <v>955</v>
          </cell>
          <cell r="BJ514">
            <v>4.4000000000000004</v>
          </cell>
          <cell r="BK514">
            <v>4202</v>
          </cell>
          <cell r="BL514">
            <v>1.8</v>
          </cell>
          <cell r="BM514">
            <v>1719</v>
          </cell>
          <cell r="BN514">
            <v>960</v>
          </cell>
          <cell r="BO514">
            <v>250</v>
          </cell>
          <cell r="BP514">
            <v>710</v>
          </cell>
          <cell r="BQ514">
            <v>0</v>
          </cell>
          <cell r="BR514">
            <v>955</v>
          </cell>
          <cell r="BS514">
            <v>470</v>
          </cell>
          <cell r="BT514">
            <v>335</v>
          </cell>
          <cell r="BU514">
            <v>155</v>
          </cell>
          <cell r="BV514">
            <v>960</v>
          </cell>
          <cell r="BW514">
            <v>460</v>
          </cell>
          <cell r="BX514">
            <v>250</v>
          </cell>
          <cell r="BY514">
            <v>80</v>
          </cell>
          <cell r="BZ514">
            <v>55</v>
          </cell>
          <cell r="CA514">
            <v>30</v>
          </cell>
          <cell r="CB514">
            <v>40</v>
          </cell>
          <cell r="CC514">
            <v>10</v>
          </cell>
          <cell r="CD514">
            <v>10</v>
          </cell>
          <cell r="CE514">
            <v>30</v>
          </cell>
          <cell r="CF514">
            <v>955</v>
          </cell>
          <cell r="CG514">
            <v>0</v>
          </cell>
          <cell r="CH514">
            <v>5</v>
          </cell>
          <cell r="CI514">
            <v>35</v>
          </cell>
          <cell r="CJ514">
            <v>135</v>
          </cell>
          <cell r="CK514">
            <v>50</v>
          </cell>
          <cell r="CL514">
            <v>715</v>
          </cell>
          <cell r="CM514">
            <v>10</v>
          </cell>
          <cell r="CN514">
            <v>0</v>
          </cell>
          <cell r="CO514">
            <v>960</v>
          </cell>
          <cell r="CP514">
            <v>410</v>
          </cell>
          <cell r="CQ514">
            <v>330</v>
          </cell>
          <cell r="CR514">
            <v>120</v>
          </cell>
          <cell r="CS514">
            <v>95</v>
          </cell>
          <cell r="CT514">
            <v>5</v>
          </cell>
          <cell r="CU514">
            <v>1880</v>
          </cell>
          <cell r="CV514">
            <v>2</v>
          </cell>
          <cell r="CW514">
            <v>955</v>
          </cell>
          <cell r="CX514">
            <v>420</v>
          </cell>
          <cell r="CY514">
            <v>0</v>
          </cell>
          <cell r="CZ514">
            <v>535</v>
          </cell>
        </row>
        <row r="515">
          <cell r="A515" t="str">
            <v>4620034.00</v>
          </cell>
          <cell r="B515" t="str">
            <v>0034.00</v>
          </cell>
          <cell r="C515" t="str">
            <v>Ville-Marie</v>
          </cell>
          <cell r="D515">
            <v>2100</v>
          </cell>
          <cell r="E515">
            <v>1305</v>
          </cell>
          <cell r="F515">
            <v>420</v>
          </cell>
          <cell r="G515">
            <v>55</v>
          </cell>
          <cell r="H515">
            <v>215</v>
          </cell>
          <cell r="I515">
            <v>105</v>
          </cell>
          <cell r="J515">
            <v>2100</v>
          </cell>
          <cell r="K515">
            <v>1790</v>
          </cell>
          <cell r="L515">
            <v>310</v>
          </cell>
          <cell r="M515">
            <v>545</v>
          </cell>
          <cell r="N515">
            <v>290</v>
          </cell>
          <cell r="O515">
            <v>120</v>
          </cell>
          <cell r="P515">
            <v>85</v>
          </cell>
          <cell r="Q515">
            <v>50</v>
          </cell>
          <cell r="R515">
            <v>540</v>
          </cell>
          <cell r="S515">
            <v>325</v>
          </cell>
          <cell r="T515">
            <v>185</v>
          </cell>
          <cell r="U515">
            <v>60</v>
          </cell>
          <cell r="V515">
            <v>120</v>
          </cell>
          <cell r="W515">
            <v>45</v>
          </cell>
          <cell r="X515">
            <v>40</v>
          </cell>
          <cell r="Y515">
            <v>40</v>
          </cell>
          <cell r="Z515">
            <v>140</v>
          </cell>
          <cell r="AA515">
            <v>90</v>
          </cell>
          <cell r="AB515">
            <v>50</v>
          </cell>
          <cell r="AC515">
            <v>15</v>
          </cell>
          <cell r="AD515">
            <v>20</v>
          </cell>
          <cell r="AE515">
            <v>10</v>
          </cell>
          <cell r="AF515">
            <v>215</v>
          </cell>
          <cell r="AG515">
            <v>175</v>
          </cell>
          <cell r="AH515">
            <v>115</v>
          </cell>
          <cell r="AI515">
            <v>35</v>
          </cell>
          <cell r="AJ515">
            <v>25</v>
          </cell>
          <cell r="AK515">
            <v>40</v>
          </cell>
          <cell r="AL515">
            <v>20</v>
          </cell>
          <cell r="AM515">
            <v>20</v>
          </cell>
          <cell r="AN515">
            <v>0</v>
          </cell>
          <cell r="AO515">
            <v>695</v>
          </cell>
          <cell r="AP515">
            <v>120</v>
          </cell>
          <cell r="AQ515">
            <v>245</v>
          </cell>
          <cell r="AR515">
            <v>90</v>
          </cell>
          <cell r="AS515">
            <v>140</v>
          </cell>
          <cell r="AT515">
            <v>100</v>
          </cell>
          <cell r="AU515">
            <v>1.3</v>
          </cell>
          <cell r="AV515">
            <v>2440</v>
          </cell>
          <cell r="AW515">
            <v>880</v>
          </cell>
          <cell r="AX515">
            <v>50</v>
          </cell>
          <cell r="AY515">
            <v>275</v>
          </cell>
          <cell r="AZ515">
            <v>555</v>
          </cell>
          <cell r="BA515">
            <v>1565</v>
          </cell>
          <cell r="BB515">
            <v>2.9</v>
          </cell>
          <cell r="BC515">
            <v>220</v>
          </cell>
          <cell r="BD515">
            <v>110</v>
          </cell>
          <cell r="BE515">
            <v>0</v>
          </cell>
          <cell r="BF515">
            <v>20</v>
          </cell>
          <cell r="BG515">
            <v>80</v>
          </cell>
          <cell r="BH515">
            <v>105</v>
          </cell>
          <cell r="BI515">
            <v>1215</v>
          </cell>
          <cell r="BJ515">
            <v>4.4000000000000004</v>
          </cell>
          <cell r="BK515">
            <v>5346</v>
          </cell>
          <cell r="BL515">
            <v>1.8</v>
          </cell>
          <cell r="BM515">
            <v>2187</v>
          </cell>
          <cell r="BN515">
            <v>1215</v>
          </cell>
          <cell r="BO515">
            <v>270</v>
          </cell>
          <cell r="BP515">
            <v>945</v>
          </cell>
          <cell r="BQ515">
            <v>0</v>
          </cell>
          <cell r="BR515">
            <v>1215</v>
          </cell>
          <cell r="BS515">
            <v>600</v>
          </cell>
          <cell r="BT515">
            <v>380</v>
          </cell>
          <cell r="BU515">
            <v>240</v>
          </cell>
          <cell r="BV515">
            <v>1215</v>
          </cell>
          <cell r="BW515">
            <v>560</v>
          </cell>
          <cell r="BX515">
            <v>280</v>
          </cell>
          <cell r="BY515">
            <v>125</v>
          </cell>
          <cell r="BZ515">
            <v>95</v>
          </cell>
          <cell r="CA515">
            <v>55</v>
          </cell>
          <cell r="CB515">
            <v>60</v>
          </cell>
          <cell r="CC515">
            <v>30</v>
          </cell>
          <cell r="CD515">
            <v>0</v>
          </cell>
          <cell r="CE515">
            <v>0</v>
          </cell>
          <cell r="CF515">
            <v>1220</v>
          </cell>
          <cell r="CG515">
            <v>5</v>
          </cell>
          <cell r="CH515">
            <v>0</v>
          </cell>
          <cell r="CI515">
            <v>115</v>
          </cell>
          <cell r="CJ515">
            <v>115</v>
          </cell>
          <cell r="CK515">
            <v>0</v>
          </cell>
          <cell r="CL515">
            <v>975</v>
          </cell>
          <cell r="CM515">
            <v>5</v>
          </cell>
          <cell r="CN515">
            <v>0</v>
          </cell>
          <cell r="CO515">
            <v>1215</v>
          </cell>
          <cell r="CP515">
            <v>555</v>
          </cell>
          <cell r="CQ515">
            <v>370</v>
          </cell>
          <cell r="CR515">
            <v>130</v>
          </cell>
          <cell r="CS515">
            <v>130</v>
          </cell>
          <cell r="CT515">
            <v>30</v>
          </cell>
          <cell r="CU515">
            <v>2440</v>
          </cell>
          <cell r="CV515">
            <v>2</v>
          </cell>
          <cell r="CW515">
            <v>1215</v>
          </cell>
          <cell r="CX515">
            <v>535</v>
          </cell>
          <cell r="CY515">
            <v>10</v>
          </cell>
          <cell r="CZ515">
            <v>680</v>
          </cell>
        </row>
        <row r="516">
          <cell r="A516" t="str">
            <v>4620035.00</v>
          </cell>
          <cell r="B516" t="str">
            <v>0035.00</v>
          </cell>
          <cell r="C516" t="str">
            <v>Ville-Marie</v>
          </cell>
          <cell r="D516">
            <v>1800</v>
          </cell>
          <cell r="E516">
            <v>1350</v>
          </cell>
          <cell r="F516">
            <v>205</v>
          </cell>
          <cell r="G516">
            <v>55</v>
          </cell>
          <cell r="H516">
            <v>145</v>
          </cell>
          <cell r="I516">
            <v>50</v>
          </cell>
          <cell r="J516">
            <v>1800</v>
          </cell>
          <cell r="K516">
            <v>1395</v>
          </cell>
          <cell r="L516">
            <v>400</v>
          </cell>
          <cell r="M516">
            <v>430</v>
          </cell>
          <cell r="N516">
            <v>295</v>
          </cell>
          <cell r="O516">
            <v>85</v>
          </cell>
          <cell r="P516">
            <v>35</v>
          </cell>
          <cell r="Q516">
            <v>10</v>
          </cell>
          <cell r="R516">
            <v>430</v>
          </cell>
          <cell r="S516">
            <v>285</v>
          </cell>
          <cell r="T516">
            <v>95</v>
          </cell>
          <cell r="U516">
            <v>55</v>
          </cell>
          <cell r="V516">
            <v>40</v>
          </cell>
          <cell r="W516">
            <v>10</v>
          </cell>
          <cell r="X516">
            <v>20</v>
          </cell>
          <cell r="Y516">
            <v>10</v>
          </cell>
          <cell r="Z516">
            <v>190</v>
          </cell>
          <cell r="AA516">
            <v>125</v>
          </cell>
          <cell r="AB516">
            <v>65</v>
          </cell>
          <cell r="AC516">
            <v>55</v>
          </cell>
          <cell r="AD516">
            <v>10</v>
          </cell>
          <cell r="AE516">
            <v>0</v>
          </cell>
          <cell r="AF516">
            <v>140</v>
          </cell>
          <cell r="AG516">
            <v>110</v>
          </cell>
          <cell r="AH516">
            <v>85</v>
          </cell>
          <cell r="AI516">
            <v>20</v>
          </cell>
          <cell r="AJ516">
            <v>0</v>
          </cell>
          <cell r="AK516">
            <v>30</v>
          </cell>
          <cell r="AL516">
            <v>30</v>
          </cell>
          <cell r="AM516">
            <v>0</v>
          </cell>
          <cell r="AN516">
            <v>0</v>
          </cell>
          <cell r="AO516">
            <v>325</v>
          </cell>
          <cell r="AP516">
            <v>120</v>
          </cell>
          <cell r="AQ516">
            <v>95</v>
          </cell>
          <cell r="AR516">
            <v>35</v>
          </cell>
          <cell r="AS516">
            <v>20</v>
          </cell>
          <cell r="AT516">
            <v>55</v>
          </cell>
          <cell r="AU516">
            <v>0.8</v>
          </cell>
          <cell r="AV516">
            <v>2000</v>
          </cell>
          <cell r="AW516">
            <v>960</v>
          </cell>
          <cell r="AX516">
            <v>50</v>
          </cell>
          <cell r="AY516">
            <v>360</v>
          </cell>
          <cell r="AZ516">
            <v>545</v>
          </cell>
          <cell r="BA516">
            <v>1035</v>
          </cell>
          <cell r="BB516">
            <v>2.4</v>
          </cell>
          <cell r="BC516">
            <v>155</v>
          </cell>
          <cell r="BD516">
            <v>75</v>
          </cell>
          <cell r="BE516">
            <v>15</v>
          </cell>
          <cell r="BF516">
            <v>10</v>
          </cell>
          <cell r="BG516">
            <v>50</v>
          </cell>
          <cell r="BH516">
            <v>75</v>
          </cell>
          <cell r="BI516">
            <v>1140</v>
          </cell>
          <cell r="BJ516">
            <v>4.4000000000000004</v>
          </cell>
          <cell r="BK516">
            <v>5016</v>
          </cell>
          <cell r="BL516">
            <v>1.7</v>
          </cell>
          <cell r="BM516">
            <v>1938</v>
          </cell>
          <cell r="BN516">
            <v>1140</v>
          </cell>
          <cell r="BO516">
            <v>130</v>
          </cell>
          <cell r="BP516">
            <v>1010</v>
          </cell>
          <cell r="BQ516">
            <v>0</v>
          </cell>
          <cell r="BR516">
            <v>1140</v>
          </cell>
          <cell r="BS516">
            <v>600</v>
          </cell>
          <cell r="BT516">
            <v>355</v>
          </cell>
          <cell r="BU516">
            <v>185</v>
          </cell>
          <cell r="BV516">
            <v>1140</v>
          </cell>
          <cell r="BW516">
            <v>725</v>
          </cell>
          <cell r="BX516">
            <v>165</v>
          </cell>
          <cell r="BY516">
            <v>80</v>
          </cell>
          <cell r="BZ516">
            <v>50</v>
          </cell>
          <cell r="CA516">
            <v>50</v>
          </cell>
          <cell r="CB516">
            <v>15</v>
          </cell>
          <cell r="CC516">
            <v>10</v>
          </cell>
          <cell r="CD516">
            <v>25</v>
          </cell>
          <cell r="CE516">
            <v>15</v>
          </cell>
          <cell r="CF516">
            <v>1140</v>
          </cell>
          <cell r="CG516">
            <v>0</v>
          </cell>
          <cell r="CH516">
            <v>0</v>
          </cell>
          <cell r="CI516">
            <v>10</v>
          </cell>
          <cell r="CJ516">
            <v>55</v>
          </cell>
          <cell r="CK516">
            <v>0</v>
          </cell>
          <cell r="CL516">
            <v>1075</v>
          </cell>
          <cell r="CM516">
            <v>0</v>
          </cell>
          <cell r="CN516">
            <v>0</v>
          </cell>
          <cell r="CO516">
            <v>1140</v>
          </cell>
          <cell r="CP516">
            <v>550</v>
          </cell>
          <cell r="CQ516">
            <v>405</v>
          </cell>
          <cell r="CR516">
            <v>120</v>
          </cell>
          <cell r="CS516">
            <v>60</v>
          </cell>
          <cell r="CT516">
            <v>5</v>
          </cell>
          <cell r="CU516">
            <v>2005</v>
          </cell>
          <cell r="CV516">
            <v>1.8</v>
          </cell>
          <cell r="CW516">
            <v>1140</v>
          </cell>
          <cell r="CX516">
            <v>425</v>
          </cell>
          <cell r="CY516">
            <v>0</v>
          </cell>
          <cell r="CZ516">
            <v>715</v>
          </cell>
        </row>
        <row r="517">
          <cell r="A517" t="str">
            <v>4620036.00</v>
          </cell>
          <cell r="B517" t="str">
            <v>0036.00</v>
          </cell>
          <cell r="C517" t="str">
            <v>Ville-Marie</v>
          </cell>
          <cell r="D517">
            <v>1770</v>
          </cell>
          <cell r="E517">
            <v>1255</v>
          </cell>
          <cell r="F517">
            <v>255</v>
          </cell>
          <cell r="G517">
            <v>55</v>
          </cell>
          <cell r="H517">
            <v>155</v>
          </cell>
          <cell r="I517">
            <v>45</v>
          </cell>
          <cell r="J517">
            <v>1770</v>
          </cell>
          <cell r="K517">
            <v>1375</v>
          </cell>
          <cell r="L517">
            <v>390</v>
          </cell>
          <cell r="M517">
            <v>415</v>
          </cell>
          <cell r="N517">
            <v>215</v>
          </cell>
          <cell r="O517">
            <v>125</v>
          </cell>
          <cell r="P517">
            <v>45</v>
          </cell>
          <cell r="Q517">
            <v>25</v>
          </cell>
          <cell r="R517">
            <v>410</v>
          </cell>
          <cell r="S517">
            <v>325</v>
          </cell>
          <cell r="T517">
            <v>125</v>
          </cell>
          <cell r="U517">
            <v>30</v>
          </cell>
          <cell r="V517">
            <v>95</v>
          </cell>
          <cell r="W517">
            <v>35</v>
          </cell>
          <cell r="X517">
            <v>35</v>
          </cell>
          <cell r="Y517">
            <v>25</v>
          </cell>
          <cell r="Z517">
            <v>200</v>
          </cell>
          <cell r="AA517">
            <v>140</v>
          </cell>
          <cell r="AB517">
            <v>55</v>
          </cell>
          <cell r="AC517">
            <v>45</v>
          </cell>
          <cell r="AD517">
            <v>10</v>
          </cell>
          <cell r="AE517">
            <v>0</v>
          </cell>
          <cell r="AF517">
            <v>85</v>
          </cell>
          <cell r="AG517">
            <v>80</v>
          </cell>
          <cell r="AH517">
            <v>35</v>
          </cell>
          <cell r="AI517">
            <v>40</v>
          </cell>
          <cell r="AJ517">
            <v>0</v>
          </cell>
          <cell r="AK517">
            <v>10</v>
          </cell>
          <cell r="AL517">
            <v>10</v>
          </cell>
          <cell r="AM517">
            <v>0</v>
          </cell>
          <cell r="AN517">
            <v>0</v>
          </cell>
          <cell r="AO517">
            <v>390</v>
          </cell>
          <cell r="AP517">
            <v>115</v>
          </cell>
          <cell r="AQ517">
            <v>115</v>
          </cell>
          <cell r="AR517">
            <v>40</v>
          </cell>
          <cell r="AS517">
            <v>55</v>
          </cell>
          <cell r="AT517">
            <v>65</v>
          </cell>
          <cell r="AU517">
            <v>0.9</v>
          </cell>
          <cell r="AV517">
            <v>1975</v>
          </cell>
          <cell r="AW517">
            <v>845</v>
          </cell>
          <cell r="AX517">
            <v>40</v>
          </cell>
          <cell r="AY517">
            <v>205</v>
          </cell>
          <cell r="AZ517">
            <v>605</v>
          </cell>
          <cell r="BA517">
            <v>1125</v>
          </cell>
          <cell r="BB517">
            <v>2.8</v>
          </cell>
          <cell r="BC517">
            <v>95</v>
          </cell>
          <cell r="BD517">
            <v>45</v>
          </cell>
          <cell r="BE517">
            <v>0</v>
          </cell>
          <cell r="BF517">
            <v>0</v>
          </cell>
          <cell r="BG517">
            <v>30</v>
          </cell>
          <cell r="BH517">
            <v>55</v>
          </cell>
          <cell r="BI517">
            <v>1125</v>
          </cell>
          <cell r="BJ517">
            <v>4.0999999999999996</v>
          </cell>
          <cell r="BK517">
            <v>4612.5</v>
          </cell>
          <cell r="BL517">
            <v>1.6</v>
          </cell>
          <cell r="BM517">
            <v>1800</v>
          </cell>
          <cell r="BN517">
            <v>1125</v>
          </cell>
          <cell r="BO517">
            <v>165</v>
          </cell>
          <cell r="BP517">
            <v>960</v>
          </cell>
          <cell r="BQ517">
            <v>0</v>
          </cell>
          <cell r="BR517">
            <v>1125</v>
          </cell>
          <cell r="BS517">
            <v>555</v>
          </cell>
          <cell r="BT517">
            <v>360</v>
          </cell>
          <cell r="BU517">
            <v>210</v>
          </cell>
          <cell r="BV517">
            <v>1125</v>
          </cell>
          <cell r="BW517">
            <v>415</v>
          </cell>
          <cell r="BX517">
            <v>210</v>
          </cell>
          <cell r="BY517">
            <v>220</v>
          </cell>
          <cell r="BZ517">
            <v>110</v>
          </cell>
          <cell r="CA517">
            <v>30</v>
          </cell>
          <cell r="CB517">
            <v>15</v>
          </cell>
          <cell r="CC517">
            <v>30</v>
          </cell>
          <cell r="CD517">
            <v>85</v>
          </cell>
          <cell r="CE517">
            <v>10</v>
          </cell>
          <cell r="CF517">
            <v>1125</v>
          </cell>
          <cell r="CG517">
            <v>0</v>
          </cell>
          <cell r="CH517">
            <v>0</v>
          </cell>
          <cell r="CI517">
            <v>40</v>
          </cell>
          <cell r="CJ517">
            <v>50</v>
          </cell>
          <cell r="CK517">
            <v>25</v>
          </cell>
          <cell r="CL517">
            <v>1005</v>
          </cell>
          <cell r="CM517">
            <v>5</v>
          </cell>
          <cell r="CN517">
            <v>0</v>
          </cell>
          <cell r="CO517">
            <v>1125</v>
          </cell>
          <cell r="CP517">
            <v>595</v>
          </cell>
          <cell r="CQ517">
            <v>330</v>
          </cell>
          <cell r="CR517">
            <v>115</v>
          </cell>
          <cell r="CS517">
            <v>75</v>
          </cell>
          <cell r="CT517">
            <v>10</v>
          </cell>
          <cell r="CU517">
            <v>1975</v>
          </cell>
          <cell r="CV517">
            <v>1.8</v>
          </cell>
          <cell r="CW517">
            <v>1125</v>
          </cell>
          <cell r="CX517">
            <v>410</v>
          </cell>
          <cell r="CY517">
            <v>0</v>
          </cell>
          <cell r="CZ517">
            <v>710</v>
          </cell>
        </row>
        <row r="518">
          <cell r="A518" t="str">
            <v>4620037.00</v>
          </cell>
          <cell r="B518" t="str">
            <v>0037.00</v>
          </cell>
          <cell r="C518" t="str">
            <v>Ville-Marie</v>
          </cell>
          <cell r="D518">
            <v>2740</v>
          </cell>
          <cell r="E518">
            <v>1435</v>
          </cell>
          <cell r="F518">
            <v>560</v>
          </cell>
          <cell r="G518">
            <v>90</v>
          </cell>
          <cell r="H518">
            <v>335</v>
          </cell>
          <cell r="I518">
            <v>320</v>
          </cell>
          <cell r="J518">
            <v>2745</v>
          </cell>
          <cell r="K518">
            <v>2370</v>
          </cell>
          <cell r="L518">
            <v>370</v>
          </cell>
          <cell r="M518">
            <v>650</v>
          </cell>
          <cell r="N518">
            <v>445</v>
          </cell>
          <cell r="O518">
            <v>115</v>
          </cell>
          <cell r="P518">
            <v>60</v>
          </cell>
          <cell r="Q518">
            <v>25</v>
          </cell>
          <cell r="R518">
            <v>650</v>
          </cell>
          <cell r="S518">
            <v>455</v>
          </cell>
          <cell r="T518">
            <v>270</v>
          </cell>
          <cell r="U518">
            <v>155</v>
          </cell>
          <cell r="V518">
            <v>115</v>
          </cell>
          <cell r="W518">
            <v>85</v>
          </cell>
          <cell r="X518">
            <v>25</v>
          </cell>
          <cell r="Y518">
            <v>10</v>
          </cell>
          <cell r="Z518">
            <v>185</v>
          </cell>
          <cell r="AA518">
            <v>140</v>
          </cell>
          <cell r="AB518">
            <v>50</v>
          </cell>
          <cell r="AC518">
            <v>10</v>
          </cell>
          <cell r="AD518">
            <v>20</v>
          </cell>
          <cell r="AE518">
            <v>15</v>
          </cell>
          <cell r="AF518">
            <v>200</v>
          </cell>
          <cell r="AG518">
            <v>140</v>
          </cell>
          <cell r="AH518">
            <v>100</v>
          </cell>
          <cell r="AI518">
            <v>20</v>
          </cell>
          <cell r="AJ518">
            <v>20</v>
          </cell>
          <cell r="AK518">
            <v>55</v>
          </cell>
          <cell r="AL518">
            <v>50</v>
          </cell>
          <cell r="AM518">
            <v>10</v>
          </cell>
          <cell r="AN518">
            <v>0</v>
          </cell>
          <cell r="AO518">
            <v>535</v>
          </cell>
          <cell r="AP518">
            <v>95</v>
          </cell>
          <cell r="AQ518">
            <v>145</v>
          </cell>
          <cell r="AR518">
            <v>35</v>
          </cell>
          <cell r="AS518">
            <v>110</v>
          </cell>
          <cell r="AT518">
            <v>145</v>
          </cell>
          <cell r="AU518">
            <v>0.8</v>
          </cell>
          <cell r="AV518">
            <v>2970</v>
          </cell>
          <cell r="AW518">
            <v>1330</v>
          </cell>
          <cell r="AX518">
            <v>40</v>
          </cell>
          <cell r="AY518">
            <v>305</v>
          </cell>
          <cell r="AZ518">
            <v>985</v>
          </cell>
          <cell r="BA518">
            <v>1635</v>
          </cell>
          <cell r="BB518">
            <v>2.5</v>
          </cell>
          <cell r="BC518">
            <v>745</v>
          </cell>
          <cell r="BD518">
            <v>450</v>
          </cell>
          <cell r="BE518">
            <v>10</v>
          </cell>
          <cell r="BF518">
            <v>20</v>
          </cell>
          <cell r="BG518">
            <v>425</v>
          </cell>
          <cell r="BH518">
            <v>290</v>
          </cell>
          <cell r="BI518">
            <v>1760</v>
          </cell>
          <cell r="BJ518">
            <v>3.8</v>
          </cell>
          <cell r="BK518">
            <v>6688</v>
          </cell>
          <cell r="BL518">
            <v>1.5</v>
          </cell>
          <cell r="BM518">
            <v>2640</v>
          </cell>
          <cell r="BN518">
            <v>1760</v>
          </cell>
          <cell r="BO518">
            <v>235</v>
          </cell>
          <cell r="BP518">
            <v>1520</v>
          </cell>
          <cell r="BQ518">
            <v>0</v>
          </cell>
          <cell r="BR518">
            <v>1760</v>
          </cell>
          <cell r="BS518">
            <v>1215</v>
          </cell>
          <cell r="BT518">
            <v>385</v>
          </cell>
          <cell r="BU518">
            <v>160</v>
          </cell>
          <cell r="BV518">
            <v>1765</v>
          </cell>
          <cell r="BW518">
            <v>435</v>
          </cell>
          <cell r="BX518">
            <v>165</v>
          </cell>
          <cell r="BY518">
            <v>300</v>
          </cell>
          <cell r="BZ518">
            <v>530</v>
          </cell>
          <cell r="CA518">
            <v>110</v>
          </cell>
          <cell r="CB518">
            <v>95</v>
          </cell>
          <cell r="CC518">
            <v>10</v>
          </cell>
          <cell r="CD518">
            <v>35</v>
          </cell>
          <cell r="CE518">
            <v>90</v>
          </cell>
          <cell r="CF518">
            <v>1760</v>
          </cell>
          <cell r="CG518">
            <v>0</v>
          </cell>
          <cell r="CH518">
            <v>0</v>
          </cell>
          <cell r="CI518">
            <v>20</v>
          </cell>
          <cell r="CJ518">
            <v>130</v>
          </cell>
          <cell r="CK518">
            <v>850</v>
          </cell>
          <cell r="CL518">
            <v>760</v>
          </cell>
          <cell r="CM518">
            <v>0</v>
          </cell>
          <cell r="CN518">
            <v>0</v>
          </cell>
          <cell r="CO518">
            <v>1760</v>
          </cell>
          <cell r="CP518">
            <v>980</v>
          </cell>
          <cell r="CQ518">
            <v>525</v>
          </cell>
          <cell r="CR518">
            <v>145</v>
          </cell>
          <cell r="CS518">
            <v>100</v>
          </cell>
          <cell r="CT518">
            <v>10</v>
          </cell>
          <cell r="CU518">
            <v>2970</v>
          </cell>
          <cell r="CV518">
            <v>1.7</v>
          </cell>
          <cell r="CW518">
            <v>1760</v>
          </cell>
          <cell r="CX518">
            <v>630</v>
          </cell>
          <cell r="CY518">
            <v>10</v>
          </cell>
          <cell r="CZ518">
            <v>1120</v>
          </cell>
        </row>
        <row r="519">
          <cell r="A519" t="str">
            <v>4620038.00</v>
          </cell>
          <cell r="B519" t="str">
            <v>0038.00</v>
          </cell>
          <cell r="C519" t="str">
            <v>Ville-Marie</v>
          </cell>
          <cell r="D519">
            <v>1650</v>
          </cell>
          <cell r="E519">
            <v>1085</v>
          </cell>
          <cell r="F519">
            <v>255</v>
          </cell>
          <cell r="G519">
            <v>35</v>
          </cell>
          <cell r="H519">
            <v>180</v>
          </cell>
          <cell r="I519">
            <v>90</v>
          </cell>
          <cell r="J519">
            <v>1645</v>
          </cell>
          <cell r="K519">
            <v>1355</v>
          </cell>
          <cell r="L519">
            <v>295</v>
          </cell>
          <cell r="M519">
            <v>395</v>
          </cell>
          <cell r="N519">
            <v>215</v>
          </cell>
          <cell r="O519">
            <v>85</v>
          </cell>
          <cell r="P519">
            <v>40</v>
          </cell>
          <cell r="Q519">
            <v>55</v>
          </cell>
          <cell r="R519">
            <v>395</v>
          </cell>
          <cell r="S519">
            <v>260</v>
          </cell>
          <cell r="T519">
            <v>135</v>
          </cell>
          <cell r="U519">
            <v>35</v>
          </cell>
          <cell r="V519">
            <v>100</v>
          </cell>
          <cell r="W519">
            <v>20</v>
          </cell>
          <cell r="X519">
            <v>30</v>
          </cell>
          <cell r="Y519">
            <v>50</v>
          </cell>
          <cell r="Z519">
            <v>125</v>
          </cell>
          <cell r="AA519">
            <v>95</v>
          </cell>
          <cell r="AB519">
            <v>30</v>
          </cell>
          <cell r="AC519">
            <v>30</v>
          </cell>
          <cell r="AD519">
            <v>0</v>
          </cell>
          <cell r="AE519">
            <v>0</v>
          </cell>
          <cell r="AF519">
            <v>140</v>
          </cell>
          <cell r="AG519">
            <v>135</v>
          </cell>
          <cell r="AH519">
            <v>85</v>
          </cell>
          <cell r="AI519">
            <v>30</v>
          </cell>
          <cell r="AJ519">
            <v>20</v>
          </cell>
          <cell r="AK519">
            <v>0</v>
          </cell>
          <cell r="AL519">
            <v>0</v>
          </cell>
          <cell r="AM519">
            <v>0</v>
          </cell>
          <cell r="AN519">
            <v>0</v>
          </cell>
          <cell r="AO519">
            <v>515</v>
          </cell>
          <cell r="AP519">
            <v>110</v>
          </cell>
          <cell r="AQ519">
            <v>185</v>
          </cell>
          <cell r="AR519">
            <v>65</v>
          </cell>
          <cell r="AS519">
            <v>120</v>
          </cell>
          <cell r="AT519">
            <v>35</v>
          </cell>
          <cell r="AU519">
            <v>1.3</v>
          </cell>
          <cell r="AV519">
            <v>1955</v>
          </cell>
          <cell r="AW519">
            <v>785</v>
          </cell>
          <cell r="AX519">
            <v>60</v>
          </cell>
          <cell r="AY519">
            <v>225</v>
          </cell>
          <cell r="AZ519">
            <v>495</v>
          </cell>
          <cell r="BA519">
            <v>1175</v>
          </cell>
          <cell r="BB519">
            <v>3</v>
          </cell>
          <cell r="BC519">
            <v>165</v>
          </cell>
          <cell r="BD519">
            <v>135</v>
          </cell>
          <cell r="BE519">
            <v>0</v>
          </cell>
          <cell r="BF519">
            <v>15</v>
          </cell>
          <cell r="BG519">
            <v>120</v>
          </cell>
          <cell r="BH519">
            <v>25</v>
          </cell>
          <cell r="BI519">
            <v>1000</v>
          </cell>
          <cell r="BJ519">
            <v>4.3</v>
          </cell>
          <cell r="BK519">
            <v>4300</v>
          </cell>
          <cell r="BL519">
            <v>1.8</v>
          </cell>
          <cell r="BM519">
            <v>1800</v>
          </cell>
          <cell r="BN519">
            <v>1000</v>
          </cell>
          <cell r="BO519">
            <v>165</v>
          </cell>
          <cell r="BP519">
            <v>835</v>
          </cell>
          <cell r="BQ519">
            <v>0</v>
          </cell>
          <cell r="BR519">
            <v>1000</v>
          </cell>
          <cell r="BS519">
            <v>535</v>
          </cell>
          <cell r="BT519">
            <v>300</v>
          </cell>
          <cell r="BU519">
            <v>160</v>
          </cell>
          <cell r="BV519">
            <v>1000</v>
          </cell>
          <cell r="BW519">
            <v>435</v>
          </cell>
          <cell r="BX519">
            <v>125</v>
          </cell>
          <cell r="BY519">
            <v>80</v>
          </cell>
          <cell r="BZ519">
            <v>110</v>
          </cell>
          <cell r="CA519">
            <v>45</v>
          </cell>
          <cell r="CB519">
            <v>35</v>
          </cell>
          <cell r="CC519">
            <v>85</v>
          </cell>
          <cell r="CD519">
            <v>10</v>
          </cell>
          <cell r="CE519">
            <v>75</v>
          </cell>
          <cell r="CF519">
            <v>1000</v>
          </cell>
          <cell r="CG519">
            <v>0</v>
          </cell>
          <cell r="CH519">
            <v>0</v>
          </cell>
          <cell r="CI519">
            <v>10</v>
          </cell>
          <cell r="CJ519">
            <v>65</v>
          </cell>
          <cell r="CK519">
            <v>190</v>
          </cell>
          <cell r="CL519">
            <v>735</v>
          </cell>
          <cell r="CM519">
            <v>0</v>
          </cell>
          <cell r="CN519">
            <v>0</v>
          </cell>
          <cell r="CO519">
            <v>1000</v>
          </cell>
          <cell r="CP519">
            <v>485</v>
          </cell>
          <cell r="CQ519">
            <v>290</v>
          </cell>
          <cell r="CR519">
            <v>105</v>
          </cell>
          <cell r="CS519">
            <v>100</v>
          </cell>
          <cell r="CT519">
            <v>20</v>
          </cell>
          <cell r="CU519">
            <v>1955</v>
          </cell>
          <cell r="CV519">
            <v>2</v>
          </cell>
          <cell r="CW519">
            <v>1000</v>
          </cell>
          <cell r="CX519">
            <v>385</v>
          </cell>
          <cell r="CY519">
            <v>10</v>
          </cell>
          <cell r="CZ519">
            <v>610</v>
          </cell>
        </row>
        <row r="520">
          <cell r="A520" t="str">
            <v>4620039.00</v>
          </cell>
          <cell r="B520" t="str">
            <v>0039.00</v>
          </cell>
          <cell r="C520" t="str">
            <v>Ville-Marie</v>
          </cell>
          <cell r="D520">
            <v>1410</v>
          </cell>
          <cell r="E520">
            <v>955</v>
          </cell>
          <cell r="F520">
            <v>145</v>
          </cell>
          <cell r="G520">
            <v>30</v>
          </cell>
          <cell r="H520">
            <v>160</v>
          </cell>
          <cell r="I520">
            <v>130</v>
          </cell>
          <cell r="J520">
            <v>1415</v>
          </cell>
          <cell r="K520">
            <v>1225</v>
          </cell>
          <cell r="L520">
            <v>190</v>
          </cell>
          <cell r="M520">
            <v>205</v>
          </cell>
          <cell r="N520">
            <v>155</v>
          </cell>
          <cell r="O520">
            <v>30</v>
          </cell>
          <cell r="P520">
            <v>15</v>
          </cell>
          <cell r="Q520">
            <v>0</v>
          </cell>
          <cell r="R520">
            <v>200</v>
          </cell>
          <cell r="S520">
            <v>110</v>
          </cell>
          <cell r="T520">
            <v>25</v>
          </cell>
          <cell r="U520">
            <v>20</v>
          </cell>
          <cell r="V520">
            <v>10</v>
          </cell>
          <cell r="W520">
            <v>0</v>
          </cell>
          <cell r="X520">
            <v>10</v>
          </cell>
          <cell r="Y520">
            <v>0</v>
          </cell>
          <cell r="Z520">
            <v>90</v>
          </cell>
          <cell r="AA520">
            <v>70</v>
          </cell>
          <cell r="AB520">
            <v>15</v>
          </cell>
          <cell r="AC520">
            <v>0</v>
          </cell>
          <cell r="AD520">
            <v>10</v>
          </cell>
          <cell r="AE520">
            <v>0</v>
          </cell>
          <cell r="AF520">
            <v>85</v>
          </cell>
          <cell r="AG520">
            <v>65</v>
          </cell>
          <cell r="AH520">
            <v>65</v>
          </cell>
          <cell r="AI520">
            <v>0</v>
          </cell>
          <cell r="AJ520">
            <v>0</v>
          </cell>
          <cell r="AK520">
            <v>25</v>
          </cell>
          <cell r="AL520">
            <v>0</v>
          </cell>
          <cell r="AM520">
            <v>25</v>
          </cell>
          <cell r="AN520">
            <v>0</v>
          </cell>
          <cell r="AO520">
            <v>155</v>
          </cell>
          <cell r="AP520">
            <v>30</v>
          </cell>
          <cell r="AQ520">
            <v>70</v>
          </cell>
          <cell r="AR520">
            <v>20</v>
          </cell>
          <cell r="AS520">
            <v>10</v>
          </cell>
          <cell r="AT520">
            <v>15</v>
          </cell>
          <cell r="AU520">
            <v>0.7</v>
          </cell>
          <cell r="AV520">
            <v>1185</v>
          </cell>
          <cell r="AW520">
            <v>710</v>
          </cell>
          <cell r="AX520">
            <v>15</v>
          </cell>
          <cell r="AY520">
            <v>295</v>
          </cell>
          <cell r="AZ520">
            <v>410</v>
          </cell>
          <cell r="BA520">
            <v>470</v>
          </cell>
          <cell r="BB520">
            <v>2.2999999999999998</v>
          </cell>
          <cell r="BC520">
            <v>100</v>
          </cell>
          <cell r="BD520">
            <v>70</v>
          </cell>
          <cell r="BE520">
            <v>0</v>
          </cell>
          <cell r="BF520">
            <v>0</v>
          </cell>
          <cell r="BG520">
            <v>70</v>
          </cell>
          <cell r="BH520">
            <v>30</v>
          </cell>
          <cell r="BI520">
            <v>710</v>
          </cell>
          <cell r="BJ520">
            <v>4.2</v>
          </cell>
          <cell r="BK520">
            <v>2982</v>
          </cell>
          <cell r="BL520">
            <v>1.7</v>
          </cell>
          <cell r="BM520">
            <v>1207</v>
          </cell>
          <cell r="BN520">
            <v>710</v>
          </cell>
          <cell r="BO520">
            <v>80</v>
          </cell>
          <cell r="BP520">
            <v>630</v>
          </cell>
          <cell r="BQ520">
            <v>0</v>
          </cell>
          <cell r="BR520">
            <v>710</v>
          </cell>
          <cell r="BS520">
            <v>385</v>
          </cell>
          <cell r="BT520">
            <v>210</v>
          </cell>
          <cell r="BU520">
            <v>115</v>
          </cell>
          <cell r="BV520">
            <v>710</v>
          </cell>
          <cell r="BW520">
            <v>300</v>
          </cell>
          <cell r="BX520">
            <v>100</v>
          </cell>
          <cell r="BY520">
            <v>65</v>
          </cell>
          <cell r="BZ520">
            <v>40</v>
          </cell>
          <cell r="CA520">
            <v>30</v>
          </cell>
          <cell r="CB520">
            <v>35</v>
          </cell>
          <cell r="CC520">
            <v>45</v>
          </cell>
          <cell r="CD520">
            <v>60</v>
          </cell>
          <cell r="CE520">
            <v>30</v>
          </cell>
          <cell r="CF520">
            <v>710</v>
          </cell>
          <cell r="CG520">
            <v>5</v>
          </cell>
          <cell r="CH520">
            <v>0</v>
          </cell>
          <cell r="CI520">
            <v>0</v>
          </cell>
          <cell r="CJ520">
            <v>20</v>
          </cell>
          <cell r="CK520">
            <v>0</v>
          </cell>
          <cell r="CL520">
            <v>690</v>
          </cell>
          <cell r="CM520">
            <v>5</v>
          </cell>
          <cell r="CN520">
            <v>0</v>
          </cell>
          <cell r="CO520">
            <v>710</v>
          </cell>
          <cell r="CP520">
            <v>400</v>
          </cell>
          <cell r="CQ520">
            <v>200</v>
          </cell>
          <cell r="CR520">
            <v>65</v>
          </cell>
          <cell r="CS520">
            <v>35</v>
          </cell>
          <cell r="CT520">
            <v>0</v>
          </cell>
          <cell r="CU520">
            <v>1185</v>
          </cell>
          <cell r="CV520">
            <v>1.7</v>
          </cell>
          <cell r="CW520">
            <v>710</v>
          </cell>
          <cell r="CX520">
            <v>175</v>
          </cell>
          <cell r="CY520">
            <v>10</v>
          </cell>
          <cell r="CZ520">
            <v>520</v>
          </cell>
        </row>
        <row r="521">
          <cell r="A521" t="str">
            <v>4620041.00</v>
          </cell>
          <cell r="B521" t="str">
            <v>0041.00</v>
          </cell>
          <cell r="C521" t="str">
            <v>Ville-Marie</v>
          </cell>
          <cell r="D521">
            <v>1555</v>
          </cell>
          <cell r="E521">
            <v>1185</v>
          </cell>
          <cell r="F521">
            <v>160</v>
          </cell>
          <cell r="G521">
            <v>30</v>
          </cell>
          <cell r="H521">
            <v>140</v>
          </cell>
          <cell r="I521">
            <v>35</v>
          </cell>
          <cell r="J521">
            <v>1555</v>
          </cell>
          <cell r="K521">
            <v>1260</v>
          </cell>
          <cell r="L521">
            <v>295</v>
          </cell>
          <cell r="M521">
            <v>325</v>
          </cell>
          <cell r="N521">
            <v>255</v>
          </cell>
          <cell r="O521">
            <v>55</v>
          </cell>
          <cell r="P521">
            <v>10</v>
          </cell>
          <cell r="Q521">
            <v>0</v>
          </cell>
          <cell r="R521">
            <v>325</v>
          </cell>
          <cell r="S521">
            <v>245</v>
          </cell>
          <cell r="T521">
            <v>80</v>
          </cell>
          <cell r="U521">
            <v>45</v>
          </cell>
          <cell r="V521">
            <v>30</v>
          </cell>
          <cell r="W521">
            <v>25</v>
          </cell>
          <cell r="X521">
            <v>10</v>
          </cell>
          <cell r="Y521">
            <v>0</v>
          </cell>
          <cell r="Z521">
            <v>170</v>
          </cell>
          <cell r="AA521">
            <v>145</v>
          </cell>
          <cell r="AB521">
            <v>20</v>
          </cell>
          <cell r="AC521">
            <v>25</v>
          </cell>
          <cell r="AD521">
            <v>0</v>
          </cell>
          <cell r="AE521">
            <v>0</v>
          </cell>
          <cell r="AF521">
            <v>80</v>
          </cell>
          <cell r="AG521">
            <v>80</v>
          </cell>
          <cell r="AH521">
            <v>60</v>
          </cell>
          <cell r="AI521">
            <v>10</v>
          </cell>
          <cell r="AJ521">
            <v>10</v>
          </cell>
          <cell r="AK521">
            <v>0</v>
          </cell>
          <cell r="AL521">
            <v>0</v>
          </cell>
          <cell r="AM521">
            <v>0</v>
          </cell>
          <cell r="AN521">
            <v>0</v>
          </cell>
          <cell r="AO521">
            <v>165</v>
          </cell>
          <cell r="AP521">
            <v>55</v>
          </cell>
          <cell r="AQ521">
            <v>55</v>
          </cell>
          <cell r="AR521">
            <v>0</v>
          </cell>
          <cell r="AS521">
            <v>0</v>
          </cell>
          <cell r="AT521">
            <v>45</v>
          </cell>
          <cell r="AU521">
            <v>0.5</v>
          </cell>
          <cell r="AV521">
            <v>1655</v>
          </cell>
          <cell r="AW521">
            <v>920</v>
          </cell>
          <cell r="AX521">
            <v>115</v>
          </cell>
          <cell r="AY521">
            <v>325</v>
          </cell>
          <cell r="AZ521">
            <v>480</v>
          </cell>
          <cell r="BA521">
            <v>735</v>
          </cell>
          <cell r="BB521">
            <v>2.2000000000000002</v>
          </cell>
          <cell r="BC521">
            <v>165</v>
          </cell>
          <cell r="BD521">
            <v>100</v>
          </cell>
          <cell r="BE521">
            <v>0</v>
          </cell>
          <cell r="BF521">
            <v>20</v>
          </cell>
          <cell r="BG521">
            <v>75</v>
          </cell>
          <cell r="BH521">
            <v>65</v>
          </cell>
          <cell r="BI521">
            <v>955</v>
          </cell>
          <cell r="BJ521">
            <v>4</v>
          </cell>
          <cell r="BK521">
            <v>3820</v>
          </cell>
          <cell r="BL521">
            <v>1.7</v>
          </cell>
          <cell r="BM521">
            <v>1623.5</v>
          </cell>
          <cell r="BN521">
            <v>955</v>
          </cell>
          <cell r="BO521">
            <v>85</v>
          </cell>
          <cell r="BP521">
            <v>870</v>
          </cell>
          <cell r="BQ521">
            <v>0</v>
          </cell>
          <cell r="BR521">
            <v>955</v>
          </cell>
          <cell r="BS521">
            <v>605</v>
          </cell>
          <cell r="BT521">
            <v>255</v>
          </cell>
          <cell r="BU521">
            <v>90</v>
          </cell>
          <cell r="BV521">
            <v>955</v>
          </cell>
          <cell r="BW521">
            <v>310</v>
          </cell>
          <cell r="BX521">
            <v>80</v>
          </cell>
          <cell r="BY521">
            <v>155</v>
          </cell>
          <cell r="BZ521">
            <v>200</v>
          </cell>
          <cell r="CA521">
            <v>65</v>
          </cell>
          <cell r="CB521">
            <v>65</v>
          </cell>
          <cell r="CC521">
            <v>25</v>
          </cell>
          <cell r="CD521">
            <v>0</v>
          </cell>
          <cell r="CE521">
            <v>50</v>
          </cell>
          <cell r="CF521">
            <v>955</v>
          </cell>
          <cell r="CG521">
            <v>0</v>
          </cell>
          <cell r="CH521">
            <v>0</v>
          </cell>
          <cell r="CI521">
            <v>0</v>
          </cell>
          <cell r="CJ521">
            <v>10</v>
          </cell>
          <cell r="CK521">
            <v>330</v>
          </cell>
          <cell r="CL521">
            <v>610</v>
          </cell>
          <cell r="CM521">
            <v>5</v>
          </cell>
          <cell r="CN521">
            <v>0</v>
          </cell>
          <cell r="CO521">
            <v>955</v>
          </cell>
          <cell r="CP521">
            <v>480</v>
          </cell>
          <cell r="CQ521">
            <v>335</v>
          </cell>
          <cell r="CR521">
            <v>75</v>
          </cell>
          <cell r="CS521">
            <v>60</v>
          </cell>
          <cell r="CT521">
            <v>5</v>
          </cell>
          <cell r="CU521">
            <v>1655</v>
          </cell>
          <cell r="CV521">
            <v>1.7</v>
          </cell>
          <cell r="CW521">
            <v>955</v>
          </cell>
          <cell r="CX521">
            <v>265</v>
          </cell>
          <cell r="CY521">
            <v>30</v>
          </cell>
          <cell r="CZ521">
            <v>660</v>
          </cell>
        </row>
        <row r="522">
          <cell r="A522" t="str">
            <v>4620042.00</v>
          </cell>
          <cell r="B522" t="str">
            <v>0042.00</v>
          </cell>
          <cell r="C522" t="str">
            <v>Ville-Marie</v>
          </cell>
          <cell r="D522">
            <v>850</v>
          </cell>
          <cell r="E522">
            <v>645</v>
          </cell>
          <cell r="F522">
            <v>85</v>
          </cell>
          <cell r="G522">
            <v>20</v>
          </cell>
          <cell r="H522">
            <v>75</v>
          </cell>
          <cell r="I522">
            <v>20</v>
          </cell>
          <cell r="J522">
            <v>850</v>
          </cell>
          <cell r="K522">
            <v>665</v>
          </cell>
          <cell r="L522">
            <v>185</v>
          </cell>
          <cell r="M522">
            <v>125</v>
          </cell>
          <cell r="N522">
            <v>95</v>
          </cell>
          <cell r="O522">
            <v>15</v>
          </cell>
          <cell r="P522">
            <v>15</v>
          </cell>
          <cell r="Q522">
            <v>0</v>
          </cell>
          <cell r="R522">
            <v>125</v>
          </cell>
          <cell r="S522">
            <v>115</v>
          </cell>
          <cell r="T522">
            <v>45</v>
          </cell>
          <cell r="U522">
            <v>35</v>
          </cell>
          <cell r="V522">
            <v>10</v>
          </cell>
          <cell r="W522">
            <v>0</v>
          </cell>
          <cell r="X522">
            <v>10</v>
          </cell>
          <cell r="Y522">
            <v>0</v>
          </cell>
          <cell r="Z522">
            <v>65</v>
          </cell>
          <cell r="AA522">
            <v>55</v>
          </cell>
          <cell r="AB522">
            <v>15</v>
          </cell>
          <cell r="AC522">
            <v>10</v>
          </cell>
          <cell r="AD522">
            <v>0</v>
          </cell>
          <cell r="AE522">
            <v>0</v>
          </cell>
          <cell r="AF522">
            <v>15</v>
          </cell>
          <cell r="AG522">
            <v>10</v>
          </cell>
          <cell r="AH522">
            <v>10</v>
          </cell>
          <cell r="AI522">
            <v>10</v>
          </cell>
          <cell r="AJ522">
            <v>0</v>
          </cell>
          <cell r="AK522">
            <v>0</v>
          </cell>
          <cell r="AL522">
            <v>0</v>
          </cell>
          <cell r="AM522">
            <v>0</v>
          </cell>
          <cell r="AN522">
            <v>0</v>
          </cell>
          <cell r="AO522">
            <v>60</v>
          </cell>
          <cell r="AP522">
            <v>15</v>
          </cell>
          <cell r="AQ522">
            <v>25</v>
          </cell>
          <cell r="AR522">
            <v>10</v>
          </cell>
          <cell r="AS522">
            <v>10</v>
          </cell>
          <cell r="AT522">
            <v>0</v>
          </cell>
          <cell r="AU522">
            <v>0.5</v>
          </cell>
          <cell r="AV522">
            <v>870</v>
          </cell>
          <cell r="AW522">
            <v>565</v>
          </cell>
          <cell r="AX522">
            <v>35</v>
          </cell>
          <cell r="AY522">
            <v>230</v>
          </cell>
          <cell r="AZ522">
            <v>305</v>
          </cell>
          <cell r="BA522">
            <v>300</v>
          </cell>
          <cell r="BB522">
            <v>2.2999999999999998</v>
          </cell>
          <cell r="BC522">
            <v>115</v>
          </cell>
          <cell r="BD522">
            <v>65</v>
          </cell>
          <cell r="BE522">
            <v>0</v>
          </cell>
          <cell r="BF522">
            <v>0</v>
          </cell>
          <cell r="BG522">
            <v>60</v>
          </cell>
          <cell r="BH522">
            <v>50</v>
          </cell>
          <cell r="BI522">
            <v>530</v>
          </cell>
          <cell r="BJ522">
            <v>4.2</v>
          </cell>
          <cell r="BK522">
            <v>2226</v>
          </cell>
          <cell r="BL522">
            <v>1.6</v>
          </cell>
          <cell r="BM522">
            <v>848</v>
          </cell>
          <cell r="BN522">
            <v>530</v>
          </cell>
          <cell r="BO522">
            <v>135</v>
          </cell>
          <cell r="BP522">
            <v>395</v>
          </cell>
          <cell r="BQ522">
            <v>0</v>
          </cell>
          <cell r="BR522">
            <v>530</v>
          </cell>
          <cell r="BS522">
            <v>310</v>
          </cell>
          <cell r="BT522">
            <v>145</v>
          </cell>
          <cell r="BU522">
            <v>85</v>
          </cell>
          <cell r="BV522">
            <v>530</v>
          </cell>
          <cell r="BW522">
            <v>240</v>
          </cell>
          <cell r="BX522">
            <v>30</v>
          </cell>
          <cell r="BY522">
            <v>40</v>
          </cell>
          <cell r="BZ522">
            <v>95</v>
          </cell>
          <cell r="CA522">
            <v>35</v>
          </cell>
          <cell r="CB522">
            <v>40</v>
          </cell>
          <cell r="CC522">
            <v>30</v>
          </cell>
          <cell r="CD522">
            <v>0</v>
          </cell>
          <cell r="CE522">
            <v>15</v>
          </cell>
          <cell r="CF522">
            <v>530</v>
          </cell>
          <cell r="CG522">
            <v>0</v>
          </cell>
          <cell r="CH522">
            <v>0</v>
          </cell>
          <cell r="CI522">
            <v>0</v>
          </cell>
          <cell r="CJ522">
            <v>0</v>
          </cell>
          <cell r="CK522">
            <v>50</v>
          </cell>
          <cell r="CL522">
            <v>480</v>
          </cell>
          <cell r="CM522">
            <v>0</v>
          </cell>
          <cell r="CN522">
            <v>0</v>
          </cell>
          <cell r="CO522">
            <v>530</v>
          </cell>
          <cell r="CP522">
            <v>310</v>
          </cell>
          <cell r="CQ522">
            <v>160</v>
          </cell>
          <cell r="CR522">
            <v>40</v>
          </cell>
          <cell r="CS522">
            <v>30</v>
          </cell>
          <cell r="CT522">
            <v>0</v>
          </cell>
          <cell r="CU522">
            <v>870</v>
          </cell>
          <cell r="CV522">
            <v>1.6</v>
          </cell>
          <cell r="CW522">
            <v>535</v>
          </cell>
          <cell r="CX522">
            <v>125</v>
          </cell>
          <cell r="CY522">
            <v>0</v>
          </cell>
          <cell r="CZ522">
            <v>405</v>
          </cell>
        </row>
        <row r="523">
          <cell r="A523" t="str">
            <v>4620043.00</v>
          </cell>
          <cell r="B523" t="str">
            <v>0043.00</v>
          </cell>
          <cell r="C523" t="str">
            <v>Ville-Marie</v>
          </cell>
          <cell r="D523">
            <v>875</v>
          </cell>
          <cell r="E523">
            <v>710</v>
          </cell>
          <cell r="F523">
            <v>50</v>
          </cell>
          <cell r="G523">
            <v>20</v>
          </cell>
          <cell r="H523">
            <v>85</v>
          </cell>
          <cell r="I523">
            <v>10</v>
          </cell>
          <cell r="J523">
            <v>880</v>
          </cell>
          <cell r="K523">
            <v>715</v>
          </cell>
          <cell r="L523">
            <v>165</v>
          </cell>
          <cell r="M523" t="str">
            <v>-</v>
          </cell>
          <cell r="N523" t="str">
            <v>-</v>
          </cell>
          <cell r="O523" t="str">
            <v>-</v>
          </cell>
          <cell r="P523" t="str">
            <v>-</v>
          </cell>
          <cell r="Q523" t="str">
            <v>-</v>
          </cell>
          <cell r="R523" t="str">
            <v>-</v>
          </cell>
          <cell r="S523" t="str">
            <v>-</v>
          </cell>
          <cell r="T523" t="str">
            <v>-</v>
          </cell>
          <cell r="U523" t="str">
            <v>-</v>
          </cell>
          <cell r="V523" t="str">
            <v>-</v>
          </cell>
          <cell r="W523" t="str">
            <v>-</v>
          </cell>
          <cell r="X523" t="str">
            <v>-</v>
          </cell>
          <cell r="Y523" t="str">
            <v>-</v>
          </cell>
          <cell r="Z523" t="str">
            <v>-</v>
          </cell>
          <cell r="AA523" t="str">
            <v>-</v>
          </cell>
          <cell r="AB523" t="str">
            <v>-</v>
          </cell>
          <cell r="AC523" t="str">
            <v>-</v>
          </cell>
          <cell r="AD523" t="str">
            <v>-</v>
          </cell>
          <cell r="AE523" t="str">
            <v>-</v>
          </cell>
          <cell r="AF523" t="str">
            <v>-</v>
          </cell>
          <cell r="AG523" t="str">
            <v>-</v>
          </cell>
          <cell r="AH523" t="str">
            <v>-</v>
          </cell>
          <cell r="AI523" t="str">
            <v>-</v>
          </cell>
          <cell r="AJ523" t="str">
            <v>-</v>
          </cell>
          <cell r="AK523" t="str">
            <v>-</v>
          </cell>
          <cell r="AL523" t="str">
            <v>-</v>
          </cell>
          <cell r="AM523" t="str">
            <v>-</v>
          </cell>
          <cell r="AN523" t="str">
            <v>-</v>
          </cell>
          <cell r="AO523" t="str">
            <v>-</v>
          </cell>
          <cell r="AP523" t="str">
            <v>-</v>
          </cell>
          <cell r="AQ523" t="str">
            <v>-</v>
          </cell>
          <cell r="AR523" t="str">
            <v>-</v>
          </cell>
          <cell r="AS523" t="str">
            <v>-</v>
          </cell>
          <cell r="AT523" t="str">
            <v>-</v>
          </cell>
          <cell r="AU523" t="str">
            <v>-</v>
          </cell>
          <cell r="AV523" t="str">
            <v>-</v>
          </cell>
          <cell r="AW523" t="str">
            <v>-</v>
          </cell>
          <cell r="AX523" t="str">
            <v>-</v>
          </cell>
          <cell r="AY523" t="str">
            <v>-</v>
          </cell>
          <cell r="AZ523" t="str">
            <v>-</v>
          </cell>
          <cell r="BA523" t="str">
            <v>-</v>
          </cell>
          <cell r="BB523" t="str">
            <v>-</v>
          </cell>
          <cell r="BC523" t="str">
            <v>-</v>
          </cell>
          <cell r="BD523" t="str">
            <v>-</v>
          </cell>
          <cell r="BE523" t="str">
            <v>-</v>
          </cell>
          <cell r="BF523" t="str">
            <v>-</v>
          </cell>
          <cell r="BG523" t="str">
            <v>-</v>
          </cell>
          <cell r="BH523" t="str">
            <v>-</v>
          </cell>
          <cell r="BI523" t="str">
            <v>-</v>
          </cell>
          <cell r="BJ523" t="str">
            <v>-</v>
          </cell>
          <cell r="BK523" t="e">
            <v>#VALUE!</v>
          </cell>
          <cell r="BL523" t="str">
            <v>-</v>
          </cell>
          <cell r="BM523" t="e">
            <v>#VALUE!</v>
          </cell>
          <cell r="BN523" t="str">
            <v>-</v>
          </cell>
          <cell r="BO523" t="str">
            <v>-</v>
          </cell>
          <cell r="BP523" t="str">
            <v>-</v>
          </cell>
          <cell r="BQ523" t="str">
            <v>-</v>
          </cell>
          <cell r="BR523" t="str">
            <v>-</v>
          </cell>
          <cell r="BS523" t="str">
            <v>-</v>
          </cell>
          <cell r="BT523" t="str">
            <v>-</v>
          </cell>
          <cell r="BU523" t="str">
            <v>-</v>
          </cell>
          <cell r="BV523" t="str">
            <v>-</v>
          </cell>
          <cell r="BW523" t="str">
            <v>-</v>
          </cell>
          <cell r="BX523" t="str">
            <v>-</v>
          </cell>
          <cell r="BY523" t="str">
            <v>-</v>
          </cell>
          <cell r="BZ523" t="str">
            <v>-</v>
          </cell>
          <cell r="CA523" t="str">
            <v>-</v>
          </cell>
          <cell r="CB523" t="str">
            <v>-</v>
          </cell>
          <cell r="CC523" t="str">
            <v>-</v>
          </cell>
          <cell r="CD523" t="str">
            <v>-</v>
          </cell>
          <cell r="CE523" t="str">
            <v>-</v>
          </cell>
          <cell r="CF523">
            <v>500</v>
          </cell>
          <cell r="CG523">
            <v>0</v>
          </cell>
          <cell r="CH523">
            <v>0</v>
          </cell>
          <cell r="CI523">
            <v>0</v>
          </cell>
          <cell r="CJ523">
            <v>0</v>
          </cell>
          <cell r="CK523">
            <v>5</v>
          </cell>
          <cell r="CL523">
            <v>495</v>
          </cell>
          <cell r="CM523">
            <v>0</v>
          </cell>
          <cell r="CN523">
            <v>0</v>
          </cell>
          <cell r="CO523">
            <v>505</v>
          </cell>
          <cell r="CP523">
            <v>315</v>
          </cell>
          <cell r="CQ523">
            <v>140</v>
          </cell>
          <cell r="CR523">
            <v>30</v>
          </cell>
          <cell r="CS523">
            <v>15</v>
          </cell>
          <cell r="CT523">
            <v>0</v>
          </cell>
          <cell r="CU523">
            <v>770</v>
          </cell>
          <cell r="CV523">
            <v>1.5</v>
          </cell>
          <cell r="CW523" t="str">
            <v>-</v>
          </cell>
          <cell r="CX523" t="str">
            <v>-</v>
          </cell>
          <cell r="CY523" t="str">
            <v>-</v>
          </cell>
          <cell r="CZ523" t="str">
            <v>-</v>
          </cell>
        </row>
        <row r="524">
          <cell r="A524" t="str">
            <v>4620044.00</v>
          </cell>
          <cell r="B524" t="str">
            <v>0044.00</v>
          </cell>
          <cell r="C524" t="str">
            <v>Ville-Marie</v>
          </cell>
          <cell r="D524">
            <v>1895</v>
          </cell>
          <cell r="E524">
            <v>1425</v>
          </cell>
          <cell r="F524">
            <v>215</v>
          </cell>
          <cell r="G524">
            <v>40</v>
          </cell>
          <cell r="H524">
            <v>170</v>
          </cell>
          <cell r="I524">
            <v>45</v>
          </cell>
          <cell r="J524">
            <v>1895</v>
          </cell>
          <cell r="K524">
            <v>1490</v>
          </cell>
          <cell r="L524">
            <v>400</v>
          </cell>
          <cell r="M524">
            <v>350</v>
          </cell>
          <cell r="N524">
            <v>235</v>
          </cell>
          <cell r="O524">
            <v>50</v>
          </cell>
          <cell r="P524">
            <v>0</v>
          </cell>
          <cell r="Q524">
            <v>60</v>
          </cell>
          <cell r="R524">
            <v>350</v>
          </cell>
          <cell r="S524">
            <v>255</v>
          </cell>
          <cell r="T524">
            <v>100</v>
          </cell>
          <cell r="U524">
            <v>40</v>
          </cell>
          <cell r="V524">
            <v>55</v>
          </cell>
          <cell r="W524">
            <v>20</v>
          </cell>
          <cell r="X524">
            <v>10</v>
          </cell>
          <cell r="Y524">
            <v>30</v>
          </cell>
          <cell r="Z524">
            <v>160</v>
          </cell>
          <cell r="AA524">
            <v>135</v>
          </cell>
          <cell r="AB524">
            <v>25</v>
          </cell>
          <cell r="AC524">
            <v>15</v>
          </cell>
          <cell r="AD524">
            <v>0</v>
          </cell>
          <cell r="AE524">
            <v>10</v>
          </cell>
          <cell r="AF524">
            <v>95</v>
          </cell>
          <cell r="AG524">
            <v>80</v>
          </cell>
          <cell r="AH524">
            <v>40</v>
          </cell>
          <cell r="AI524">
            <v>15</v>
          </cell>
          <cell r="AJ524">
            <v>20</v>
          </cell>
          <cell r="AK524">
            <v>15</v>
          </cell>
          <cell r="AL524">
            <v>15</v>
          </cell>
          <cell r="AM524">
            <v>0</v>
          </cell>
          <cell r="AN524">
            <v>0</v>
          </cell>
          <cell r="AO524">
            <v>335</v>
          </cell>
          <cell r="AP524">
            <v>105</v>
          </cell>
          <cell r="AQ524">
            <v>65</v>
          </cell>
          <cell r="AR524">
            <v>25</v>
          </cell>
          <cell r="AS524">
            <v>70</v>
          </cell>
          <cell r="AT524">
            <v>80</v>
          </cell>
          <cell r="AU524">
            <v>1</v>
          </cell>
          <cell r="AV524">
            <v>2015</v>
          </cell>
          <cell r="AW524">
            <v>1070</v>
          </cell>
          <cell r="AX524">
            <v>20</v>
          </cell>
          <cell r="AY524">
            <v>415</v>
          </cell>
          <cell r="AZ524">
            <v>635</v>
          </cell>
          <cell r="BA524">
            <v>945</v>
          </cell>
          <cell r="BB524">
            <v>2.7</v>
          </cell>
          <cell r="BC524">
            <v>150</v>
          </cell>
          <cell r="BD524">
            <v>100</v>
          </cell>
          <cell r="BE524">
            <v>0</v>
          </cell>
          <cell r="BF524">
            <v>10</v>
          </cell>
          <cell r="BG524">
            <v>85</v>
          </cell>
          <cell r="BH524">
            <v>45</v>
          </cell>
          <cell r="BI524">
            <v>1165</v>
          </cell>
          <cell r="BJ524">
            <v>4.2</v>
          </cell>
          <cell r="BK524">
            <v>4893</v>
          </cell>
          <cell r="BL524">
            <v>1.7</v>
          </cell>
          <cell r="BM524">
            <v>1980.5</v>
          </cell>
          <cell r="BN524">
            <v>1170</v>
          </cell>
          <cell r="BO524">
            <v>310</v>
          </cell>
          <cell r="BP524">
            <v>860</v>
          </cell>
          <cell r="BQ524">
            <v>0</v>
          </cell>
          <cell r="BR524">
            <v>1165</v>
          </cell>
          <cell r="BS524">
            <v>700</v>
          </cell>
          <cell r="BT524">
            <v>320</v>
          </cell>
          <cell r="BU524">
            <v>145</v>
          </cell>
          <cell r="BV524">
            <v>1170</v>
          </cell>
          <cell r="BW524">
            <v>445</v>
          </cell>
          <cell r="BX524">
            <v>95</v>
          </cell>
          <cell r="BY524">
            <v>85</v>
          </cell>
          <cell r="BZ524">
            <v>215</v>
          </cell>
          <cell r="CA524">
            <v>75</v>
          </cell>
          <cell r="CB524">
            <v>55</v>
          </cell>
          <cell r="CC524">
            <v>65</v>
          </cell>
          <cell r="CD524">
            <v>30</v>
          </cell>
          <cell r="CE524">
            <v>100</v>
          </cell>
          <cell r="CF524">
            <v>1170</v>
          </cell>
          <cell r="CG524">
            <v>5</v>
          </cell>
          <cell r="CH524">
            <v>0</v>
          </cell>
          <cell r="CI524">
            <v>35</v>
          </cell>
          <cell r="CJ524">
            <v>20</v>
          </cell>
          <cell r="CK524">
            <v>80</v>
          </cell>
          <cell r="CL524">
            <v>1030</v>
          </cell>
          <cell r="CM524">
            <v>5</v>
          </cell>
          <cell r="CN524">
            <v>0</v>
          </cell>
          <cell r="CO524">
            <v>1170</v>
          </cell>
          <cell r="CP524">
            <v>615</v>
          </cell>
          <cell r="CQ524">
            <v>395</v>
          </cell>
          <cell r="CR524">
            <v>95</v>
          </cell>
          <cell r="CS524">
            <v>50</v>
          </cell>
          <cell r="CT524">
            <v>15</v>
          </cell>
          <cell r="CU524">
            <v>2020</v>
          </cell>
          <cell r="CV524">
            <v>1.7</v>
          </cell>
          <cell r="CW524">
            <v>1165</v>
          </cell>
          <cell r="CX524">
            <v>350</v>
          </cell>
          <cell r="CY524">
            <v>0</v>
          </cell>
          <cell r="CZ524">
            <v>820</v>
          </cell>
        </row>
        <row r="525">
          <cell r="A525" t="str">
            <v>4620045.00</v>
          </cell>
          <cell r="B525" t="str">
            <v>0045.00</v>
          </cell>
          <cell r="C525" t="str">
            <v>Ville-Marie</v>
          </cell>
          <cell r="D525">
            <v>1465</v>
          </cell>
          <cell r="E525">
            <v>1015</v>
          </cell>
          <cell r="F525">
            <v>165</v>
          </cell>
          <cell r="G525">
            <v>40</v>
          </cell>
          <cell r="H525">
            <v>135</v>
          </cell>
          <cell r="I525">
            <v>110</v>
          </cell>
          <cell r="J525">
            <v>1470</v>
          </cell>
          <cell r="K525">
            <v>1195</v>
          </cell>
          <cell r="L525">
            <v>270</v>
          </cell>
          <cell r="M525">
            <v>270</v>
          </cell>
          <cell r="N525">
            <v>225</v>
          </cell>
          <cell r="O525">
            <v>10</v>
          </cell>
          <cell r="P525">
            <v>30</v>
          </cell>
          <cell r="Q525">
            <v>0</v>
          </cell>
          <cell r="R525">
            <v>270</v>
          </cell>
          <cell r="S525">
            <v>225</v>
          </cell>
          <cell r="T525">
            <v>65</v>
          </cell>
          <cell r="U525">
            <v>50</v>
          </cell>
          <cell r="V525">
            <v>15</v>
          </cell>
          <cell r="W525">
            <v>0</v>
          </cell>
          <cell r="X525">
            <v>15</v>
          </cell>
          <cell r="Y525">
            <v>0</v>
          </cell>
          <cell r="Z525">
            <v>160</v>
          </cell>
          <cell r="AA525">
            <v>140</v>
          </cell>
          <cell r="AB525">
            <v>20</v>
          </cell>
          <cell r="AC525">
            <v>10</v>
          </cell>
          <cell r="AD525">
            <v>15</v>
          </cell>
          <cell r="AE525">
            <v>0</v>
          </cell>
          <cell r="AF525">
            <v>40</v>
          </cell>
          <cell r="AG525">
            <v>30</v>
          </cell>
          <cell r="AH525">
            <v>25</v>
          </cell>
          <cell r="AI525">
            <v>0</v>
          </cell>
          <cell r="AJ525">
            <v>0</v>
          </cell>
          <cell r="AK525">
            <v>10</v>
          </cell>
          <cell r="AL525">
            <v>10</v>
          </cell>
          <cell r="AM525">
            <v>0</v>
          </cell>
          <cell r="AN525">
            <v>0</v>
          </cell>
          <cell r="AO525">
            <v>135</v>
          </cell>
          <cell r="AP525">
            <v>10</v>
          </cell>
          <cell r="AQ525">
            <v>10</v>
          </cell>
          <cell r="AR525">
            <v>50</v>
          </cell>
          <cell r="AS525">
            <v>40</v>
          </cell>
          <cell r="AT525">
            <v>25</v>
          </cell>
          <cell r="AU525">
            <v>0.5</v>
          </cell>
          <cell r="AV525">
            <v>1415</v>
          </cell>
          <cell r="AW525">
            <v>780</v>
          </cell>
          <cell r="AX525">
            <v>20</v>
          </cell>
          <cell r="AY525">
            <v>195</v>
          </cell>
          <cell r="AZ525">
            <v>565</v>
          </cell>
          <cell r="BA525">
            <v>635</v>
          </cell>
          <cell r="BB525">
            <v>2.2999999999999998</v>
          </cell>
          <cell r="BC525">
            <v>215</v>
          </cell>
          <cell r="BD525">
            <v>145</v>
          </cell>
          <cell r="BE525">
            <v>10</v>
          </cell>
          <cell r="BF525">
            <v>10</v>
          </cell>
          <cell r="BG525">
            <v>130</v>
          </cell>
          <cell r="BH525">
            <v>70</v>
          </cell>
          <cell r="BI525">
            <v>925</v>
          </cell>
          <cell r="BJ525">
            <v>3.8</v>
          </cell>
          <cell r="BK525">
            <v>3515</v>
          </cell>
          <cell r="BL525">
            <v>1.3</v>
          </cell>
          <cell r="BM525">
            <v>1202.5</v>
          </cell>
          <cell r="BN525">
            <v>930</v>
          </cell>
          <cell r="BO525">
            <v>125</v>
          </cell>
          <cell r="BP525">
            <v>795</v>
          </cell>
          <cell r="BQ525">
            <v>0</v>
          </cell>
          <cell r="BR525">
            <v>930</v>
          </cell>
          <cell r="BS525">
            <v>595</v>
          </cell>
          <cell r="BT525">
            <v>275</v>
          </cell>
          <cell r="BU525">
            <v>55</v>
          </cell>
          <cell r="BV525">
            <v>925</v>
          </cell>
          <cell r="BW525">
            <v>335</v>
          </cell>
          <cell r="BX525">
            <v>70</v>
          </cell>
          <cell r="BY525">
            <v>190</v>
          </cell>
          <cell r="BZ525">
            <v>180</v>
          </cell>
          <cell r="CA525">
            <v>55</v>
          </cell>
          <cell r="CB525">
            <v>60</v>
          </cell>
          <cell r="CC525">
            <v>35</v>
          </cell>
          <cell r="CD525">
            <v>0</v>
          </cell>
          <cell r="CE525">
            <v>10</v>
          </cell>
          <cell r="CF525">
            <v>925</v>
          </cell>
          <cell r="CG525">
            <v>5</v>
          </cell>
          <cell r="CH525">
            <v>0</v>
          </cell>
          <cell r="CI525">
            <v>0</v>
          </cell>
          <cell r="CJ525">
            <v>15</v>
          </cell>
          <cell r="CK525">
            <v>165</v>
          </cell>
          <cell r="CL525">
            <v>740</v>
          </cell>
          <cell r="CM525">
            <v>0</v>
          </cell>
          <cell r="CN525">
            <v>0</v>
          </cell>
          <cell r="CO525">
            <v>930</v>
          </cell>
          <cell r="CP525">
            <v>565</v>
          </cell>
          <cell r="CQ525">
            <v>280</v>
          </cell>
          <cell r="CR525">
            <v>40</v>
          </cell>
          <cell r="CS525">
            <v>30</v>
          </cell>
          <cell r="CT525">
            <v>0</v>
          </cell>
          <cell r="CU525">
            <v>1415</v>
          </cell>
          <cell r="CV525">
            <v>1.5</v>
          </cell>
          <cell r="CW525">
            <v>925</v>
          </cell>
          <cell r="CX525">
            <v>270</v>
          </cell>
          <cell r="CY525">
            <v>0</v>
          </cell>
          <cell r="CZ525">
            <v>655</v>
          </cell>
        </row>
        <row r="526">
          <cell r="A526" t="str">
            <v>4620046.00</v>
          </cell>
          <cell r="B526" t="str">
            <v>0046.00</v>
          </cell>
          <cell r="C526" t="str">
            <v>Ville-Marie</v>
          </cell>
          <cell r="D526">
            <v>1840</v>
          </cell>
          <cell r="E526">
            <v>1420</v>
          </cell>
          <cell r="F526">
            <v>180</v>
          </cell>
          <cell r="G526">
            <v>35</v>
          </cell>
          <cell r="H526">
            <v>145</v>
          </cell>
          <cell r="I526">
            <v>55</v>
          </cell>
          <cell r="J526">
            <v>1840</v>
          </cell>
          <cell r="K526">
            <v>1475</v>
          </cell>
          <cell r="L526">
            <v>360</v>
          </cell>
          <cell r="M526">
            <v>370</v>
          </cell>
          <cell r="N526">
            <v>245</v>
          </cell>
          <cell r="O526">
            <v>70</v>
          </cell>
          <cell r="P526">
            <v>35</v>
          </cell>
          <cell r="Q526">
            <v>15</v>
          </cell>
          <cell r="R526">
            <v>370</v>
          </cell>
          <cell r="S526">
            <v>280</v>
          </cell>
          <cell r="T526">
            <v>110</v>
          </cell>
          <cell r="U526">
            <v>65</v>
          </cell>
          <cell r="V526">
            <v>45</v>
          </cell>
          <cell r="W526">
            <v>15</v>
          </cell>
          <cell r="X526">
            <v>15</v>
          </cell>
          <cell r="Y526">
            <v>10</v>
          </cell>
          <cell r="Z526">
            <v>170</v>
          </cell>
          <cell r="AA526">
            <v>135</v>
          </cell>
          <cell r="AB526">
            <v>35</v>
          </cell>
          <cell r="AC526">
            <v>10</v>
          </cell>
          <cell r="AD526">
            <v>20</v>
          </cell>
          <cell r="AE526">
            <v>0</v>
          </cell>
          <cell r="AF526">
            <v>95</v>
          </cell>
          <cell r="AG526">
            <v>80</v>
          </cell>
          <cell r="AH526">
            <v>40</v>
          </cell>
          <cell r="AI526">
            <v>40</v>
          </cell>
          <cell r="AJ526">
            <v>0</v>
          </cell>
          <cell r="AK526">
            <v>10</v>
          </cell>
          <cell r="AL526">
            <v>0</v>
          </cell>
          <cell r="AM526">
            <v>10</v>
          </cell>
          <cell r="AN526">
            <v>0</v>
          </cell>
          <cell r="AO526">
            <v>285</v>
          </cell>
          <cell r="AP526">
            <v>65</v>
          </cell>
          <cell r="AQ526">
            <v>110</v>
          </cell>
          <cell r="AR526">
            <v>30</v>
          </cell>
          <cell r="AS526">
            <v>50</v>
          </cell>
          <cell r="AT526">
            <v>35</v>
          </cell>
          <cell r="AU526">
            <v>0.7</v>
          </cell>
          <cell r="AV526">
            <v>1845</v>
          </cell>
          <cell r="AW526">
            <v>915</v>
          </cell>
          <cell r="AX526">
            <v>15</v>
          </cell>
          <cell r="AY526">
            <v>320</v>
          </cell>
          <cell r="AZ526">
            <v>570</v>
          </cell>
          <cell r="BA526">
            <v>930</v>
          </cell>
          <cell r="BB526">
            <v>2.5</v>
          </cell>
          <cell r="BC526">
            <v>160</v>
          </cell>
          <cell r="BD526">
            <v>55</v>
          </cell>
          <cell r="BE526">
            <v>10</v>
          </cell>
          <cell r="BF526">
            <v>0</v>
          </cell>
          <cell r="BG526">
            <v>45</v>
          </cell>
          <cell r="BH526">
            <v>105</v>
          </cell>
          <cell r="BI526">
            <v>1090</v>
          </cell>
          <cell r="BJ526">
            <v>3.8</v>
          </cell>
          <cell r="BK526">
            <v>4142</v>
          </cell>
          <cell r="BL526">
            <v>1.5</v>
          </cell>
          <cell r="BM526">
            <v>1635</v>
          </cell>
          <cell r="BN526">
            <v>1095</v>
          </cell>
          <cell r="BO526">
            <v>235</v>
          </cell>
          <cell r="BP526">
            <v>860</v>
          </cell>
          <cell r="BQ526">
            <v>0</v>
          </cell>
          <cell r="BR526">
            <v>1095</v>
          </cell>
          <cell r="BS526">
            <v>675</v>
          </cell>
          <cell r="BT526">
            <v>310</v>
          </cell>
          <cell r="BU526">
            <v>110</v>
          </cell>
          <cell r="BV526">
            <v>1090</v>
          </cell>
          <cell r="BW526">
            <v>395</v>
          </cell>
          <cell r="BX526">
            <v>125</v>
          </cell>
          <cell r="BY526">
            <v>165</v>
          </cell>
          <cell r="BZ526">
            <v>95</v>
          </cell>
          <cell r="CA526">
            <v>90</v>
          </cell>
          <cell r="CB526">
            <v>65</v>
          </cell>
          <cell r="CC526">
            <v>50</v>
          </cell>
          <cell r="CD526">
            <v>75</v>
          </cell>
          <cell r="CE526">
            <v>25</v>
          </cell>
          <cell r="CF526">
            <v>1095</v>
          </cell>
          <cell r="CG526">
            <v>5</v>
          </cell>
          <cell r="CH526">
            <v>5</v>
          </cell>
          <cell r="CI526">
            <v>20</v>
          </cell>
          <cell r="CJ526">
            <v>30</v>
          </cell>
          <cell r="CK526">
            <v>5</v>
          </cell>
          <cell r="CL526">
            <v>1015</v>
          </cell>
          <cell r="CM526">
            <v>15</v>
          </cell>
          <cell r="CN526">
            <v>0</v>
          </cell>
          <cell r="CO526">
            <v>1095</v>
          </cell>
          <cell r="CP526">
            <v>575</v>
          </cell>
          <cell r="CQ526">
            <v>370</v>
          </cell>
          <cell r="CR526">
            <v>90</v>
          </cell>
          <cell r="CS526">
            <v>55</v>
          </cell>
          <cell r="CT526">
            <v>5</v>
          </cell>
          <cell r="CU526">
            <v>1840</v>
          </cell>
          <cell r="CV526">
            <v>1.7</v>
          </cell>
          <cell r="CW526">
            <v>1095</v>
          </cell>
          <cell r="CX526">
            <v>360</v>
          </cell>
          <cell r="CY526">
            <v>0</v>
          </cell>
          <cell r="CZ526">
            <v>730</v>
          </cell>
        </row>
        <row r="527">
          <cell r="A527" t="str">
            <v>4620047.00</v>
          </cell>
          <cell r="B527" t="str">
            <v>0047.00</v>
          </cell>
          <cell r="C527" t="str">
            <v>Ville-Marie</v>
          </cell>
          <cell r="D527">
            <v>635</v>
          </cell>
          <cell r="E527">
            <v>485</v>
          </cell>
          <cell r="F527">
            <v>70</v>
          </cell>
          <cell r="G527">
            <v>10</v>
          </cell>
          <cell r="H527">
            <v>60</v>
          </cell>
          <cell r="I527">
            <v>15</v>
          </cell>
          <cell r="J527">
            <v>635</v>
          </cell>
          <cell r="K527">
            <v>525</v>
          </cell>
          <cell r="L527">
            <v>115</v>
          </cell>
          <cell r="M527">
            <v>135</v>
          </cell>
          <cell r="N527">
            <v>85</v>
          </cell>
          <cell r="O527">
            <v>30</v>
          </cell>
          <cell r="P527">
            <v>20</v>
          </cell>
          <cell r="Q527">
            <v>0</v>
          </cell>
          <cell r="R527">
            <v>135</v>
          </cell>
          <cell r="S527">
            <v>90</v>
          </cell>
          <cell r="T527">
            <v>25</v>
          </cell>
          <cell r="U527">
            <v>15</v>
          </cell>
          <cell r="V527">
            <v>15</v>
          </cell>
          <cell r="W527">
            <v>10</v>
          </cell>
          <cell r="X527">
            <v>10</v>
          </cell>
          <cell r="Y527">
            <v>0</v>
          </cell>
          <cell r="Z527">
            <v>65</v>
          </cell>
          <cell r="AA527">
            <v>40</v>
          </cell>
          <cell r="AB527">
            <v>20</v>
          </cell>
          <cell r="AC527">
            <v>20</v>
          </cell>
          <cell r="AD527">
            <v>0</v>
          </cell>
          <cell r="AE527">
            <v>0</v>
          </cell>
          <cell r="AF527">
            <v>45</v>
          </cell>
          <cell r="AG527">
            <v>40</v>
          </cell>
          <cell r="AH527">
            <v>25</v>
          </cell>
          <cell r="AI527">
            <v>0</v>
          </cell>
          <cell r="AJ527">
            <v>10</v>
          </cell>
          <cell r="AK527">
            <v>10</v>
          </cell>
          <cell r="AL527">
            <v>0</v>
          </cell>
          <cell r="AM527">
            <v>0</v>
          </cell>
          <cell r="AN527">
            <v>0</v>
          </cell>
          <cell r="AO527">
            <v>110</v>
          </cell>
          <cell r="AP527">
            <v>20</v>
          </cell>
          <cell r="AQ527">
            <v>35</v>
          </cell>
          <cell r="AR527">
            <v>10</v>
          </cell>
          <cell r="AS527">
            <v>30</v>
          </cell>
          <cell r="AT527">
            <v>0</v>
          </cell>
          <cell r="AU527">
            <v>0.8</v>
          </cell>
          <cell r="AV527">
            <v>695</v>
          </cell>
          <cell r="AW527">
            <v>355</v>
          </cell>
          <cell r="AX527">
            <v>0</v>
          </cell>
          <cell r="AY527">
            <v>195</v>
          </cell>
          <cell r="AZ527">
            <v>160</v>
          </cell>
          <cell r="BA527">
            <v>335</v>
          </cell>
          <cell r="BB527">
            <v>2.5</v>
          </cell>
          <cell r="BC527">
            <v>15</v>
          </cell>
          <cell r="BD527">
            <v>15</v>
          </cell>
          <cell r="BE527">
            <v>0</v>
          </cell>
          <cell r="BF527">
            <v>10</v>
          </cell>
          <cell r="BG527">
            <v>10</v>
          </cell>
          <cell r="BH527">
            <v>0</v>
          </cell>
          <cell r="BI527">
            <v>375</v>
          </cell>
          <cell r="BJ527">
            <v>4.3</v>
          </cell>
          <cell r="BK527">
            <v>1612.5</v>
          </cell>
          <cell r="BL527">
            <v>1.8</v>
          </cell>
          <cell r="BM527">
            <v>675</v>
          </cell>
          <cell r="BN527">
            <v>375</v>
          </cell>
          <cell r="BO527">
            <v>95</v>
          </cell>
          <cell r="BP527">
            <v>285</v>
          </cell>
          <cell r="BQ527">
            <v>0</v>
          </cell>
          <cell r="BR527">
            <v>375</v>
          </cell>
          <cell r="BS527">
            <v>210</v>
          </cell>
          <cell r="BT527">
            <v>130</v>
          </cell>
          <cell r="BU527">
            <v>30</v>
          </cell>
          <cell r="BV527">
            <v>375</v>
          </cell>
          <cell r="BW527">
            <v>170</v>
          </cell>
          <cell r="BX527">
            <v>25</v>
          </cell>
          <cell r="BY527">
            <v>20</v>
          </cell>
          <cell r="BZ527">
            <v>30</v>
          </cell>
          <cell r="CA527">
            <v>30</v>
          </cell>
          <cell r="CB527">
            <v>80</v>
          </cell>
          <cell r="CC527">
            <v>10</v>
          </cell>
          <cell r="CD527">
            <v>10</v>
          </cell>
          <cell r="CE527">
            <v>10</v>
          </cell>
          <cell r="CF527">
            <v>375</v>
          </cell>
          <cell r="CG527">
            <v>0</v>
          </cell>
          <cell r="CH527">
            <v>0</v>
          </cell>
          <cell r="CI527">
            <v>10</v>
          </cell>
          <cell r="CJ527">
            <v>10</v>
          </cell>
          <cell r="CK527">
            <v>0</v>
          </cell>
          <cell r="CL527">
            <v>355</v>
          </cell>
          <cell r="CM527">
            <v>0</v>
          </cell>
          <cell r="CN527">
            <v>0</v>
          </cell>
          <cell r="CO527">
            <v>375</v>
          </cell>
          <cell r="CP527">
            <v>170</v>
          </cell>
          <cell r="CQ527">
            <v>130</v>
          </cell>
          <cell r="CR527">
            <v>55</v>
          </cell>
          <cell r="CS527">
            <v>20</v>
          </cell>
          <cell r="CT527">
            <v>0</v>
          </cell>
          <cell r="CU527">
            <v>690</v>
          </cell>
          <cell r="CV527">
            <v>1.8</v>
          </cell>
          <cell r="CW527">
            <v>375</v>
          </cell>
          <cell r="CX527">
            <v>135</v>
          </cell>
          <cell r="CY527">
            <v>0</v>
          </cell>
          <cell r="CZ527">
            <v>240</v>
          </cell>
        </row>
        <row r="528">
          <cell r="A528" t="str">
            <v>4620048.00</v>
          </cell>
          <cell r="B528" t="str">
            <v>0048.00</v>
          </cell>
          <cell r="C528" t="str">
            <v>Ville-Marie</v>
          </cell>
          <cell r="D528">
            <v>1940</v>
          </cell>
          <cell r="E528">
            <v>1485</v>
          </cell>
          <cell r="F528">
            <v>230</v>
          </cell>
          <cell r="G528">
            <v>40</v>
          </cell>
          <cell r="H528">
            <v>145</v>
          </cell>
          <cell r="I528">
            <v>45</v>
          </cell>
          <cell r="J528">
            <v>1940</v>
          </cell>
          <cell r="K528">
            <v>1480</v>
          </cell>
          <cell r="L528">
            <v>465</v>
          </cell>
          <cell r="M528">
            <v>435</v>
          </cell>
          <cell r="N528">
            <v>325</v>
          </cell>
          <cell r="O528">
            <v>65</v>
          </cell>
          <cell r="P528">
            <v>30</v>
          </cell>
          <cell r="Q528">
            <v>20</v>
          </cell>
          <cell r="R528">
            <v>440</v>
          </cell>
          <cell r="S528">
            <v>335</v>
          </cell>
          <cell r="T528">
            <v>100</v>
          </cell>
          <cell r="U528">
            <v>70</v>
          </cell>
          <cell r="V528">
            <v>30</v>
          </cell>
          <cell r="W528">
            <v>10</v>
          </cell>
          <cell r="X528">
            <v>15</v>
          </cell>
          <cell r="Y528">
            <v>0</v>
          </cell>
          <cell r="Z528">
            <v>235</v>
          </cell>
          <cell r="AA528">
            <v>210</v>
          </cell>
          <cell r="AB528">
            <v>25</v>
          </cell>
          <cell r="AC528">
            <v>20</v>
          </cell>
          <cell r="AD528">
            <v>10</v>
          </cell>
          <cell r="AE528">
            <v>0</v>
          </cell>
          <cell r="AF528">
            <v>100</v>
          </cell>
          <cell r="AG528">
            <v>85</v>
          </cell>
          <cell r="AH528">
            <v>25</v>
          </cell>
          <cell r="AI528">
            <v>30</v>
          </cell>
          <cell r="AJ528">
            <v>30</v>
          </cell>
          <cell r="AK528">
            <v>15</v>
          </cell>
          <cell r="AL528">
            <v>20</v>
          </cell>
          <cell r="AM528">
            <v>0</v>
          </cell>
          <cell r="AN528">
            <v>0</v>
          </cell>
          <cell r="AO528">
            <v>295</v>
          </cell>
          <cell r="AP528">
            <v>90</v>
          </cell>
          <cell r="AQ528">
            <v>80</v>
          </cell>
          <cell r="AR528">
            <v>30</v>
          </cell>
          <cell r="AS528">
            <v>50</v>
          </cell>
          <cell r="AT528">
            <v>40</v>
          </cell>
          <cell r="AU528">
            <v>0.7</v>
          </cell>
          <cell r="AV528">
            <v>2120</v>
          </cell>
          <cell r="AW528">
            <v>1050</v>
          </cell>
          <cell r="AX528">
            <v>45</v>
          </cell>
          <cell r="AY528">
            <v>455</v>
          </cell>
          <cell r="AZ528">
            <v>545</v>
          </cell>
          <cell r="BA528">
            <v>1070</v>
          </cell>
          <cell r="BB528">
            <v>2.4</v>
          </cell>
          <cell r="BC528">
            <v>110</v>
          </cell>
          <cell r="BD528">
            <v>60</v>
          </cell>
          <cell r="BE528">
            <v>0</v>
          </cell>
          <cell r="BF528">
            <v>0</v>
          </cell>
          <cell r="BG528">
            <v>55</v>
          </cell>
          <cell r="BH528">
            <v>45</v>
          </cell>
          <cell r="BI528">
            <v>1170</v>
          </cell>
          <cell r="BJ528">
            <v>4.5</v>
          </cell>
          <cell r="BK528">
            <v>5265</v>
          </cell>
          <cell r="BL528">
            <v>1.7</v>
          </cell>
          <cell r="BM528">
            <v>1989</v>
          </cell>
          <cell r="BN528">
            <v>1170</v>
          </cell>
          <cell r="BO528">
            <v>155</v>
          </cell>
          <cell r="BP528">
            <v>1015</v>
          </cell>
          <cell r="BQ528">
            <v>0</v>
          </cell>
          <cell r="BR528">
            <v>1170</v>
          </cell>
          <cell r="BS528">
            <v>470</v>
          </cell>
          <cell r="BT528">
            <v>565</v>
          </cell>
          <cell r="BU528">
            <v>140</v>
          </cell>
          <cell r="BV528">
            <v>1175</v>
          </cell>
          <cell r="BW528">
            <v>615</v>
          </cell>
          <cell r="BX528">
            <v>270</v>
          </cell>
          <cell r="BY528">
            <v>95</v>
          </cell>
          <cell r="BZ528">
            <v>95</v>
          </cell>
          <cell r="CA528">
            <v>25</v>
          </cell>
          <cell r="CB528">
            <v>45</v>
          </cell>
          <cell r="CC528">
            <v>10</v>
          </cell>
          <cell r="CD528">
            <v>0</v>
          </cell>
          <cell r="CE528">
            <v>10</v>
          </cell>
          <cell r="CF528">
            <v>1175</v>
          </cell>
          <cell r="CG528">
            <v>0</v>
          </cell>
          <cell r="CH528">
            <v>0</v>
          </cell>
          <cell r="CI528">
            <v>10</v>
          </cell>
          <cell r="CJ528">
            <v>70</v>
          </cell>
          <cell r="CK528">
            <v>0</v>
          </cell>
          <cell r="CL528">
            <v>1095</v>
          </cell>
          <cell r="CM528">
            <v>0</v>
          </cell>
          <cell r="CN528">
            <v>0</v>
          </cell>
          <cell r="CO528">
            <v>1175</v>
          </cell>
          <cell r="CP528">
            <v>535</v>
          </cell>
          <cell r="CQ528">
            <v>435</v>
          </cell>
          <cell r="CR528">
            <v>135</v>
          </cell>
          <cell r="CS528">
            <v>60</v>
          </cell>
          <cell r="CT528">
            <v>10</v>
          </cell>
          <cell r="CU528">
            <v>2115</v>
          </cell>
          <cell r="CV528">
            <v>1.8</v>
          </cell>
          <cell r="CW528">
            <v>1170</v>
          </cell>
          <cell r="CX528">
            <v>435</v>
          </cell>
          <cell r="CY528">
            <v>0</v>
          </cell>
          <cell r="CZ528">
            <v>735</v>
          </cell>
        </row>
        <row r="529">
          <cell r="A529" t="str">
            <v>4620049.00</v>
          </cell>
          <cell r="B529" t="str">
            <v>0049.00</v>
          </cell>
          <cell r="C529" t="str">
            <v>Ville-Marie</v>
          </cell>
          <cell r="D529">
            <v>1275</v>
          </cell>
          <cell r="E529">
            <v>900</v>
          </cell>
          <cell r="F529">
            <v>160</v>
          </cell>
          <cell r="G529">
            <v>25</v>
          </cell>
          <cell r="H529">
            <v>130</v>
          </cell>
          <cell r="I529">
            <v>60</v>
          </cell>
          <cell r="J529">
            <v>1275</v>
          </cell>
          <cell r="K529">
            <v>1025</v>
          </cell>
          <cell r="L529">
            <v>255</v>
          </cell>
          <cell r="M529">
            <v>260</v>
          </cell>
          <cell r="N529">
            <v>175</v>
          </cell>
          <cell r="O529">
            <v>45</v>
          </cell>
          <cell r="P529">
            <v>25</v>
          </cell>
          <cell r="Q529">
            <v>15</v>
          </cell>
          <cell r="R529">
            <v>260</v>
          </cell>
          <cell r="S529">
            <v>200</v>
          </cell>
          <cell r="T529">
            <v>55</v>
          </cell>
          <cell r="U529">
            <v>20</v>
          </cell>
          <cell r="V529">
            <v>35</v>
          </cell>
          <cell r="W529">
            <v>30</v>
          </cell>
          <cell r="X529">
            <v>0</v>
          </cell>
          <cell r="Y529">
            <v>0</v>
          </cell>
          <cell r="Z529">
            <v>140</v>
          </cell>
          <cell r="AA529">
            <v>105</v>
          </cell>
          <cell r="AB529">
            <v>35</v>
          </cell>
          <cell r="AC529">
            <v>15</v>
          </cell>
          <cell r="AD529">
            <v>10</v>
          </cell>
          <cell r="AE529">
            <v>15</v>
          </cell>
          <cell r="AF529">
            <v>65</v>
          </cell>
          <cell r="AG529">
            <v>50</v>
          </cell>
          <cell r="AH529">
            <v>35</v>
          </cell>
          <cell r="AI529">
            <v>0</v>
          </cell>
          <cell r="AJ529">
            <v>10</v>
          </cell>
          <cell r="AK529">
            <v>10</v>
          </cell>
          <cell r="AL529">
            <v>15</v>
          </cell>
          <cell r="AM529">
            <v>0</v>
          </cell>
          <cell r="AN529">
            <v>0</v>
          </cell>
          <cell r="AO529">
            <v>205</v>
          </cell>
          <cell r="AP529">
            <v>50</v>
          </cell>
          <cell r="AQ529">
            <v>40</v>
          </cell>
          <cell r="AR529">
            <v>30</v>
          </cell>
          <cell r="AS529">
            <v>40</v>
          </cell>
          <cell r="AT529">
            <v>45</v>
          </cell>
          <cell r="AU529">
            <v>0.8</v>
          </cell>
          <cell r="AV529">
            <v>1340</v>
          </cell>
          <cell r="AW529">
            <v>680</v>
          </cell>
          <cell r="AX529">
            <v>25</v>
          </cell>
          <cell r="AY529">
            <v>150</v>
          </cell>
          <cell r="AZ529">
            <v>505</v>
          </cell>
          <cell r="BA529">
            <v>660</v>
          </cell>
          <cell r="BB529">
            <v>2.5</v>
          </cell>
          <cell r="BC529">
            <v>115</v>
          </cell>
          <cell r="BD529">
            <v>85</v>
          </cell>
          <cell r="BE529">
            <v>0</v>
          </cell>
          <cell r="BF529">
            <v>0</v>
          </cell>
          <cell r="BG529">
            <v>85</v>
          </cell>
          <cell r="BH529">
            <v>30</v>
          </cell>
          <cell r="BI529">
            <v>850</v>
          </cell>
          <cell r="BJ529">
            <v>3.8</v>
          </cell>
          <cell r="BK529">
            <v>3230</v>
          </cell>
          <cell r="BL529">
            <v>1.4</v>
          </cell>
          <cell r="BM529">
            <v>1190</v>
          </cell>
          <cell r="BN529">
            <v>850</v>
          </cell>
          <cell r="BO529">
            <v>165</v>
          </cell>
          <cell r="BP529">
            <v>685</v>
          </cell>
          <cell r="BQ529">
            <v>0</v>
          </cell>
          <cell r="BR529">
            <v>850</v>
          </cell>
          <cell r="BS529">
            <v>470</v>
          </cell>
          <cell r="BT529">
            <v>270</v>
          </cell>
          <cell r="BU529">
            <v>105</v>
          </cell>
          <cell r="BV529">
            <v>850</v>
          </cell>
          <cell r="BW529">
            <v>310</v>
          </cell>
          <cell r="BX529">
            <v>155</v>
          </cell>
          <cell r="BY529">
            <v>110</v>
          </cell>
          <cell r="BZ529">
            <v>55</v>
          </cell>
          <cell r="CA529">
            <v>70</v>
          </cell>
          <cell r="CB529">
            <v>55</v>
          </cell>
          <cell r="CC529">
            <v>35</v>
          </cell>
          <cell r="CD529">
            <v>25</v>
          </cell>
          <cell r="CE529">
            <v>20</v>
          </cell>
          <cell r="CF529">
            <v>855</v>
          </cell>
          <cell r="CG529">
            <v>5</v>
          </cell>
          <cell r="CH529">
            <v>0</v>
          </cell>
          <cell r="CI529">
            <v>5</v>
          </cell>
          <cell r="CJ529">
            <v>5</v>
          </cell>
          <cell r="CK529">
            <v>130</v>
          </cell>
          <cell r="CL529">
            <v>665</v>
          </cell>
          <cell r="CM529">
            <v>40</v>
          </cell>
          <cell r="CN529">
            <v>0</v>
          </cell>
          <cell r="CO529">
            <v>850</v>
          </cell>
          <cell r="CP529">
            <v>505</v>
          </cell>
          <cell r="CQ529">
            <v>260</v>
          </cell>
          <cell r="CR529">
            <v>55</v>
          </cell>
          <cell r="CS529">
            <v>30</v>
          </cell>
          <cell r="CT529">
            <v>5</v>
          </cell>
          <cell r="CU529">
            <v>1340</v>
          </cell>
          <cell r="CV529">
            <v>1.6</v>
          </cell>
          <cell r="CW529">
            <v>850</v>
          </cell>
          <cell r="CX529">
            <v>260</v>
          </cell>
          <cell r="CY529">
            <v>0</v>
          </cell>
          <cell r="CZ529">
            <v>590</v>
          </cell>
        </row>
        <row r="530">
          <cell r="A530" t="str">
            <v>4620050.00</v>
          </cell>
          <cell r="B530" t="str">
            <v>0050.00</v>
          </cell>
          <cell r="C530" t="str">
            <v>Ville-Marie</v>
          </cell>
          <cell r="D530">
            <v>1220</v>
          </cell>
          <cell r="E530">
            <v>810</v>
          </cell>
          <cell r="F530">
            <v>180</v>
          </cell>
          <cell r="G530">
            <v>30</v>
          </cell>
          <cell r="H530">
            <v>125</v>
          </cell>
          <cell r="I530">
            <v>75</v>
          </cell>
          <cell r="J530">
            <v>1220</v>
          </cell>
          <cell r="K530">
            <v>1020</v>
          </cell>
          <cell r="L530">
            <v>200</v>
          </cell>
          <cell r="M530">
            <v>260</v>
          </cell>
          <cell r="N530">
            <v>150</v>
          </cell>
          <cell r="O530">
            <v>75</v>
          </cell>
          <cell r="P530">
            <v>20</v>
          </cell>
          <cell r="Q530">
            <v>15</v>
          </cell>
          <cell r="R530">
            <v>265</v>
          </cell>
          <cell r="S530">
            <v>190</v>
          </cell>
          <cell r="T530">
            <v>90</v>
          </cell>
          <cell r="U530">
            <v>15</v>
          </cell>
          <cell r="V530">
            <v>75</v>
          </cell>
          <cell r="W530">
            <v>40</v>
          </cell>
          <cell r="X530">
            <v>20</v>
          </cell>
          <cell r="Y530">
            <v>10</v>
          </cell>
          <cell r="Z530">
            <v>100</v>
          </cell>
          <cell r="AA530">
            <v>85</v>
          </cell>
          <cell r="AB530">
            <v>15</v>
          </cell>
          <cell r="AC530">
            <v>20</v>
          </cell>
          <cell r="AD530">
            <v>0</v>
          </cell>
          <cell r="AE530">
            <v>0</v>
          </cell>
          <cell r="AF530">
            <v>70</v>
          </cell>
          <cell r="AG530">
            <v>60</v>
          </cell>
          <cell r="AH530">
            <v>40</v>
          </cell>
          <cell r="AI530">
            <v>15</v>
          </cell>
          <cell r="AJ530">
            <v>0</v>
          </cell>
          <cell r="AK530">
            <v>10</v>
          </cell>
          <cell r="AL530">
            <v>10</v>
          </cell>
          <cell r="AM530">
            <v>0</v>
          </cell>
          <cell r="AN530">
            <v>0</v>
          </cell>
          <cell r="AO530">
            <v>240</v>
          </cell>
          <cell r="AP530">
            <v>65</v>
          </cell>
          <cell r="AQ530">
            <v>65</v>
          </cell>
          <cell r="AR530">
            <v>15</v>
          </cell>
          <cell r="AS530">
            <v>70</v>
          </cell>
          <cell r="AT530">
            <v>20</v>
          </cell>
          <cell r="AU530">
            <v>0.9</v>
          </cell>
          <cell r="AV530">
            <v>1275</v>
          </cell>
          <cell r="AW530">
            <v>580</v>
          </cell>
          <cell r="AX530">
            <v>35</v>
          </cell>
          <cell r="AY530">
            <v>165</v>
          </cell>
          <cell r="AZ530">
            <v>375</v>
          </cell>
          <cell r="BA530">
            <v>690</v>
          </cell>
          <cell r="BB530">
            <v>2.6</v>
          </cell>
          <cell r="BC530">
            <v>105</v>
          </cell>
          <cell r="BD530">
            <v>95</v>
          </cell>
          <cell r="BE530">
            <v>10</v>
          </cell>
          <cell r="BF530">
            <v>10</v>
          </cell>
          <cell r="BG530">
            <v>75</v>
          </cell>
          <cell r="BH530">
            <v>15</v>
          </cell>
          <cell r="BI530">
            <v>725</v>
          </cell>
          <cell r="BJ530">
            <v>3.8</v>
          </cell>
          <cell r="BK530">
            <v>2755</v>
          </cell>
          <cell r="BL530">
            <v>1.4</v>
          </cell>
          <cell r="BM530">
            <v>1014.9999999999999</v>
          </cell>
          <cell r="BN530">
            <v>725</v>
          </cell>
          <cell r="BO530">
            <v>100</v>
          </cell>
          <cell r="BP530">
            <v>625</v>
          </cell>
          <cell r="BQ530">
            <v>0</v>
          </cell>
          <cell r="BR530">
            <v>730</v>
          </cell>
          <cell r="BS530">
            <v>470</v>
          </cell>
          <cell r="BT530">
            <v>165</v>
          </cell>
          <cell r="BU530">
            <v>90</v>
          </cell>
          <cell r="BV530">
            <v>725</v>
          </cell>
          <cell r="BW530">
            <v>210</v>
          </cell>
          <cell r="BX530">
            <v>95</v>
          </cell>
          <cell r="BY530">
            <v>135</v>
          </cell>
          <cell r="BZ530">
            <v>160</v>
          </cell>
          <cell r="CA530">
            <v>35</v>
          </cell>
          <cell r="CB530">
            <v>60</v>
          </cell>
          <cell r="CC530">
            <v>10</v>
          </cell>
          <cell r="CD530">
            <v>20</v>
          </cell>
          <cell r="CE530">
            <v>0</v>
          </cell>
          <cell r="CF530">
            <v>725</v>
          </cell>
          <cell r="CG530">
            <v>0</v>
          </cell>
          <cell r="CH530">
            <v>5</v>
          </cell>
          <cell r="CI530">
            <v>0</v>
          </cell>
          <cell r="CJ530">
            <v>10</v>
          </cell>
          <cell r="CK530">
            <v>230</v>
          </cell>
          <cell r="CL530">
            <v>470</v>
          </cell>
          <cell r="CM530">
            <v>10</v>
          </cell>
          <cell r="CN530">
            <v>0</v>
          </cell>
          <cell r="CO530">
            <v>725</v>
          </cell>
          <cell r="CP530">
            <v>390</v>
          </cell>
          <cell r="CQ530">
            <v>210</v>
          </cell>
          <cell r="CR530">
            <v>75</v>
          </cell>
          <cell r="CS530">
            <v>45</v>
          </cell>
          <cell r="CT530">
            <v>5</v>
          </cell>
          <cell r="CU530">
            <v>1270</v>
          </cell>
          <cell r="CV530">
            <v>1.8</v>
          </cell>
          <cell r="CW530">
            <v>725</v>
          </cell>
          <cell r="CX530">
            <v>260</v>
          </cell>
          <cell r="CY530">
            <v>0</v>
          </cell>
          <cell r="CZ530">
            <v>465</v>
          </cell>
        </row>
        <row r="531">
          <cell r="A531" t="str">
            <v>4620051.00</v>
          </cell>
          <cell r="B531" t="str">
            <v>0051.00</v>
          </cell>
          <cell r="C531" t="str">
            <v>Ville-Marie</v>
          </cell>
          <cell r="D531">
            <v>1450</v>
          </cell>
          <cell r="E531">
            <v>1125</v>
          </cell>
          <cell r="F531">
            <v>150</v>
          </cell>
          <cell r="G531">
            <v>35</v>
          </cell>
          <cell r="H531">
            <v>110</v>
          </cell>
          <cell r="I531">
            <v>25</v>
          </cell>
          <cell r="J531">
            <v>1450</v>
          </cell>
          <cell r="K531">
            <v>1135</v>
          </cell>
          <cell r="L531">
            <v>315</v>
          </cell>
          <cell r="M531">
            <v>255</v>
          </cell>
          <cell r="N531">
            <v>170</v>
          </cell>
          <cell r="O531">
            <v>35</v>
          </cell>
          <cell r="P531">
            <v>40</v>
          </cell>
          <cell r="Q531">
            <v>15</v>
          </cell>
          <cell r="R531">
            <v>255</v>
          </cell>
          <cell r="S531">
            <v>220</v>
          </cell>
          <cell r="T531">
            <v>70</v>
          </cell>
          <cell r="U531">
            <v>40</v>
          </cell>
          <cell r="V531">
            <v>35</v>
          </cell>
          <cell r="W531">
            <v>0</v>
          </cell>
          <cell r="X531">
            <v>25</v>
          </cell>
          <cell r="Y531">
            <v>0</v>
          </cell>
          <cell r="Z531">
            <v>150</v>
          </cell>
          <cell r="AA531">
            <v>100</v>
          </cell>
          <cell r="AB531">
            <v>55</v>
          </cell>
          <cell r="AC531">
            <v>30</v>
          </cell>
          <cell r="AD531">
            <v>20</v>
          </cell>
          <cell r="AE531">
            <v>0</v>
          </cell>
          <cell r="AF531">
            <v>30</v>
          </cell>
          <cell r="AG531">
            <v>20</v>
          </cell>
          <cell r="AH531">
            <v>25</v>
          </cell>
          <cell r="AI531">
            <v>0</v>
          </cell>
          <cell r="AJ531">
            <v>0</v>
          </cell>
          <cell r="AK531">
            <v>10</v>
          </cell>
          <cell r="AL531">
            <v>0</v>
          </cell>
          <cell r="AM531">
            <v>0</v>
          </cell>
          <cell r="AN531">
            <v>0</v>
          </cell>
          <cell r="AO531">
            <v>180</v>
          </cell>
          <cell r="AP531">
            <v>50</v>
          </cell>
          <cell r="AQ531">
            <v>45</v>
          </cell>
          <cell r="AR531">
            <v>20</v>
          </cell>
          <cell r="AS531">
            <v>20</v>
          </cell>
          <cell r="AT531">
            <v>35</v>
          </cell>
          <cell r="AU531">
            <v>0.7</v>
          </cell>
          <cell r="AV531">
            <v>1375</v>
          </cell>
          <cell r="AW531">
            <v>715</v>
          </cell>
          <cell r="AX531">
            <v>45</v>
          </cell>
          <cell r="AY531">
            <v>185</v>
          </cell>
          <cell r="AZ531">
            <v>485</v>
          </cell>
          <cell r="BA531">
            <v>655</v>
          </cell>
          <cell r="BB531">
            <v>2.6</v>
          </cell>
          <cell r="BC531">
            <v>65</v>
          </cell>
          <cell r="BD531">
            <v>50</v>
          </cell>
          <cell r="BE531">
            <v>0</v>
          </cell>
          <cell r="BF531">
            <v>0</v>
          </cell>
          <cell r="BG531">
            <v>50</v>
          </cell>
          <cell r="BH531">
            <v>15</v>
          </cell>
          <cell r="BI531">
            <v>825</v>
          </cell>
          <cell r="BJ531">
            <v>3.9</v>
          </cell>
          <cell r="BK531">
            <v>3217.5</v>
          </cell>
          <cell r="BL531">
            <v>1.4</v>
          </cell>
          <cell r="BM531">
            <v>1155</v>
          </cell>
          <cell r="BN531">
            <v>825</v>
          </cell>
          <cell r="BO531">
            <v>205</v>
          </cell>
          <cell r="BP531">
            <v>620</v>
          </cell>
          <cell r="BQ531">
            <v>0</v>
          </cell>
          <cell r="BR531">
            <v>825</v>
          </cell>
          <cell r="BS531">
            <v>455</v>
          </cell>
          <cell r="BT531">
            <v>295</v>
          </cell>
          <cell r="BU531">
            <v>75</v>
          </cell>
          <cell r="BV531">
            <v>830</v>
          </cell>
          <cell r="BW531">
            <v>410</v>
          </cell>
          <cell r="BX531">
            <v>105</v>
          </cell>
          <cell r="BY531">
            <v>135</v>
          </cell>
          <cell r="BZ531">
            <v>45</v>
          </cell>
          <cell r="CA531">
            <v>65</v>
          </cell>
          <cell r="CB531">
            <v>20</v>
          </cell>
          <cell r="CC531">
            <v>10</v>
          </cell>
          <cell r="CD531">
            <v>15</v>
          </cell>
          <cell r="CE531">
            <v>15</v>
          </cell>
          <cell r="CF531">
            <v>830</v>
          </cell>
          <cell r="CG531">
            <v>0</v>
          </cell>
          <cell r="CH531">
            <v>0</v>
          </cell>
          <cell r="CI531">
            <v>0</v>
          </cell>
          <cell r="CJ531">
            <v>5</v>
          </cell>
          <cell r="CK531">
            <v>65</v>
          </cell>
          <cell r="CL531">
            <v>755</v>
          </cell>
          <cell r="CM531">
            <v>0</v>
          </cell>
          <cell r="CN531">
            <v>0</v>
          </cell>
          <cell r="CO531">
            <v>830</v>
          </cell>
          <cell r="CP531">
            <v>470</v>
          </cell>
          <cell r="CQ531">
            <v>245</v>
          </cell>
          <cell r="CR531">
            <v>55</v>
          </cell>
          <cell r="CS531">
            <v>50</v>
          </cell>
          <cell r="CT531">
            <v>5</v>
          </cell>
          <cell r="CU531">
            <v>1375</v>
          </cell>
          <cell r="CV531">
            <v>1.7</v>
          </cell>
          <cell r="CW531">
            <v>825</v>
          </cell>
          <cell r="CX531">
            <v>245</v>
          </cell>
          <cell r="CY531">
            <v>0</v>
          </cell>
          <cell r="CZ531">
            <v>575</v>
          </cell>
        </row>
        <row r="532">
          <cell r="A532" t="str">
            <v>4620052.00</v>
          </cell>
          <cell r="B532" t="str">
            <v>0052.00</v>
          </cell>
          <cell r="C532" t="str">
            <v>Ville-Marie</v>
          </cell>
          <cell r="D532">
            <v>1830</v>
          </cell>
          <cell r="E532">
            <v>1260</v>
          </cell>
          <cell r="F532">
            <v>250</v>
          </cell>
          <cell r="G532">
            <v>45</v>
          </cell>
          <cell r="H532">
            <v>185</v>
          </cell>
          <cell r="I532">
            <v>90</v>
          </cell>
          <cell r="J532">
            <v>1835</v>
          </cell>
          <cell r="K532">
            <v>1575</v>
          </cell>
          <cell r="L532">
            <v>260</v>
          </cell>
          <cell r="M532">
            <v>335</v>
          </cell>
          <cell r="N532">
            <v>235</v>
          </cell>
          <cell r="O532">
            <v>40</v>
          </cell>
          <cell r="P532">
            <v>40</v>
          </cell>
          <cell r="Q532">
            <v>20</v>
          </cell>
          <cell r="R532">
            <v>330</v>
          </cell>
          <cell r="S532">
            <v>285</v>
          </cell>
          <cell r="T532">
            <v>130</v>
          </cell>
          <cell r="U532">
            <v>60</v>
          </cell>
          <cell r="V532">
            <v>65</v>
          </cell>
          <cell r="W532">
            <v>35</v>
          </cell>
          <cell r="X532">
            <v>10</v>
          </cell>
          <cell r="Y532">
            <v>20</v>
          </cell>
          <cell r="Z532">
            <v>155</v>
          </cell>
          <cell r="AA532">
            <v>130</v>
          </cell>
          <cell r="AB532">
            <v>25</v>
          </cell>
          <cell r="AC532">
            <v>0</v>
          </cell>
          <cell r="AD532">
            <v>25</v>
          </cell>
          <cell r="AE532">
            <v>0</v>
          </cell>
          <cell r="AF532">
            <v>55</v>
          </cell>
          <cell r="AG532">
            <v>55</v>
          </cell>
          <cell r="AH532">
            <v>45</v>
          </cell>
          <cell r="AI532">
            <v>0</v>
          </cell>
          <cell r="AJ532">
            <v>10</v>
          </cell>
          <cell r="AK532">
            <v>0</v>
          </cell>
          <cell r="AL532">
            <v>0</v>
          </cell>
          <cell r="AM532">
            <v>0</v>
          </cell>
          <cell r="AN532">
            <v>0</v>
          </cell>
          <cell r="AO532">
            <v>240</v>
          </cell>
          <cell r="AP532">
            <v>65</v>
          </cell>
          <cell r="AQ532">
            <v>50</v>
          </cell>
          <cell r="AR532">
            <v>35</v>
          </cell>
          <cell r="AS532">
            <v>55</v>
          </cell>
          <cell r="AT532">
            <v>30</v>
          </cell>
          <cell r="AU532">
            <v>0.7</v>
          </cell>
          <cell r="AV532">
            <v>1810</v>
          </cell>
          <cell r="AW532">
            <v>950</v>
          </cell>
          <cell r="AX532">
            <v>35</v>
          </cell>
          <cell r="AY532">
            <v>320</v>
          </cell>
          <cell r="AZ532">
            <v>590</v>
          </cell>
          <cell r="BA532">
            <v>860</v>
          </cell>
          <cell r="BB532">
            <v>2.6</v>
          </cell>
          <cell r="BC532">
            <v>260</v>
          </cell>
          <cell r="BD532">
            <v>180</v>
          </cell>
          <cell r="BE532">
            <v>0</v>
          </cell>
          <cell r="BF532">
            <v>0</v>
          </cell>
          <cell r="BG532">
            <v>180</v>
          </cell>
          <cell r="BH532">
            <v>80</v>
          </cell>
          <cell r="BI532">
            <v>1070</v>
          </cell>
          <cell r="BJ532">
            <v>3.8</v>
          </cell>
          <cell r="BK532">
            <v>4066</v>
          </cell>
          <cell r="BL532">
            <v>1.6</v>
          </cell>
          <cell r="BM532">
            <v>1712</v>
          </cell>
          <cell r="BN532">
            <v>1070</v>
          </cell>
          <cell r="BO532">
            <v>145</v>
          </cell>
          <cell r="BP532">
            <v>925</v>
          </cell>
          <cell r="BQ532">
            <v>0</v>
          </cell>
          <cell r="BR532">
            <v>1070</v>
          </cell>
          <cell r="BS532">
            <v>660</v>
          </cell>
          <cell r="BT532">
            <v>310</v>
          </cell>
          <cell r="BU532">
            <v>100</v>
          </cell>
          <cell r="BV532">
            <v>1070</v>
          </cell>
          <cell r="BW532">
            <v>305</v>
          </cell>
          <cell r="BX532">
            <v>100</v>
          </cell>
          <cell r="BY532">
            <v>230</v>
          </cell>
          <cell r="BZ532">
            <v>240</v>
          </cell>
          <cell r="CA532">
            <v>40</v>
          </cell>
          <cell r="CB532">
            <v>55</v>
          </cell>
          <cell r="CC532">
            <v>65</v>
          </cell>
          <cell r="CD532">
            <v>10</v>
          </cell>
          <cell r="CE532">
            <v>15</v>
          </cell>
          <cell r="CF532">
            <v>1070</v>
          </cell>
          <cell r="CG532">
            <v>0</v>
          </cell>
          <cell r="CH532">
            <v>0</v>
          </cell>
          <cell r="CI532">
            <v>20</v>
          </cell>
          <cell r="CJ532">
            <v>20</v>
          </cell>
          <cell r="CK532">
            <v>410</v>
          </cell>
          <cell r="CL532">
            <v>615</v>
          </cell>
          <cell r="CM532">
            <v>0</v>
          </cell>
          <cell r="CN532">
            <v>0</v>
          </cell>
          <cell r="CO532">
            <v>1070</v>
          </cell>
          <cell r="CP532">
            <v>615</v>
          </cell>
          <cell r="CQ532">
            <v>295</v>
          </cell>
          <cell r="CR532">
            <v>85</v>
          </cell>
          <cell r="CS532">
            <v>65</v>
          </cell>
          <cell r="CT532">
            <v>10</v>
          </cell>
          <cell r="CU532">
            <v>1810</v>
          </cell>
          <cell r="CV532">
            <v>1.7</v>
          </cell>
          <cell r="CW532">
            <v>1070</v>
          </cell>
          <cell r="CX532">
            <v>335</v>
          </cell>
          <cell r="CY532">
            <v>0</v>
          </cell>
          <cell r="CZ532">
            <v>735</v>
          </cell>
        </row>
        <row r="533">
          <cell r="A533" t="str">
            <v>4620053.00</v>
          </cell>
          <cell r="B533" t="str">
            <v>0053.00</v>
          </cell>
          <cell r="C533" t="str">
            <v>Ville-Marie</v>
          </cell>
          <cell r="D533">
            <v>725</v>
          </cell>
          <cell r="E533">
            <v>425</v>
          </cell>
          <cell r="F533">
            <v>75</v>
          </cell>
          <cell r="G533">
            <v>20</v>
          </cell>
          <cell r="H533">
            <v>80</v>
          </cell>
          <cell r="I533">
            <v>125</v>
          </cell>
          <cell r="J533">
            <v>725</v>
          </cell>
          <cell r="K533">
            <v>650</v>
          </cell>
          <cell r="L533">
            <v>75</v>
          </cell>
          <cell r="M533">
            <v>80</v>
          </cell>
          <cell r="N533">
            <v>80</v>
          </cell>
          <cell r="O533">
            <v>0</v>
          </cell>
          <cell r="P533">
            <v>0</v>
          </cell>
          <cell r="Q533">
            <v>0</v>
          </cell>
          <cell r="R533">
            <v>80</v>
          </cell>
          <cell r="S533">
            <v>50</v>
          </cell>
          <cell r="T533">
            <v>30</v>
          </cell>
          <cell r="U533">
            <v>25</v>
          </cell>
          <cell r="V533">
            <v>0</v>
          </cell>
          <cell r="W533">
            <v>0</v>
          </cell>
          <cell r="X533">
            <v>0</v>
          </cell>
          <cell r="Y533">
            <v>0</v>
          </cell>
          <cell r="Z533">
            <v>20</v>
          </cell>
          <cell r="AA533">
            <v>20</v>
          </cell>
          <cell r="AB533">
            <v>0</v>
          </cell>
          <cell r="AC533">
            <v>0</v>
          </cell>
          <cell r="AD533">
            <v>0</v>
          </cell>
          <cell r="AE533">
            <v>0</v>
          </cell>
          <cell r="AF533">
            <v>35</v>
          </cell>
          <cell r="AG533">
            <v>30</v>
          </cell>
          <cell r="AH533">
            <v>30</v>
          </cell>
          <cell r="AI533">
            <v>0</v>
          </cell>
          <cell r="AJ533">
            <v>0</v>
          </cell>
          <cell r="AK533">
            <v>0</v>
          </cell>
          <cell r="AL533">
            <v>0</v>
          </cell>
          <cell r="AM533">
            <v>0</v>
          </cell>
          <cell r="AN533">
            <v>0</v>
          </cell>
          <cell r="AO533">
            <v>30</v>
          </cell>
          <cell r="AP533">
            <v>15</v>
          </cell>
          <cell r="AQ533">
            <v>0</v>
          </cell>
          <cell r="AR533">
            <v>0</v>
          </cell>
          <cell r="AS533">
            <v>0</v>
          </cell>
          <cell r="AT533">
            <v>20</v>
          </cell>
          <cell r="AU533">
            <v>0.4</v>
          </cell>
          <cell r="AV533">
            <v>685</v>
          </cell>
          <cell r="AW533">
            <v>520</v>
          </cell>
          <cell r="AX533">
            <v>10</v>
          </cell>
          <cell r="AY533">
            <v>115</v>
          </cell>
          <cell r="AZ533">
            <v>395</v>
          </cell>
          <cell r="BA533">
            <v>170</v>
          </cell>
          <cell r="BB533">
            <v>2.1</v>
          </cell>
          <cell r="BC533">
            <v>295</v>
          </cell>
          <cell r="BD533">
            <v>250</v>
          </cell>
          <cell r="BE533">
            <v>10</v>
          </cell>
          <cell r="BF533">
            <v>25</v>
          </cell>
          <cell r="BG533">
            <v>220</v>
          </cell>
          <cell r="BH533">
            <v>45</v>
          </cell>
          <cell r="BI533">
            <v>520</v>
          </cell>
          <cell r="BJ533">
            <v>3.2</v>
          </cell>
          <cell r="BK533">
            <v>1664</v>
          </cell>
          <cell r="BL533">
            <v>1.1000000000000001</v>
          </cell>
          <cell r="BM533">
            <v>572</v>
          </cell>
          <cell r="BN533">
            <v>520</v>
          </cell>
          <cell r="BO533">
            <v>85</v>
          </cell>
          <cell r="BP533">
            <v>435</v>
          </cell>
          <cell r="BQ533">
            <v>0</v>
          </cell>
          <cell r="BR533">
            <v>520</v>
          </cell>
          <cell r="BS533">
            <v>400</v>
          </cell>
          <cell r="BT533">
            <v>95</v>
          </cell>
          <cell r="BU533">
            <v>20</v>
          </cell>
          <cell r="BV533">
            <v>520</v>
          </cell>
          <cell r="BW533">
            <v>100</v>
          </cell>
          <cell r="BX533">
            <v>25</v>
          </cell>
          <cell r="BY533">
            <v>45</v>
          </cell>
          <cell r="BZ533">
            <v>150</v>
          </cell>
          <cell r="CA533">
            <v>25</v>
          </cell>
          <cell r="CB533">
            <v>25</v>
          </cell>
          <cell r="CC533">
            <v>105</v>
          </cell>
          <cell r="CD533">
            <v>40</v>
          </cell>
          <cell r="CE533">
            <v>0</v>
          </cell>
          <cell r="CF533">
            <v>525</v>
          </cell>
          <cell r="CG533">
            <v>0</v>
          </cell>
          <cell r="CH533">
            <v>0</v>
          </cell>
          <cell r="CI533">
            <v>0</v>
          </cell>
          <cell r="CJ533">
            <v>0</v>
          </cell>
          <cell r="CK533">
            <v>300</v>
          </cell>
          <cell r="CL533">
            <v>220</v>
          </cell>
          <cell r="CM533">
            <v>0</v>
          </cell>
          <cell r="CN533">
            <v>0</v>
          </cell>
          <cell r="CO533">
            <v>520</v>
          </cell>
          <cell r="CP533">
            <v>390</v>
          </cell>
          <cell r="CQ533">
            <v>110</v>
          </cell>
          <cell r="CR533">
            <v>15</v>
          </cell>
          <cell r="CS533">
            <v>10</v>
          </cell>
          <cell r="CT533">
            <v>0</v>
          </cell>
          <cell r="CU533">
            <v>690</v>
          </cell>
          <cell r="CV533">
            <v>1.3</v>
          </cell>
          <cell r="CW533">
            <v>520</v>
          </cell>
          <cell r="CX533">
            <v>50</v>
          </cell>
          <cell r="CY533">
            <v>15</v>
          </cell>
          <cell r="CZ533">
            <v>455</v>
          </cell>
        </row>
        <row r="534">
          <cell r="A534" t="str">
            <v>4620054.00</v>
          </cell>
          <cell r="B534" t="str">
            <v>0054.00</v>
          </cell>
          <cell r="C534" t="str">
            <v>Ville-Marie</v>
          </cell>
          <cell r="D534">
            <v>1345</v>
          </cell>
          <cell r="E534">
            <v>910</v>
          </cell>
          <cell r="F534">
            <v>205</v>
          </cell>
          <cell r="G534">
            <v>35</v>
          </cell>
          <cell r="H534">
            <v>140</v>
          </cell>
          <cell r="I534">
            <v>60</v>
          </cell>
          <cell r="J534">
            <v>1350</v>
          </cell>
          <cell r="K534">
            <v>1150</v>
          </cell>
          <cell r="L534">
            <v>195</v>
          </cell>
          <cell r="M534" t="str">
            <v>-</v>
          </cell>
          <cell r="N534" t="str">
            <v>-</v>
          </cell>
          <cell r="O534" t="str">
            <v>-</v>
          </cell>
          <cell r="P534" t="str">
            <v>-</v>
          </cell>
          <cell r="Q534" t="str">
            <v>-</v>
          </cell>
          <cell r="R534" t="str">
            <v>-</v>
          </cell>
          <cell r="S534" t="str">
            <v>-</v>
          </cell>
          <cell r="T534" t="str">
            <v>-</v>
          </cell>
          <cell r="U534" t="str">
            <v>-</v>
          </cell>
          <cell r="V534" t="str">
            <v>-</v>
          </cell>
          <cell r="W534" t="str">
            <v>-</v>
          </cell>
          <cell r="X534" t="str">
            <v>-</v>
          </cell>
          <cell r="Y534" t="str">
            <v>-</v>
          </cell>
          <cell r="Z534" t="str">
            <v>-</v>
          </cell>
          <cell r="AA534" t="str">
            <v>-</v>
          </cell>
          <cell r="AB534" t="str">
            <v>-</v>
          </cell>
          <cell r="AC534" t="str">
            <v>-</v>
          </cell>
          <cell r="AD534" t="str">
            <v>-</v>
          </cell>
          <cell r="AE534" t="str">
            <v>-</v>
          </cell>
          <cell r="AF534" t="str">
            <v>-</v>
          </cell>
          <cell r="AG534" t="str">
            <v>-</v>
          </cell>
          <cell r="AH534" t="str">
            <v>-</v>
          </cell>
          <cell r="AI534" t="str">
            <v>-</v>
          </cell>
          <cell r="AJ534" t="str">
            <v>-</v>
          </cell>
          <cell r="AK534" t="str">
            <v>-</v>
          </cell>
          <cell r="AL534" t="str">
            <v>-</v>
          </cell>
          <cell r="AM534" t="str">
            <v>-</v>
          </cell>
          <cell r="AN534" t="str">
            <v>-</v>
          </cell>
          <cell r="AO534" t="str">
            <v>-</v>
          </cell>
          <cell r="AP534" t="str">
            <v>-</v>
          </cell>
          <cell r="AQ534" t="str">
            <v>-</v>
          </cell>
          <cell r="AR534" t="str">
            <v>-</v>
          </cell>
          <cell r="AS534" t="str">
            <v>-</v>
          </cell>
          <cell r="AT534" t="str">
            <v>-</v>
          </cell>
          <cell r="AU534" t="str">
            <v>-</v>
          </cell>
          <cell r="AV534" t="str">
            <v>-</v>
          </cell>
          <cell r="AW534" t="str">
            <v>-</v>
          </cell>
          <cell r="AX534" t="str">
            <v>-</v>
          </cell>
          <cell r="AY534" t="str">
            <v>-</v>
          </cell>
          <cell r="AZ534" t="str">
            <v>-</v>
          </cell>
          <cell r="BA534" t="str">
            <v>-</v>
          </cell>
          <cell r="BB534" t="str">
            <v>-</v>
          </cell>
          <cell r="BC534" t="str">
            <v>-</v>
          </cell>
          <cell r="BD534" t="str">
            <v>-</v>
          </cell>
          <cell r="BE534" t="str">
            <v>-</v>
          </cell>
          <cell r="BF534" t="str">
            <v>-</v>
          </cell>
          <cell r="BG534" t="str">
            <v>-</v>
          </cell>
          <cell r="BH534" t="str">
            <v>-</v>
          </cell>
          <cell r="BI534" t="str">
            <v>-</v>
          </cell>
          <cell r="BJ534" t="str">
            <v>-</v>
          </cell>
          <cell r="BK534" t="e">
            <v>#VALUE!</v>
          </cell>
          <cell r="BL534" t="str">
            <v>-</v>
          </cell>
          <cell r="BM534" t="e">
            <v>#VALUE!</v>
          </cell>
          <cell r="BN534" t="str">
            <v>-</v>
          </cell>
          <cell r="BO534" t="str">
            <v>-</v>
          </cell>
          <cell r="BP534" t="str">
            <v>-</v>
          </cell>
          <cell r="BQ534" t="str">
            <v>-</v>
          </cell>
          <cell r="BR534" t="str">
            <v>-</v>
          </cell>
          <cell r="BS534" t="str">
            <v>-</v>
          </cell>
          <cell r="BT534" t="str">
            <v>-</v>
          </cell>
          <cell r="BU534" t="str">
            <v>-</v>
          </cell>
          <cell r="BV534" t="str">
            <v>-</v>
          </cell>
          <cell r="BW534" t="str">
            <v>-</v>
          </cell>
          <cell r="BX534" t="str">
            <v>-</v>
          </cell>
          <cell r="BY534" t="str">
            <v>-</v>
          </cell>
          <cell r="BZ534" t="str">
            <v>-</v>
          </cell>
          <cell r="CA534" t="str">
            <v>-</v>
          </cell>
          <cell r="CB534" t="str">
            <v>-</v>
          </cell>
          <cell r="CC534" t="str">
            <v>-</v>
          </cell>
          <cell r="CD534" t="str">
            <v>-</v>
          </cell>
          <cell r="CE534" t="str">
            <v>-</v>
          </cell>
          <cell r="CF534">
            <v>555</v>
          </cell>
          <cell r="CG534">
            <v>0</v>
          </cell>
          <cell r="CH534">
            <v>0</v>
          </cell>
          <cell r="CI534">
            <v>0</v>
          </cell>
          <cell r="CJ534">
            <v>5</v>
          </cell>
          <cell r="CK534">
            <v>125</v>
          </cell>
          <cell r="CL534">
            <v>430</v>
          </cell>
          <cell r="CM534">
            <v>0</v>
          </cell>
          <cell r="CN534">
            <v>0</v>
          </cell>
          <cell r="CO534">
            <v>555</v>
          </cell>
          <cell r="CP534">
            <v>340</v>
          </cell>
          <cell r="CQ534">
            <v>160</v>
          </cell>
          <cell r="CR534">
            <v>40</v>
          </cell>
          <cell r="CS534">
            <v>15</v>
          </cell>
          <cell r="CT534">
            <v>5</v>
          </cell>
          <cell r="CU534">
            <v>860</v>
          </cell>
          <cell r="CV534">
            <v>1.5</v>
          </cell>
          <cell r="CW534" t="str">
            <v>-</v>
          </cell>
          <cell r="CX534" t="str">
            <v>-</v>
          </cell>
          <cell r="CY534" t="str">
            <v>-</v>
          </cell>
          <cell r="CZ534" t="str">
            <v>-</v>
          </cell>
        </row>
        <row r="535">
          <cell r="A535" t="str">
            <v>4620055.01</v>
          </cell>
          <cell r="B535" t="str">
            <v>0055.01</v>
          </cell>
          <cell r="C535" t="str">
            <v>Ville-Marie</v>
          </cell>
          <cell r="D535">
            <v>3420</v>
          </cell>
          <cell r="E535">
            <v>1790</v>
          </cell>
          <cell r="F535">
            <v>1015</v>
          </cell>
          <cell r="G535">
            <v>100</v>
          </cell>
          <cell r="H535">
            <v>440</v>
          </cell>
          <cell r="I535">
            <v>70</v>
          </cell>
          <cell r="J535">
            <v>3420</v>
          </cell>
          <cell r="K535">
            <v>2690</v>
          </cell>
          <cell r="L535">
            <v>730</v>
          </cell>
          <cell r="M535">
            <v>955</v>
          </cell>
          <cell r="N535">
            <v>695</v>
          </cell>
          <cell r="O535">
            <v>135</v>
          </cell>
          <cell r="P535">
            <v>110</v>
          </cell>
          <cell r="Q535">
            <v>15</v>
          </cell>
          <cell r="R535">
            <v>955</v>
          </cell>
          <cell r="S535">
            <v>845</v>
          </cell>
          <cell r="T535">
            <v>480</v>
          </cell>
          <cell r="U535">
            <v>325</v>
          </cell>
          <cell r="V535">
            <v>155</v>
          </cell>
          <cell r="W535">
            <v>85</v>
          </cell>
          <cell r="X535">
            <v>50</v>
          </cell>
          <cell r="Y535">
            <v>15</v>
          </cell>
          <cell r="Z535">
            <v>360</v>
          </cell>
          <cell r="AA535">
            <v>285</v>
          </cell>
          <cell r="AB535">
            <v>75</v>
          </cell>
          <cell r="AC535">
            <v>30</v>
          </cell>
          <cell r="AD535">
            <v>50</v>
          </cell>
          <cell r="AE535">
            <v>0</v>
          </cell>
          <cell r="AF535">
            <v>110</v>
          </cell>
          <cell r="AG535">
            <v>95</v>
          </cell>
          <cell r="AH535">
            <v>75</v>
          </cell>
          <cell r="AI535">
            <v>20</v>
          </cell>
          <cell r="AJ535">
            <v>0</v>
          </cell>
          <cell r="AK535">
            <v>15</v>
          </cell>
          <cell r="AL535">
            <v>10</v>
          </cell>
          <cell r="AM535">
            <v>0</v>
          </cell>
          <cell r="AN535">
            <v>10</v>
          </cell>
          <cell r="AO535">
            <v>520</v>
          </cell>
          <cell r="AP535">
            <v>155</v>
          </cell>
          <cell r="AQ535">
            <v>145</v>
          </cell>
          <cell r="AR535">
            <v>80</v>
          </cell>
          <cell r="AS535">
            <v>90</v>
          </cell>
          <cell r="AT535">
            <v>50</v>
          </cell>
          <cell r="AU535">
            <v>0.5</v>
          </cell>
          <cell r="AV535">
            <v>3535</v>
          </cell>
          <cell r="AW535">
            <v>1220</v>
          </cell>
          <cell r="AX535">
            <v>45</v>
          </cell>
          <cell r="AY535">
            <v>145</v>
          </cell>
          <cell r="AZ535">
            <v>1025</v>
          </cell>
          <cell r="BA535">
            <v>2320</v>
          </cell>
          <cell r="BB535">
            <v>2.4</v>
          </cell>
          <cell r="BC535">
            <v>305</v>
          </cell>
          <cell r="BD535">
            <v>125</v>
          </cell>
          <cell r="BE535">
            <v>0</v>
          </cell>
          <cell r="BF535">
            <v>0</v>
          </cell>
          <cell r="BG535">
            <v>125</v>
          </cell>
          <cell r="BH535">
            <v>180</v>
          </cell>
          <cell r="BI535">
            <v>2065</v>
          </cell>
          <cell r="BJ535">
            <v>3.9</v>
          </cell>
          <cell r="BK535">
            <v>8053.5</v>
          </cell>
          <cell r="BL535">
            <v>1.4</v>
          </cell>
          <cell r="BM535">
            <v>2891</v>
          </cell>
          <cell r="BN535">
            <v>2065</v>
          </cell>
          <cell r="BO535">
            <v>1170</v>
          </cell>
          <cell r="BP535">
            <v>895</v>
          </cell>
          <cell r="BQ535">
            <v>0</v>
          </cell>
          <cell r="BR535">
            <v>2065</v>
          </cell>
          <cell r="BS535">
            <v>1645</v>
          </cell>
          <cell r="BT535">
            <v>350</v>
          </cell>
          <cell r="BU535">
            <v>65</v>
          </cell>
          <cell r="BV535">
            <v>2065</v>
          </cell>
          <cell r="BW535">
            <v>855</v>
          </cell>
          <cell r="BX535">
            <v>15</v>
          </cell>
          <cell r="BY535">
            <v>25</v>
          </cell>
          <cell r="BZ535">
            <v>85</v>
          </cell>
          <cell r="CA535">
            <v>105</v>
          </cell>
          <cell r="CB535">
            <v>60</v>
          </cell>
          <cell r="CC535">
            <v>195</v>
          </cell>
          <cell r="CD535">
            <v>235</v>
          </cell>
          <cell r="CE535">
            <v>490</v>
          </cell>
          <cell r="CF535">
            <v>2065</v>
          </cell>
          <cell r="CG535">
            <v>0</v>
          </cell>
          <cell r="CH535">
            <v>0</v>
          </cell>
          <cell r="CI535">
            <v>5</v>
          </cell>
          <cell r="CJ535">
            <v>5</v>
          </cell>
          <cell r="CK535">
            <v>845</v>
          </cell>
          <cell r="CL535">
            <v>1205</v>
          </cell>
          <cell r="CM535">
            <v>0</v>
          </cell>
          <cell r="CN535">
            <v>0</v>
          </cell>
          <cell r="CO535">
            <v>2065</v>
          </cell>
          <cell r="CP535">
            <v>1025</v>
          </cell>
          <cell r="CQ535">
            <v>760</v>
          </cell>
          <cell r="CR535">
            <v>160</v>
          </cell>
          <cell r="CS535">
            <v>110</v>
          </cell>
          <cell r="CT535">
            <v>10</v>
          </cell>
          <cell r="CU535">
            <v>3535</v>
          </cell>
          <cell r="CV535">
            <v>1.7</v>
          </cell>
          <cell r="CW535">
            <v>2065</v>
          </cell>
          <cell r="CX535">
            <v>955</v>
          </cell>
          <cell r="CY535">
            <v>0</v>
          </cell>
          <cell r="CZ535">
            <v>1110</v>
          </cell>
        </row>
        <row r="536">
          <cell r="A536" t="str">
            <v>4620055.02</v>
          </cell>
          <cell r="B536" t="str">
            <v>0055.02</v>
          </cell>
          <cell r="C536" t="str">
            <v>Ville-Marie</v>
          </cell>
          <cell r="D536">
            <v>555</v>
          </cell>
          <cell r="E536">
            <v>175</v>
          </cell>
          <cell r="F536">
            <v>255</v>
          </cell>
          <cell r="G536">
            <v>15</v>
          </cell>
          <cell r="H536">
            <v>90</v>
          </cell>
          <cell r="I536">
            <v>25</v>
          </cell>
          <cell r="J536">
            <v>560</v>
          </cell>
          <cell r="K536">
            <v>425</v>
          </cell>
          <cell r="L536">
            <v>135</v>
          </cell>
          <cell r="M536">
            <v>175</v>
          </cell>
          <cell r="N536">
            <v>140</v>
          </cell>
          <cell r="O536">
            <v>20</v>
          </cell>
          <cell r="P536">
            <v>15</v>
          </cell>
          <cell r="Q536">
            <v>0</v>
          </cell>
          <cell r="R536">
            <v>180</v>
          </cell>
          <cell r="S536">
            <v>180</v>
          </cell>
          <cell r="T536">
            <v>125</v>
          </cell>
          <cell r="U536">
            <v>85</v>
          </cell>
          <cell r="V536">
            <v>35</v>
          </cell>
          <cell r="W536">
            <v>20</v>
          </cell>
          <cell r="X536">
            <v>15</v>
          </cell>
          <cell r="Y536">
            <v>0</v>
          </cell>
          <cell r="Z536">
            <v>55</v>
          </cell>
          <cell r="AA536">
            <v>55</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55</v>
          </cell>
          <cell r="AP536">
            <v>0</v>
          </cell>
          <cell r="AQ536">
            <v>15</v>
          </cell>
          <cell r="AR536">
            <v>0</v>
          </cell>
          <cell r="AS536">
            <v>0</v>
          </cell>
          <cell r="AT536">
            <v>40</v>
          </cell>
          <cell r="AU536">
            <v>0.3</v>
          </cell>
          <cell r="AV536">
            <v>540</v>
          </cell>
          <cell r="AW536">
            <v>130</v>
          </cell>
          <cell r="AX536">
            <v>0</v>
          </cell>
          <cell r="AY536">
            <v>30</v>
          </cell>
          <cell r="AZ536">
            <v>95</v>
          </cell>
          <cell r="BA536">
            <v>415</v>
          </cell>
          <cell r="BB536">
            <v>2.2999999999999998</v>
          </cell>
          <cell r="BC536">
            <v>120</v>
          </cell>
          <cell r="BD536">
            <v>35</v>
          </cell>
          <cell r="BE536">
            <v>0</v>
          </cell>
          <cell r="BF536">
            <v>0</v>
          </cell>
          <cell r="BG536">
            <v>35</v>
          </cell>
          <cell r="BH536">
            <v>80</v>
          </cell>
          <cell r="BI536">
            <v>290</v>
          </cell>
          <cell r="BJ536">
            <v>5.2</v>
          </cell>
          <cell r="BK536">
            <v>1508</v>
          </cell>
          <cell r="BL536">
            <v>1.9</v>
          </cell>
          <cell r="BM536">
            <v>551</v>
          </cell>
          <cell r="BN536">
            <v>290</v>
          </cell>
          <cell r="BO536">
            <v>265</v>
          </cell>
          <cell r="BP536">
            <v>25</v>
          </cell>
          <cell r="BQ536">
            <v>0</v>
          </cell>
          <cell r="BR536">
            <v>290</v>
          </cell>
          <cell r="BS536">
            <v>210</v>
          </cell>
          <cell r="BT536">
            <v>80</v>
          </cell>
          <cell r="BU536">
            <v>0</v>
          </cell>
          <cell r="BV536">
            <v>290</v>
          </cell>
          <cell r="BW536">
            <v>15</v>
          </cell>
          <cell r="BX536">
            <v>0</v>
          </cell>
          <cell r="BY536">
            <v>130</v>
          </cell>
          <cell r="BZ536">
            <v>10</v>
          </cell>
          <cell r="CA536">
            <v>0</v>
          </cell>
          <cell r="CB536">
            <v>70</v>
          </cell>
          <cell r="CC536">
            <v>10</v>
          </cell>
          <cell r="CD536">
            <v>15</v>
          </cell>
          <cell r="CE536">
            <v>45</v>
          </cell>
          <cell r="CF536">
            <v>290</v>
          </cell>
          <cell r="CG536">
            <v>0</v>
          </cell>
          <cell r="CH536">
            <v>0</v>
          </cell>
          <cell r="CI536">
            <v>0</v>
          </cell>
          <cell r="CJ536">
            <v>0</v>
          </cell>
          <cell r="CK536">
            <v>290</v>
          </cell>
          <cell r="CL536">
            <v>0</v>
          </cell>
          <cell r="CM536">
            <v>0</v>
          </cell>
          <cell r="CN536">
            <v>0</v>
          </cell>
          <cell r="CO536">
            <v>295</v>
          </cell>
          <cell r="CP536">
            <v>95</v>
          </cell>
          <cell r="CQ536">
            <v>155</v>
          </cell>
          <cell r="CR536">
            <v>30</v>
          </cell>
          <cell r="CS536">
            <v>15</v>
          </cell>
          <cell r="CT536">
            <v>0</v>
          </cell>
          <cell r="CU536">
            <v>540</v>
          </cell>
          <cell r="CV536">
            <v>1.9</v>
          </cell>
          <cell r="CW536">
            <v>290</v>
          </cell>
          <cell r="CX536">
            <v>180</v>
          </cell>
          <cell r="CY536">
            <v>0</v>
          </cell>
          <cell r="CZ536">
            <v>115</v>
          </cell>
        </row>
        <row r="537">
          <cell r="A537" t="str">
            <v>4620056.00</v>
          </cell>
          <cell r="B537" t="str">
            <v>0056.00</v>
          </cell>
          <cell r="C537" t="str">
            <v>Ville-Marie</v>
          </cell>
          <cell r="D537">
            <v>1410</v>
          </cell>
          <cell r="E537">
            <v>630</v>
          </cell>
          <cell r="F537">
            <v>385</v>
          </cell>
          <cell r="G537">
            <v>50</v>
          </cell>
          <cell r="H537">
            <v>205</v>
          </cell>
          <cell r="I537">
            <v>130</v>
          </cell>
          <cell r="J537">
            <v>1405</v>
          </cell>
          <cell r="K537">
            <v>1320</v>
          </cell>
          <cell r="L537">
            <v>90</v>
          </cell>
          <cell r="M537">
            <v>250</v>
          </cell>
          <cell r="N537">
            <v>185</v>
          </cell>
          <cell r="O537">
            <v>15</v>
          </cell>
          <cell r="P537">
            <v>40</v>
          </cell>
          <cell r="Q537">
            <v>10</v>
          </cell>
          <cell r="R537">
            <v>250</v>
          </cell>
          <cell r="S537">
            <v>220</v>
          </cell>
          <cell r="T537">
            <v>180</v>
          </cell>
          <cell r="U537">
            <v>120</v>
          </cell>
          <cell r="V537">
            <v>65</v>
          </cell>
          <cell r="W537">
            <v>15</v>
          </cell>
          <cell r="X537">
            <v>40</v>
          </cell>
          <cell r="Y537">
            <v>10</v>
          </cell>
          <cell r="Z537">
            <v>35</v>
          </cell>
          <cell r="AA537">
            <v>35</v>
          </cell>
          <cell r="AB537">
            <v>0</v>
          </cell>
          <cell r="AC537">
            <v>0</v>
          </cell>
          <cell r="AD537">
            <v>0</v>
          </cell>
          <cell r="AE537">
            <v>0</v>
          </cell>
          <cell r="AF537">
            <v>30</v>
          </cell>
          <cell r="AG537">
            <v>25</v>
          </cell>
          <cell r="AH537">
            <v>25</v>
          </cell>
          <cell r="AI537">
            <v>0</v>
          </cell>
          <cell r="AJ537">
            <v>0</v>
          </cell>
          <cell r="AK537">
            <v>0</v>
          </cell>
          <cell r="AL537">
            <v>0</v>
          </cell>
          <cell r="AM537">
            <v>0</v>
          </cell>
          <cell r="AN537">
            <v>0</v>
          </cell>
          <cell r="AO537">
            <v>165</v>
          </cell>
          <cell r="AP537">
            <v>35</v>
          </cell>
          <cell r="AQ537">
            <v>30</v>
          </cell>
          <cell r="AR537">
            <v>15</v>
          </cell>
          <cell r="AS537">
            <v>50</v>
          </cell>
          <cell r="AT537">
            <v>40</v>
          </cell>
          <cell r="AU537">
            <v>0.7</v>
          </cell>
          <cell r="AV537">
            <v>1080</v>
          </cell>
          <cell r="AW537">
            <v>440</v>
          </cell>
          <cell r="AX537">
            <v>60</v>
          </cell>
          <cell r="AY537">
            <v>65</v>
          </cell>
          <cell r="AZ537">
            <v>310</v>
          </cell>
          <cell r="BA537">
            <v>640</v>
          </cell>
          <cell r="BB537">
            <v>2.5</v>
          </cell>
          <cell r="BC537">
            <v>325</v>
          </cell>
          <cell r="BD537">
            <v>150</v>
          </cell>
          <cell r="BE537">
            <v>15</v>
          </cell>
          <cell r="BF537">
            <v>10</v>
          </cell>
          <cell r="BG537">
            <v>120</v>
          </cell>
          <cell r="BH537">
            <v>175</v>
          </cell>
          <cell r="BI537">
            <v>620</v>
          </cell>
          <cell r="BJ537">
            <v>3.7</v>
          </cell>
          <cell r="BK537">
            <v>2294</v>
          </cell>
          <cell r="BL537">
            <v>1.5</v>
          </cell>
          <cell r="BM537">
            <v>930</v>
          </cell>
          <cell r="BN537">
            <v>615</v>
          </cell>
          <cell r="BO537">
            <v>95</v>
          </cell>
          <cell r="BP537">
            <v>520</v>
          </cell>
          <cell r="BQ537">
            <v>0</v>
          </cell>
          <cell r="BR537">
            <v>615</v>
          </cell>
          <cell r="BS537">
            <v>470</v>
          </cell>
          <cell r="BT537">
            <v>95</v>
          </cell>
          <cell r="BU537">
            <v>50</v>
          </cell>
          <cell r="BV537">
            <v>615</v>
          </cell>
          <cell r="BW537">
            <v>100</v>
          </cell>
          <cell r="BX537">
            <v>15</v>
          </cell>
          <cell r="BY537">
            <v>70</v>
          </cell>
          <cell r="BZ537">
            <v>110</v>
          </cell>
          <cell r="CA537">
            <v>140</v>
          </cell>
          <cell r="CB537">
            <v>75</v>
          </cell>
          <cell r="CC537">
            <v>15</v>
          </cell>
          <cell r="CD537">
            <v>10</v>
          </cell>
          <cell r="CE537">
            <v>70</v>
          </cell>
          <cell r="CF537">
            <v>615</v>
          </cell>
          <cell r="CG537">
            <v>0</v>
          </cell>
          <cell r="CH537">
            <v>0</v>
          </cell>
          <cell r="CI537">
            <v>20</v>
          </cell>
          <cell r="CJ537">
            <v>0</v>
          </cell>
          <cell r="CK537">
            <v>430</v>
          </cell>
          <cell r="CL537">
            <v>165</v>
          </cell>
          <cell r="CM537">
            <v>0</v>
          </cell>
          <cell r="CN537">
            <v>5</v>
          </cell>
          <cell r="CO537">
            <v>615</v>
          </cell>
          <cell r="CP537">
            <v>325</v>
          </cell>
          <cell r="CQ537">
            <v>190</v>
          </cell>
          <cell r="CR537">
            <v>50</v>
          </cell>
          <cell r="CS537">
            <v>40</v>
          </cell>
          <cell r="CT537">
            <v>10</v>
          </cell>
          <cell r="CU537">
            <v>1085</v>
          </cell>
          <cell r="CV537">
            <v>1.8</v>
          </cell>
          <cell r="CW537">
            <v>620</v>
          </cell>
          <cell r="CX537">
            <v>250</v>
          </cell>
          <cell r="CY537">
            <v>0</v>
          </cell>
          <cell r="CZ537">
            <v>365</v>
          </cell>
        </row>
        <row r="538">
          <cell r="A538" t="str">
            <v>4620058.00</v>
          </cell>
          <cell r="B538" t="str">
            <v>0058.00</v>
          </cell>
          <cell r="C538" t="str">
            <v>Ville-Marie</v>
          </cell>
          <cell r="D538">
            <v>915</v>
          </cell>
          <cell r="E538">
            <v>530</v>
          </cell>
          <cell r="F538">
            <v>185</v>
          </cell>
          <cell r="G538">
            <v>20</v>
          </cell>
          <cell r="H538">
            <v>110</v>
          </cell>
          <cell r="I538">
            <v>60</v>
          </cell>
          <cell r="J538">
            <v>915</v>
          </cell>
          <cell r="K538">
            <v>800</v>
          </cell>
          <cell r="L538">
            <v>115</v>
          </cell>
          <cell r="M538">
            <v>155</v>
          </cell>
          <cell r="N538">
            <v>120</v>
          </cell>
          <cell r="O538">
            <v>15</v>
          </cell>
          <cell r="P538">
            <v>10</v>
          </cell>
          <cell r="Q538">
            <v>0</v>
          </cell>
          <cell r="R538">
            <v>155</v>
          </cell>
          <cell r="S538">
            <v>130</v>
          </cell>
          <cell r="T538">
            <v>70</v>
          </cell>
          <cell r="U538">
            <v>60</v>
          </cell>
          <cell r="V538">
            <v>10</v>
          </cell>
          <cell r="W538">
            <v>0</v>
          </cell>
          <cell r="X538">
            <v>10</v>
          </cell>
          <cell r="Y538">
            <v>0</v>
          </cell>
          <cell r="Z538">
            <v>55</v>
          </cell>
          <cell r="AA538">
            <v>35</v>
          </cell>
          <cell r="AB538">
            <v>15</v>
          </cell>
          <cell r="AC538">
            <v>15</v>
          </cell>
          <cell r="AD538">
            <v>0</v>
          </cell>
          <cell r="AE538">
            <v>0</v>
          </cell>
          <cell r="AF538">
            <v>25</v>
          </cell>
          <cell r="AG538">
            <v>15</v>
          </cell>
          <cell r="AH538">
            <v>15</v>
          </cell>
          <cell r="AI538">
            <v>0</v>
          </cell>
          <cell r="AJ538">
            <v>0</v>
          </cell>
          <cell r="AK538">
            <v>10</v>
          </cell>
          <cell r="AL538">
            <v>10</v>
          </cell>
          <cell r="AM538">
            <v>0</v>
          </cell>
          <cell r="AN538">
            <v>0</v>
          </cell>
          <cell r="AO538">
            <v>70</v>
          </cell>
          <cell r="AP538">
            <v>30</v>
          </cell>
          <cell r="AQ538">
            <v>15</v>
          </cell>
          <cell r="AR538">
            <v>0</v>
          </cell>
          <cell r="AS538">
            <v>10</v>
          </cell>
          <cell r="AT538">
            <v>10</v>
          </cell>
          <cell r="AU538">
            <v>0.4</v>
          </cell>
          <cell r="AV538">
            <v>880</v>
          </cell>
          <cell r="AW538">
            <v>535</v>
          </cell>
          <cell r="AX538">
            <v>35</v>
          </cell>
          <cell r="AY538">
            <v>100</v>
          </cell>
          <cell r="AZ538">
            <v>400</v>
          </cell>
          <cell r="BA538">
            <v>345</v>
          </cell>
          <cell r="BB538">
            <v>2.2000000000000002</v>
          </cell>
          <cell r="BC538">
            <v>165</v>
          </cell>
          <cell r="BD538">
            <v>115</v>
          </cell>
          <cell r="BE538">
            <v>0</v>
          </cell>
          <cell r="BF538">
            <v>0</v>
          </cell>
          <cell r="BG538">
            <v>105</v>
          </cell>
          <cell r="BH538">
            <v>55</v>
          </cell>
          <cell r="BI538">
            <v>595</v>
          </cell>
          <cell r="BJ538">
            <v>3.4</v>
          </cell>
          <cell r="BK538">
            <v>2023</v>
          </cell>
          <cell r="BL538">
            <v>1.2</v>
          </cell>
          <cell r="BM538">
            <v>714</v>
          </cell>
          <cell r="BN538">
            <v>595</v>
          </cell>
          <cell r="BO538">
            <v>120</v>
          </cell>
          <cell r="BP538">
            <v>475</v>
          </cell>
          <cell r="BQ538">
            <v>0</v>
          </cell>
          <cell r="BR538">
            <v>595</v>
          </cell>
          <cell r="BS538">
            <v>440</v>
          </cell>
          <cell r="BT538">
            <v>85</v>
          </cell>
          <cell r="BU538">
            <v>65</v>
          </cell>
          <cell r="BV538">
            <v>595</v>
          </cell>
          <cell r="BW538">
            <v>110</v>
          </cell>
          <cell r="BX538">
            <v>50</v>
          </cell>
          <cell r="BY538">
            <v>75</v>
          </cell>
          <cell r="BZ538">
            <v>205</v>
          </cell>
          <cell r="CA538">
            <v>20</v>
          </cell>
          <cell r="CB538">
            <v>30</v>
          </cell>
          <cell r="CC538">
            <v>20</v>
          </cell>
          <cell r="CD538">
            <v>45</v>
          </cell>
          <cell r="CE538">
            <v>40</v>
          </cell>
          <cell r="CF538">
            <v>600</v>
          </cell>
          <cell r="CG538">
            <v>0</v>
          </cell>
          <cell r="CH538">
            <v>0</v>
          </cell>
          <cell r="CI538">
            <v>0</v>
          </cell>
          <cell r="CJ538">
            <v>10</v>
          </cell>
          <cell r="CK538">
            <v>300</v>
          </cell>
          <cell r="CL538">
            <v>290</v>
          </cell>
          <cell r="CM538">
            <v>0</v>
          </cell>
          <cell r="CN538">
            <v>0</v>
          </cell>
          <cell r="CO538">
            <v>600</v>
          </cell>
          <cell r="CP538">
            <v>395</v>
          </cell>
          <cell r="CQ538">
            <v>145</v>
          </cell>
          <cell r="CR538">
            <v>40</v>
          </cell>
          <cell r="CS538">
            <v>15</v>
          </cell>
          <cell r="CT538">
            <v>5</v>
          </cell>
          <cell r="CU538">
            <v>890</v>
          </cell>
          <cell r="CV538">
            <v>1.5</v>
          </cell>
          <cell r="CW538">
            <v>595</v>
          </cell>
          <cell r="CX538">
            <v>145</v>
          </cell>
          <cell r="CY538">
            <v>10</v>
          </cell>
          <cell r="CZ538">
            <v>445</v>
          </cell>
        </row>
        <row r="539">
          <cell r="A539" t="str">
            <v>4620059.00</v>
          </cell>
          <cell r="B539" t="str">
            <v>0059.00</v>
          </cell>
          <cell r="C539" t="str">
            <v>Ville-Marie</v>
          </cell>
          <cell r="D539">
            <v>1250</v>
          </cell>
          <cell r="E539">
            <v>815</v>
          </cell>
          <cell r="F539">
            <v>245</v>
          </cell>
          <cell r="G539">
            <v>30</v>
          </cell>
          <cell r="H539">
            <v>130</v>
          </cell>
          <cell r="I539">
            <v>40</v>
          </cell>
          <cell r="J539">
            <v>1250</v>
          </cell>
          <cell r="K539">
            <v>1025</v>
          </cell>
          <cell r="L539">
            <v>220</v>
          </cell>
          <cell r="M539">
            <v>260</v>
          </cell>
          <cell r="N539">
            <v>205</v>
          </cell>
          <cell r="O539">
            <v>25</v>
          </cell>
          <cell r="P539">
            <v>30</v>
          </cell>
          <cell r="Q539">
            <v>0</v>
          </cell>
          <cell r="R539">
            <v>265</v>
          </cell>
          <cell r="S539">
            <v>230</v>
          </cell>
          <cell r="T539">
            <v>125</v>
          </cell>
          <cell r="U539">
            <v>80</v>
          </cell>
          <cell r="V539">
            <v>45</v>
          </cell>
          <cell r="W539">
            <v>20</v>
          </cell>
          <cell r="X539">
            <v>20</v>
          </cell>
          <cell r="Y539">
            <v>0</v>
          </cell>
          <cell r="Z539">
            <v>110</v>
          </cell>
          <cell r="AA539">
            <v>100</v>
          </cell>
          <cell r="AB539">
            <v>10</v>
          </cell>
          <cell r="AC539">
            <v>0</v>
          </cell>
          <cell r="AD539">
            <v>10</v>
          </cell>
          <cell r="AE539">
            <v>0</v>
          </cell>
          <cell r="AF539">
            <v>30</v>
          </cell>
          <cell r="AG539">
            <v>30</v>
          </cell>
          <cell r="AH539">
            <v>20</v>
          </cell>
          <cell r="AI539">
            <v>10</v>
          </cell>
          <cell r="AJ539">
            <v>0</v>
          </cell>
          <cell r="AK539">
            <v>0</v>
          </cell>
          <cell r="AL539">
            <v>0</v>
          </cell>
          <cell r="AM539">
            <v>0</v>
          </cell>
          <cell r="AN539">
            <v>0</v>
          </cell>
          <cell r="AO539">
            <v>115</v>
          </cell>
          <cell r="AP539">
            <v>40</v>
          </cell>
          <cell r="AQ539">
            <v>15</v>
          </cell>
          <cell r="AR539">
            <v>10</v>
          </cell>
          <cell r="AS539">
            <v>25</v>
          </cell>
          <cell r="AT539">
            <v>25</v>
          </cell>
          <cell r="AU539">
            <v>0.4</v>
          </cell>
          <cell r="AV539">
            <v>1295</v>
          </cell>
          <cell r="AW539">
            <v>685</v>
          </cell>
          <cell r="AX539">
            <v>0</v>
          </cell>
          <cell r="AY539">
            <v>315</v>
          </cell>
          <cell r="AZ539">
            <v>370</v>
          </cell>
          <cell r="BA539">
            <v>615</v>
          </cell>
          <cell r="BB539">
            <v>2.4</v>
          </cell>
          <cell r="BC539">
            <v>75</v>
          </cell>
          <cell r="BD539">
            <v>50</v>
          </cell>
          <cell r="BE539">
            <v>0</v>
          </cell>
          <cell r="BF539">
            <v>15</v>
          </cell>
          <cell r="BG539">
            <v>35</v>
          </cell>
          <cell r="BH539">
            <v>20</v>
          </cell>
          <cell r="BI539">
            <v>755</v>
          </cell>
          <cell r="BJ539">
            <v>4</v>
          </cell>
          <cell r="BK539">
            <v>3020</v>
          </cell>
          <cell r="BL539">
            <v>1.5</v>
          </cell>
          <cell r="BM539">
            <v>1132.5</v>
          </cell>
          <cell r="BN539">
            <v>750</v>
          </cell>
          <cell r="BO539">
            <v>235</v>
          </cell>
          <cell r="BP539">
            <v>515</v>
          </cell>
          <cell r="BQ539">
            <v>0</v>
          </cell>
          <cell r="BR539">
            <v>755</v>
          </cell>
          <cell r="BS539">
            <v>455</v>
          </cell>
          <cell r="BT539">
            <v>220</v>
          </cell>
          <cell r="BU539">
            <v>75</v>
          </cell>
          <cell r="BV539">
            <v>750</v>
          </cell>
          <cell r="BW539">
            <v>340</v>
          </cell>
          <cell r="BX539">
            <v>75</v>
          </cell>
          <cell r="BY539">
            <v>30</v>
          </cell>
          <cell r="BZ539">
            <v>20</v>
          </cell>
          <cell r="CA539">
            <v>30</v>
          </cell>
          <cell r="CB539">
            <v>60</v>
          </cell>
          <cell r="CC539">
            <v>80</v>
          </cell>
          <cell r="CD539">
            <v>55</v>
          </cell>
          <cell r="CE539">
            <v>55</v>
          </cell>
          <cell r="CF539">
            <v>755</v>
          </cell>
          <cell r="CG539">
            <v>0</v>
          </cell>
          <cell r="CH539">
            <v>0</v>
          </cell>
          <cell r="CI539">
            <v>5</v>
          </cell>
          <cell r="CJ539">
            <v>0</v>
          </cell>
          <cell r="CK539">
            <v>260</v>
          </cell>
          <cell r="CL539">
            <v>485</v>
          </cell>
          <cell r="CM539">
            <v>0</v>
          </cell>
          <cell r="CN539">
            <v>0</v>
          </cell>
          <cell r="CO539">
            <v>755</v>
          </cell>
          <cell r="CP539">
            <v>390</v>
          </cell>
          <cell r="CQ539">
            <v>250</v>
          </cell>
          <cell r="CR539">
            <v>70</v>
          </cell>
          <cell r="CS539">
            <v>40</v>
          </cell>
          <cell r="CT539">
            <v>0</v>
          </cell>
          <cell r="CU539">
            <v>1300</v>
          </cell>
          <cell r="CV539">
            <v>1.7</v>
          </cell>
          <cell r="CW539">
            <v>750</v>
          </cell>
          <cell r="CX539">
            <v>260</v>
          </cell>
          <cell r="CY539">
            <v>0</v>
          </cell>
          <cell r="CZ539">
            <v>490</v>
          </cell>
        </row>
        <row r="540">
          <cell r="A540" t="str">
            <v>4620060.00</v>
          </cell>
          <cell r="B540" t="str">
            <v>0060.00</v>
          </cell>
          <cell r="C540" t="str">
            <v>Ville-Marie</v>
          </cell>
          <cell r="D540">
            <v>1295</v>
          </cell>
          <cell r="E540">
            <v>480</v>
          </cell>
          <cell r="F540">
            <v>440</v>
          </cell>
          <cell r="G540">
            <v>35</v>
          </cell>
          <cell r="H540">
            <v>215</v>
          </cell>
          <cell r="I540">
            <v>125</v>
          </cell>
          <cell r="J540">
            <v>1295</v>
          </cell>
          <cell r="K540">
            <v>1260</v>
          </cell>
          <cell r="L540">
            <v>35</v>
          </cell>
          <cell r="M540">
            <v>325</v>
          </cell>
          <cell r="N540">
            <v>100</v>
          </cell>
          <cell r="O540">
            <v>55</v>
          </cell>
          <cell r="P540">
            <v>50</v>
          </cell>
          <cell r="Q540">
            <v>120</v>
          </cell>
          <cell r="R540">
            <v>325</v>
          </cell>
          <cell r="S540">
            <v>210</v>
          </cell>
          <cell r="T540">
            <v>195</v>
          </cell>
          <cell r="U540">
            <v>45</v>
          </cell>
          <cell r="V540">
            <v>150</v>
          </cell>
          <cell r="W540">
            <v>30</v>
          </cell>
          <cell r="X540">
            <v>40</v>
          </cell>
          <cell r="Y540">
            <v>80</v>
          </cell>
          <cell r="Z540">
            <v>15</v>
          </cell>
          <cell r="AA540">
            <v>10</v>
          </cell>
          <cell r="AB540">
            <v>10</v>
          </cell>
          <cell r="AC540">
            <v>0</v>
          </cell>
          <cell r="AD540">
            <v>10</v>
          </cell>
          <cell r="AE540">
            <v>0</v>
          </cell>
          <cell r="AF540">
            <v>110</v>
          </cell>
          <cell r="AG540">
            <v>85</v>
          </cell>
          <cell r="AH540">
            <v>45</v>
          </cell>
          <cell r="AI540">
            <v>10</v>
          </cell>
          <cell r="AJ540">
            <v>40</v>
          </cell>
          <cell r="AK540">
            <v>25</v>
          </cell>
          <cell r="AL540">
            <v>10</v>
          </cell>
          <cell r="AM540">
            <v>15</v>
          </cell>
          <cell r="AN540">
            <v>10</v>
          </cell>
          <cell r="AO540">
            <v>695</v>
          </cell>
          <cell r="AP540">
            <v>145</v>
          </cell>
          <cell r="AQ540">
            <v>315</v>
          </cell>
          <cell r="AR540">
            <v>140</v>
          </cell>
          <cell r="AS540">
            <v>55</v>
          </cell>
          <cell r="AT540">
            <v>40</v>
          </cell>
          <cell r="AU540">
            <v>2.1</v>
          </cell>
          <cell r="AV540">
            <v>1715</v>
          </cell>
          <cell r="AW540">
            <v>480</v>
          </cell>
          <cell r="AX540">
            <v>20</v>
          </cell>
          <cell r="AY540">
            <v>30</v>
          </cell>
          <cell r="AZ540">
            <v>430</v>
          </cell>
          <cell r="BA540">
            <v>1235</v>
          </cell>
          <cell r="BB540">
            <v>3.8</v>
          </cell>
          <cell r="BC540">
            <v>335</v>
          </cell>
          <cell r="BD540">
            <v>225</v>
          </cell>
          <cell r="BE540">
            <v>0</v>
          </cell>
          <cell r="BF540">
            <v>20</v>
          </cell>
          <cell r="BG540">
            <v>205</v>
          </cell>
          <cell r="BH540">
            <v>115</v>
          </cell>
          <cell r="BI540">
            <v>775</v>
          </cell>
          <cell r="BJ540">
            <v>3.8</v>
          </cell>
          <cell r="BK540">
            <v>2945</v>
          </cell>
          <cell r="BL540">
            <v>1.6</v>
          </cell>
          <cell r="BM540">
            <v>1240</v>
          </cell>
          <cell r="BN540">
            <v>780</v>
          </cell>
          <cell r="BO540">
            <v>0</v>
          </cell>
          <cell r="BP540">
            <v>770</v>
          </cell>
          <cell r="BQ540">
            <v>0</v>
          </cell>
          <cell r="BR540">
            <v>775</v>
          </cell>
          <cell r="BS540">
            <v>605</v>
          </cell>
          <cell r="BT540">
            <v>145</v>
          </cell>
          <cell r="BU540">
            <v>30</v>
          </cell>
          <cell r="BV540">
            <v>775</v>
          </cell>
          <cell r="BW540">
            <v>60</v>
          </cell>
          <cell r="BX540">
            <v>370</v>
          </cell>
          <cell r="BY540">
            <v>190</v>
          </cell>
          <cell r="BZ540">
            <v>100</v>
          </cell>
          <cell r="CA540">
            <v>25</v>
          </cell>
          <cell r="CB540">
            <v>10</v>
          </cell>
          <cell r="CC540">
            <v>10</v>
          </cell>
          <cell r="CD540">
            <v>0</v>
          </cell>
          <cell r="CE540">
            <v>15</v>
          </cell>
          <cell r="CF540">
            <v>780</v>
          </cell>
          <cell r="CG540">
            <v>0</v>
          </cell>
          <cell r="CH540">
            <v>0</v>
          </cell>
          <cell r="CI540">
            <v>45</v>
          </cell>
          <cell r="CJ540">
            <v>0</v>
          </cell>
          <cell r="CK540">
            <v>525</v>
          </cell>
          <cell r="CL540">
            <v>205</v>
          </cell>
          <cell r="CM540">
            <v>0</v>
          </cell>
          <cell r="CN540">
            <v>0</v>
          </cell>
          <cell r="CO540">
            <v>780</v>
          </cell>
          <cell r="CP540">
            <v>415</v>
          </cell>
          <cell r="CQ540">
            <v>135</v>
          </cell>
          <cell r="CR540">
            <v>60</v>
          </cell>
          <cell r="CS540">
            <v>125</v>
          </cell>
          <cell r="CT540">
            <v>50</v>
          </cell>
          <cell r="CU540">
            <v>1715</v>
          </cell>
          <cell r="CV540">
            <v>2.2000000000000002</v>
          </cell>
          <cell r="CW540">
            <v>775</v>
          </cell>
          <cell r="CX540">
            <v>325</v>
          </cell>
          <cell r="CY540">
            <v>0</v>
          </cell>
          <cell r="CZ540">
            <v>450</v>
          </cell>
        </row>
        <row r="541">
          <cell r="A541" t="str">
            <v>4620061.00</v>
          </cell>
          <cell r="B541" t="str">
            <v>0061.00</v>
          </cell>
          <cell r="C541" t="str">
            <v>Ville-Marie</v>
          </cell>
          <cell r="D541">
            <v>495</v>
          </cell>
          <cell r="E541">
            <v>335</v>
          </cell>
          <cell r="F541">
            <v>100</v>
          </cell>
          <cell r="G541">
            <v>10</v>
          </cell>
          <cell r="H541">
            <v>45</v>
          </cell>
          <cell r="I541">
            <v>5</v>
          </cell>
          <cell r="J541">
            <v>495</v>
          </cell>
          <cell r="K541">
            <v>410</v>
          </cell>
          <cell r="L541">
            <v>85</v>
          </cell>
          <cell r="M541">
            <v>115</v>
          </cell>
          <cell r="N541">
            <v>80</v>
          </cell>
          <cell r="O541">
            <v>25</v>
          </cell>
          <cell r="P541">
            <v>10</v>
          </cell>
          <cell r="Q541">
            <v>0</v>
          </cell>
          <cell r="R541">
            <v>120</v>
          </cell>
          <cell r="S541">
            <v>100</v>
          </cell>
          <cell r="T541">
            <v>60</v>
          </cell>
          <cell r="U541">
            <v>25</v>
          </cell>
          <cell r="V541">
            <v>35</v>
          </cell>
          <cell r="W541">
            <v>25</v>
          </cell>
          <cell r="X541">
            <v>10</v>
          </cell>
          <cell r="Y541">
            <v>0</v>
          </cell>
          <cell r="Z541">
            <v>40</v>
          </cell>
          <cell r="AA541">
            <v>40</v>
          </cell>
          <cell r="AB541">
            <v>0</v>
          </cell>
          <cell r="AC541">
            <v>0</v>
          </cell>
          <cell r="AD541">
            <v>0</v>
          </cell>
          <cell r="AE541">
            <v>0</v>
          </cell>
          <cell r="AF541">
            <v>10</v>
          </cell>
          <cell r="AG541">
            <v>15</v>
          </cell>
          <cell r="AH541">
            <v>15</v>
          </cell>
          <cell r="AI541">
            <v>0</v>
          </cell>
          <cell r="AJ541">
            <v>0</v>
          </cell>
          <cell r="AK541">
            <v>0</v>
          </cell>
          <cell r="AL541">
            <v>0</v>
          </cell>
          <cell r="AM541">
            <v>0</v>
          </cell>
          <cell r="AN541">
            <v>0</v>
          </cell>
          <cell r="AO541">
            <v>55</v>
          </cell>
          <cell r="AP541">
            <v>10</v>
          </cell>
          <cell r="AQ541">
            <v>20</v>
          </cell>
          <cell r="AR541">
            <v>0</v>
          </cell>
          <cell r="AS541">
            <v>15</v>
          </cell>
          <cell r="AT541">
            <v>0</v>
          </cell>
          <cell r="AU541">
            <v>0.5</v>
          </cell>
          <cell r="AV541">
            <v>500</v>
          </cell>
          <cell r="AW541">
            <v>225</v>
          </cell>
          <cell r="AX541">
            <v>0</v>
          </cell>
          <cell r="AY541">
            <v>65</v>
          </cell>
          <cell r="AZ541">
            <v>155</v>
          </cell>
          <cell r="BA541">
            <v>275</v>
          </cell>
          <cell r="BB541">
            <v>2.4</v>
          </cell>
          <cell r="BC541">
            <v>30</v>
          </cell>
          <cell r="BD541">
            <v>25</v>
          </cell>
          <cell r="BE541">
            <v>0</v>
          </cell>
          <cell r="BF541">
            <v>0</v>
          </cell>
          <cell r="BG541">
            <v>20</v>
          </cell>
          <cell r="BH541">
            <v>10</v>
          </cell>
          <cell r="BI541">
            <v>295</v>
          </cell>
          <cell r="BJ541">
            <v>4.0999999999999996</v>
          </cell>
          <cell r="BK541">
            <v>1209.5</v>
          </cell>
          <cell r="BL541">
            <v>1.4</v>
          </cell>
          <cell r="BM541">
            <v>413</v>
          </cell>
          <cell r="BN541">
            <v>295</v>
          </cell>
          <cell r="BO541">
            <v>95</v>
          </cell>
          <cell r="BP541">
            <v>200</v>
          </cell>
          <cell r="BQ541">
            <v>0</v>
          </cell>
          <cell r="BR541">
            <v>295</v>
          </cell>
          <cell r="BS541">
            <v>165</v>
          </cell>
          <cell r="BT541">
            <v>95</v>
          </cell>
          <cell r="BU541">
            <v>35</v>
          </cell>
          <cell r="BV541">
            <v>295</v>
          </cell>
          <cell r="BW541">
            <v>135</v>
          </cell>
          <cell r="BX541">
            <v>10</v>
          </cell>
          <cell r="BY541">
            <v>20</v>
          </cell>
          <cell r="BZ541">
            <v>20</v>
          </cell>
          <cell r="CA541">
            <v>20</v>
          </cell>
          <cell r="CB541">
            <v>40</v>
          </cell>
          <cell r="CC541">
            <v>0</v>
          </cell>
          <cell r="CD541">
            <v>0</v>
          </cell>
          <cell r="CE541">
            <v>45</v>
          </cell>
          <cell r="CF541">
            <v>295</v>
          </cell>
          <cell r="CG541">
            <v>0</v>
          </cell>
          <cell r="CH541">
            <v>0</v>
          </cell>
          <cell r="CI541">
            <v>5</v>
          </cell>
          <cell r="CJ541">
            <v>0</v>
          </cell>
          <cell r="CK541">
            <v>25</v>
          </cell>
          <cell r="CL541">
            <v>270</v>
          </cell>
          <cell r="CM541">
            <v>0</v>
          </cell>
          <cell r="CN541">
            <v>0</v>
          </cell>
          <cell r="CO541">
            <v>295</v>
          </cell>
          <cell r="CP541">
            <v>155</v>
          </cell>
          <cell r="CQ541">
            <v>95</v>
          </cell>
          <cell r="CR541">
            <v>25</v>
          </cell>
          <cell r="CS541">
            <v>15</v>
          </cell>
          <cell r="CT541">
            <v>0</v>
          </cell>
          <cell r="CU541">
            <v>500</v>
          </cell>
          <cell r="CV541">
            <v>1.7</v>
          </cell>
          <cell r="CW541">
            <v>295</v>
          </cell>
          <cell r="CX541">
            <v>115</v>
          </cell>
          <cell r="CY541">
            <v>0</v>
          </cell>
          <cell r="CZ541">
            <v>180</v>
          </cell>
        </row>
        <row r="542">
          <cell r="A542" t="str">
            <v>4620062.00</v>
          </cell>
          <cell r="B542" t="str">
            <v>0062.00</v>
          </cell>
          <cell r="C542" t="str">
            <v>Ville-Marie</v>
          </cell>
          <cell r="D542">
            <v>755</v>
          </cell>
          <cell r="E542">
            <v>550</v>
          </cell>
          <cell r="F542">
            <v>140</v>
          </cell>
          <cell r="G542">
            <v>15</v>
          </cell>
          <cell r="H542">
            <v>45</v>
          </cell>
          <cell r="I542">
            <v>10</v>
          </cell>
          <cell r="J542">
            <v>755</v>
          </cell>
          <cell r="K542">
            <v>670</v>
          </cell>
          <cell r="L542">
            <v>85</v>
          </cell>
          <cell r="M542">
            <v>120</v>
          </cell>
          <cell r="N542">
            <v>80</v>
          </cell>
          <cell r="O542">
            <v>20</v>
          </cell>
          <cell r="P542">
            <v>10</v>
          </cell>
          <cell r="Q542">
            <v>10</v>
          </cell>
          <cell r="R542">
            <v>120</v>
          </cell>
          <cell r="S542">
            <v>120</v>
          </cell>
          <cell r="T542">
            <v>70</v>
          </cell>
          <cell r="U542">
            <v>35</v>
          </cell>
          <cell r="V542">
            <v>35</v>
          </cell>
          <cell r="W542">
            <v>15</v>
          </cell>
          <cell r="X542">
            <v>10</v>
          </cell>
          <cell r="Y542">
            <v>10</v>
          </cell>
          <cell r="Z542">
            <v>45</v>
          </cell>
          <cell r="AA542">
            <v>45</v>
          </cell>
          <cell r="AB542">
            <v>10</v>
          </cell>
          <cell r="AC542">
            <v>0</v>
          </cell>
          <cell r="AD542">
            <v>0</v>
          </cell>
          <cell r="AE542">
            <v>0</v>
          </cell>
          <cell r="AF542">
            <v>0</v>
          </cell>
          <cell r="AG542">
            <v>0</v>
          </cell>
          <cell r="AH542">
            <v>0</v>
          </cell>
          <cell r="AI542">
            <v>0</v>
          </cell>
          <cell r="AJ542">
            <v>0</v>
          </cell>
          <cell r="AK542">
            <v>0</v>
          </cell>
          <cell r="AL542">
            <v>0</v>
          </cell>
          <cell r="AM542">
            <v>0</v>
          </cell>
          <cell r="AN542">
            <v>0</v>
          </cell>
          <cell r="AO542">
            <v>70</v>
          </cell>
          <cell r="AP542">
            <v>0</v>
          </cell>
          <cell r="AQ542">
            <v>0</v>
          </cell>
          <cell r="AR542">
            <v>15</v>
          </cell>
          <cell r="AS542">
            <v>30</v>
          </cell>
          <cell r="AT542">
            <v>20</v>
          </cell>
          <cell r="AU542">
            <v>0.6</v>
          </cell>
          <cell r="AV542">
            <v>510</v>
          </cell>
          <cell r="AW542">
            <v>200</v>
          </cell>
          <cell r="AX542">
            <v>10</v>
          </cell>
          <cell r="AY542">
            <v>35</v>
          </cell>
          <cell r="AZ542">
            <v>155</v>
          </cell>
          <cell r="BA542">
            <v>310</v>
          </cell>
          <cell r="BB542">
            <v>2.6</v>
          </cell>
          <cell r="BC542">
            <v>50</v>
          </cell>
          <cell r="BD542">
            <v>15</v>
          </cell>
          <cell r="BE542">
            <v>0</v>
          </cell>
          <cell r="BF542">
            <v>0</v>
          </cell>
          <cell r="BG542">
            <v>15</v>
          </cell>
          <cell r="BH542">
            <v>35</v>
          </cell>
          <cell r="BI542">
            <v>295</v>
          </cell>
          <cell r="BJ542">
            <v>3.8</v>
          </cell>
          <cell r="BK542">
            <v>1121</v>
          </cell>
          <cell r="BL542">
            <v>1.2</v>
          </cell>
          <cell r="BM542">
            <v>354</v>
          </cell>
          <cell r="BN542">
            <v>290</v>
          </cell>
          <cell r="BO542">
            <v>195</v>
          </cell>
          <cell r="BP542">
            <v>95</v>
          </cell>
          <cell r="BQ542">
            <v>0</v>
          </cell>
          <cell r="BR542">
            <v>290</v>
          </cell>
          <cell r="BS542">
            <v>225</v>
          </cell>
          <cell r="BT542">
            <v>45</v>
          </cell>
          <cell r="BU542">
            <v>20</v>
          </cell>
          <cell r="BV542">
            <v>290</v>
          </cell>
          <cell r="BW542">
            <v>135</v>
          </cell>
          <cell r="BX542">
            <v>20</v>
          </cell>
          <cell r="BY542">
            <v>0</v>
          </cell>
          <cell r="BZ542">
            <v>10</v>
          </cell>
          <cell r="CA542">
            <v>0</v>
          </cell>
          <cell r="CB542">
            <v>30</v>
          </cell>
          <cell r="CC542">
            <v>0</v>
          </cell>
          <cell r="CD542">
            <v>0</v>
          </cell>
          <cell r="CE542">
            <v>90</v>
          </cell>
          <cell r="CF542">
            <v>290</v>
          </cell>
          <cell r="CG542">
            <v>0</v>
          </cell>
          <cell r="CH542">
            <v>0</v>
          </cell>
          <cell r="CI542">
            <v>0</v>
          </cell>
          <cell r="CJ542">
            <v>0</v>
          </cell>
          <cell r="CK542">
            <v>250</v>
          </cell>
          <cell r="CL542">
            <v>5</v>
          </cell>
          <cell r="CM542">
            <v>35</v>
          </cell>
          <cell r="CN542">
            <v>0</v>
          </cell>
          <cell r="CO542">
            <v>295</v>
          </cell>
          <cell r="CP542">
            <v>150</v>
          </cell>
          <cell r="CQ542">
            <v>100</v>
          </cell>
          <cell r="CR542">
            <v>10</v>
          </cell>
          <cell r="CS542">
            <v>25</v>
          </cell>
          <cell r="CT542">
            <v>5</v>
          </cell>
          <cell r="CU542">
            <v>510</v>
          </cell>
          <cell r="CV542">
            <v>1.7</v>
          </cell>
          <cell r="CW542">
            <v>290</v>
          </cell>
          <cell r="CX542">
            <v>120</v>
          </cell>
          <cell r="CY542">
            <v>0</v>
          </cell>
          <cell r="CZ542">
            <v>170</v>
          </cell>
        </row>
        <row r="543">
          <cell r="A543" t="str">
            <v>4620063.00</v>
          </cell>
          <cell r="B543" t="str">
            <v>0063.00</v>
          </cell>
          <cell r="C543" t="str">
            <v>Ville-Marie</v>
          </cell>
          <cell r="D543">
            <v>435</v>
          </cell>
          <cell r="E543">
            <v>305</v>
          </cell>
          <cell r="F543">
            <v>50</v>
          </cell>
          <cell r="G543">
            <v>10</v>
          </cell>
          <cell r="H543">
            <v>40</v>
          </cell>
          <cell r="I543">
            <v>30</v>
          </cell>
          <cell r="J543">
            <v>435</v>
          </cell>
          <cell r="K543">
            <v>395</v>
          </cell>
          <cell r="L543">
            <v>35</v>
          </cell>
          <cell r="M543">
            <v>40</v>
          </cell>
          <cell r="N543">
            <v>45</v>
          </cell>
          <cell r="O543">
            <v>0</v>
          </cell>
          <cell r="P543">
            <v>0</v>
          </cell>
          <cell r="Q543">
            <v>0</v>
          </cell>
          <cell r="R543">
            <v>40</v>
          </cell>
          <cell r="S543">
            <v>35</v>
          </cell>
          <cell r="T543">
            <v>10</v>
          </cell>
          <cell r="U543">
            <v>10</v>
          </cell>
          <cell r="V543">
            <v>0</v>
          </cell>
          <cell r="W543">
            <v>0</v>
          </cell>
          <cell r="X543">
            <v>0</v>
          </cell>
          <cell r="Y543">
            <v>0</v>
          </cell>
          <cell r="Z543">
            <v>20</v>
          </cell>
          <cell r="AA543">
            <v>20</v>
          </cell>
          <cell r="AB543">
            <v>0</v>
          </cell>
          <cell r="AC543">
            <v>0</v>
          </cell>
          <cell r="AD543">
            <v>0</v>
          </cell>
          <cell r="AE543">
            <v>0</v>
          </cell>
          <cell r="AF543">
            <v>10</v>
          </cell>
          <cell r="AG543">
            <v>0</v>
          </cell>
          <cell r="AH543">
            <v>0</v>
          </cell>
          <cell r="AI543">
            <v>0</v>
          </cell>
          <cell r="AJ543">
            <v>0</v>
          </cell>
          <cell r="AK543">
            <v>0</v>
          </cell>
          <cell r="AL543">
            <v>0</v>
          </cell>
          <cell r="AM543">
            <v>0</v>
          </cell>
          <cell r="AN543">
            <v>0</v>
          </cell>
          <cell r="AO543">
            <v>10</v>
          </cell>
          <cell r="AP543">
            <v>0</v>
          </cell>
          <cell r="AQ543">
            <v>0</v>
          </cell>
          <cell r="AR543">
            <v>0</v>
          </cell>
          <cell r="AS543">
            <v>0</v>
          </cell>
          <cell r="AT543">
            <v>0</v>
          </cell>
          <cell r="AU543">
            <v>0.2</v>
          </cell>
          <cell r="AV543">
            <v>335</v>
          </cell>
          <cell r="AW543">
            <v>250</v>
          </cell>
          <cell r="AX543">
            <v>0</v>
          </cell>
          <cell r="AY543">
            <v>115</v>
          </cell>
          <cell r="AZ543">
            <v>135</v>
          </cell>
          <cell r="BA543">
            <v>80</v>
          </cell>
          <cell r="BB543">
            <v>2</v>
          </cell>
          <cell r="BC543">
            <v>20</v>
          </cell>
          <cell r="BD543">
            <v>15</v>
          </cell>
          <cell r="BE543">
            <v>0</v>
          </cell>
          <cell r="BF543">
            <v>0</v>
          </cell>
          <cell r="BG543">
            <v>10</v>
          </cell>
          <cell r="BH543">
            <v>0</v>
          </cell>
          <cell r="BI543">
            <v>215</v>
          </cell>
          <cell r="BJ543">
            <v>3.5</v>
          </cell>
          <cell r="BK543">
            <v>752.5</v>
          </cell>
          <cell r="BL543">
            <v>1.3</v>
          </cell>
          <cell r="BM543">
            <v>279.5</v>
          </cell>
          <cell r="BN543">
            <v>215</v>
          </cell>
          <cell r="BO543">
            <v>15</v>
          </cell>
          <cell r="BP543">
            <v>200</v>
          </cell>
          <cell r="BQ543">
            <v>0</v>
          </cell>
          <cell r="BR543">
            <v>215</v>
          </cell>
          <cell r="BS543">
            <v>75</v>
          </cell>
          <cell r="BT543">
            <v>95</v>
          </cell>
          <cell r="BU543">
            <v>45</v>
          </cell>
          <cell r="BV543">
            <v>215</v>
          </cell>
          <cell r="BW543">
            <v>140</v>
          </cell>
          <cell r="BX543">
            <v>20</v>
          </cell>
          <cell r="BY543">
            <v>0</v>
          </cell>
          <cell r="BZ543">
            <v>0</v>
          </cell>
          <cell r="CA543">
            <v>10</v>
          </cell>
          <cell r="CB543">
            <v>10</v>
          </cell>
          <cell r="CC543">
            <v>0</v>
          </cell>
          <cell r="CD543">
            <v>0</v>
          </cell>
          <cell r="CE543">
            <v>30</v>
          </cell>
          <cell r="CF543">
            <v>215</v>
          </cell>
          <cell r="CG543">
            <v>0</v>
          </cell>
          <cell r="CH543">
            <v>0</v>
          </cell>
          <cell r="CI543">
            <v>0</v>
          </cell>
          <cell r="CJ543">
            <v>5</v>
          </cell>
          <cell r="CK543">
            <v>5</v>
          </cell>
          <cell r="CL543">
            <v>205</v>
          </cell>
          <cell r="CM543">
            <v>0</v>
          </cell>
          <cell r="CN543">
            <v>0</v>
          </cell>
          <cell r="CO543">
            <v>215</v>
          </cell>
          <cell r="CP543">
            <v>140</v>
          </cell>
          <cell r="CQ543">
            <v>45</v>
          </cell>
          <cell r="CR543">
            <v>15</v>
          </cell>
          <cell r="CS543">
            <v>10</v>
          </cell>
          <cell r="CT543">
            <v>5</v>
          </cell>
          <cell r="CU543">
            <v>335</v>
          </cell>
          <cell r="CV543">
            <v>1.6</v>
          </cell>
          <cell r="CW543">
            <v>215</v>
          </cell>
          <cell r="CX543">
            <v>45</v>
          </cell>
          <cell r="CY543">
            <v>0</v>
          </cell>
          <cell r="CZ543">
            <v>175</v>
          </cell>
        </row>
        <row r="544">
          <cell r="A544" t="str">
            <v>4620064.00</v>
          </cell>
          <cell r="B544" t="str">
            <v>0064.00</v>
          </cell>
          <cell r="C544" t="str">
            <v>Ville-Marie</v>
          </cell>
          <cell r="D544">
            <v>1080</v>
          </cell>
          <cell r="E544">
            <v>725</v>
          </cell>
          <cell r="F544">
            <v>290</v>
          </cell>
          <cell r="G544">
            <v>15</v>
          </cell>
          <cell r="H544">
            <v>45</v>
          </cell>
          <cell r="I544">
            <v>5</v>
          </cell>
          <cell r="J544">
            <v>1080</v>
          </cell>
          <cell r="K544">
            <v>1015</v>
          </cell>
          <cell r="L544">
            <v>65</v>
          </cell>
          <cell r="M544">
            <v>195</v>
          </cell>
          <cell r="N544">
            <v>95</v>
          </cell>
          <cell r="O544">
            <v>45</v>
          </cell>
          <cell r="P544">
            <v>30</v>
          </cell>
          <cell r="Q544">
            <v>25</v>
          </cell>
          <cell r="R544">
            <v>190</v>
          </cell>
          <cell r="S544">
            <v>170</v>
          </cell>
          <cell r="T544">
            <v>135</v>
          </cell>
          <cell r="U544">
            <v>35</v>
          </cell>
          <cell r="V544">
            <v>100</v>
          </cell>
          <cell r="W544">
            <v>40</v>
          </cell>
          <cell r="X544">
            <v>35</v>
          </cell>
          <cell r="Y544">
            <v>20</v>
          </cell>
          <cell r="Z544">
            <v>35</v>
          </cell>
          <cell r="AA544">
            <v>35</v>
          </cell>
          <cell r="AB544">
            <v>0</v>
          </cell>
          <cell r="AC544">
            <v>0</v>
          </cell>
          <cell r="AD544">
            <v>0</v>
          </cell>
          <cell r="AE544">
            <v>0</v>
          </cell>
          <cell r="AF544">
            <v>20</v>
          </cell>
          <cell r="AG544">
            <v>10</v>
          </cell>
          <cell r="AH544">
            <v>10</v>
          </cell>
          <cell r="AI544">
            <v>0</v>
          </cell>
          <cell r="AJ544">
            <v>0</v>
          </cell>
          <cell r="AK544">
            <v>10</v>
          </cell>
          <cell r="AL544">
            <v>0</v>
          </cell>
          <cell r="AM544">
            <v>0</v>
          </cell>
          <cell r="AN544">
            <v>0</v>
          </cell>
          <cell r="AO544">
            <v>200</v>
          </cell>
          <cell r="AP544">
            <v>55</v>
          </cell>
          <cell r="AQ544">
            <v>50</v>
          </cell>
          <cell r="AR544">
            <v>0</v>
          </cell>
          <cell r="AS544">
            <v>45</v>
          </cell>
          <cell r="AT544">
            <v>45</v>
          </cell>
          <cell r="AU544">
            <v>1.1000000000000001</v>
          </cell>
          <cell r="AV544">
            <v>1175</v>
          </cell>
          <cell r="AW544">
            <v>615</v>
          </cell>
          <cell r="AX544">
            <v>85</v>
          </cell>
          <cell r="AY544">
            <v>155</v>
          </cell>
          <cell r="AZ544">
            <v>370</v>
          </cell>
          <cell r="BA544">
            <v>560</v>
          </cell>
          <cell r="BB544">
            <v>2.9</v>
          </cell>
          <cell r="BC544">
            <v>50</v>
          </cell>
          <cell r="BD544">
            <v>20</v>
          </cell>
          <cell r="BE544">
            <v>0</v>
          </cell>
          <cell r="BF544">
            <v>0</v>
          </cell>
          <cell r="BG544">
            <v>25</v>
          </cell>
          <cell r="BH544">
            <v>30</v>
          </cell>
          <cell r="BI544">
            <v>675</v>
          </cell>
          <cell r="BJ544">
            <v>3</v>
          </cell>
          <cell r="BK544">
            <v>2025</v>
          </cell>
          <cell r="BL544">
            <v>1.1000000000000001</v>
          </cell>
          <cell r="BM544">
            <v>742.50000000000011</v>
          </cell>
          <cell r="BN544">
            <v>675</v>
          </cell>
          <cell r="BO544">
            <v>15</v>
          </cell>
          <cell r="BP544">
            <v>660</v>
          </cell>
          <cell r="BQ544">
            <v>0</v>
          </cell>
          <cell r="BR544">
            <v>670</v>
          </cell>
          <cell r="BS544">
            <v>435</v>
          </cell>
          <cell r="BT544">
            <v>200</v>
          </cell>
          <cell r="BU544">
            <v>40</v>
          </cell>
          <cell r="BV544">
            <v>670</v>
          </cell>
          <cell r="BW544">
            <v>65</v>
          </cell>
          <cell r="BX544">
            <v>45</v>
          </cell>
          <cell r="BY544">
            <v>160</v>
          </cell>
          <cell r="BZ544">
            <v>195</v>
          </cell>
          <cell r="CA544">
            <v>30</v>
          </cell>
          <cell r="CB544">
            <v>45</v>
          </cell>
          <cell r="CC544">
            <v>15</v>
          </cell>
          <cell r="CD544">
            <v>25</v>
          </cell>
          <cell r="CE544">
            <v>95</v>
          </cell>
          <cell r="CF544">
            <v>670</v>
          </cell>
          <cell r="CG544">
            <v>0</v>
          </cell>
          <cell r="CH544">
            <v>0</v>
          </cell>
          <cell r="CI544">
            <v>0</v>
          </cell>
          <cell r="CJ544">
            <v>0</v>
          </cell>
          <cell r="CK544">
            <v>565</v>
          </cell>
          <cell r="CL544">
            <v>85</v>
          </cell>
          <cell r="CM544">
            <v>25</v>
          </cell>
          <cell r="CN544">
            <v>0</v>
          </cell>
          <cell r="CO544">
            <v>670</v>
          </cell>
          <cell r="CP544">
            <v>355</v>
          </cell>
          <cell r="CQ544">
            <v>200</v>
          </cell>
          <cell r="CR544">
            <v>70</v>
          </cell>
          <cell r="CS544">
            <v>50</v>
          </cell>
          <cell r="CT544">
            <v>0</v>
          </cell>
          <cell r="CU544">
            <v>1175</v>
          </cell>
          <cell r="CV544">
            <v>1.7</v>
          </cell>
          <cell r="CW544">
            <v>675</v>
          </cell>
          <cell r="CX544">
            <v>195</v>
          </cell>
          <cell r="CY544">
            <v>0</v>
          </cell>
          <cell r="CZ544">
            <v>480</v>
          </cell>
        </row>
        <row r="545">
          <cell r="A545" t="str">
            <v>4620065.01</v>
          </cell>
          <cell r="B545" t="str">
            <v>0065.01</v>
          </cell>
          <cell r="C545" t="str">
            <v>Ville-Marie</v>
          </cell>
          <cell r="D545">
            <v>5810</v>
          </cell>
          <cell r="E545">
            <v>3755</v>
          </cell>
          <cell r="F545">
            <v>1495</v>
          </cell>
          <cell r="G545">
            <v>110</v>
          </cell>
          <cell r="H545">
            <v>340</v>
          </cell>
          <cell r="I545">
            <v>100</v>
          </cell>
          <cell r="J545">
            <v>5805</v>
          </cell>
          <cell r="K545">
            <v>5405</v>
          </cell>
          <cell r="L545">
            <v>405</v>
          </cell>
          <cell r="M545">
            <v>1040</v>
          </cell>
          <cell r="N545">
            <v>660</v>
          </cell>
          <cell r="O545">
            <v>205</v>
          </cell>
          <cell r="P545">
            <v>95</v>
          </cell>
          <cell r="Q545">
            <v>80</v>
          </cell>
          <cell r="R545">
            <v>1040</v>
          </cell>
          <cell r="S545">
            <v>900</v>
          </cell>
          <cell r="T545">
            <v>690</v>
          </cell>
          <cell r="U545">
            <v>370</v>
          </cell>
          <cell r="V545">
            <v>325</v>
          </cell>
          <cell r="W545">
            <v>165</v>
          </cell>
          <cell r="X545">
            <v>85</v>
          </cell>
          <cell r="Y545">
            <v>80</v>
          </cell>
          <cell r="Z545">
            <v>210</v>
          </cell>
          <cell r="AA545">
            <v>200</v>
          </cell>
          <cell r="AB545">
            <v>0</v>
          </cell>
          <cell r="AC545">
            <v>0</v>
          </cell>
          <cell r="AD545">
            <v>0</v>
          </cell>
          <cell r="AE545">
            <v>0</v>
          </cell>
          <cell r="AF545">
            <v>140</v>
          </cell>
          <cell r="AG545">
            <v>125</v>
          </cell>
          <cell r="AH545">
            <v>70</v>
          </cell>
          <cell r="AI545">
            <v>40</v>
          </cell>
          <cell r="AJ545">
            <v>10</v>
          </cell>
          <cell r="AK545">
            <v>15</v>
          </cell>
          <cell r="AL545">
            <v>15</v>
          </cell>
          <cell r="AM545">
            <v>0</v>
          </cell>
          <cell r="AN545">
            <v>0</v>
          </cell>
          <cell r="AO545">
            <v>790</v>
          </cell>
          <cell r="AP545">
            <v>225</v>
          </cell>
          <cell r="AQ545">
            <v>145</v>
          </cell>
          <cell r="AR545">
            <v>35</v>
          </cell>
          <cell r="AS545">
            <v>250</v>
          </cell>
          <cell r="AT545">
            <v>140</v>
          </cell>
          <cell r="AU545">
            <v>0.8</v>
          </cell>
          <cell r="AV545">
            <v>6170</v>
          </cell>
          <cell r="AW545">
            <v>3440</v>
          </cell>
          <cell r="AX545">
            <v>390</v>
          </cell>
          <cell r="AY545">
            <v>765</v>
          </cell>
          <cell r="AZ545">
            <v>2285</v>
          </cell>
          <cell r="BA545">
            <v>2730</v>
          </cell>
          <cell r="BB545">
            <v>2.6</v>
          </cell>
          <cell r="BC545">
            <v>435</v>
          </cell>
          <cell r="BD545">
            <v>260</v>
          </cell>
          <cell r="BE545">
            <v>0</v>
          </cell>
          <cell r="BF545">
            <v>0</v>
          </cell>
          <cell r="BG545">
            <v>250</v>
          </cell>
          <cell r="BH545">
            <v>180</v>
          </cell>
          <cell r="BI545">
            <v>3835</v>
          </cell>
          <cell r="BJ545">
            <v>2.8</v>
          </cell>
          <cell r="BK545">
            <v>10738</v>
          </cell>
          <cell r="BL545">
            <v>0.9</v>
          </cell>
          <cell r="BM545">
            <v>3451.5</v>
          </cell>
          <cell r="BN545">
            <v>3835</v>
          </cell>
          <cell r="BO545">
            <v>140</v>
          </cell>
          <cell r="BP545">
            <v>3690</v>
          </cell>
          <cell r="BQ545">
            <v>0</v>
          </cell>
          <cell r="BR545">
            <v>3835</v>
          </cell>
          <cell r="BS545">
            <v>2455</v>
          </cell>
          <cell r="BT545">
            <v>1150</v>
          </cell>
          <cell r="BU545">
            <v>225</v>
          </cell>
          <cell r="BV545">
            <v>3830</v>
          </cell>
          <cell r="BW545">
            <v>275</v>
          </cell>
          <cell r="BX545">
            <v>510</v>
          </cell>
          <cell r="BY545">
            <v>1250</v>
          </cell>
          <cell r="BZ545">
            <v>1165</v>
          </cell>
          <cell r="CA545">
            <v>235</v>
          </cell>
          <cell r="CB545">
            <v>215</v>
          </cell>
          <cell r="CC545">
            <v>75</v>
          </cell>
          <cell r="CD545">
            <v>55</v>
          </cell>
          <cell r="CE545">
            <v>55</v>
          </cell>
          <cell r="CF545">
            <v>3835</v>
          </cell>
          <cell r="CG545">
            <v>5</v>
          </cell>
          <cell r="CH545">
            <v>5</v>
          </cell>
          <cell r="CI545">
            <v>20</v>
          </cell>
          <cell r="CJ545">
            <v>10</v>
          </cell>
          <cell r="CK545">
            <v>3440</v>
          </cell>
          <cell r="CL545">
            <v>350</v>
          </cell>
          <cell r="CM545">
            <v>5</v>
          </cell>
          <cell r="CN545">
            <v>0</v>
          </cell>
          <cell r="CO545">
            <v>3835</v>
          </cell>
          <cell r="CP545">
            <v>2285</v>
          </cell>
          <cell r="CQ545">
            <v>1040</v>
          </cell>
          <cell r="CR545">
            <v>320</v>
          </cell>
          <cell r="CS545">
            <v>165</v>
          </cell>
          <cell r="CT545">
            <v>25</v>
          </cell>
          <cell r="CU545">
            <v>6170</v>
          </cell>
          <cell r="CV545">
            <v>1.6</v>
          </cell>
          <cell r="CW545">
            <v>3835</v>
          </cell>
          <cell r="CX545">
            <v>1040</v>
          </cell>
          <cell r="CY545">
            <v>0</v>
          </cell>
          <cell r="CZ545">
            <v>2795</v>
          </cell>
        </row>
        <row r="546">
          <cell r="A546" t="str">
            <v>4620065.02</v>
          </cell>
          <cell r="B546" t="str">
            <v>0065.02</v>
          </cell>
          <cell r="C546" t="str">
            <v>Ville-Marie</v>
          </cell>
          <cell r="D546">
            <v>2395</v>
          </cell>
          <cell r="E546">
            <v>1515</v>
          </cell>
          <cell r="F546">
            <v>625</v>
          </cell>
          <cell r="G546">
            <v>45</v>
          </cell>
          <cell r="H546">
            <v>150</v>
          </cell>
          <cell r="I546">
            <v>55</v>
          </cell>
          <cell r="J546">
            <v>2390</v>
          </cell>
          <cell r="K546">
            <v>2160</v>
          </cell>
          <cell r="L546">
            <v>230</v>
          </cell>
          <cell r="M546">
            <v>475</v>
          </cell>
          <cell r="N546">
            <v>315</v>
          </cell>
          <cell r="O546">
            <v>60</v>
          </cell>
          <cell r="P546">
            <v>80</v>
          </cell>
          <cell r="Q546">
            <v>20</v>
          </cell>
          <cell r="R546">
            <v>475</v>
          </cell>
          <cell r="S546">
            <v>415</v>
          </cell>
          <cell r="T546">
            <v>300</v>
          </cell>
          <cell r="U546">
            <v>150</v>
          </cell>
          <cell r="V546">
            <v>150</v>
          </cell>
          <cell r="W546">
            <v>50</v>
          </cell>
          <cell r="X546">
            <v>75</v>
          </cell>
          <cell r="Y546">
            <v>15</v>
          </cell>
          <cell r="Z546">
            <v>115</v>
          </cell>
          <cell r="AA546">
            <v>115</v>
          </cell>
          <cell r="AB546">
            <v>0</v>
          </cell>
          <cell r="AC546">
            <v>0</v>
          </cell>
          <cell r="AD546">
            <v>0</v>
          </cell>
          <cell r="AE546">
            <v>0</v>
          </cell>
          <cell r="AF546">
            <v>60</v>
          </cell>
          <cell r="AG546">
            <v>55</v>
          </cell>
          <cell r="AH546">
            <v>50</v>
          </cell>
          <cell r="AI546">
            <v>0</v>
          </cell>
          <cell r="AJ546">
            <v>10</v>
          </cell>
          <cell r="AK546">
            <v>0</v>
          </cell>
          <cell r="AL546">
            <v>0</v>
          </cell>
          <cell r="AM546">
            <v>0</v>
          </cell>
          <cell r="AN546">
            <v>0</v>
          </cell>
          <cell r="AO546">
            <v>340</v>
          </cell>
          <cell r="AP546">
            <v>90</v>
          </cell>
          <cell r="AQ546">
            <v>85</v>
          </cell>
          <cell r="AR546">
            <v>20</v>
          </cell>
          <cell r="AS546">
            <v>85</v>
          </cell>
          <cell r="AT546">
            <v>60</v>
          </cell>
          <cell r="AU546">
            <v>0.7</v>
          </cell>
          <cell r="AV546">
            <v>2565</v>
          </cell>
          <cell r="AW546">
            <v>1330</v>
          </cell>
          <cell r="AX546">
            <v>115</v>
          </cell>
          <cell r="AY546">
            <v>410</v>
          </cell>
          <cell r="AZ546">
            <v>800</v>
          </cell>
          <cell r="BA546">
            <v>1235</v>
          </cell>
          <cell r="BB546">
            <v>2.6</v>
          </cell>
          <cell r="BC546">
            <v>245</v>
          </cell>
          <cell r="BD546">
            <v>145</v>
          </cell>
          <cell r="BE546">
            <v>0</v>
          </cell>
          <cell r="BF546">
            <v>0</v>
          </cell>
          <cell r="BG546">
            <v>140</v>
          </cell>
          <cell r="BH546">
            <v>100</v>
          </cell>
          <cell r="BI546">
            <v>1485</v>
          </cell>
          <cell r="BJ546">
            <v>3.7</v>
          </cell>
          <cell r="BK546">
            <v>5494.5</v>
          </cell>
          <cell r="BL546">
            <v>1.3</v>
          </cell>
          <cell r="BM546">
            <v>1930.5</v>
          </cell>
          <cell r="BN546">
            <v>1485</v>
          </cell>
          <cell r="BO546">
            <v>75</v>
          </cell>
          <cell r="BP546">
            <v>1410</v>
          </cell>
          <cell r="BQ546">
            <v>0</v>
          </cell>
          <cell r="BR546">
            <v>1485</v>
          </cell>
          <cell r="BS546">
            <v>940</v>
          </cell>
          <cell r="BT546">
            <v>370</v>
          </cell>
          <cell r="BU546">
            <v>180</v>
          </cell>
          <cell r="BV546">
            <v>1485</v>
          </cell>
          <cell r="BW546">
            <v>680</v>
          </cell>
          <cell r="BX546">
            <v>185</v>
          </cell>
          <cell r="BY546">
            <v>195</v>
          </cell>
          <cell r="BZ546">
            <v>285</v>
          </cell>
          <cell r="CA546">
            <v>55</v>
          </cell>
          <cell r="CB546">
            <v>75</v>
          </cell>
          <cell r="CC546">
            <v>10</v>
          </cell>
          <cell r="CD546">
            <v>0</v>
          </cell>
          <cell r="CE546">
            <v>0</v>
          </cell>
          <cell r="CF546">
            <v>1490</v>
          </cell>
          <cell r="CG546">
            <v>0</v>
          </cell>
          <cell r="CH546">
            <v>0</v>
          </cell>
          <cell r="CI546">
            <v>5</v>
          </cell>
          <cell r="CJ546">
            <v>5</v>
          </cell>
          <cell r="CK546">
            <v>820</v>
          </cell>
          <cell r="CL546">
            <v>660</v>
          </cell>
          <cell r="CM546">
            <v>0</v>
          </cell>
          <cell r="CN546">
            <v>0</v>
          </cell>
          <cell r="CO546">
            <v>1490</v>
          </cell>
          <cell r="CP546">
            <v>805</v>
          </cell>
          <cell r="CQ546">
            <v>435</v>
          </cell>
          <cell r="CR546">
            <v>150</v>
          </cell>
          <cell r="CS546">
            <v>90</v>
          </cell>
          <cell r="CT546">
            <v>10</v>
          </cell>
          <cell r="CU546">
            <v>2560</v>
          </cell>
          <cell r="CV546">
            <v>1.7</v>
          </cell>
          <cell r="CW546">
            <v>1485</v>
          </cell>
          <cell r="CX546">
            <v>480</v>
          </cell>
          <cell r="CY546">
            <v>0</v>
          </cell>
          <cell r="CZ546">
            <v>1010</v>
          </cell>
        </row>
        <row r="547">
          <cell r="A547" t="str">
            <v>4620066.01</v>
          </cell>
          <cell r="B547" t="str">
            <v>0066.01</v>
          </cell>
          <cell r="C547" t="str">
            <v>Ville-Marie</v>
          </cell>
          <cell r="D547">
            <v>2380</v>
          </cell>
          <cell r="E547">
            <v>1440</v>
          </cell>
          <cell r="F547">
            <v>675</v>
          </cell>
          <cell r="G547">
            <v>55</v>
          </cell>
          <cell r="H547">
            <v>150</v>
          </cell>
          <cell r="I547">
            <v>60</v>
          </cell>
          <cell r="J547">
            <v>2380</v>
          </cell>
          <cell r="K547">
            <v>2155</v>
          </cell>
          <cell r="L547">
            <v>230</v>
          </cell>
          <cell r="M547">
            <v>530</v>
          </cell>
          <cell r="N547">
            <v>315</v>
          </cell>
          <cell r="O547">
            <v>125</v>
          </cell>
          <cell r="P547">
            <v>55</v>
          </cell>
          <cell r="Q547">
            <v>40</v>
          </cell>
          <cell r="R547">
            <v>530</v>
          </cell>
          <cell r="S547">
            <v>435</v>
          </cell>
          <cell r="T547">
            <v>320</v>
          </cell>
          <cell r="U547">
            <v>150</v>
          </cell>
          <cell r="V547">
            <v>170</v>
          </cell>
          <cell r="W547">
            <v>90</v>
          </cell>
          <cell r="X547">
            <v>45</v>
          </cell>
          <cell r="Y547">
            <v>40</v>
          </cell>
          <cell r="Z547">
            <v>115</v>
          </cell>
          <cell r="AA547">
            <v>110</v>
          </cell>
          <cell r="AB547">
            <v>10</v>
          </cell>
          <cell r="AC547">
            <v>10</v>
          </cell>
          <cell r="AD547">
            <v>0</v>
          </cell>
          <cell r="AE547">
            <v>0</v>
          </cell>
          <cell r="AF547">
            <v>90</v>
          </cell>
          <cell r="AG547">
            <v>60</v>
          </cell>
          <cell r="AH547">
            <v>30</v>
          </cell>
          <cell r="AI547">
            <v>25</v>
          </cell>
          <cell r="AJ547">
            <v>10</v>
          </cell>
          <cell r="AK547">
            <v>35</v>
          </cell>
          <cell r="AL547">
            <v>25</v>
          </cell>
          <cell r="AM547">
            <v>10</v>
          </cell>
          <cell r="AN547">
            <v>0</v>
          </cell>
          <cell r="AO547">
            <v>455</v>
          </cell>
          <cell r="AP547">
            <v>85</v>
          </cell>
          <cell r="AQ547">
            <v>100</v>
          </cell>
          <cell r="AR547">
            <v>35</v>
          </cell>
          <cell r="AS547">
            <v>150</v>
          </cell>
          <cell r="AT547">
            <v>85</v>
          </cell>
          <cell r="AU547">
            <v>0.9</v>
          </cell>
          <cell r="AV547">
            <v>2550</v>
          </cell>
          <cell r="AW547">
            <v>1125</v>
          </cell>
          <cell r="AX547">
            <v>85</v>
          </cell>
          <cell r="AY547">
            <v>270</v>
          </cell>
          <cell r="AZ547">
            <v>770</v>
          </cell>
          <cell r="BA547">
            <v>1425</v>
          </cell>
          <cell r="BB547">
            <v>2.7</v>
          </cell>
          <cell r="BC547">
            <v>215</v>
          </cell>
          <cell r="BD547">
            <v>95</v>
          </cell>
          <cell r="BE547">
            <v>10</v>
          </cell>
          <cell r="BF547">
            <v>0</v>
          </cell>
          <cell r="BG547">
            <v>90</v>
          </cell>
          <cell r="BH547">
            <v>115</v>
          </cell>
          <cell r="BI547">
            <v>1460</v>
          </cell>
          <cell r="BJ547">
            <v>3.6</v>
          </cell>
          <cell r="BK547">
            <v>5256</v>
          </cell>
          <cell r="BL547">
            <v>1.2</v>
          </cell>
          <cell r="BM547">
            <v>1752</v>
          </cell>
          <cell r="BN547">
            <v>1455</v>
          </cell>
          <cell r="BO547">
            <v>375</v>
          </cell>
          <cell r="BP547">
            <v>1085</v>
          </cell>
          <cell r="BQ547">
            <v>0</v>
          </cell>
          <cell r="BR547">
            <v>1455</v>
          </cell>
          <cell r="BS547">
            <v>830</v>
          </cell>
          <cell r="BT547">
            <v>490</v>
          </cell>
          <cell r="BU547">
            <v>130</v>
          </cell>
          <cell r="BV547">
            <v>1455</v>
          </cell>
          <cell r="BW547">
            <v>395</v>
          </cell>
          <cell r="BX547">
            <v>100</v>
          </cell>
          <cell r="BY547">
            <v>240</v>
          </cell>
          <cell r="BZ547">
            <v>270</v>
          </cell>
          <cell r="CA547">
            <v>95</v>
          </cell>
          <cell r="CB547">
            <v>220</v>
          </cell>
          <cell r="CC547">
            <v>65</v>
          </cell>
          <cell r="CD547">
            <v>25</v>
          </cell>
          <cell r="CE547">
            <v>45</v>
          </cell>
          <cell r="CF547">
            <v>1460</v>
          </cell>
          <cell r="CG547">
            <v>5</v>
          </cell>
          <cell r="CH547">
            <v>0</v>
          </cell>
          <cell r="CI547">
            <v>35</v>
          </cell>
          <cell r="CJ547">
            <v>10</v>
          </cell>
          <cell r="CK547">
            <v>1090</v>
          </cell>
          <cell r="CL547">
            <v>315</v>
          </cell>
          <cell r="CM547">
            <v>15</v>
          </cell>
          <cell r="CN547">
            <v>5</v>
          </cell>
          <cell r="CO547">
            <v>1455</v>
          </cell>
          <cell r="CP547">
            <v>775</v>
          </cell>
          <cell r="CQ547">
            <v>445</v>
          </cell>
          <cell r="CR547">
            <v>135</v>
          </cell>
          <cell r="CS547">
            <v>95</v>
          </cell>
          <cell r="CT547">
            <v>15</v>
          </cell>
          <cell r="CU547">
            <v>2550</v>
          </cell>
          <cell r="CV547">
            <v>1.8</v>
          </cell>
          <cell r="CW547">
            <v>1455</v>
          </cell>
          <cell r="CX547">
            <v>525</v>
          </cell>
          <cell r="CY547">
            <v>0</v>
          </cell>
          <cell r="CZ547">
            <v>925</v>
          </cell>
        </row>
        <row r="548">
          <cell r="A548" t="str">
            <v>4620066.02</v>
          </cell>
          <cell r="B548" t="str">
            <v>0066.02</v>
          </cell>
          <cell r="C548" t="str">
            <v>Ville-Marie</v>
          </cell>
          <cell r="D548">
            <v>1905</v>
          </cell>
          <cell r="E548">
            <v>1100</v>
          </cell>
          <cell r="F548">
            <v>400</v>
          </cell>
          <cell r="G548">
            <v>70</v>
          </cell>
          <cell r="H548">
            <v>195</v>
          </cell>
          <cell r="I548">
            <v>135</v>
          </cell>
          <cell r="J548">
            <v>1905</v>
          </cell>
          <cell r="K548">
            <v>1755</v>
          </cell>
          <cell r="L548">
            <v>145</v>
          </cell>
          <cell r="M548">
            <v>305</v>
          </cell>
          <cell r="N548">
            <v>210</v>
          </cell>
          <cell r="O548">
            <v>60</v>
          </cell>
          <cell r="P548">
            <v>20</v>
          </cell>
          <cell r="Q548">
            <v>15</v>
          </cell>
          <cell r="R548">
            <v>305</v>
          </cell>
          <cell r="S548">
            <v>220</v>
          </cell>
          <cell r="T548">
            <v>165</v>
          </cell>
          <cell r="U548">
            <v>85</v>
          </cell>
          <cell r="V548">
            <v>80</v>
          </cell>
          <cell r="W548">
            <v>55</v>
          </cell>
          <cell r="X548">
            <v>10</v>
          </cell>
          <cell r="Y548">
            <v>10</v>
          </cell>
          <cell r="Z548">
            <v>55</v>
          </cell>
          <cell r="AA548">
            <v>55</v>
          </cell>
          <cell r="AB548">
            <v>0</v>
          </cell>
          <cell r="AC548">
            <v>0</v>
          </cell>
          <cell r="AD548">
            <v>0</v>
          </cell>
          <cell r="AE548">
            <v>0</v>
          </cell>
          <cell r="AF548">
            <v>85</v>
          </cell>
          <cell r="AG548">
            <v>85</v>
          </cell>
          <cell r="AH548">
            <v>75</v>
          </cell>
          <cell r="AI548">
            <v>0</v>
          </cell>
          <cell r="AJ548">
            <v>10</v>
          </cell>
          <cell r="AK548">
            <v>0</v>
          </cell>
          <cell r="AL548">
            <v>0</v>
          </cell>
          <cell r="AM548">
            <v>0</v>
          </cell>
          <cell r="AN548">
            <v>0</v>
          </cell>
          <cell r="AO548">
            <v>230</v>
          </cell>
          <cell r="AP548">
            <v>40</v>
          </cell>
          <cell r="AQ548">
            <v>70</v>
          </cell>
          <cell r="AR548">
            <v>25</v>
          </cell>
          <cell r="AS548">
            <v>45</v>
          </cell>
          <cell r="AT548">
            <v>50</v>
          </cell>
          <cell r="AU548">
            <v>0.8</v>
          </cell>
          <cell r="AV548">
            <v>1790</v>
          </cell>
          <cell r="AW548">
            <v>1025</v>
          </cell>
          <cell r="AX548">
            <v>0</v>
          </cell>
          <cell r="AY548">
            <v>215</v>
          </cell>
          <cell r="AZ548">
            <v>810</v>
          </cell>
          <cell r="BA548">
            <v>760</v>
          </cell>
          <cell r="BB548">
            <v>2.5</v>
          </cell>
          <cell r="BC548">
            <v>220</v>
          </cell>
          <cell r="BD548">
            <v>155</v>
          </cell>
          <cell r="BE548">
            <v>0</v>
          </cell>
          <cell r="BF548">
            <v>20</v>
          </cell>
          <cell r="BG548">
            <v>135</v>
          </cell>
          <cell r="BH548">
            <v>70</v>
          </cell>
          <cell r="BI548">
            <v>1195</v>
          </cell>
          <cell r="BJ548">
            <v>3.1</v>
          </cell>
          <cell r="BK548">
            <v>3704.5</v>
          </cell>
          <cell r="BL548">
            <v>1.1000000000000001</v>
          </cell>
          <cell r="BM548">
            <v>1314.5</v>
          </cell>
          <cell r="BN548">
            <v>1190</v>
          </cell>
          <cell r="BO548">
            <v>85</v>
          </cell>
          <cell r="BP548">
            <v>1105</v>
          </cell>
          <cell r="BQ548">
            <v>0</v>
          </cell>
          <cell r="BR548">
            <v>1190</v>
          </cell>
          <cell r="BS548">
            <v>635</v>
          </cell>
          <cell r="BT548">
            <v>415</v>
          </cell>
          <cell r="BU548">
            <v>145</v>
          </cell>
          <cell r="BV548">
            <v>1195</v>
          </cell>
          <cell r="BW548">
            <v>340</v>
          </cell>
          <cell r="BX548">
            <v>185</v>
          </cell>
          <cell r="BY548">
            <v>330</v>
          </cell>
          <cell r="BZ548">
            <v>225</v>
          </cell>
          <cell r="CA548">
            <v>40</v>
          </cell>
          <cell r="CB548">
            <v>25</v>
          </cell>
          <cell r="CC548">
            <v>30</v>
          </cell>
          <cell r="CD548">
            <v>10</v>
          </cell>
          <cell r="CE548">
            <v>0</v>
          </cell>
          <cell r="CF548">
            <v>1190</v>
          </cell>
          <cell r="CG548">
            <v>0</v>
          </cell>
          <cell r="CH548">
            <v>0</v>
          </cell>
          <cell r="CI548">
            <v>10</v>
          </cell>
          <cell r="CJ548">
            <v>15</v>
          </cell>
          <cell r="CK548">
            <v>690</v>
          </cell>
          <cell r="CL548">
            <v>460</v>
          </cell>
          <cell r="CM548">
            <v>5</v>
          </cell>
          <cell r="CN548">
            <v>0</v>
          </cell>
          <cell r="CO548">
            <v>1190</v>
          </cell>
          <cell r="CP548">
            <v>790</v>
          </cell>
          <cell r="CQ548">
            <v>265</v>
          </cell>
          <cell r="CR548">
            <v>75</v>
          </cell>
          <cell r="CS548">
            <v>55</v>
          </cell>
          <cell r="CT548">
            <v>5</v>
          </cell>
          <cell r="CU548">
            <v>1800</v>
          </cell>
          <cell r="CV548">
            <v>1.5</v>
          </cell>
          <cell r="CW548">
            <v>1190</v>
          </cell>
          <cell r="CX548">
            <v>290</v>
          </cell>
          <cell r="CY548">
            <v>10</v>
          </cell>
          <cell r="CZ548">
            <v>895</v>
          </cell>
        </row>
        <row r="549">
          <cell r="A549" t="str">
            <v>4620069.00</v>
          </cell>
          <cell r="B549" t="str">
            <v>0069.00</v>
          </cell>
          <cell r="C549" t="str">
            <v>Ville-Marie</v>
          </cell>
          <cell r="D549">
            <v>2430</v>
          </cell>
          <cell r="E549">
            <v>1300</v>
          </cell>
          <cell r="F549">
            <v>795</v>
          </cell>
          <cell r="G549">
            <v>60</v>
          </cell>
          <cell r="H549">
            <v>220</v>
          </cell>
          <cell r="I549">
            <v>55</v>
          </cell>
          <cell r="J549">
            <v>2430</v>
          </cell>
          <cell r="K549">
            <v>2015</v>
          </cell>
          <cell r="L549">
            <v>420</v>
          </cell>
          <cell r="M549">
            <v>665</v>
          </cell>
          <cell r="N549">
            <v>450</v>
          </cell>
          <cell r="O549">
            <v>125</v>
          </cell>
          <cell r="P549">
            <v>80</v>
          </cell>
          <cell r="Q549">
            <v>10</v>
          </cell>
          <cell r="R549">
            <v>660</v>
          </cell>
          <cell r="S549">
            <v>590</v>
          </cell>
          <cell r="T549">
            <v>385</v>
          </cell>
          <cell r="U549">
            <v>205</v>
          </cell>
          <cell r="V549">
            <v>175</v>
          </cell>
          <cell r="W549">
            <v>95</v>
          </cell>
          <cell r="X549">
            <v>75</v>
          </cell>
          <cell r="Y549">
            <v>10</v>
          </cell>
          <cell r="Z549">
            <v>205</v>
          </cell>
          <cell r="AA549">
            <v>185</v>
          </cell>
          <cell r="AB549">
            <v>20</v>
          </cell>
          <cell r="AC549">
            <v>20</v>
          </cell>
          <cell r="AD549">
            <v>0</v>
          </cell>
          <cell r="AE549">
            <v>0</v>
          </cell>
          <cell r="AF549">
            <v>75</v>
          </cell>
          <cell r="AG549">
            <v>65</v>
          </cell>
          <cell r="AH549">
            <v>55</v>
          </cell>
          <cell r="AI549">
            <v>10</v>
          </cell>
          <cell r="AJ549">
            <v>0</v>
          </cell>
          <cell r="AK549">
            <v>10</v>
          </cell>
          <cell r="AL549">
            <v>0</v>
          </cell>
          <cell r="AM549">
            <v>0</v>
          </cell>
          <cell r="AN549">
            <v>0</v>
          </cell>
          <cell r="AO549">
            <v>370</v>
          </cell>
          <cell r="AP549">
            <v>105</v>
          </cell>
          <cell r="AQ549">
            <v>85</v>
          </cell>
          <cell r="AR549">
            <v>35</v>
          </cell>
          <cell r="AS549">
            <v>70</v>
          </cell>
          <cell r="AT549">
            <v>70</v>
          </cell>
          <cell r="AU549">
            <v>0.6</v>
          </cell>
          <cell r="AV549">
            <v>2540</v>
          </cell>
          <cell r="AW549">
            <v>915</v>
          </cell>
          <cell r="AX549">
            <v>55</v>
          </cell>
          <cell r="AY549">
            <v>220</v>
          </cell>
          <cell r="AZ549">
            <v>640</v>
          </cell>
          <cell r="BA549">
            <v>1620</v>
          </cell>
          <cell r="BB549">
            <v>2.5</v>
          </cell>
          <cell r="BC549">
            <v>210</v>
          </cell>
          <cell r="BD549">
            <v>110</v>
          </cell>
          <cell r="BE549">
            <v>0</v>
          </cell>
          <cell r="BF549">
            <v>15</v>
          </cell>
          <cell r="BG549">
            <v>95</v>
          </cell>
          <cell r="BH549">
            <v>105</v>
          </cell>
          <cell r="BI549">
            <v>1425</v>
          </cell>
          <cell r="BJ549">
            <v>4.5</v>
          </cell>
          <cell r="BK549">
            <v>6412.5</v>
          </cell>
          <cell r="BL549">
            <v>1.9</v>
          </cell>
          <cell r="BM549">
            <v>2707.5</v>
          </cell>
          <cell r="BN549">
            <v>1430</v>
          </cell>
          <cell r="BO549">
            <v>1005</v>
          </cell>
          <cell r="BP549">
            <v>420</v>
          </cell>
          <cell r="BQ549">
            <v>0</v>
          </cell>
          <cell r="BR549">
            <v>1425</v>
          </cell>
          <cell r="BS549">
            <v>1085</v>
          </cell>
          <cell r="BT549">
            <v>295</v>
          </cell>
          <cell r="BU549">
            <v>45</v>
          </cell>
          <cell r="BV549">
            <v>1425</v>
          </cell>
          <cell r="BW549">
            <v>140</v>
          </cell>
          <cell r="BX549">
            <v>20</v>
          </cell>
          <cell r="BY549">
            <v>20</v>
          </cell>
          <cell r="BZ549">
            <v>35</v>
          </cell>
          <cell r="CA549">
            <v>180</v>
          </cell>
          <cell r="CB549">
            <v>385</v>
          </cell>
          <cell r="CC549">
            <v>80</v>
          </cell>
          <cell r="CD549">
            <v>55</v>
          </cell>
          <cell r="CE549">
            <v>515</v>
          </cell>
          <cell r="CF549">
            <v>1425</v>
          </cell>
          <cell r="CG549">
            <v>0</v>
          </cell>
          <cell r="CH549">
            <v>0</v>
          </cell>
          <cell r="CI549">
            <v>120</v>
          </cell>
          <cell r="CJ549">
            <v>5</v>
          </cell>
          <cell r="CK549">
            <v>680</v>
          </cell>
          <cell r="CL549">
            <v>615</v>
          </cell>
          <cell r="CM549">
            <v>5</v>
          </cell>
          <cell r="CN549">
            <v>5</v>
          </cell>
          <cell r="CO549">
            <v>1425</v>
          </cell>
          <cell r="CP549">
            <v>640</v>
          </cell>
          <cell r="CQ549">
            <v>565</v>
          </cell>
          <cell r="CR549">
            <v>140</v>
          </cell>
          <cell r="CS549">
            <v>80</v>
          </cell>
          <cell r="CT549">
            <v>5</v>
          </cell>
          <cell r="CU549">
            <v>2540</v>
          </cell>
          <cell r="CV549">
            <v>1.8</v>
          </cell>
          <cell r="CW549">
            <v>1425</v>
          </cell>
          <cell r="CX549">
            <v>665</v>
          </cell>
          <cell r="CY549">
            <v>0</v>
          </cell>
          <cell r="CZ549">
            <v>765</v>
          </cell>
        </row>
        <row r="550">
          <cell r="A550" t="str">
            <v>4620070.00</v>
          </cell>
          <cell r="B550" t="str">
            <v>0070.00</v>
          </cell>
          <cell r="C550" t="str">
            <v>Ville-Marie</v>
          </cell>
          <cell r="D550">
            <v>1105</v>
          </cell>
          <cell r="E550">
            <v>760</v>
          </cell>
          <cell r="F550">
            <v>205</v>
          </cell>
          <cell r="G550">
            <v>15</v>
          </cell>
          <cell r="H550">
            <v>100</v>
          </cell>
          <cell r="I550">
            <v>10</v>
          </cell>
          <cell r="J550">
            <v>1105</v>
          </cell>
          <cell r="K550">
            <v>815</v>
          </cell>
          <cell r="L550">
            <v>285</v>
          </cell>
          <cell r="M550">
            <v>255</v>
          </cell>
          <cell r="N550">
            <v>205</v>
          </cell>
          <cell r="O550">
            <v>45</v>
          </cell>
          <cell r="P550">
            <v>0</v>
          </cell>
          <cell r="Q550">
            <v>0</v>
          </cell>
          <cell r="R550">
            <v>250</v>
          </cell>
          <cell r="S550">
            <v>225</v>
          </cell>
          <cell r="T550">
            <v>90</v>
          </cell>
          <cell r="U550">
            <v>65</v>
          </cell>
          <cell r="V550">
            <v>20</v>
          </cell>
          <cell r="W550">
            <v>25</v>
          </cell>
          <cell r="X550">
            <v>0</v>
          </cell>
          <cell r="Y550">
            <v>0</v>
          </cell>
          <cell r="Z550">
            <v>140</v>
          </cell>
          <cell r="AA550">
            <v>115</v>
          </cell>
          <cell r="AB550">
            <v>25</v>
          </cell>
          <cell r="AC550">
            <v>20</v>
          </cell>
          <cell r="AD550">
            <v>0</v>
          </cell>
          <cell r="AE550">
            <v>0</v>
          </cell>
          <cell r="AF550">
            <v>25</v>
          </cell>
          <cell r="AG550">
            <v>10</v>
          </cell>
          <cell r="AH550">
            <v>10</v>
          </cell>
          <cell r="AI550">
            <v>0</v>
          </cell>
          <cell r="AJ550">
            <v>0</v>
          </cell>
          <cell r="AK550">
            <v>15</v>
          </cell>
          <cell r="AL550">
            <v>15</v>
          </cell>
          <cell r="AM550">
            <v>0</v>
          </cell>
          <cell r="AN550">
            <v>0</v>
          </cell>
          <cell r="AO550">
            <v>70</v>
          </cell>
          <cell r="AP550">
            <v>0</v>
          </cell>
          <cell r="AQ550">
            <v>35</v>
          </cell>
          <cell r="AR550">
            <v>10</v>
          </cell>
          <cell r="AS550">
            <v>10</v>
          </cell>
          <cell r="AT550">
            <v>10</v>
          </cell>
          <cell r="AU550">
            <v>0.3</v>
          </cell>
          <cell r="AV550">
            <v>1075</v>
          </cell>
          <cell r="AW550">
            <v>525</v>
          </cell>
          <cell r="AX550">
            <v>30</v>
          </cell>
          <cell r="AY550">
            <v>145</v>
          </cell>
          <cell r="AZ550">
            <v>355</v>
          </cell>
          <cell r="BA550">
            <v>555</v>
          </cell>
          <cell r="BB550">
            <v>2.2000000000000002</v>
          </cell>
          <cell r="BC550">
            <v>30</v>
          </cell>
          <cell r="BD550">
            <v>10</v>
          </cell>
          <cell r="BE550">
            <v>0</v>
          </cell>
          <cell r="BF550">
            <v>0</v>
          </cell>
          <cell r="BG550">
            <v>10</v>
          </cell>
          <cell r="BH550">
            <v>20</v>
          </cell>
          <cell r="BI550">
            <v>670</v>
          </cell>
          <cell r="BJ550">
            <v>3.9</v>
          </cell>
          <cell r="BK550">
            <v>2613</v>
          </cell>
          <cell r="BL550">
            <v>1.2</v>
          </cell>
          <cell r="BM550">
            <v>804</v>
          </cell>
          <cell r="BN550">
            <v>670</v>
          </cell>
          <cell r="BO550">
            <v>385</v>
          </cell>
          <cell r="BP550">
            <v>280</v>
          </cell>
          <cell r="BQ550">
            <v>0</v>
          </cell>
          <cell r="BR550">
            <v>665</v>
          </cell>
          <cell r="BS550">
            <v>500</v>
          </cell>
          <cell r="BT550">
            <v>125</v>
          </cell>
          <cell r="BU550">
            <v>45</v>
          </cell>
          <cell r="BV550">
            <v>665</v>
          </cell>
          <cell r="BW550">
            <v>225</v>
          </cell>
          <cell r="BX550">
            <v>30</v>
          </cell>
          <cell r="BY550">
            <v>10</v>
          </cell>
          <cell r="BZ550">
            <v>10</v>
          </cell>
          <cell r="CA550">
            <v>20</v>
          </cell>
          <cell r="CB550">
            <v>0</v>
          </cell>
          <cell r="CC550">
            <v>0</v>
          </cell>
          <cell r="CD550">
            <v>60</v>
          </cell>
          <cell r="CE550">
            <v>310</v>
          </cell>
          <cell r="CF550">
            <v>665</v>
          </cell>
          <cell r="CG550">
            <v>0</v>
          </cell>
          <cell r="CH550">
            <v>0</v>
          </cell>
          <cell r="CI550">
            <v>0</v>
          </cell>
          <cell r="CJ550">
            <v>5</v>
          </cell>
          <cell r="CK550">
            <v>485</v>
          </cell>
          <cell r="CL550">
            <v>175</v>
          </cell>
          <cell r="CM550">
            <v>5</v>
          </cell>
          <cell r="CN550">
            <v>0</v>
          </cell>
          <cell r="CO550">
            <v>665</v>
          </cell>
          <cell r="CP550">
            <v>350</v>
          </cell>
          <cell r="CQ550">
            <v>260</v>
          </cell>
          <cell r="CR550">
            <v>40</v>
          </cell>
          <cell r="CS550">
            <v>15</v>
          </cell>
          <cell r="CT550">
            <v>5</v>
          </cell>
          <cell r="CU550">
            <v>1080</v>
          </cell>
          <cell r="CV550">
            <v>1.6</v>
          </cell>
          <cell r="CW550">
            <v>670</v>
          </cell>
          <cell r="CX550">
            <v>255</v>
          </cell>
          <cell r="CY550">
            <v>0</v>
          </cell>
          <cell r="CZ550">
            <v>415</v>
          </cell>
        </row>
        <row r="551">
          <cell r="A551" t="str">
            <v>4620128.00</v>
          </cell>
          <cell r="B551" t="str">
            <v>0128.00</v>
          </cell>
          <cell r="C551" t="str">
            <v>Ville-Marie</v>
          </cell>
          <cell r="D551">
            <v>3360</v>
          </cell>
          <cell r="E551">
            <v>1315</v>
          </cell>
          <cell r="F551">
            <v>1525</v>
          </cell>
          <cell r="G551">
            <v>45</v>
          </cell>
          <cell r="H551">
            <v>270</v>
          </cell>
          <cell r="I551">
            <v>200</v>
          </cell>
          <cell r="J551">
            <v>3355</v>
          </cell>
          <cell r="K551">
            <v>3125</v>
          </cell>
          <cell r="L551">
            <v>230</v>
          </cell>
          <cell r="M551">
            <v>965</v>
          </cell>
          <cell r="N551">
            <v>590</v>
          </cell>
          <cell r="O551">
            <v>160</v>
          </cell>
          <cell r="P551">
            <v>180</v>
          </cell>
          <cell r="Q551">
            <v>35</v>
          </cell>
          <cell r="R551">
            <v>965</v>
          </cell>
          <cell r="S551">
            <v>850</v>
          </cell>
          <cell r="T551">
            <v>735</v>
          </cell>
          <cell r="U551">
            <v>410</v>
          </cell>
          <cell r="V551">
            <v>320</v>
          </cell>
          <cell r="W551">
            <v>120</v>
          </cell>
          <cell r="X551">
            <v>170</v>
          </cell>
          <cell r="Y551">
            <v>30</v>
          </cell>
          <cell r="Z551">
            <v>115</v>
          </cell>
          <cell r="AA551">
            <v>85</v>
          </cell>
          <cell r="AB551">
            <v>25</v>
          </cell>
          <cell r="AC551">
            <v>25</v>
          </cell>
          <cell r="AD551">
            <v>0</v>
          </cell>
          <cell r="AE551">
            <v>0</v>
          </cell>
          <cell r="AF551">
            <v>115</v>
          </cell>
          <cell r="AG551">
            <v>100</v>
          </cell>
          <cell r="AH551">
            <v>80</v>
          </cell>
          <cell r="AI551">
            <v>20</v>
          </cell>
          <cell r="AJ551">
            <v>0</v>
          </cell>
          <cell r="AK551">
            <v>20</v>
          </cell>
          <cell r="AL551">
            <v>15</v>
          </cell>
          <cell r="AM551">
            <v>0</v>
          </cell>
          <cell r="AN551">
            <v>0</v>
          </cell>
          <cell r="AO551">
            <v>740</v>
          </cell>
          <cell r="AP551">
            <v>85</v>
          </cell>
          <cell r="AQ551">
            <v>200</v>
          </cell>
          <cell r="AR551">
            <v>105</v>
          </cell>
          <cell r="AS551">
            <v>210</v>
          </cell>
          <cell r="AT551">
            <v>145</v>
          </cell>
          <cell r="AU551">
            <v>0.8</v>
          </cell>
          <cell r="AV551">
            <v>3560</v>
          </cell>
          <cell r="AW551">
            <v>1000</v>
          </cell>
          <cell r="AX551">
            <v>85</v>
          </cell>
          <cell r="AY551">
            <v>175</v>
          </cell>
          <cell r="AZ551">
            <v>740</v>
          </cell>
          <cell r="BA551">
            <v>2560</v>
          </cell>
          <cell r="BB551">
            <v>2.7</v>
          </cell>
          <cell r="BC551">
            <v>855</v>
          </cell>
          <cell r="BD551">
            <v>300</v>
          </cell>
          <cell r="BE551">
            <v>15</v>
          </cell>
          <cell r="BF551">
            <v>15</v>
          </cell>
          <cell r="BG551">
            <v>265</v>
          </cell>
          <cell r="BH551">
            <v>560</v>
          </cell>
          <cell r="BI551">
            <v>1800</v>
          </cell>
          <cell r="BJ551">
            <v>5.9</v>
          </cell>
          <cell r="BK551">
            <v>10620</v>
          </cell>
          <cell r="BL551">
            <v>2.2999999999999998</v>
          </cell>
          <cell r="BM551">
            <v>4140</v>
          </cell>
          <cell r="BN551">
            <v>1805</v>
          </cell>
          <cell r="BO551">
            <v>965</v>
          </cell>
          <cell r="BP551">
            <v>840</v>
          </cell>
          <cell r="BQ551">
            <v>0</v>
          </cell>
          <cell r="BR551">
            <v>1800</v>
          </cell>
          <cell r="BS551">
            <v>1155</v>
          </cell>
          <cell r="BT551">
            <v>520</v>
          </cell>
          <cell r="BU551">
            <v>130</v>
          </cell>
          <cell r="BV551">
            <v>1800</v>
          </cell>
          <cell r="BW551">
            <v>760</v>
          </cell>
          <cell r="BX551">
            <v>235</v>
          </cell>
          <cell r="BY551">
            <v>195</v>
          </cell>
          <cell r="BZ551">
            <v>190</v>
          </cell>
          <cell r="CA551">
            <v>150</v>
          </cell>
          <cell r="CB551">
            <v>135</v>
          </cell>
          <cell r="CC551">
            <v>45</v>
          </cell>
          <cell r="CD551">
            <v>15</v>
          </cell>
          <cell r="CE551">
            <v>80</v>
          </cell>
          <cell r="CF551">
            <v>1800</v>
          </cell>
          <cell r="CG551">
            <v>170</v>
          </cell>
          <cell r="CH551">
            <v>120</v>
          </cell>
          <cell r="CI551">
            <v>165</v>
          </cell>
          <cell r="CJ551">
            <v>15</v>
          </cell>
          <cell r="CK551">
            <v>980</v>
          </cell>
          <cell r="CL551">
            <v>345</v>
          </cell>
          <cell r="CM551">
            <v>5</v>
          </cell>
          <cell r="CN551">
            <v>0</v>
          </cell>
          <cell r="CO551">
            <v>1805</v>
          </cell>
          <cell r="CP551">
            <v>740</v>
          </cell>
          <cell r="CQ551">
            <v>660</v>
          </cell>
          <cell r="CR551">
            <v>210</v>
          </cell>
          <cell r="CS551">
            <v>175</v>
          </cell>
          <cell r="CT551">
            <v>25</v>
          </cell>
          <cell r="CU551">
            <v>3560</v>
          </cell>
          <cell r="CV551">
            <v>2</v>
          </cell>
          <cell r="CW551">
            <v>1800</v>
          </cell>
          <cell r="CX551">
            <v>970</v>
          </cell>
          <cell r="CY551">
            <v>0</v>
          </cell>
          <cell r="CZ551">
            <v>835</v>
          </cell>
        </row>
        <row r="552">
          <cell r="A552" t="str">
            <v>4620129.01</v>
          </cell>
          <cell r="B552" t="str">
            <v>0129.01</v>
          </cell>
          <cell r="C552" t="str">
            <v>Ville-Marie</v>
          </cell>
          <cell r="D552">
            <v>3855</v>
          </cell>
          <cell r="E552">
            <v>1755</v>
          </cell>
          <cell r="F552">
            <v>1420</v>
          </cell>
          <cell r="G552">
            <v>55</v>
          </cell>
          <cell r="H552">
            <v>390</v>
          </cell>
          <cell r="I552">
            <v>230</v>
          </cell>
          <cell r="J552">
            <v>3855</v>
          </cell>
          <cell r="K552">
            <v>3490</v>
          </cell>
          <cell r="L552">
            <v>370</v>
          </cell>
          <cell r="M552">
            <v>980</v>
          </cell>
          <cell r="N552">
            <v>680</v>
          </cell>
          <cell r="O552">
            <v>200</v>
          </cell>
          <cell r="P552">
            <v>55</v>
          </cell>
          <cell r="Q552">
            <v>40</v>
          </cell>
          <cell r="R552">
            <v>980</v>
          </cell>
          <cell r="S552">
            <v>865</v>
          </cell>
          <cell r="T552">
            <v>680</v>
          </cell>
          <cell r="U552">
            <v>445</v>
          </cell>
          <cell r="V552">
            <v>240</v>
          </cell>
          <cell r="W552">
            <v>145</v>
          </cell>
          <cell r="X552">
            <v>50</v>
          </cell>
          <cell r="Y552">
            <v>40</v>
          </cell>
          <cell r="Z552">
            <v>185</v>
          </cell>
          <cell r="AA552">
            <v>170</v>
          </cell>
          <cell r="AB552">
            <v>20</v>
          </cell>
          <cell r="AC552">
            <v>15</v>
          </cell>
          <cell r="AD552">
            <v>0</v>
          </cell>
          <cell r="AE552">
            <v>0</v>
          </cell>
          <cell r="AF552">
            <v>110</v>
          </cell>
          <cell r="AG552">
            <v>95</v>
          </cell>
          <cell r="AH552">
            <v>50</v>
          </cell>
          <cell r="AI552">
            <v>35</v>
          </cell>
          <cell r="AJ552">
            <v>0</v>
          </cell>
          <cell r="AK552">
            <v>15</v>
          </cell>
          <cell r="AL552">
            <v>15</v>
          </cell>
          <cell r="AM552">
            <v>0</v>
          </cell>
          <cell r="AN552">
            <v>0</v>
          </cell>
          <cell r="AO552">
            <v>570</v>
          </cell>
          <cell r="AP552">
            <v>100</v>
          </cell>
          <cell r="AQ552">
            <v>75</v>
          </cell>
          <cell r="AR552">
            <v>35</v>
          </cell>
          <cell r="AS552">
            <v>210</v>
          </cell>
          <cell r="AT552">
            <v>145</v>
          </cell>
          <cell r="AU552">
            <v>0.6</v>
          </cell>
          <cell r="AV552">
            <v>3995</v>
          </cell>
          <cell r="AW552">
            <v>1575</v>
          </cell>
          <cell r="AX552">
            <v>170</v>
          </cell>
          <cell r="AY552">
            <v>165</v>
          </cell>
          <cell r="AZ552">
            <v>1240</v>
          </cell>
          <cell r="BA552">
            <v>2420</v>
          </cell>
          <cell r="BB552">
            <v>2.5</v>
          </cell>
          <cell r="BC552">
            <v>985</v>
          </cell>
          <cell r="BD552">
            <v>400</v>
          </cell>
          <cell r="BE552">
            <v>10</v>
          </cell>
          <cell r="BF552">
            <v>10</v>
          </cell>
          <cell r="BG552">
            <v>380</v>
          </cell>
          <cell r="BH552">
            <v>585</v>
          </cell>
          <cell r="BI552">
            <v>2350</v>
          </cell>
          <cell r="BJ552">
            <v>4.0999999999999996</v>
          </cell>
          <cell r="BK552">
            <v>9635</v>
          </cell>
          <cell r="BL552">
            <v>1.6</v>
          </cell>
          <cell r="BM552">
            <v>3760</v>
          </cell>
          <cell r="BN552">
            <v>2350</v>
          </cell>
          <cell r="BO552">
            <v>765</v>
          </cell>
          <cell r="BP552">
            <v>1585</v>
          </cell>
          <cell r="BQ552">
            <v>0</v>
          </cell>
          <cell r="BR552">
            <v>2350</v>
          </cell>
          <cell r="BS552">
            <v>1625</v>
          </cell>
          <cell r="BT552">
            <v>520</v>
          </cell>
          <cell r="BU552">
            <v>205</v>
          </cell>
          <cell r="BV552">
            <v>2355</v>
          </cell>
          <cell r="BW552">
            <v>375</v>
          </cell>
          <cell r="BX552">
            <v>505</v>
          </cell>
          <cell r="BY552">
            <v>705</v>
          </cell>
          <cell r="BZ552">
            <v>480</v>
          </cell>
          <cell r="CA552">
            <v>190</v>
          </cell>
          <cell r="CB552">
            <v>80</v>
          </cell>
          <cell r="CC552">
            <v>0</v>
          </cell>
          <cell r="CD552">
            <v>0</v>
          </cell>
          <cell r="CE552">
            <v>10</v>
          </cell>
          <cell r="CF552">
            <v>2355</v>
          </cell>
          <cell r="CG552">
            <v>5</v>
          </cell>
          <cell r="CH552">
            <v>5</v>
          </cell>
          <cell r="CI552">
            <v>100</v>
          </cell>
          <cell r="CJ552">
            <v>10</v>
          </cell>
          <cell r="CK552">
            <v>1970</v>
          </cell>
          <cell r="CL552">
            <v>255</v>
          </cell>
          <cell r="CM552">
            <v>10</v>
          </cell>
          <cell r="CN552">
            <v>0</v>
          </cell>
          <cell r="CO552">
            <v>2355</v>
          </cell>
          <cell r="CP552">
            <v>1245</v>
          </cell>
          <cell r="CQ552">
            <v>780</v>
          </cell>
          <cell r="CR552">
            <v>185</v>
          </cell>
          <cell r="CS552">
            <v>135</v>
          </cell>
          <cell r="CT552">
            <v>15</v>
          </cell>
          <cell r="CU552">
            <v>3995</v>
          </cell>
          <cell r="CV552">
            <v>1.7</v>
          </cell>
          <cell r="CW552">
            <v>2350</v>
          </cell>
          <cell r="CX552">
            <v>955</v>
          </cell>
          <cell r="CY552">
            <v>10</v>
          </cell>
          <cell r="CZ552">
            <v>1385</v>
          </cell>
        </row>
        <row r="553">
          <cell r="A553" t="str">
            <v>4620129.02</v>
          </cell>
          <cell r="B553" t="str">
            <v>0129.02</v>
          </cell>
          <cell r="C553" t="str">
            <v>Ville-Marie</v>
          </cell>
          <cell r="D553">
            <v>3670</v>
          </cell>
          <cell r="E553">
            <v>2010</v>
          </cell>
          <cell r="F553">
            <v>1135</v>
          </cell>
          <cell r="G553">
            <v>50</v>
          </cell>
          <cell r="H553">
            <v>280</v>
          </cell>
          <cell r="I553">
            <v>190</v>
          </cell>
          <cell r="J553">
            <v>3670</v>
          </cell>
          <cell r="K553">
            <v>3380</v>
          </cell>
          <cell r="L553">
            <v>290</v>
          </cell>
          <cell r="M553">
            <v>775</v>
          </cell>
          <cell r="N553">
            <v>560</v>
          </cell>
          <cell r="O553">
            <v>120</v>
          </cell>
          <cell r="P553">
            <v>60</v>
          </cell>
          <cell r="Q553">
            <v>40</v>
          </cell>
          <cell r="R553">
            <v>775</v>
          </cell>
          <cell r="S553">
            <v>695</v>
          </cell>
          <cell r="T553">
            <v>555</v>
          </cell>
          <cell r="U553">
            <v>350</v>
          </cell>
          <cell r="V553">
            <v>205</v>
          </cell>
          <cell r="W553">
            <v>110</v>
          </cell>
          <cell r="X553">
            <v>55</v>
          </cell>
          <cell r="Y553">
            <v>40</v>
          </cell>
          <cell r="Z553">
            <v>145</v>
          </cell>
          <cell r="AA553">
            <v>145</v>
          </cell>
          <cell r="AB553">
            <v>0</v>
          </cell>
          <cell r="AC553">
            <v>0</v>
          </cell>
          <cell r="AD553">
            <v>0</v>
          </cell>
          <cell r="AE553">
            <v>0</v>
          </cell>
          <cell r="AF553">
            <v>80</v>
          </cell>
          <cell r="AG553">
            <v>65</v>
          </cell>
          <cell r="AH553">
            <v>55</v>
          </cell>
          <cell r="AI553">
            <v>10</v>
          </cell>
          <cell r="AJ553">
            <v>0</v>
          </cell>
          <cell r="AK553">
            <v>15</v>
          </cell>
          <cell r="AL553">
            <v>10</v>
          </cell>
          <cell r="AM553">
            <v>0</v>
          </cell>
          <cell r="AN553">
            <v>0</v>
          </cell>
          <cell r="AO553">
            <v>435</v>
          </cell>
          <cell r="AP553">
            <v>80</v>
          </cell>
          <cell r="AQ553">
            <v>70</v>
          </cell>
          <cell r="AR553">
            <v>60</v>
          </cell>
          <cell r="AS553">
            <v>145</v>
          </cell>
          <cell r="AT553">
            <v>80</v>
          </cell>
          <cell r="AU553">
            <v>0.6</v>
          </cell>
          <cell r="AV553">
            <v>3780</v>
          </cell>
          <cell r="AW553">
            <v>1875</v>
          </cell>
          <cell r="AX553">
            <v>175</v>
          </cell>
          <cell r="AY553">
            <v>355</v>
          </cell>
          <cell r="AZ553">
            <v>1340</v>
          </cell>
          <cell r="BA553">
            <v>1910</v>
          </cell>
          <cell r="BB553">
            <v>2.5</v>
          </cell>
          <cell r="BC553">
            <v>705</v>
          </cell>
          <cell r="BD553">
            <v>315</v>
          </cell>
          <cell r="BE553">
            <v>20</v>
          </cell>
          <cell r="BF553">
            <v>15</v>
          </cell>
          <cell r="BG553">
            <v>280</v>
          </cell>
          <cell r="BH553">
            <v>390</v>
          </cell>
          <cell r="BI553">
            <v>2335</v>
          </cell>
          <cell r="BJ553">
            <v>3.8</v>
          </cell>
          <cell r="BK553">
            <v>8873</v>
          </cell>
          <cell r="BL553">
            <v>1.4</v>
          </cell>
          <cell r="BM553">
            <v>3269</v>
          </cell>
          <cell r="BN553">
            <v>2335</v>
          </cell>
          <cell r="BO553">
            <v>335</v>
          </cell>
          <cell r="BP553">
            <v>1995</v>
          </cell>
          <cell r="BQ553">
            <v>0</v>
          </cell>
          <cell r="BR553">
            <v>2330</v>
          </cell>
          <cell r="BS553">
            <v>1740</v>
          </cell>
          <cell r="BT553">
            <v>470</v>
          </cell>
          <cell r="BU553">
            <v>120</v>
          </cell>
          <cell r="BV553">
            <v>2335</v>
          </cell>
          <cell r="BW553">
            <v>335</v>
          </cell>
          <cell r="BX553">
            <v>445</v>
          </cell>
          <cell r="BY553">
            <v>735</v>
          </cell>
          <cell r="BZ553">
            <v>625</v>
          </cell>
          <cell r="CA553">
            <v>110</v>
          </cell>
          <cell r="CB553">
            <v>50</v>
          </cell>
          <cell r="CC553">
            <v>25</v>
          </cell>
          <cell r="CD553">
            <v>0</v>
          </cell>
          <cell r="CE553">
            <v>0</v>
          </cell>
          <cell r="CF553">
            <v>2330</v>
          </cell>
          <cell r="CG553">
            <v>5</v>
          </cell>
          <cell r="CH553">
            <v>0</v>
          </cell>
          <cell r="CI553">
            <v>35</v>
          </cell>
          <cell r="CJ553">
            <v>0</v>
          </cell>
          <cell r="CK553">
            <v>2140</v>
          </cell>
          <cell r="CL553">
            <v>140</v>
          </cell>
          <cell r="CM553">
            <v>5</v>
          </cell>
          <cell r="CN553">
            <v>0</v>
          </cell>
          <cell r="CO553">
            <v>2335</v>
          </cell>
          <cell r="CP553">
            <v>1345</v>
          </cell>
          <cell r="CQ553">
            <v>710</v>
          </cell>
          <cell r="CR553">
            <v>160</v>
          </cell>
          <cell r="CS553">
            <v>110</v>
          </cell>
          <cell r="CT553">
            <v>10</v>
          </cell>
          <cell r="CU553">
            <v>3785</v>
          </cell>
          <cell r="CV553">
            <v>1.6</v>
          </cell>
          <cell r="CW553">
            <v>2330</v>
          </cell>
          <cell r="CX553">
            <v>775</v>
          </cell>
          <cell r="CY553">
            <v>0</v>
          </cell>
          <cell r="CZ553">
            <v>1555</v>
          </cell>
        </row>
        <row r="554">
          <cell r="C554" t="str">
            <v>Ville-Marie</v>
          </cell>
          <cell r="D554">
            <v>71895</v>
          </cell>
          <cell r="E554">
            <v>44455</v>
          </cell>
          <cell r="F554">
            <v>16000</v>
          </cell>
          <cell r="G554">
            <v>1600</v>
          </cell>
          <cell r="H554">
            <v>6610</v>
          </cell>
          <cell r="I554">
            <v>3170</v>
          </cell>
          <cell r="J554">
            <v>71905</v>
          </cell>
          <cell r="K554">
            <v>61640</v>
          </cell>
          <cell r="L554">
            <v>10255</v>
          </cell>
          <cell r="M554">
            <v>15145</v>
          </cell>
          <cell r="N554">
            <v>10065</v>
          </cell>
          <cell r="O554">
            <v>2640</v>
          </cell>
          <cell r="P554">
            <v>1585</v>
          </cell>
          <cell r="Q554">
            <v>810</v>
          </cell>
          <cell r="R554">
            <v>15135</v>
          </cell>
          <cell r="S554">
            <v>12260</v>
          </cell>
          <cell r="T554">
            <v>7405</v>
          </cell>
          <cell r="U554">
            <v>4035</v>
          </cell>
          <cell r="V554">
            <v>3350</v>
          </cell>
          <cell r="W554">
            <v>1540</v>
          </cell>
          <cell r="X554">
            <v>1165</v>
          </cell>
          <cell r="Y554">
            <v>620</v>
          </cell>
          <cell r="Z554">
            <v>4845</v>
          </cell>
          <cell r="AA554">
            <v>3990</v>
          </cell>
          <cell r="AB554">
            <v>855</v>
          </cell>
          <cell r="AC554">
            <v>505</v>
          </cell>
          <cell r="AD554">
            <v>275</v>
          </cell>
          <cell r="AE554">
            <v>50</v>
          </cell>
          <cell r="AF554">
            <v>2865</v>
          </cell>
          <cell r="AG554">
            <v>2400</v>
          </cell>
          <cell r="AH554">
            <v>1665</v>
          </cell>
          <cell r="AI554">
            <v>480</v>
          </cell>
          <cell r="AJ554">
            <v>245</v>
          </cell>
          <cell r="AK554">
            <v>445</v>
          </cell>
          <cell r="AL554">
            <v>315</v>
          </cell>
          <cell r="AM554">
            <v>90</v>
          </cell>
          <cell r="AN554">
            <v>20</v>
          </cell>
          <cell r="AO554">
            <v>11460</v>
          </cell>
          <cell r="AP554">
            <v>2610</v>
          </cell>
          <cell r="AQ554">
            <v>3135</v>
          </cell>
          <cell r="AR554">
            <v>1210</v>
          </cell>
          <cell r="AS554">
            <v>2460</v>
          </cell>
          <cell r="AT554">
            <v>1955</v>
          </cell>
          <cell r="AU554">
            <v>0.75718533201189298</v>
          </cell>
          <cell r="AV554">
            <v>72610</v>
          </cell>
          <cell r="AW554">
            <v>33685</v>
          </cell>
          <cell r="AX554">
            <v>2200</v>
          </cell>
          <cell r="AY554">
            <v>8900</v>
          </cell>
          <cell r="AZ554">
            <v>22540</v>
          </cell>
          <cell r="BA554">
            <v>38905</v>
          </cell>
          <cell r="BB554">
            <v>2.5705318797489265</v>
          </cell>
          <cell r="BC554">
            <v>8975</v>
          </cell>
          <cell r="BD554">
            <v>4830</v>
          </cell>
          <cell r="BE554">
            <v>165</v>
          </cell>
          <cell r="BF554">
            <v>280</v>
          </cell>
          <cell r="BG554">
            <v>4330</v>
          </cell>
          <cell r="BH554">
            <v>4140</v>
          </cell>
          <cell r="BI554">
            <v>42145</v>
          </cell>
          <cell r="BJ554">
            <v>2.095100249139874</v>
          </cell>
          <cell r="BK554">
            <v>88298</v>
          </cell>
          <cell r="BL554">
            <v>0.7682168703286274</v>
          </cell>
          <cell r="BM554">
            <v>32376.5</v>
          </cell>
          <cell r="BN554">
            <v>42155</v>
          </cell>
          <cell r="BO554">
            <v>9645</v>
          </cell>
          <cell r="BP554">
            <v>32475</v>
          </cell>
          <cell r="BQ554">
            <v>0</v>
          </cell>
          <cell r="BR554">
            <v>42125</v>
          </cell>
          <cell r="BS554">
            <v>26545</v>
          </cell>
          <cell r="BT554">
            <v>11550</v>
          </cell>
          <cell r="BU554">
            <v>4025</v>
          </cell>
          <cell r="BV554">
            <v>42140</v>
          </cell>
          <cell r="BW554">
            <v>12890</v>
          </cell>
          <cell r="BX554">
            <v>5580</v>
          </cell>
          <cell r="BY554">
            <v>6935</v>
          </cell>
          <cell r="BZ554">
            <v>6725</v>
          </cell>
          <cell r="CA554">
            <v>2425</v>
          </cell>
          <cell r="CB554">
            <v>2550</v>
          </cell>
          <cell r="CC554">
            <v>1360</v>
          </cell>
          <cell r="CD554">
            <v>1055</v>
          </cell>
          <cell r="CE554">
            <v>2530</v>
          </cell>
          <cell r="CF554">
            <v>43225</v>
          </cell>
          <cell r="CG554">
            <v>225</v>
          </cell>
          <cell r="CH554">
            <v>145</v>
          </cell>
          <cell r="CI554">
            <v>915</v>
          </cell>
          <cell r="CJ554">
            <v>985</v>
          </cell>
          <cell r="CK554">
            <v>18845</v>
          </cell>
          <cell r="CL554">
            <v>21870</v>
          </cell>
          <cell r="CM554">
            <v>220</v>
          </cell>
          <cell r="CN554">
            <v>15</v>
          </cell>
          <cell r="CO554">
            <v>43240</v>
          </cell>
          <cell r="CP554">
            <v>23175</v>
          </cell>
          <cell r="CQ554">
            <v>13465</v>
          </cell>
          <cell r="CR554">
            <v>3715</v>
          </cell>
          <cell r="CS554">
            <v>2545</v>
          </cell>
          <cell r="CT554">
            <v>350</v>
          </cell>
          <cell r="CU554">
            <v>74265</v>
          </cell>
          <cell r="CV554">
            <v>1.7175069380203516</v>
          </cell>
          <cell r="CW554">
            <v>42130</v>
          </cell>
          <cell r="CX554">
            <v>14920</v>
          </cell>
          <cell r="CY554">
            <v>115</v>
          </cell>
          <cell r="CZ554">
            <v>27115</v>
          </cell>
        </row>
        <row r="557">
          <cell r="A557" t="str">
            <v>4620220.00</v>
          </cell>
          <cell r="B557" t="str">
            <v>0220.00</v>
          </cell>
          <cell r="C557" t="str">
            <v>Villeray-Saint-Michel-Parc-Extension</v>
          </cell>
          <cell r="D557">
            <v>4815</v>
          </cell>
          <cell r="E557">
            <v>1875</v>
          </cell>
          <cell r="F557">
            <v>2165</v>
          </cell>
          <cell r="G557">
            <v>185</v>
          </cell>
          <cell r="H557">
            <v>355</v>
          </cell>
          <cell r="I557">
            <v>235</v>
          </cell>
          <cell r="J557">
            <v>4815</v>
          </cell>
          <cell r="K557">
            <v>4555</v>
          </cell>
          <cell r="L557">
            <v>260</v>
          </cell>
          <cell r="M557">
            <v>1420</v>
          </cell>
          <cell r="N557">
            <v>575</v>
          </cell>
          <cell r="O557">
            <v>375</v>
          </cell>
          <cell r="P557">
            <v>305</v>
          </cell>
          <cell r="Q557">
            <v>160</v>
          </cell>
          <cell r="R557">
            <v>1420</v>
          </cell>
          <cell r="S557">
            <v>1120</v>
          </cell>
          <cell r="T557">
            <v>985</v>
          </cell>
          <cell r="U557">
            <v>250</v>
          </cell>
          <cell r="V557">
            <v>730</v>
          </cell>
          <cell r="W557">
            <v>310</v>
          </cell>
          <cell r="X557">
            <v>270</v>
          </cell>
          <cell r="Y557">
            <v>145</v>
          </cell>
          <cell r="Z557">
            <v>135</v>
          </cell>
          <cell r="AA557">
            <v>105</v>
          </cell>
          <cell r="AB557">
            <v>25</v>
          </cell>
          <cell r="AC557">
            <v>0</v>
          </cell>
          <cell r="AD557">
            <v>20</v>
          </cell>
          <cell r="AE557">
            <v>0</v>
          </cell>
          <cell r="AF557">
            <v>305</v>
          </cell>
          <cell r="AG557">
            <v>230</v>
          </cell>
          <cell r="AH557">
            <v>165</v>
          </cell>
          <cell r="AI557">
            <v>35</v>
          </cell>
          <cell r="AJ557">
            <v>30</v>
          </cell>
          <cell r="AK557">
            <v>75</v>
          </cell>
          <cell r="AL557">
            <v>55</v>
          </cell>
          <cell r="AM557">
            <v>15</v>
          </cell>
          <cell r="AN557">
            <v>10</v>
          </cell>
          <cell r="AO557">
            <v>1855</v>
          </cell>
          <cell r="AP557">
            <v>535</v>
          </cell>
          <cell r="AQ557">
            <v>550</v>
          </cell>
          <cell r="AR557">
            <v>190</v>
          </cell>
          <cell r="AS557">
            <v>265</v>
          </cell>
          <cell r="AT557">
            <v>315</v>
          </cell>
          <cell r="AU557">
            <v>1.3</v>
          </cell>
          <cell r="AV557">
            <v>5895</v>
          </cell>
          <cell r="AW557">
            <v>1500</v>
          </cell>
          <cell r="AX557">
            <v>145</v>
          </cell>
          <cell r="AY557">
            <v>385</v>
          </cell>
          <cell r="AZ557">
            <v>965</v>
          </cell>
          <cell r="BA557">
            <v>4395</v>
          </cell>
          <cell r="BB557">
            <v>3.1</v>
          </cell>
          <cell r="BC557">
            <v>610</v>
          </cell>
          <cell r="BD557">
            <v>270</v>
          </cell>
          <cell r="BE557">
            <v>60</v>
          </cell>
          <cell r="BF557">
            <v>10</v>
          </cell>
          <cell r="BG557">
            <v>205</v>
          </cell>
          <cell r="BH557">
            <v>345</v>
          </cell>
          <cell r="BI557">
            <v>2505</v>
          </cell>
          <cell r="BJ557">
            <v>3.8</v>
          </cell>
          <cell r="BK557">
            <v>9519</v>
          </cell>
          <cell r="BL557">
            <v>1.6</v>
          </cell>
          <cell r="BM557">
            <v>4008</v>
          </cell>
          <cell r="BN557">
            <v>2505</v>
          </cell>
          <cell r="BO557">
            <v>440</v>
          </cell>
          <cell r="BP557">
            <v>2065</v>
          </cell>
          <cell r="BQ557">
            <v>0</v>
          </cell>
          <cell r="BR557">
            <v>2505</v>
          </cell>
          <cell r="BS557">
            <v>1550</v>
          </cell>
          <cell r="BT557">
            <v>655</v>
          </cell>
          <cell r="BU557">
            <v>295</v>
          </cell>
          <cell r="BV557">
            <v>2505</v>
          </cell>
          <cell r="BW557">
            <v>495</v>
          </cell>
          <cell r="BX557">
            <v>890</v>
          </cell>
          <cell r="BY557">
            <v>575</v>
          </cell>
          <cell r="BZ557">
            <v>185</v>
          </cell>
          <cell r="CA557">
            <v>90</v>
          </cell>
          <cell r="CB557">
            <v>35</v>
          </cell>
          <cell r="CC557">
            <v>45</v>
          </cell>
          <cell r="CD557">
            <v>35</v>
          </cell>
          <cell r="CE557">
            <v>150</v>
          </cell>
          <cell r="CF557">
            <v>2510</v>
          </cell>
          <cell r="CG557">
            <v>0</v>
          </cell>
          <cell r="CH557">
            <v>0</v>
          </cell>
          <cell r="CI557">
            <v>20</v>
          </cell>
          <cell r="CJ557">
            <v>215</v>
          </cell>
          <cell r="CK557">
            <v>235</v>
          </cell>
          <cell r="CL557">
            <v>2025</v>
          </cell>
          <cell r="CM557">
            <v>10</v>
          </cell>
          <cell r="CN557">
            <v>5</v>
          </cell>
          <cell r="CO557">
            <v>2505</v>
          </cell>
          <cell r="CP557">
            <v>970</v>
          </cell>
          <cell r="CQ557">
            <v>630</v>
          </cell>
          <cell r="CR557">
            <v>390</v>
          </cell>
          <cell r="CS557">
            <v>430</v>
          </cell>
          <cell r="CT557">
            <v>90</v>
          </cell>
          <cell r="CU557">
            <v>5895</v>
          </cell>
          <cell r="CV557">
            <v>2.4</v>
          </cell>
          <cell r="CW557">
            <v>2505</v>
          </cell>
          <cell r="CX557">
            <v>1315</v>
          </cell>
          <cell r="CY557">
            <v>50</v>
          </cell>
          <cell r="CZ557">
            <v>1135</v>
          </cell>
        </row>
        <row r="558">
          <cell r="A558" t="str">
            <v>4620221.00</v>
          </cell>
          <cell r="B558" t="str">
            <v>0221.00</v>
          </cell>
          <cell r="C558" t="str">
            <v>Villeray-Saint-Michel-Parc-Extension</v>
          </cell>
          <cell r="D558">
            <v>5315</v>
          </cell>
          <cell r="E558">
            <v>1880</v>
          </cell>
          <cell r="F558">
            <v>2590</v>
          </cell>
          <cell r="G558">
            <v>155</v>
          </cell>
          <cell r="H558">
            <v>395</v>
          </cell>
          <cell r="I558">
            <v>300</v>
          </cell>
          <cell r="J558">
            <v>5310</v>
          </cell>
          <cell r="K558">
            <v>5100</v>
          </cell>
          <cell r="L558">
            <v>210</v>
          </cell>
          <cell r="M558">
            <v>1675</v>
          </cell>
          <cell r="N558">
            <v>720</v>
          </cell>
          <cell r="O558">
            <v>425</v>
          </cell>
          <cell r="P558">
            <v>320</v>
          </cell>
          <cell r="Q558">
            <v>205</v>
          </cell>
          <cell r="R558">
            <v>1670</v>
          </cell>
          <cell r="S558">
            <v>1290</v>
          </cell>
          <cell r="T558">
            <v>1185</v>
          </cell>
          <cell r="U558">
            <v>415</v>
          </cell>
          <cell r="V558">
            <v>770</v>
          </cell>
          <cell r="W558">
            <v>315</v>
          </cell>
          <cell r="X558">
            <v>275</v>
          </cell>
          <cell r="Y558">
            <v>180</v>
          </cell>
          <cell r="Z558">
            <v>100</v>
          </cell>
          <cell r="AA558">
            <v>55</v>
          </cell>
          <cell r="AB558">
            <v>50</v>
          </cell>
          <cell r="AC558">
            <v>30</v>
          </cell>
          <cell r="AD558">
            <v>10</v>
          </cell>
          <cell r="AE558">
            <v>10</v>
          </cell>
          <cell r="AF558">
            <v>380</v>
          </cell>
          <cell r="AG558">
            <v>315</v>
          </cell>
          <cell r="AH558">
            <v>215</v>
          </cell>
          <cell r="AI558">
            <v>50</v>
          </cell>
          <cell r="AJ558">
            <v>45</v>
          </cell>
          <cell r="AK558">
            <v>65</v>
          </cell>
          <cell r="AL558">
            <v>35</v>
          </cell>
          <cell r="AM558">
            <v>25</v>
          </cell>
          <cell r="AN558">
            <v>10</v>
          </cell>
          <cell r="AO558">
            <v>2175</v>
          </cell>
          <cell r="AP558">
            <v>495</v>
          </cell>
          <cell r="AQ558">
            <v>680</v>
          </cell>
          <cell r="AR558">
            <v>180</v>
          </cell>
          <cell r="AS558">
            <v>385</v>
          </cell>
          <cell r="AT558">
            <v>430</v>
          </cell>
          <cell r="AU558">
            <v>1.3</v>
          </cell>
          <cell r="AV558">
            <v>6495</v>
          </cell>
          <cell r="AW558">
            <v>1355</v>
          </cell>
          <cell r="AX558">
            <v>185</v>
          </cell>
          <cell r="AY558">
            <v>230</v>
          </cell>
          <cell r="AZ558">
            <v>940</v>
          </cell>
          <cell r="BA558">
            <v>5140</v>
          </cell>
          <cell r="BB558">
            <v>3.1</v>
          </cell>
          <cell r="BC558">
            <v>955</v>
          </cell>
          <cell r="BD558">
            <v>320</v>
          </cell>
          <cell r="BE558">
            <v>20</v>
          </cell>
          <cell r="BF558">
            <v>10</v>
          </cell>
          <cell r="BG558">
            <v>290</v>
          </cell>
          <cell r="BH558">
            <v>635</v>
          </cell>
          <cell r="BI558">
            <v>2675</v>
          </cell>
          <cell r="BJ558">
            <v>3.9</v>
          </cell>
          <cell r="BK558">
            <v>10432.5</v>
          </cell>
          <cell r="BL558">
            <v>1.7</v>
          </cell>
          <cell r="BM558">
            <v>4547.5</v>
          </cell>
          <cell r="BN558">
            <v>2675</v>
          </cell>
          <cell r="BO558">
            <v>520</v>
          </cell>
          <cell r="BP558">
            <v>2155</v>
          </cell>
          <cell r="BQ558">
            <v>0</v>
          </cell>
          <cell r="BR558">
            <v>2675</v>
          </cell>
          <cell r="BS558">
            <v>1505</v>
          </cell>
          <cell r="BT558">
            <v>840</v>
          </cell>
          <cell r="BU558">
            <v>325</v>
          </cell>
          <cell r="BV558">
            <v>2675</v>
          </cell>
          <cell r="BW558">
            <v>565</v>
          </cell>
          <cell r="BX558">
            <v>1120</v>
          </cell>
          <cell r="BY558">
            <v>705</v>
          </cell>
          <cell r="BZ558">
            <v>180</v>
          </cell>
          <cell r="CA558">
            <v>65</v>
          </cell>
          <cell r="CB558">
            <v>10</v>
          </cell>
          <cell r="CC558">
            <v>0</v>
          </cell>
          <cell r="CD558">
            <v>10</v>
          </cell>
          <cell r="CE558">
            <v>25</v>
          </cell>
          <cell r="CF558">
            <v>2675</v>
          </cell>
          <cell r="CG558">
            <v>15</v>
          </cell>
          <cell r="CH558">
            <v>5</v>
          </cell>
          <cell r="CI558">
            <v>25</v>
          </cell>
          <cell r="CJ558">
            <v>340</v>
          </cell>
          <cell r="CK558">
            <v>115</v>
          </cell>
          <cell r="CL558">
            <v>2160</v>
          </cell>
          <cell r="CM558">
            <v>10</v>
          </cell>
          <cell r="CN558">
            <v>5</v>
          </cell>
          <cell r="CO558">
            <v>2675</v>
          </cell>
          <cell r="CP558">
            <v>945</v>
          </cell>
          <cell r="CQ558">
            <v>695</v>
          </cell>
          <cell r="CR558">
            <v>430</v>
          </cell>
          <cell r="CS558">
            <v>490</v>
          </cell>
          <cell r="CT558">
            <v>110</v>
          </cell>
          <cell r="CU558">
            <v>6495</v>
          </cell>
          <cell r="CV558">
            <v>2.4</v>
          </cell>
          <cell r="CW558">
            <v>2675</v>
          </cell>
          <cell r="CX558">
            <v>1560</v>
          </cell>
          <cell r="CY558">
            <v>50</v>
          </cell>
          <cell r="CZ558">
            <v>1060</v>
          </cell>
        </row>
        <row r="559">
          <cell r="A559" t="str">
            <v>4620222.00</v>
          </cell>
          <cell r="B559" t="str">
            <v>0222.00</v>
          </cell>
          <cell r="C559" t="str">
            <v>Villeray-Saint-Michel-Parc-Extension</v>
          </cell>
          <cell r="D559">
            <v>3165</v>
          </cell>
          <cell r="E559">
            <v>1100</v>
          </cell>
          <cell r="F559">
            <v>1580</v>
          </cell>
          <cell r="G559">
            <v>90</v>
          </cell>
          <cell r="H559">
            <v>210</v>
          </cell>
          <cell r="I559">
            <v>185</v>
          </cell>
          <cell r="J559">
            <v>3170</v>
          </cell>
          <cell r="K559">
            <v>3065</v>
          </cell>
          <cell r="L559">
            <v>100</v>
          </cell>
          <cell r="M559">
            <v>985</v>
          </cell>
          <cell r="N559">
            <v>350</v>
          </cell>
          <cell r="O559">
            <v>260</v>
          </cell>
          <cell r="P559">
            <v>265</v>
          </cell>
          <cell r="Q559">
            <v>110</v>
          </cell>
          <cell r="R559">
            <v>990</v>
          </cell>
          <cell r="S559">
            <v>800</v>
          </cell>
          <cell r="T559">
            <v>750</v>
          </cell>
          <cell r="U559">
            <v>235</v>
          </cell>
          <cell r="V559">
            <v>515</v>
          </cell>
          <cell r="W559">
            <v>195</v>
          </cell>
          <cell r="X559">
            <v>215</v>
          </cell>
          <cell r="Y559">
            <v>105</v>
          </cell>
          <cell r="Z559">
            <v>50</v>
          </cell>
          <cell r="AA559">
            <v>35</v>
          </cell>
          <cell r="AB559">
            <v>15</v>
          </cell>
          <cell r="AC559">
            <v>15</v>
          </cell>
          <cell r="AD559">
            <v>0</v>
          </cell>
          <cell r="AE559">
            <v>0</v>
          </cell>
          <cell r="AF559">
            <v>190</v>
          </cell>
          <cell r="AG559">
            <v>175</v>
          </cell>
          <cell r="AH559">
            <v>65</v>
          </cell>
          <cell r="AI559">
            <v>40</v>
          </cell>
          <cell r="AJ559">
            <v>65</v>
          </cell>
          <cell r="AK559">
            <v>15</v>
          </cell>
          <cell r="AL559">
            <v>15</v>
          </cell>
          <cell r="AM559">
            <v>0</v>
          </cell>
          <cell r="AN559">
            <v>0</v>
          </cell>
          <cell r="AO559">
            <v>1345</v>
          </cell>
          <cell r="AP559">
            <v>280</v>
          </cell>
          <cell r="AQ559">
            <v>425</v>
          </cell>
          <cell r="AR559">
            <v>95</v>
          </cell>
          <cell r="AS559">
            <v>260</v>
          </cell>
          <cell r="AT559">
            <v>290</v>
          </cell>
          <cell r="AU559">
            <v>1.4</v>
          </cell>
          <cell r="AV559">
            <v>3880</v>
          </cell>
          <cell r="AW559">
            <v>745</v>
          </cell>
          <cell r="AX559">
            <v>150</v>
          </cell>
          <cell r="AY559">
            <v>120</v>
          </cell>
          <cell r="AZ559">
            <v>470</v>
          </cell>
          <cell r="BA559">
            <v>3130</v>
          </cell>
          <cell r="BB559">
            <v>3.2</v>
          </cell>
          <cell r="BC559">
            <v>590</v>
          </cell>
          <cell r="BD559">
            <v>210</v>
          </cell>
          <cell r="BE559">
            <v>50</v>
          </cell>
          <cell r="BF559">
            <v>0</v>
          </cell>
          <cell r="BG559">
            <v>160</v>
          </cell>
          <cell r="BH559">
            <v>380</v>
          </cell>
          <cell r="BI559">
            <v>1525</v>
          </cell>
          <cell r="BJ559">
            <v>4.2</v>
          </cell>
          <cell r="BK559">
            <v>6405</v>
          </cell>
          <cell r="BL559">
            <v>1.8</v>
          </cell>
          <cell r="BM559">
            <v>2745</v>
          </cell>
          <cell r="BN559">
            <v>1530</v>
          </cell>
          <cell r="BO559">
            <v>365</v>
          </cell>
          <cell r="BP559">
            <v>1165</v>
          </cell>
          <cell r="BQ559">
            <v>0</v>
          </cell>
          <cell r="BR559">
            <v>1530</v>
          </cell>
          <cell r="BS559">
            <v>915</v>
          </cell>
          <cell r="BT559">
            <v>455</v>
          </cell>
          <cell r="BU559">
            <v>160</v>
          </cell>
          <cell r="BV559">
            <v>1530</v>
          </cell>
          <cell r="BW559">
            <v>250</v>
          </cell>
          <cell r="BX559">
            <v>675</v>
          </cell>
          <cell r="BY559">
            <v>445</v>
          </cell>
          <cell r="BZ559">
            <v>90</v>
          </cell>
          <cell r="CA559">
            <v>10</v>
          </cell>
          <cell r="CB559">
            <v>25</v>
          </cell>
          <cell r="CC559">
            <v>10</v>
          </cell>
          <cell r="CD559">
            <v>20</v>
          </cell>
          <cell r="CE559">
            <v>10</v>
          </cell>
          <cell r="CF559">
            <v>1530</v>
          </cell>
          <cell r="CG559">
            <v>5</v>
          </cell>
          <cell r="CH559">
            <v>10</v>
          </cell>
          <cell r="CI559">
            <v>50</v>
          </cell>
          <cell r="CJ559">
            <v>375</v>
          </cell>
          <cell r="CK559">
            <v>130</v>
          </cell>
          <cell r="CL559">
            <v>955</v>
          </cell>
          <cell r="CM559">
            <v>0</v>
          </cell>
          <cell r="CN559">
            <v>5</v>
          </cell>
          <cell r="CO559">
            <v>1530</v>
          </cell>
          <cell r="CP559">
            <v>470</v>
          </cell>
          <cell r="CQ559">
            <v>390</v>
          </cell>
          <cell r="CR559">
            <v>280</v>
          </cell>
          <cell r="CS559">
            <v>330</v>
          </cell>
          <cell r="CT559">
            <v>60</v>
          </cell>
          <cell r="CU559">
            <v>3875</v>
          </cell>
          <cell r="CV559">
            <v>2.5</v>
          </cell>
          <cell r="CW559">
            <v>1530</v>
          </cell>
          <cell r="CX559">
            <v>955</v>
          </cell>
          <cell r="CY559">
            <v>15</v>
          </cell>
          <cell r="CZ559">
            <v>560</v>
          </cell>
        </row>
        <row r="560">
          <cell r="A560" t="str">
            <v>4620223.01</v>
          </cell>
          <cell r="B560" t="str">
            <v>0223.01</v>
          </cell>
          <cell r="C560" t="str">
            <v>Villeray-Saint-Michel-Parc-Extension</v>
          </cell>
          <cell r="D560">
            <v>3280</v>
          </cell>
          <cell r="E560">
            <v>990</v>
          </cell>
          <cell r="F560">
            <v>1780</v>
          </cell>
          <cell r="G560">
            <v>120</v>
          </cell>
          <cell r="H560">
            <v>225</v>
          </cell>
          <cell r="I560">
            <v>170</v>
          </cell>
          <cell r="J560">
            <v>3280</v>
          </cell>
          <cell r="K560">
            <v>3190</v>
          </cell>
          <cell r="L560">
            <v>85</v>
          </cell>
          <cell r="M560">
            <v>1120</v>
          </cell>
          <cell r="N560">
            <v>425</v>
          </cell>
          <cell r="O560">
            <v>300</v>
          </cell>
          <cell r="P560">
            <v>245</v>
          </cell>
          <cell r="Q560">
            <v>145</v>
          </cell>
          <cell r="R560">
            <v>1120</v>
          </cell>
          <cell r="S560">
            <v>865</v>
          </cell>
          <cell r="T560">
            <v>825</v>
          </cell>
          <cell r="U560">
            <v>270</v>
          </cell>
          <cell r="V560">
            <v>550</v>
          </cell>
          <cell r="W560">
            <v>190</v>
          </cell>
          <cell r="X560">
            <v>220</v>
          </cell>
          <cell r="Y560">
            <v>140</v>
          </cell>
          <cell r="Z560">
            <v>45</v>
          </cell>
          <cell r="AA560">
            <v>15</v>
          </cell>
          <cell r="AB560">
            <v>25</v>
          </cell>
          <cell r="AC560">
            <v>25</v>
          </cell>
          <cell r="AD560">
            <v>0</v>
          </cell>
          <cell r="AE560">
            <v>0</v>
          </cell>
          <cell r="AF560">
            <v>255</v>
          </cell>
          <cell r="AG560">
            <v>205</v>
          </cell>
          <cell r="AH560">
            <v>100</v>
          </cell>
          <cell r="AI560">
            <v>80</v>
          </cell>
          <cell r="AJ560">
            <v>30</v>
          </cell>
          <cell r="AK560">
            <v>50</v>
          </cell>
          <cell r="AL560">
            <v>40</v>
          </cell>
          <cell r="AM560">
            <v>0</v>
          </cell>
          <cell r="AN560">
            <v>10</v>
          </cell>
          <cell r="AO560">
            <v>1535</v>
          </cell>
          <cell r="AP560">
            <v>515</v>
          </cell>
          <cell r="AQ560">
            <v>445</v>
          </cell>
          <cell r="AR560">
            <v>135</v>
          </cell>
          <cell r="AS560">
            <v>220</v>
          </cell>
          <cell r="AT560">
            <v>215</v>
          </cell>
          <cell r="AU560">
            <v>1.4</v>
          </cell>
          <cell r="AV560">
            <v>4240</v>
          </cell>
          <cell r="AW560">
            <v>715</v>
          </cell>
          <cell r="AX560">
            <v>175</v>
          </cell>
          <cell r="AY560">
            <v>130</v>
          </cell>
          <cell r="AZ560">
            <v>410</v>
          </cell>
          <cell r="BA560">
            <v>3525</v>
          </cell>
          <cell r="BB560">
            <v>3.1</v>
          </cell>
          <cell r="BC560">
            <v>450</v>
          </cell>
          <cell r="BD560">
            <v>145</v>
          </cell>
          <cell r="BE560">
            <v>35</v>
          </cell>
          <cell r="BF560">
            <v>0</v>
          </cell>
          <cell r="BG560">
            <v>115</v>
          </cell>
          <cell r="BH560">
            <v>305</v>
          </cell>
          <cell r="BI560">
            <v>1545</v>
          </cell>
          <cell r="BJ560">
            <v>4</v>
          </cell>
          <cell r="BK560">
            <v>6180</v>
          </cell>
          <cell r="BL560">
            <v>1.9</v>
          </cell>
          <cell r="BM560">
            <v>2935.5</v>
          </cell>
          <cell r="BN560">
            <v>1545</v>
          </cell>
          <cell r="BO560">
            <v>160</v>
          </cell>
          <cell r="BP560">
            <v>1385</v>
          </cell>
          <cell r="BQ560">
            <v>0</v>
          </cell>
          <cell r="BR560">
            <v>1545</v>
          </cell>
          <cell r="BS560">
            <v>875</v>
          </cell>
          <cell r="BT560">
            <v>440</v>
          </cell>
          <cell r="BU560">
            <v>230</v>
          </cell>
          <cell r="BV560">
            <v>1545</v>
          </cell>
          <cell r="BW560">
            <v>90</v>
          </cell>
          <cell r="BX560">
            <v>695</v>
          </cell>
          <cell r="BY560">
            <v>450</v>
          </cell>
          <cell r="BZ560">
            <v>205</v>
          </cell>
          <cell r="CA560">
            <v>55</v>
          </cell>
          <cell r="CB560">
            <v>20</v>
          </cell>
          <cell r="CC560">
            <v>10</v>
          </cell>
          <cell r="CD560">
            <v>0</v>
          </cell>
          <cell r="CE560">
            <v>15</v>
          </cell>
          <cell r="CF560">
            <v>1545</v>
          </cell>
          <cell r="CG560">
            <v>5</v>
          </cell>
          <cell r="CH560">
            <v>0</v>
          </cell>
          <cell r="CI560">
            <v>0</v>
          </cell>
          <cell r="CJ560">
            <v>15</v>
          </cell>
          <cell r="CK560">
            <v>55</v>
          </cell>
          <cell r="CL560">
            <v>1465</v>
          </cell>
          <cell r="CM560">
            <v>0</v>
          </cell>
          <cell r="CN560">
            <v>0</v>
          </cell>
          <cell r="CO560">
            <v>1550</v>
          </cell>
          <cell r="CP560">
            <v>410</v>
          </cell>
          <cell r="CQ560">
            <v>390</v>
          </cell>
          <cell r="CR560">
            <v>265</v>
          </cell>
          <cell r="CS560">
            <v>405</v>
          </cell>
          <cell r="CT560">
            <v>75</v>
          </cell>
          <cell r="CU560">
            <v>4240</v>
          </cell>
          <cell r="CV560">
            <v>2.7</v>
          </cell>
          <cell r="CW560">
            <v>1545</v>
          </cell>
          <cell r="CX560">
            <v>1000</v>
          </cell>
          <cell r="CY560">
            <v>50</v>
          </cell>
          <cell r="CZ560">
            <v>490</v>
          </cell>
        </row>
        <row r="561">
          <cell r="A561" t="str">
            <v>4620223.02</v>
          </cell>
          <cell r="B561" t="str">
            <v>0223.02</v>
          </cell>
          <cell r="C561" t="str">
            <v>Villeray-Saint-Michel-Parc-Extension</v>
          </cell>
          <cell r="D561">
            <v>2720</v>
          </cell>
          <cell r="E561">
            <v>900</v>
          </cell>
          <cell r="F561">
            <v>1420</v>
          </cell>
          <cell r="G561">
            <v>85</v>
          </cell>
          <cell r="H561">
            <v>170</v>
          </cell>
          <cell r="I561">
            <v>155</v>
          </cell>
          <cell r="J561">
            <v>2720</v>
          </cell>
          <cell r="K561">
            <v>2655</v>
          </cell>
          <cell r="L561">
            <v>70</v>
          </cell>
          <cell r="M561">
            <v>850</v>
          </cell>
          <cell r="N561">
            <v>320</v>
          </cell>
          <cell r="O561">
            <v>210</v>
          </cell>
          <cell r="P561">
            <v>190</v>
          </cell>
          <cell r="Q561">
            <v>130</v>
          </cell>
          <cell r="R561">
            <v>850</v>
          </cell>
          <cell r="S561">
            <v>665</v>
          </cell>
          <cell r="T561">
            <v>630</v>
          </cell>
          <cell r="U561">
            <v>190</v>
          </cell>
          <cell r="V561">
            <v>440</v>
          </cell>
          <cell r="W561">
            <v>160</v>
          </cell>
          <cell r="X561">
            <v>170</v>
          </cell>
          <cell r="Y561">
            <v>110</v>
          </cell>
          <cell r="Z561">
            <v>35</v>
          </cell>
          <cell r="AA561">
            <v>10</v>
          </cell>
          <cell r="AB561">
            <v>20</v>
          </cell>
          <cell r="AC561">
            <v>10</v>
          </cell>
          <cell r="AD561">
            <v>10</v>
          </cell>
          <cell r="AE561">
            <v>10</v>
          </cell>
          <cell r="AF561">
            <v>185</v>
          </cell>
          <cell r="AG561">
            <v>160</v>
          </cell>
          <cell r="AH561">
            <v>105</v>
          </cell>
          <cell r="AI561">
            <v>30</v>
          </cell>
          <cell r="AJ561">
            <v>25</v>
          </cell>
          <cell r="AK561">
            <v>25</v>
          </cell>
          <cell r="AL561">
            <v>10</v>
          </cell>
          <cell r="AM561">
            <v>10</v>
          </cell>
          <cell r="AN561">
            <v>0</v>
          </cell>
          <cell r="AO561">
            <v>1230</v>
          </cell>
          <cell r="AP561">
            <v>220</v>
          </cell>
          <cell r="AQ561">
            <v>410</v>
          </cell>
          <cell r="AR561">
            <v>130</v>
          </cell>
          <cell r="AS561">
            <v>205</v>
          </cell>
          <cell r="AT561">
            <v>270</v>
          </cell>
          <cell r="AU561">
            <v>1.4</v>
          </cell>
          <cell r="AV561">
            <v>3345</v>
          </cell>
          <cell r="AW561">
            <v>590</v>
          </cell>
          <cell r="AX561">
            <v>95</v>
          </cell>
          <cell r="AY561">
            <v>120</v>
          </cell>
          <cell r="AZ561">
            <v>380</v>
          </cell>
          <cell r="BA561">
            <v>2750</v>
          </cell>
          <cell r="BB561">
            <v>3.2</v>
          </cell>
          <cell r="BC561">
            <v>505</v>
          </cell>
          <cell r="BD561">
            <v>165</v>
          </cell>
          <cell r="BE561">
            <v>50</v>
          </cell>
          <cell r="BF561">
            <v>10</v>
          </cell>
          <cell r="BG561">
            <v>110</v>
          </cell>
          <cell r="BH561">
            <v>340</v>
          </cell>
          <cell r="BI561">
            <v>1265</v>
          </cell>
          <cell r="BJ561">
            <v>4.2</v>
          </cell>
          <cell r="BK561">
            <v>5313</v>
          </cell>
          <cell r="BL561">
            <v>1.8</v>
          </cell>
          <cell r="BM561">
            <v>2277</v>
          </cell>
          <cell r="BN561">
            <v>1260</v>
          </cell>
          <cell r="BO561">
            <v>305</v>
          </cell>
          <cell r="BP561">
            <v>960</v>
          </cell>
          <cell r="BQ561">
            <v>0</v>
          </cell>
          <cell r="BR561">
            <v>1260</v>
          </cell>
          <cell r="BS561">
            <v>650</v>
          </cell>
          <cell r="BT561">
            <v>445</v>
          </cell>
          <cell r="BU561">
            <v>170</v>
          </cell>
          <cell r="BV561">
            <v>1265</v>
          </cell>
          <cell r="BW561">
            <v>140</v>
          </cell>
          <cell r="BX561">
            <v>535</v>
          </cell>
          <cell r="BY561">
            <v>415</v>
          </cell>
          <cell r="BZ561">
            <v>95</v>
          </cell>
          <cell r="CA561">
            <v>10</v>
          </cell>
          <cell r="CB561">
            <v>10</v>
          </cell>
          <cell r="CC561">
            <v>15</v>
          </cell>
          <cell r="CD561">
            <v>25</v>
          </cell>
          <cell r="CE561">
            <v>10</v>
          </cell>
          <cell r="CF561">
            <v>1265</v>
          </cell>
          <cell r="CG561">
            <v>150</v>
          </cell>
          <cell r="CH561">
            <v>5</v>
          </cell>
          <cell r="CI561">
            <v>0</v>
          </cell>
          <cell r="CJ561">
            <v>10</v>
          </cell>
          <cell r="CK561">
            <v>180</v>
          </cell>
          <cell r="CL561">
            <v>910</v>
          </cell>
          <cell r="CM561">
            <v>0</v>
          </cell>
          <cell r="CN561">
            <v>0</v>
          </cell>
          <cell r="CO561">
            <v>1265</v>
          </cell>
          <cell r="CP561">
            <v>380</v>
          </cell>
          <cell r="CQ561">
            <v>310</v>
          </cell>
          <cell r="CR561">
            <v>210</v>
          </cell>
          <cell r="CS561">
            <v>290</v>
          </cell>
          <cell r="CT561">
            <v>70</v>
          </cell>
          <cell r="CU561">
            <v>3345</v>
          </cell>
          <cell r="CV561">
            <v>2.6</v>
          </cell>
          <cell r="CW561">
            <v>1260</v>
          </cell>
          <cell r="CX561">
            <v>770</v>
          </cell>
          <cell r="CY561">
            <v>35</v>
          </cell>
          <cell r="CZ561">
            <v>455</v>
          </cell>
        </row>
        <row r="562">
          <cell r="A562" t="str">
            <v>4620224.00</v>
          </cell>
          <cell r="B562" t="str">
            <v>0224.00</v>
          </cell>
          <cell r="C562" t="str">
            <v>Villeray-Saint-Michel-Parc-Extension</v>
          </cell>
          <cell r="D562">
            <v>5125</v>
          </cell>
          <cell r="E562">
            <v>1715</v>
          </cell>
          <cell r="F562">
            <v>2630</v>
          </cell>
          <cell r="G562">
            <v>140</v>
          </cell>
          <cell r="H562">
            <v>330</v>
          </cell>
          <cell r="I562">
            <v>310</v>
          </cell>
          <cell r="J562">
            <v>5120</v>
          </cell>
          <cell r="K562">
            <v>4960</v>
          </cell>
          <cell r="L562">
            <v>160</v>
          </cell>
          <cell r="M562">
            <v>1665</v>
          </cell>
          <cell r="N562">
            <v>630</v>
          </cell>
          <cell r="O562">
            <v>420</v>
          </cell>
          <cell r="P562">
            <v>385</v>
          </cell>
          <cell r="Q562">
            <v>225</v>
          </cell>
          <cell r="R562">
            <v>1665</v>
          </cell>
          <cell r="S562">
            <v>1325</v>
          </cell>
          <cell r="T562">
            <v>1235</v>
          </cell>
          <cell r="U562">
            <v>415</v>
          </cell>
          <cell r="V562">
            <v>820</v>
          </cell>
          <cell r="W562">
            <v>305</v>
          </cell>
          <cell r="X562">
            <v>305</v>
          </cell>
          <cell r="Y562">
            <v>205</v>
          </cell>
          <cell r="Z562">
            <v>95</v>
          </cell>
          <cell r="AA562">
            <v>30</v>
          </cell>
          <cell r="AB562">
            <v>65</v>
          </cell>
          <cell r="AC562">
            <v>35</v>
          </cell>
          <cell r="AD562">
            <v>25</v>
          </cell>
          <cell r="AE562">
            <v>10</v>
          </cell>
          <cell r="AF562">
            <v>340</v>
          </cell>
          <cell r="AG562">
            <v>275</v>
          </cell>
          <cell r="AH562">
            <v>160</v>
          </cell>
          <cell r="AI562">
            <v>75</v>
          </cell>
          <cell r="AJ562">
            <v>40</v>
          </cell>
          <cell r="AK562">
            <v>65</v>
          </cell>
          <cell r="AL562">
            <v>30</v>
          </cell>
          <cell r="AM562">
            <v>0</v>
          </cell>
          <cell r="AN562">
            <v>30</v>
          </cell>
          <cell r="AO562">
            <v>2310</v>
          </cell>
          <cell r="AP562">
            <v>530</v>
          </cell>
          <cell r="AQ562">
            <v>740</v>
          </cell>
          <cell r="AR562">
            <v>220</v>
          </cell>
          <cell r="AS562">
            <v>450</v>
          </cell>
          <cell r="AT562">
            <v>365</v>
          </cell>
          <cell r="AU562">
            <v>1.4</v>
          </cell>
          <cell r="AV562">
            <v>6395</v>
          </cell>
          <cell r="AW562">
            <v>1090</v>
          </cell>
          <cell r="AX562">
            <v>165</v>
          </cell>
          <cell r="AY562">
            <v>190</v>
          </cell>
          <cell r="AZ562">
            <v>740</v>
          </cell>
          <cell r="BA562">
            <v>5300</v>
          </cell>
          <cell r="BB562">
            <v>3.2</v>
          </cell>
          <cell r="BC562">
            <v>905</v>
          </cell>
          <cell r="BD562">
            <v>335</v>
          </cell>
          <cell r="BE562">
            <v>30</v>
          </cell>
          <cell r="BF562">
            <v>10</v>
          </cell>
          <cell r="BG562">
            <v>300</v>
          </cell>
          <cell r="BH562">
            <v>570</v>
          </cell>
          <cell r="BI562">
            <v>2425</v>
          </cell>
          <cell r="BJ562">
            <v>4.0999999999999996</v>
          </cell>
          <cell r="BK562">
            <v>9942.5</v>
          </cell>
          <cell r="BL562">
            <v>1.7</v>
          </cell>
          <cell r="BM562">
            <v>4122.5</v>
          </cell>
          <cell r="BN562">
            <v>2425</v>
          </cell>
          <cell r="BO562">
            <v>475</v>
          </cell>
          <cell r="BP562">
            <v>1950</v>
          </cell>
          <cell r="BQ562">
            <v>0</v>
          </cell>
          <cell r="BR562">
            <v>2425</v>
          </cell>
          <cell r="BS562">
            <v>1530</v>
          </cell>
          <cell r="BT562">
            <v>625</v>
          </cell>
          <cell r="BU562">
            <v>270</v>
          </cell>
          <cell r="BV562">
            <v>2425</v>
          </cell>
          <cell r="BW562">
            <v>410</v>
          </cell>
          <cell r="BX562">
            <v>1080</v>
          </cell>
          <cell r="BY562">
            <v>425</v>
          </cell>
          <cell r="BZ562">
            <v>175</v>
          </cell>
          <cell r="CA562">
            <v>90</v>
          </cell>
          <cell r="CB562">
            <v>115</v>
          </cell>
          <cell r="CC562">
            <v>35</v>
          </cell>
          <cell r="CD562">
            <v>25</v>
          </cell>
          <cell r="CE562">
            <v>70</v>
          </cell>
          <cell r="CF562">
            <v>2425</v>
          </cell>
          <cell r="CG562">
            <v>0</v>
          </cell>
          <cell r="CH562">
            <v>5</v>
          </cell>
          <cell r="CI562">
            <v>20</v>
          </cell>
          <cell r="CJ562">
            <v>325</v>
          </cell>
          <cell r="CK562">
            <v>165</v>
          </cell>
          <cell r="CL562">
            <v>1905</v>
          </cell>
          <cell r="CM562">
            <v>10</v>
          </cell>
          <cell r="CN562">
            <v>0</v>
          </cell>
          <cell r="CO562">
            <v>2425</v>
          </cell>
          <cell r="CP562">
            <v>740</v>
          </cell>
          <cell r="CQ562">
            <v>600</v>
          </cell>
          <cell r="CR562">
            <v>400</v>
          </cell>
          <cell r="CS562">
            <v>560</v>
          </cell>
          <cell r="CT562">
            <v>120</v>
          </cell>
          <cell r="CU562">
            <v>6395</v>
          </cell>
          <cell r="CV562">
            <v>2.6</v>
          </cell>
          <cell r="CW562">
            <v>2425</v>
          </cell>
          <cell r="CX562">
            <v>1505</v>
          </cell>
          <cell r="CY562">
            <v>80</v>
          </cell>
          <cell r="CZ562">
            <v>840</v>
          </cell>
        </row>
        <row r="563">
          <cell r="A563" t="str">
            <v>4620225.00</v>
          </cell>
          <cell r="B563" t="str">
            <v>0225.00</v>
          </cell>
          <cell r="C563" t="str">
            <v>Villeray-Saint-Michel-Parc-Extension</v>
          </cell>
          <cell r="D563">
            <v>1205</v>
          </cell>
          <cell r="E563">
            <v>560</v>
          </cell>
          <cell r="F563">
            <v>425</v>
          </cell>
          <cell r="G563">
            <v>30</v>
          </cell>
          <cell r="H563">
            <v>100</v>
          </cell>
          <cell r="I563">
            <v>95</v>
          </cell>
          <cell r="J563">
            <v>1205</v>
          </cell>
          <cell r="K563">
            <v>1025</v>
          </cell>
          <cell r="L563">
            <v>180</v>
          </cell>
          <cell r="M563">
            <v>380</v>
          </cell>
          <cell r="N563">
            <v>225</v>
          </cell>
          <cell r="O563">
            <v>70</v>
          </cell>
          <cell r="P563">
            <v>65</v>
          </cell>
          <cell r="Q563">
            <v>15</v>
          </cell>
          <cell r="R563">
            <v>380</v>
          </cell>
          <cell r="S563">
            <v>290</v>
          </cell>
          <cell r="T563">
            <v>205</v>
          </cell>
          <cell r="U563">
            <v>90</v>
          </cell>
          <cell r="V563">
            <v>110</v>
          </cell>
          <cell r="W563">
            <v>60</v>
          </cell>
          <cell r="X563">
            <v>35</v>
          </cell>
          <cell r="Y563">
            <v>20</v>
          </cell>
          <cell r="Z563">
            <v>85</v>
          </cell>
          <cell r="AA563">
            <v>55</v>
          </cell>
          <cell r="AB563">
            <v>30</v>
          </cell>
          <cell r="AC563">
            <v>10</v>
          </cell>
          <cell r="AD563">
            <v>25</v>
          </cell>
          <cell r="AE563">
            <v>0</v>
          </cell>
          <cell r="AF563">
            <v>85</v>
          </cell>
          <cell r="AG563">
            <v>60</v>
          </cell>
          <cell r="AH563">
            <v>50</v>
          </cell>
          <cell r="AI563">
            <v>10</v>
          </cell>
          <cell r="AJ563">
            <v>10</v>
          </cell>
          <cell r="AK563">
            <v>30</v>
          </cell>
          <cell r="AL563">
            <v>30</v>
          </cell>
          <cell r="AM563">
            <v>0</v>
          </cell>
          <cell r="AN563">
            <v>0</v>
          </cell>
          <cell r="AO563">
            <v>340</v>
          </cell>
          <cell r="AP563">
            <v>95</v>
          </cell>
          <cell r="AQ563">
            <v>85</v>
          </cell>
          <cell r="AR563">
            <v>25</v>
          </cell>
          <cell r="AS563">
            <v>65</v>
          </cell>
          <cell r="AT563">
            <v>70</v>
          </cell>
          <cell r="AU563">
            <v>0.9</v>
          </cell>
          <cell r="AV563">
            <v>1330</v>
          </cell>
          <cell r="AW563">
            <v>320</v>
          </cell>
          <cell r="AX563">
            <v>50</v>
          </cell>
          <cell r="AY563">
            <v>55</v>
          </cell>
          <cell r="AZ563">
            <v>215</v>
          </cell>
          <cell r="BA563">
            <v>1010</v>
          </cell>
          <cell r="BB563">
            <v>2.7</v>
          </cell>
          <cell r="BC563">
            <v>275</v>
          </cell>
          <cell r="BD563">
            <v>95</v>
          </cell>
          <cell r="BE563">
            <v>15</v>
          </cell>
          <cell r="BF563">
            <v>0</v>
          </cell>
          <cell r="BG563">
            <v>80</v>
          </cell>
          <cell r="BH563">
            <v>175</v>
          </cell>
          <cell r="BI563">
            <v>630</v>
          </cell>
          <cell r="BJ563">
            <v>5</v>
          </cell>
          <cell r="BK563">
            <v>3150</v>
          </cell>
          <cell r="BL563">
            <v>2.2000000000000002</v>
          </cell>
          <cell r="BM563">
            <v>1386</v>
          </cell>
          <cell r="BN563">
            <v>630</v>
          </cell>
          <cell r="BO563">
            <v>265</v>
          </cell>
          <cell r="BP563">
            <v>365</v>
          </cell>
          <cell r="BQ563">
            <v>0</v>
          </cell>
          <cell r="BR563">
            <v>625</v>
          </cell>
          <cell r="BS563">
            <v>370</v>
          </cell>
          <cell r="BT563">
            <v>205</v>
          </cell>
          <cell r="BU563">
            <v>50</v>
          </cell>
          <cell r="BV563">
            <v>625</v>
          </cell>
          <cell r="BW563">
            <v>70</v>
          </cell>
          <cell r="BX563">
            <v>480</v>
          </cell>
          <cell r="BY563">
            <v>30</v>
          </cell>
          <cell r="BZ563">
            <v>20</v>
          </cell>
          <cell r="CA563">
            <v>20</v>
          </cell>
          <cell r="CB563">
            <v>0</v>
          </cell>
          <cell r="CC563">
            <v>0</v>
          </cell>
          <cell r="CD563">
            <v>0</v>
          </cell>
          <cell r="CE563">
            <v>0</v>
          </cell>
          <cell r="CF563">
            <v>625</v>
          </cell>
          <cell r="CG563">
            <v>0</v>
          </cell>
          <cell r="CH563">
            <v>5</v>
          </cell>
          <cell r="CI563">
            <v>0</v>
          </cell>
          <cell r="CJ563">
            <v>405</v>
          </cell>
          <cell r="CK563">
            <v>0</v>
          </cell>
          <cell r="CL563">
            <v>220</v>
          </cell>
          <cell r="CM563">
            <v>0</v>
          </cell>
          <cell r="CN563">
            <v>0</v>
          </cell>
          <cell r="CO563">
            <v>625</v>
          </cell>
          <cell r="CP563">
            <v>230</v>
          </cell>
          <cell r="CQ563">
            <v>225</v>
          </cell>
          <cell r="CR563">
            <v>80</v>
          </cell>
          <cell r="CS563">
            <v>80</v>
          </cell>
          <cell r="CT563">
            <v>10</v>
          </cell>
          <cell r="CU563">
            <v>1330</v>
          </cell>
          <cell r="CV563">
            <v>2.1</v>
          </cell>
          <cell r="CW563">
            <v>625</v>
          </cell>
          <cell r="CX563">
            <v>365</v>
          </cell>
          <cell r="CY563">
            <v>10</v>
          </cell>
          <cell r="CZ563">
            <v>255</v>
          </cell>
        </row>
        <row r="564">
          <cell r="A564" t="str">
            <v>4620226.00</v>
          </cell>
          <cell r="B564" t="str">
            <v>0226.00</v>
          </cell>
          <cell r="C564" t="str">
            <v>Villeray-Saint-Michel-Parc-Extension</v>
          </cell>
          <cell r="D564">
            <v>2700</v>
          </cell>
          <cell r="E564">
            <v>1605</v>
          </cell>
          <cell r="F564">
            <v>690</v>
          </cell>
          <cell r="G564">
            <v>45</v>
          </cell>
          <cell r="H564">
            <v>240</v>
          </cell>
          <cell r="I564">
            <v>115</v>
          </cell>
          <cell r="J564">
            <v>2695</v>
          </cell>
          <cell r="K564">
            <v>2085</v>
          </cell>
          <cell r="L564">
            <v>615</v>
          </cell>
          <cell r="M564">
            <v>755</v>
          </cell>
          <cell r="N564">
            <v>425</v>
          </cell>
          <cell r="O564">
            <v>145</v>
          </cell>
          <cell r="P564">
            <v>150</v>
          </cell>
          <cell r="Q564">
            <v>30</v>
          </cell>
          <cell r="R564">
            <v>755</v>
          </cell>
          <cell r="S564">
            <v>635</v>
          </cell>
          <cell r="T564">
            <v>330</v>
          </cell>
          <cell r="U564">
            <v>140</v>
          </cell>
          <cell r="V564">
            <v>195</v>
          </cell>
          <cell r="W564">
            <v>80</v>
          </cell>
          <cell r="X564">
            <v>90</v>
          </cell>
          <cell r="Y564">
            <v>25</v>
          </cell>
          <cell r="Z564">
            <v>305</v>
          </cell>
          <cell r="AA564">
            <v>190</v>
          </cell>
          <cell r="AB564">
            <v>115</v>
          </cell>
          <cell r="AC564">
            <v>45</v>
          </cell>
          <cell r="AD564">
            <v>55</v>
          </cell>
          <cell r="AE564">
            <v>10</v>
          </cell>
          <cell r="AF564">
            <v>120</v>
          </cell>
          <cell r="AG564">
            <v>100</v>
          </cell>
          <cell r="AH564">
            <v>80</v>
          </cell>
          <cell r="AI564">
            <v>15</v>
          </cell>
          <cell r="AJ564">
            <v>0</v>
          </cell>
          <cell r="AK564">
            <v>20</v>
          </cell>
          <cell r="AL564">
            <v>15</v>
          </cell>
          <cell r="AM564">
            <v>10</v>
          </cell>
          <cell r="AN564">
            <v>0</v>
          </cell>
          <cell r="AO564">
            <v>670</v>
          </cell>
          <cell r="AP564">
            <v>150</v>
          </cell>
          <cell r="AQ564">
            <v>255</v>
          </cell>
          <cell r="AR564">
            <v>70</v>
          </cell>
          <cell r="AS564">
            <v>125</v>
          </cell>
          <cell r="AT564">
            <v>65</v>
          </cell>
          <cell r="AU564">
            <v>0.9</v>
          </cell>
          <cell r="AV564">
            <v>3100</v>
          </cell>
          <cell r="AW564">
            <v>1040</v>
          </cell>
          <cell r="AX564">
            <v>65</v>
          </cell>
          <cell r="AY564">
            <v>295</v>
          </cell>
          <cell r="AZ564">
            <v>680</v>
          </cell>
          <cell r="BA564">
            <v>2060</v>
          </cell>
          <cell r="BB564">
            <v>2.7</v>
          </cell>
          <cell r="BC564">
            <v>315</v>
          </cell>
          <cell r="BD564">
            <v>160</v>
          </cell>
          <cell r="BE564">
            <v>15</v>
          </cell>
          <cell r="BF564">
            <v>15</v>
          </cell>
          <cell r="BG564">
            <v>125</v>
          </cell>
          <cell r="BH564">
            <v>155</v>
          </cell>
          <cell r="BI564">
            <v>1575</v>
          </cell>
          <cell r="BJ564">
            <v>5</v>
          </cell>
          <cell r="BK564">
            <v>7875</v>
          </cell>
          <cell r="BL564">
            <v>1.9</v>
          </cell>
          <cell r="BM564">
            <v>2992.5</v>
          </cell>
          <cell r="BN564">
            <v>1575</v>
          </cell>
          <cell r="BO564">
            <v>520</v>
          </cell>
          <cell r="BP564">
            <v>1055</v>
          </cell>
          <cell r="BQ564">
            <v>0</v>
          </cell>
          <cell r="BR564">
            <v>1580</v>
          </cell>
          <cell r="BS564">
            <v>880</v>
          </cell>
          <cell r="BT564">
            <v>535</v>
          </cell>
          <cell r="BU564">
            <v>165</v>
          </cell>
          <cell r="BV564">
            <v>1575</v>
          </cell>
          <cell r="BW564">
            <v>750</v>
          </cell>
          <cell r="BX564">
            <v>505</v>
          </cell>
          <cell r="BY564">
            <v>140</v>
          </cell>
          <cell r="BZ564">
            <v>55</v>
          </cell>
          <cell r="CA564">
            <v>45</v>
          </cell>
          <cell r="CB564">
            <v>20</v>
          </cell>
          <cell r="CC564">
            <v>15</v>
          </cell>
          <cell r="CD564">
            <v>35</v>
          </cell>
          <cell r="CE564">
            <v>20</v>
          </cell>
          <cell r="CF564">
            <v>1575</v>
          </cell>
          <cell r="CG564">
            <v>0</v>
          </cell>
          <cell r="CH564">
            <v>0</v>
          </cell>
          <cell r="CI564">
            <v>30</v>
          </cell>
          <cell r="CJ564">
            <v>405</v>
          </cell>
          <cell r="CK564">
            <v>0</v>
          </cell>
          <cell r="CL564">
            <v>1125</v>
          </cell>
          <cell r="CM564">
            <v>5</v>
          </cell>
          <cell r="CN564">
            <v>5</v>
          </cell>
          <cell r="CO564">
            <v>1580</v>
          </cell>
          <cell r="CP564">
            <v>680</v>
          </cell>
          <cell r="CQ564">
            <v>515</v>
          </cell>
          <cell r="CR564">
            <v>205</v>
          </cell>
          <cell r="CS564">
            <v>170</v>
          </cell>
          <cell r="CT564">
            <v>15</v>
          </cell>
          <cell r="CU564">
            <v>3105</v>
          </cell>
          <cell r="CV564">
            <v>2</v>
          </cell>
          <cell r="CW564">
            <v>1575</v>
          </cell>
          <cell r="CX564">
            <v>730</v>
          </cell>
          <cell r="CY564">
            <v>15</v>
          </cell>
          <cell r="CZ564">
            <v>835</v>
          </cell>
        </row>
        <row r="565">
          <cell r="A565" t="str">
            <v>4620227.00</v>
          </cell>
          <cell r="B565" t="str">
            <v>0227.00</v>
          </cell>
          <cell r="C565" t="str">
            <v>Villeray-Saint-Michel-Parc-Extension</v>
          </cell>
          <cell r="D565">
            <v>1315</v>
          </cell>
          <cell r="E565">
            <v>800</v>
          </cell>
          <cell r="F565">
            <v>290</v>
          </cell>
          <cell r="G565">
            <v>45</v>
          </cell>
          <cell r="H565">
            <v>120</v>
          </cell>
          <cell r="I565">
            <v>60</v>
          </cell>
          <cell r="J565">
            <v>1315</v>
          </cell>
          <cell r="K565">
            <v>1000</v>
          </cell>
          <cell r="L565">
            <v>315</v>
          </cell>
          <cell r="M565">
            <v>380</v>
          </cell>
          <cell r="N565">
            <v>220</v>
          </cell>
          <cell r="O565">
            <v>105</v>
          </cell>
          <cell r="P565">
            <v>35</v>
          </cell>
          <cell r="Q565">
            <v>20</v>
          </cell>
          <cell r="R565">
            <v>380</v>
          </cell>
          <cell r="S565">
            <v>310</v>
          </cell>
          <cell r="T565">
            <v>140</v>
          </cell>
          <cell r="U565">
            <v>70</v>
          </cell>
          <cell r="V565">
            <v>75</v>
          </cell>
          <cell r="W565">
            <v>45</v>
          </cell>
          <cell r="X565">
            <v>20</v>
          </cell>
          <cell r="Y565">
            <v>0</v>
          </cell>
          <cell r="Z565">
            <v>165</v>
          </cell>
          <cell r="AA565">
            <v>110</v>
          </cell>
          <cell r="AB565">
            <v>50</v>
          </cell>
          <cell r="AC565">
            <v>30</v>
          </cell>
          <cell r="AD565">
            <v>10</v>
          </cell>
          <cell r="AE565">
            <v>10</v>
          </cell>
          <cell r="AF565">
            <v>75</v>
          </cell>
          <cell r="AG565">
            <v>65</v>
          </cell>
          <cell r="AH565">
            <v>40</v>
          </cell>
          <cell r="AI565">
            <v>15</v>
          </cell>
          <cell r="AJ565">
            <v>10</v>
          </cell>
          <cell r="AK565">
            <v>10</v>
          </cell>
          <cell r="AL565">
            <v>0</v>
          </cell>
          <cell r="AM565">
            <v>10</v>
          </cell>
          <cell r="AN565">
            <v>0</v>
          </cell>
          <cell r="AO565">
            <v>315</v>
          </cell>
          <cell r="AP565">
            <v>70</v>
          </cell>
          <cell r="AQ565">
            <v>100</v>
          </cell>
          <cell r="AR565">
            <v>10</v>
          </cell>
          <cell r="AS565">
            <v>100</v>
          </cell>
          <cell r="AT565">
            <v>30</v>
          </cell>
          <cell r="AU565">
            <v>0.8</v>
          </cell>
          <cell r="AV565">
            <v>1505</v>
          </cell>
          <cell r="AW565">
            <v>495</v>
          </cell>
          <cell r="AX565">
            <v>85</v>
          </cell>
          <cell r="AY565">
            <v>65</v>
          </cell>
          <cell r="AZ565">
            <v>350</v>
          </cell>
          <cell r="BA565">
            <v>1005</v>
          </cell>
          <cell r="BB565">
            <v>2.6</v>
          </cell>
          <cell r="BC565">
            <v>150</v>
          </cell>
          <cell r="BD565">
            <v>75</v>
          </cell>
          <cell r="BE565">
            <v>15</v>
          </cell>
          <cell r="BF565">
            <v>10</v>
          </cell>
          <cell r="BG565">
            <v>45</v>
          </cell>
          <cell r="BH565">
            <v>75</v>
          </cell>
          <cell r="BI565">
            <v>780</v>
          </cell>
          <cell r="BJ565">
            <v>4.7</v>
          </cell>
          <cell r="BK565">
            <v>3666</v>
          </cell>
          <cell r="BL565">
            <v>1.7</v>
          </cell>
          <cell r="BM565">
            <v>1326</v>
          </cell>
          <cell r="BN565">
            <v>780</v>
          </cell>
          <cell r="BO565">
            <v>175</v>
          </cell>
          <cell r="BP565">
            <v>605</v>
          </cell>
          <cell r="BQ565">
            <v>0</v>
          </cell>
          <cell r="BR565">
            <v>780</v>
          </cell>
          <cell r="BS565">
            <v>415</v>
          </cell>
          <cell r="BT565">
            <v>295</v>
          </cell>
          <cell r="BU565">
            <v>70</v>
          </cell>
          <cell r="BV565">
            <v>780</v>
          </cell>
          <cell r="BW565">
            <v>540</v>
          </cell>
          <cell r="BX565">
            <v>155</v>
          </cell>
          <cell r="BY565">
            <v>50</v>
          </cell>
          <cell r="BZ565">
            <v>10</v>
          </cell>
          <cell r="CA565">
            <v>0</v>
          </cell>
          <cell r="CB565">
            <v>10</v>
          </cell>
          <cell r="CC565">
            <v>10</v>
          </cell>
          <cell r="CD565">
            <v>0</v>
          </cell>
          <cell r="CE565">
            <v>0</v>
          </cell>
          <cell r="CF565">
            <v>780</v>
          </cell>
          <cell r="CG565">
            <v>0</v>
          </cell>
          <cell r="CH565">
            <v>5</v>
          </cell>
          <cell r="CI565">
            <v>5</v>
          </cell>
          <cell r="CJ565">
            <v>190</v>
          </cell>
          <cell r="CK565">
            <v>0</v>
          </cell>
          <cell r="CL565">
            <v>580</v>
          </cell>
          <cell r="CM565">
            <v>5</v>
          </cell>
          <cell r="CN565">
            <v>0</v>
          </cell>
          <cell r="CO565">
            <v>785</v>
          </cell>
          <cell r="CP565">
            <v>335</v>
          </cell>
          <cell r="CQ565">
            <v>280</v>
          </cell>
          <cell r="CR565">
            <v>90</v>
          </cell>
          <cell r="CS565">
            <v>70</v>
          </cell>
          <cell r="CT565">
            <v>5</v>
          </cell>
          <cell r="CU565">
            <v>1500</v>
          </cell>
          <cell r="CV565">
            <v>1.9</v>
          </cell>
          <cell r="CW565">
            <v>785</v>
          </cell>
          <cell r="CX565">
            <v>375</v>
          </cell>
          <cell r="CY565">
            <v>0</v>
          </cell>
          <cell r="CZ565">
            <v>405</v>
          </cell>
        </row>
        <row r="566">
          <cell r="A566" t="str">
            <v>4620228.00</v>
          </cell>
          <cell r="B566" t="str">
            <v>0228.00</v>
          </cell>
          <cell r="C566" t="str">
            <v>Villeray-Saint-Michel-Parc-Extension</v>
          </cell>
          <cell r="D566">
            <v>1320</v>
          </cell>
          <cell r="E566">
            <v>800</v>
          </cell>
          <cell r="F566">
            <v>315</v>
          </cell>
          <cell r="G566">
            <v>30</v>
          </cell>
          <cell r="H566">
            <v>115</v>
          </cell>
          <cell r="I566">
            <v>65</v>
          </cell>
          <cell r="J566">
            <v>1320</v>
          </cell>
          <cell r="K566">
            <v>1015</v>
          </cell>
          <cell r="L566">
            <v>310</v>
          </cell>
          <cell r="M566">
            <v>380</v>
          </cell>
          <cell r="N566">
            <v>215</v>
          </cell>
          <cell r="O566">
            <v>60</v>
          </cell>
          <cell r="P566">
            <v>70</v>
          </cell>
          <cell r="Q566">
            <v>25</v>
          </cell>
          <cell r="R566">
            <v>375</v>
          </cell>
          <cell r="S566">
            <v>305</v>
          </cell>
          <cell r="T566">
            <v>165</v>
          </cell>
          <cell r="U566">
            <v>65</v>
          </cell>
          <cell r="V566">
            <v>90</v>
          </cell>
          <cell r="W566">
            <v>40</v>
          </cell>
          <cell r="X566">
            <v>30</v>
          </cell>
          <cell r="Y566">
            <v>25</v>
          </cell>
          <cell r="Z566">
            <v>145</v>
          </cell>
          <cell r="AA566">
            <v>120</v>
          </cell>
          <cell r="AB566">
            <v>25</v>
          </cell>
          <cell r="AC566">
            <v>10</v>
          </cell>
          <cell r="AD566">
            <v>20</v>
          </cell>
          <cell r="AE566">
            <v>0</v>
          </cell>
          <cell r="AF566">
            <v>70</v>
          </cell>
          <cell r="AG566">
            <v>50</v>
          </cell>
          <cell r="AH566">
            <v>10</v>
          </cell>
          <cell r="AI566">
            <v>20</v>
          </cell>
          <cell r="AJ566">
            <v>10</v>
          </cell>
          <cell r="AK566">
            <v>30</v>
          </cell>
          <cell r="AL566">
            <v>15</v>
          </cell>
          <cell r="AM566">
            <v>0</v>
          </cell>
          <cell r="AN566">
            <v>15</v>
          </cell>
          <cell r="AO566">
            <v>380</v>
          </cell>
          <cell r="AP566">
            <v>80</v>
          </cell>
          <cell r="AQ566">
            <v>160</v>
          </cell>
          <cell r="AR566">
            <v>35</v>
          </cell>
          <cell r="AS566">
            <v>65</v>
          </cell>
          <cell r="AT566">
            <v>40</v>
          </cell>
          <cell r="AU566">
            <v>1</v>
          </cell>
          <cell r="AV566">
            <v>1530</v>
          </cell>
          <cell r="AW566">
            <v>470</v>
          </cell>
          <cell r="AX566">
            <v>35</v>
          </cell>
          <cell r="AY566">
            <v>110</v>
          </cell>
          <cell r="AZ566">
            <v>325</v>
          </cell>
          <cell r="BA566">
            <v>1060</v>
          </cell>
          <cell r="BB566">
            <v>2.8</v>
          </cell>
          <cell r="BC566">
            <v>165</v>
          </cell>
          <cell r="BD566">
            <v>65</v>
          </cell>
          <cell r="BE566">
            <v>10</v>
          </cell>
          <cell r="BF566">
            <v>0</v>
          </cell>
          <cell r="BG566">
            <v>65</v>
          </cell>
          <cell r="BH566">
            <v>95</v>
          </cell>
          <cell r="BI566">
            <v>760</v>
          </cell>
          <cell r="BJ566">
            <v>5</v>
          </cell>
          <cell r="BK566">
            <v>3800</v>
          </cell>
          <cell r="BL566">
            <v>1.9</v>
          </cell>
          <cell r="BM566">
            <v>1444</v>
          </cell>
          <cell r="BN566">
            <v>765</v>
          </cell>
          <cell r="BO566">
            <v>210</v>
          </cell>
          <cell r="BP566">
            <v>555</v>
          </cell>
          <cell r="BQ566">
            <v>0</v>
          </cell>
          <cell r="BR566">
            <v>760</v>
          </cell>
          <cell r="BS566">
            <v>425</v>
          </cell>
          <cell r="BT566">
            <v>245</v>
          </cell>
          <cell r="BU566">
            <v>90</v>
          </cell>
          <cell r="BV566">
            <v>760</v>
          </cell>
          <cell r="BW566">
            <v>430</v>
          </cell>
          <cell r="BX566">
            <v>235</v>
          </cell>
          <cell r="BY566">
            <v>50</v>
          </cell>
          <cell r="BZ566">
            <v>25</v>
          </cell>
          <cell r="CA566">
            <v>10</v>
          </cell>
          <cell r="CB566">
            <v>10</v>
          </cell>
          <cell r="CC566">
            <v>0</v>
          </cell>
          <cell r="CD566">
            <v>0</v>
          </cell>
          <cell r="CE566">
            <v>0</v>
          </cell>
          <cell r="CF566">
            <v>760</v>
          </cell>
          <cell r="CG566">
            <v>5</v>
          </cell>
          <cell r="CH566">
            <v>10</v>
          </cell>
          <cell r="CI566">
            <v>15</v>
          </cell>
          <cell r="CJ566">
            <v>240</v>
          </cell>
          <cell r="CK566">
            <v>0</v>
          </cell>
          <cell r="CL566">
            <v>495</v>
          </cell>
          <cell r="CM566">
            <v>0</v>
          </cell>
          <cell r="CN566">
            <v>0</v>
          </cell>
          <cell r="CO566">
            <v>760</v>
          </cell>
          <cell r="CP566">
            <v>310</v>
          </cell>
          <cell r="CQ566">
            <v>270</v>
          </cell>
          <cell r="CR566">
            <v>90</v>
          </cell>
          <cell r="CS566">
            <v>80</v>
          </cell>
          <cell r="CT566">
            <v>10</v>
          </cell>
          <cell r="CU566">
            <v>1530</v>
          </cell>
          <cell r="CV566">
            <v>2</v>
          </cell>
          <cell r="CW566">
            <v>760</v>
          </cell>
          <cell r="CX566">
            <v>350</v>
          </cell>
          <cell r="CY566">
            <v>15</v>
          </cell>
          <cell r="CZ566">
            <v>395</v>
          </cell>
        </row>
        <row r="567">
          <cell r="A567" t="str">
            <v>4620230.00</v>
          </cell>
          <cell r="B567" t="str">
            <v>0230.00</v>
          </cell>
          <cell r="C567" t="str">
            <v>Villeray-Saint-Michel-Parc-Extension</v>
          </cell>
          <cell r="D567">
            <v>1625</v>
          </cell>
          <cell r="E567">
            <v>965</v>
          </cell>
          <cell r="F567">
            <v>420</v>
          </cell>
          <cell r="G567">
            <v>35</v>
          </cell>
          <cell r="H567">
            <v>145</v>
          </cell>
          <cell r="I567">
            <v>65</v>
          </cell>
          <cell r="J567">
            <v>1625</v>
          </cell>
          <cell r="K567">
            <v>1250</v>
          </cell>
          <cell r="L567">
            <v>370</v>
          </cell>
          <cell r="M567">
            <v>485</v>
          </cell>
          <cell r="N567">
            <v>280</v>
          </cell>
          <cell r="O567">
            <v>120</v>
          </cell>
          <cell r="P567">
            <v>55</v>
          </cell>
          <cell r="Q567">
            <v>25</v>
          </cell>
          <cell r="R567">
            <v>480</v>
          </cell>
          <cell r="S567">
            <v>400</v>
          </cell>
          <cell r="T567">
            <v>215</v>
          </cell>
          <cell r="U567">
            <v>110</v>
          </cell>
          <cell r="V567">
            <v>105</v>
          </cell>
          <cell r="W567">
            <v>60</v>
          </cell>
          <cell r="X567">
            <v>30</v>
          </cell>
          <cell r="Y567">
            <v>20</v>
          </cell>
          <cell r="Z567">
            <v>185</v>
          </cell>
          <cell r="AA567">
            <v>115</v>
          </cell>
          <cell r="AB567">
            <v>70</v>
          </cell>
          <cell r="AC567">
            <v>40</v>
          </cell>
          <cell r="AD567">
            <v>25</v>
          </cell>
          <cell r="AE567">
            <v>10</v>
          </cell>
          <cell r="AF567">
            <v>80</v>
          </cell>
          <cell r="AG567">
            <v>50</v>
          </cell>
          <cell r="AH567">
            <v>40</v>
          </cell>
          <cell r="AI567">
            <v>15</v>
          </cell>
          <cell r="AJ567">
            <v>0</v>
          </cell>
          <cell r="AK567">
            <v>30</v>
          </cell>
          <cell r="AL567">
            <v>20</v>
          </cell>
          <cell r="AM567">
            <v>10</v>
          </cell>
          <cell r="AN567">
            <v>0</v>
          </cell>
          <cell r="AO567">
            <v>395</v>
          </cell>
          <cell r="AP567">
            <v>110</v>
          </cell>
          <cell r="AQ567">
            <v>115</v>
          </cell>
          <cell r="AR567">
            <v>55</v>
          </cell>
          <cell r="AS567">
            <v>70</v>
          </cell>
          <cell r="AT567">
            <v>50</v>
          </cell>
          <cell r="AU567">
            <v>0.8</v>
          </cell>
          <cell r="AV567">
            <v>1860</v>
          </cell>
          <cell r="AW567">
            <v>585</v>
          </cell>
          <cell r="AX567">
            <v>30</v>
          </cell>
          <cell r="AY567">
            <v>135</v>
          </cell>
          <cell r="AZ567">
            <v>415</v>
          </cell>
          <cell r="BA567">
            <v>1280</v>
          </cell>
          <cell r="BB567">
            <v>2.6</v>
          </cell>
          <cell r="BC567">
            <v>200</v>
          </cell>
          <cell r="BD567">
            <v>60</v>
          </cell>
          <cell r="BE567">
            <v>0</v>
          </cell>
          <cell r="BF567">
            <v>0</v>
          </cell>
          <cell r="BG567">
            <v>60</v>
          </cell>
          <cell r="BH567">
            <v>140</v>
          </cell>
          <cell r="BI567">
            <v>960</v>
          </cell>
          <cell r="BJ567">
            <v>4.9000000000000004</v>
          </cell>
          <cell r="BK567">
            <v>4704</v>
          </cell>
          <cell r="BL567">
            <v>1.9</v>
          </cell>
          <cell r="BM567">
            <v>1824</v>
          </cell>
          <cell r="BN567">
            <v>960</v>
          </cell>
          <cell r="BO567">
            <v>255</v>
          </cell>
          <cell r="BP567">
            <v>705</v>
          </cell>
          <cell r="BQ567">
            <v>0</v>
          </cell>
          <cell r="BR567">
            <v>960</v>
          </cell>
          <cell r="BS567">
            <v>450</v>
          </cell>
          <cell r="BT567">
            <v>415</v>
          </cell>
          <cell r="BU567">
            <v>95</v>
          </cell>
          <cell r="BV567">
            <v>960</v>
          </cell>
          <cell r="BW567">
            <v>505</v>
          </cell>
          <cell r="BX567">
            <v>280</v>
          </cell>
          <cell r="BY567">
            <v>115</v>
          </cell>
          <cell r="BZ567">
            <v>35</v>
          </cell>
          <cell r="CA567">
            <v>10</v>
          </cell>
          <cell r="CB567">
            <v>0</v>
          </cell>
          <cell r="CC567">
            <v>10</v>
          </cell>
          <cell r="CD567">
            <v>0</v>
          </cell>
          <cell r="CE567">
            <v>0</v>
          </cell>
          <cell r="CF567">
            <v>960</v>
          </cell>
          <cell r="CG567">
            <v>0</v>
          </cell>
          <cell r="CH567">
            <v>5</v>
          </cell>
          <cell r="CI567">
            <v>5</v>
          </cell>
          <cell r="CJ567">
            <v>240</v>
          </cell>
          <cell r="CK567">
            <v>0</v>
          </cell>
          <cell r="CL567">
            <v>715</v>
          </cell>
          <cell r="CM567">
            <v>0</v>
          </cell>
          <cell r="CN567">
            <v>0</v>
          </cell>
          <cell r="CO567">
            <v>960</v>
          </cell>
          <cell r="CP567">
            <v>420</v>
          </cell>
          <cell r="CQ567">
            <v>310</v>
          </cell>
          <cell r="CR567">
            <v>125</v>
          </cell>
          <cell r="CS567">
            <v>100</v>
          </cell>
          <cell r="CT567">
            <v>5</v>
          </cell>
          <cell r="CU567">
            <v>1860</v>
          </cell>
          <cell r="CV567">
            <v>1.9</v>
          </cell>
          <cell r="CW567">
            <v>960</v>
          </cell>
          <cell r="CX567">
            <v>470</v>
          </cell>
          <cell r="CY567">
            <v>0</v>
          </cell>
          <cell r="CZ567">
            <v>480</v>
          </cell>
        </row>
        <row r="568">
          <cell r="A568" t="str">
            <v>4620231.00</v>
          </cell>
          <cell r="B568" t="str">
            <v>0231.00</v>
          </cell>
          <cell r="C568" t="str">
            <v>Villeray-Saint-Michel-Parc-Extension</v>
          </cell>
          <cell r="D568">
            <v>1470</v>
          </cell>
          <cell r="E568">
            <v>925</v>
          </cell>
          <cell r="F568">
            <v>315</v>
          </cell>
          <cell r="G568">
            <v>40</v>
          </cell>
          <cell r="H568">
            <v>120</v>
          </cell>
          <cell r="I568">
            <v>65</v>
          </cell>
          <cell r="J568">
            <v>1470</v>
          </cell>
          <cell r="K568">
            <v>1130</v>
          </cell>
          <cell r="L568">
            <v>340</v>
          </cell>
          <cell r="M568">
            <v>380</v>
          </cell>
          <cell r="N568">
            <v>235</v>
          </cell>
          <cell r="O568">
            <v>55</v>
          </cell>
          <cell r="P568">
            <v>80</v>
          </cell>
          <cell r="Q568">
            <v>15</v>
          </cell>
          <cell r="R568">
            <v>380</v>
          </cell>
          <cell r="S568">
            <v>305</v>
          </cell>
          <cell r="T568">
            <v>145</v>
          </cell>
          <cell r="U568">
            <v>50</v>
          </cell>
          <cell r="V568">
            <v>95</v>
          </cell>
          <cell r="W568">
            <v>45</v>
          </cell>
          <cell r="X568">
            <v>35</v>
          </cell>
          <cell r="Y568">
            <v>15</v>
          </cell>
          <cell r="Z568">
            <v>160</v>
          </cell>
          <cell r="AA568">
            <v>110</v>
          </cell>
          <cell r="AB568">
            <v>45</v>
          </cell>
          <cell r="AC568">
            <v>0</v>
          </cell>
          <cell r="AD568">
            <v>40</v>
          </cell>
          <cell r="AE568">
            <v>0</v>
          </cell>
          <cell r="AF568">
            <v>75</v>
          </cell>
          <cell r="AG568">
            <v>60</v>
          </cell>
          <cell r="AH568">
            <v>55</v>
          </cell>
          <cell r="AI568">
            <v>0</v>
          </cell>
          <cell r="AJ568">
            <v>0</v>
          </cell>
          <cell r="AK568">
            <v>20</v>
          </cell>
          <cell r="AL568">
            <v>20</v>
          </cell>
          <cell r="AM568">
            <v>0</v>
          </cell>
          <cell r="AN568">
            <v>0</v>
          </cell>
          <cell r="AO568">
            <v>340</v>
          </cell>
          <cell r="AP568">
            <v>90</v>
          </cell>
          <cell r="AQ568">
            <v>120</v>
          </cell>
          <cell r="AR568">
            <v>15</v>
          </cell>
          <cell r="AS568">
            <v>60</v>
          </cell>
          <cell r="AT568">
            <v>55</v>
          </cell>
          <cell r="AU568">
            <v>0.9</v>
          </cell>
          <cell r="AV568">
            <v>1670</v>
          </cell>
          <cell r="AW568">
            <v>645</v>
          </cell>
          <cell r="AX568">
            <v>25</v>
          </cell>
          <cell r="AY568">
            <v>200</v>
          </cell>
          <cell r="AZ568">
            <v>420</v>
          </cell>
          <cell r="BA568">
            <v>1025</v>
          </cell>
          <cell r="BB568">
            <v>2.7</v>
          </cell>
          <cell r="BC568">
            <v>150</v>
          </cell>
          <cell r="BD568">
            <v>60</v>
          </cell>
          <cell r="BE568">
            <v>0</v>
          </cell>
          <cell r="BF568">
            <v>0</v>
          </cell>
          <cell r="BG568">
            <v>55</v>
          </cell>
          <cell r="BH568">
            <v>90</v>
          </cell>
          <cell r="BI568">
            <v>885</v>
          </cell>
          <cell r="BJ568">
            <v>5</v>
          </cell>
          <cell r="BK568">
            <v>4425</v>
          </cell>
          <cell r="BL568">
            <v>1.8</v>
          </cell>
          <cell r="BM568">
            <v>1593</v>
          </cell>
          <cell r="BN568">
            <v>885</v>
          </cell>
          <cell r="BO568">
            <v>270</v>
          </cell>
          <cell r="BP568">
            <v>610</v>
          </cell>
          <cell r="BQ568">
            <v>0</v>
          </cell>
          <cell r="BR568">
            <v>880</v>
          </cell>
          <cell r="BS568">
            <v>430</v>
          </cell>
          <cell r="BT568">
            <v>315</v>
          </cell>
          <cell r="BU568">
            <v>135</v>
          </cell>
          <cell r="BV568">
            <v>880</v>
          </cell>
          <cell r="BW568">
            <v>535</v>
          </cell>
          <cell r="BX568">
            <v>230</v>
          </cell>
          <cell r="BY568">
            <v>60</v>
          </cell>
          <cell r="BZ568">
            <v>20</v>
          </cell>
          <cell r="CA568">
            <v>0</v>
          </cell>
          <cell r="CB568">
            <v>10</v>
          </cell>
          <cell r="CC568">
            <v>0</v>
          </cell>
          <cell r="CD568">
            <v>0</v>
          </cell>
          <cell r="CE568">
            <v>20</v>
          </cell>
          <cell r="CF568">
            <v>880</v>
          </cell>
          <cell r="CG568">
            <v>0</v>
          </cell>
          <cell r="CH568">
            <v>0</v>
          </cell>
          <cell r="CI568">
            <v>10</v>
          </cell>
          <cell r="CJ568">
            <v>170</v>
          </cell>
          <cell r="CK568">
            <v>0</v>
          </cell>
          <cell r="CL568">
            <v>705</v>
          </cell>
          <cell r="CM568">
            <v>0</v>
          </cell>
          <cell r="CN568">
            <v>0</v>
          </cell>
          <cell r="CO568">
            <v>885</v>
          </cell>
          <cell r="CP568">
            <v>410</v>
          </cell>
          <cell r="CQ568">
            <v>280</v>
          </cell>
          <cell r="CR568">
            <v>105</v>
          </cell>
          <cell r="CS568">
            <v>85</v>
          </cell>
          <cell r="CT568">
            <v>5</v>
          </cell>
          <cell r="CU568">
            <v>1675</v>
          </cell>
          <cell r="CV568">
            <v>1.9</v>
          </cell>
          <cell r="CW568">
            <v>880</v>
          </cell>
          <cell r="CX568">
            <v>380</v>
          </cell>
          <cell r="CY568">
            <v>0</v>
          </cell>
          <cell r="CZ568">
            <v>500</v>
          </cell>
        </row>
        <row r="569">
          <cell r="A569" t="str">
            <v>4620232.00</v>
          </cell>
          <cell r="B569" t="str">
            <v>0232.00</v>
          </cell>
          <cell r="C569" t="str">
            <v>Villeray-Saint-Michel-Parc-Extension</v>
          </cell>
          <cell r="D569">
            <v>2700</v>
          </cell>
          <cell r="E569">
            <v>1620</v>
          </cell>
          <cell r="F569">
            <v>620</v>
          </cell>
          <cell r="G569">
            <v>60</v>
          </cell>
          <cell r="H569">
            <v>305</v>
          </cell>
          <cell r="I569">
            <v>95</v>
          </cell>
          <cell r="J569">
            <v>2700</v>
          </cell>
          <cell r="K569">
            <v>2095</v>
          </cell>
          <cell r="L569">
            <v>605</v>
          </cell>
          <cell r="M569">
            <v>785</v>
          </cell>
          <cell r="N569">
            <v>460</v>
          </cell>
          <cell r="O569">
            <v>205</v>
          </cell>
          <cell r="P569">
            <v>80</v>
          </cell>
          <cell r="Q569">
            <v>35</v>
          </cell>
          <cell r="R569">
            <v>785</v>
          </cell>
          <cell r="S569">
            <v>615</v>
          </cell>
          <cell r="T569">
            <v>305</v>
          </cell>
          <cell r="U569">
            <v>160</v>
          </cell>
          <cell r="V569">
            <v>150</v>
          </cell>
          <cell r="W569">
            <v>75</v>
          </cell>
          <cell r="X569">
            <v>40</v>
          </cell>
          <cell r="Y569">
            <v>30</v>
          </cell>
          <cell r="Z569">
            <v>310</v>
          </cell>
          <cell r="AA569">
            <v>215</v>
          </cell>
          <cell r="AB569">
            <v>95</v>
          </cell>
          <cell r="AC569">
            <v>70</v>
          </cell>
          <cell r="AD569">
            <v>20</v>
          </cell>
          <cell r="AE569">
            <v>10</v>
          </cell>
          <cell r="AF569">
            <v>170</v>
          </cell>
          <cell r="AG569">
            <v>125</v>
          </cell>
          <cell r="AH569">
            <v>55</v>
          </cell>
          <cell r="AI569">
            <v>45</v>
          </cell>
          <cell r="AJ569">
            <v>20</v>
          </cell>
          <cell r="AK569">
            <v>40</v>
          </cell>
          <cell r="AL569">
            <v>30</v>
          </cell>
          <cell r="AM569">
            <v>10</v>
          </cell>
          <cell r="AN569">
            <v>0</v>
          </cell>
          <cell r="AO569">
            <v>655</v>
          </cell>
          <cell r="AP569">
            <v>175</v>
          </cell>
          <cell r="AQ569">
            <v>200</v>
          </cell>
          <cell r="AR569">
            <v>50</v>
          </cell>
          <cell r="AS569">
            <v>125</v>
          </cell>
          <cell r="AT569">
            <v>110</v>
          </cell>
          <cell r="AU569">
            <v>0.8</v>
          </cell>
          <cell r="AV569">
            <v>3020</v>
          </cell>
          <cell r="AW569">
            <v>965</v>
          </cell>
          <cell r="AX569">
            <v>85</v>
          </cell>
          <cell r="AY569">
            <v>195</v>
          </cell>
          <cell r="AZ569">
            <v>685</v>
          </cell>
          <cell r="BA569">
            <v>2050</v>
          </cell>
          <cell r="BB569">
            <v>2.6</v>
          </cell>
          <cell r="BC569">
            <v>280</v>
          </cell>
          <cell r="BD569">
            <v>115</v>
          </cell>
          <cell r="BE569">
            <v>15</v>
          </cell>
          <cell r="BF569">
            <v>0</v>
          </cell>
          <cell r="BG569">
            <v>100</v>
          </cell>
          <cell r="BH569">
            <v>160</v>
          </cell>
          <cell r="BI569">
            <v>1570</v>
          </cell>
          <cell r="BJ569">
            <v>4.5</v>
          </cell>
          <cell r="BK569">
            <v>7065</v>
          </cell>
          <cell r="BL569">
            <v>1.7</v>
          </cell>
          <cell r="BM569">
            <v>2669</v>
          </cell>
          <cell r="BN569">
            <v>1570</v>
          </cell>
          <cell r="BO569">
            <v>565</v>
          </cell>
          <cell r="BP569">
            <v>1000</v>
          </cell>
          <cell r="BQ569">
            <v>0</v>
          </cell>
          <cell r="BR569">
            <v>1570</v>
          </cell>
          <cell r="BS569">
            <v>885</v>
          </cell>
          <cell r="BT569">
            <v>495</v>
          </cell>
          <cell r="BU569">
            <v>190</v>
          </cell>
          <cell r="BV569">
            <v>1570</v>
          </cell>
          <cell r="BW569">
            <v>700</v>
          </cell>
          <cell r="BX569">
            <v>375</v>
          </cell>
          <cell r="BY569">
            <v>120</v>
          </cell>
          <cell r="BZ569">
            <v>55</v>
          </cell>
          <cell r="CA569">
            <v>50</v>
          </cell>
          <cell r="CB569">
            <v>20</v>
          </cell>
          <cell r="CC569">
            <v>10</v>
          </cell>
          <cell r="CD569">
            <v>70</v>
          </cell>
          <cell r="CE569">
            <v>170</v>
          </cell>
          <cell r="CF569">
            <v>1570</v>
          </cell>
          <cell r="CG569">
            <v>0</v>
          </cell>
          <cell r="CH569">
            <v>5</v>
          </cell>
          <cell r="CI569">
            <v>5</v>
          </cell>
          <cell r="CJ569">
            <v>225</v>
          </cell>
          <cell r="CK569">
            <v>5</v>
          </cell>
          <cell r="CL569">
            <v>1310</v>
          </cell>
          <cell r="CM569">
            <v>25</v>
          </cell>
          <cell r="CN569">
            <v>0</v>
          </cell>
          <cell r="CO569">
            <v>1570</v>
          </cell>
          <cell r="CP569">
            <v>680</v>
          </cell>
          <cell r="CQ569">
            <v>540</v>
          </cell>
          <cell r="CR569">
            <v>205</v>
          </cell>
          <cell r="CS569">
            <v>130</v>
          </cell>
          <cell r="CT569">
            <v>15</v>
          </cell>
          <cell r="CU569">
            <v>3020</v>
          </cell>
          <cell r="CV569">
            <v>1.9</v>
          </cell>
          <cell r="CW569">
            <v>1570</v>
          </cell>
          <cell r="CX569">
            <v>765</v>
          </cell>
          <cell r="CY569">
            <v>10</v>
          </cell>
          <cell r="CZ569">
            <v>795</v>
          </cell>
        </row>
        <row r="570">
          <cell r="A570" t="str">
            <v>4620233.00</v>
          </cell>
          <cell r="B570" t="str">
            <v>0233.00</v>
          </cell>
          <cell r="C570" t="str">
            <v>Villeray-Saint-Michel-Parc-Extension</v>
          </cell>
          <cell r="D570">
            <v>1780</v>
          </cell>
          <cell r="E570">
            <v>1120</v>
          </cell>
          <cell r="F570">
            <v>445</v>
          </cell>
          <cell r="G570">
            <v>50</v>
          </cell>
          <cell r="H570">
            <v>120</v>
          </cell>
          <cell r="I570">
            <v>45</v>
          </cell>
          <cell r="J570">
            <v>1780</v>
          </cell>
          <cell r="K570">
            <v>1450</v>
          </cell>
          <cell r="L570">
            <v>335</v>
          </cell>
          <cell r="M570">
            <v>465</v>
          </cell>
          <cell r="N570">
            <v>275</v>
          </cell>
          <cell r="O570">
            <v>95</v>
          </cell>
          <cell r="P570">
            <v>60</v>
          </cell>
          <cell r="Q570">
            <v>25</v>
          </cell>
          <cell r="R570">
            <v>460</v>
          </cell>
          <cell r="S570">
            <v>390</v>
          </cell>
          <cell r="T570">
            <v>215</v>
          </cell>
          <cell r="U570">
            <v>85</v>
          </cell>
          <cell r="V570">
            <v>135</v>
          </cell>
          <cell r="W570">
            <v>45</v>
          </cell>
          <cell r="X570">
            <v>60</v>
          </cell>
          <cell r="Y570">
            <v>30</v>
          </cell>
          <cell r="Z570">
            <v>170</v>
          </cell>
          <cell r="AA570">
            <v>140</v>
          </cell>
          <cell r="AB570">
            <v>30</v>
          </cell>
          <cell r="AC570">
            <v>25</v>
          </cell>
          <cell r="AD570">
            <v>0</v>
          </cell>
          <cell r="AE570">
            <v>0</v>
          </cell>
          <cell r="AF570">
            <v>75</v>
          </cell>
          <cell r="AG570">
            <v>70</v>
          </cell>
          <cell r="AH570">
            <v>45</v>
          </cell>
          <cell r="AI570">
            <v>25</v>
          </cell>
          <cell r="AJ570">
            <v>0</v>
          </cell>
          <cell r="AK570">
            <v>0</v>
          </cell>
          <cell r="AL570">
            <v>10</v>
          </cell>
          <cell r="AM570">
            <v>0</v>
          </cell>
          <cell r="AN570">
            <v>0</v>
          </cell>
          <cell r="AO570">
            <v>385</v>
          </cell>
          <cell r="AP570">
            <v>135</v>
          </cell>
          <cell r="AQ570">
            <v>130</v>
          </cell>
          <cell r="AR570">
            <v>40</v>
          </cell>
          <cell r="AS570">
            <v>35</v>
          </cell>
          <cell r="AT570">
            <v>50</v>
          </cell>
          <cell r="AU570">
            <v>0.8</v>
          </cell>
          <cell r="AV570">
            <v>2050</v>
          </cell>
          <cell r="AW570">
            <v>810</v>
          </cell>
          <cell r="AX570">
            <v>45</v>
          </cell>
          <cell r="AY570">
            <v>290</v>
          </cell>
          <cell r="AZ570">
            <v>480</v>
          </cell>
          <cell r="BA570">
            <v>1235</v>
          </cell>
          <cell r="BB570">
            <v>2.7</v>
          </cell>
          <cell r="BC570">
            <v>115</v>
          </cell>
          <cell r="BD570">
            <v>80</v>
          </cell>
          <cell r="BE570">
            <v>0</v>
          </cell>
          <cell r="BF570">
            <v>10</v>
          </cell>
          <cell r="BG570">
            <v>65</v>
          </cell>
          <cell r="BH570">
            <v>40</v>
          </cell>
          <cell r="BI570">
            <v>1055</v>
          </cell>
          <cell r="BJ570">
            <v>4.2</v>
          </cell>
          <cell r="BK570">
            <v>4431</v>
          </cell>
          <cell r="BL570">
            <v>1.5</v>
          </cell>
          <cell r="BM570">
            <v>1582.5</v>
          </cell>
          <cell r="BN570">
            <v>1055</v>
          </cell>
          <cell r="BO570">
            <v>165</v>
          </cell>
          <cell r="BP570">
            <v>885</v>
          </cell>
          <cell r="BQ570">
            <v>0</v>
          </cell>
          <cell r="BR570">
            <v>1055</v>
          </cell>
          <cell r="BS570">
            <v>510</v>
          </cell>
          <cell r="BT570">
            <v>385</v>
          </cell>
          <cell r="BU570">
            <v>160</v>
          </cell>
          <cell r="BV570">
            <v>1055</v>
          </cell>
          <cell r="BW570">
            <v>450</v>
          </cell>
          <cell r="BX570">
            <v>280</v>
          </cell>
          <cell r="BY570">
            <v>155</v>
          </cell>
          <cell r="BZ570">
            <v>80</v>
          </cell>
          <cell r="CA570">
            <v>25</v>
          </cell>
          <cell r="CB570">
            <v>10</v>
          </cell>
          <cell r="CC570">
            <v>30</v>
          </cell>
          <cell r="CD570">
            <v>0</v>
          </cell>
          <cell r="CE570">
            <v>15</v>
          </cell>
          <cell r="CF570">
            <v>1055</v>
          </cell>
          <cell r="CG570">
            <v>0</v>
          </cell>
          <cell r="CH570">
            <v>0</v>
          </cell>
          <cell r="CI570">
            <v>0</v>
          </cell>
          <cell r="CJ570">
            <v>80</v>
          </cell>
          <cell r="CK570">
            <v>60</v>
          </cell>
          <cell r="CL570">
            <v>870</v>
          </cell>
          <cell r="CM570">
            <v>45</v>
          </cell>
          <cell r="CN570">
            <v>0</v>
          </cell>
          <cell r="CO570">
            <v>1055</v>
          </cell>
          <cell r="CP570">
            <v>475</v>
          </cell>
          <cell r="CQ570">
            <v>320</v>
          </cell>
          <cell r="CR570">
            <v>155</v>
          </cell>
          <cell r="CS570">
            <v>105</v>
          </cell>
          <cell r="CT570">
            <v>10</v>
          </cell>
          <cell r="CU570">
            <v>2045</v>
          </cell>
          <cell r="CV570">
            <v>1.9</v>
          </cell>
          <cell r="CW570">
            <v>1055</v>
          </cell>
          <cell r="CX570">
            <v>460</v>
          </cell>
          <cell r="CY570">
            <v>0</v>
          </cell>
          <cell r="CZ570">
            <v>590</v>
          </cell>
        </row>
        <row r="571">
          <cell r="A571" t="str">
            <v>4620234.00</v>
          </cell>
          <cell r="B571" t="str">
            <v>0234.00</v>
          </cell>
          <cell r="C571" t="str">
            <v>Villeray-Saint-Michel-Parc-Extension</v>
          </cell>
          <cell r="D571">
            <v>1960</v>
          </cell>
          <cell r="E571">
            <v>995</v>
          </cell>
          <cell r="F571">
            <v>555</v>
          </cell>
          <cell r="G571">
            <v>55</v>
          </cell>
          <cell r="H571">
            <v>225</v>
          </cell>
          <cell r="I571">
            <v>130</v>
          </cell>
          <cell r="J571">
            <v>1965</v>
          </cell>
          <cell r="K571">
            <v>1700</v>
          </cell>
          <cell r="L571">
            <v>260</v>
          </cell>
          <cell r="M571">
            <v>480</v>
          </cell>
          <cell r="N571">
            <v>260</v>
          </cell>
          <cell r="O571">
            <v>110</v>
          </cell>
          <cell r="P571">
            <v>45</v>
          </cell>
          <cell r="Q571">
            <v>60</v>
          </cell>
          <cell r="R571">
            <v>475</v>
          </cell>
          <cell r="S571">
            <v>380</v>
          </cell>
          <cell r="T571">
            <v>245</v>
          </cell>
          <cell r="U571">
            <v>100</v>
          </cell>
          <cell r="V571">
            <v>140</v>
          </cell>
          <cell r="W571">
            <v>70</v>
          </cell>
          <cell r="X571">
            <v>40</v>
          </cell>
          <cell r="Y571">
            <v>30</v>
          </cell>
          <cell r="Z571">
            <v>130</v>
          </cell>
          <cell r="AA571">
            <v>95</v>
          </cell>
          <cell r="AB571">
            <v>35</v>
          </cell>
          <cell r="AC571">
            <v>10</v>
          </cell>
          <cell r="AD571">
            <v>0</v>
          </cell>
          <cell r="AE571">
            <v>25</v>
          </cell>
          <cell r="AF571">
            <v>100</v>
          </cell>
          <cell r="AG571">
            <v>85</v>
          </cell>
          <cell r="AH571">
            <v>55</v>
          </cell>
          <cell r="AI571">
            <v>25</v>
          </cell>
          <cell r="AJ571">
            <v>0</v>
          </cell>
          <cell r="AK571">
            <v>15</v>
          </cell>
          <cell r="AL571">
            <v>10</v>
          </cell>
          <cell r="AM571">
            <v>0</v>
          </cell>
          <cell r="AN571">
            <v>0</v>
          </cell>
          <cell r="AO571">
            <v>500</v>
          </cell>
          <cell r="AP571">
            <v>125</v>
          </cell>
          <cell r="AQ571">
            <v>155</v>
          </cell>
          <cell r="AR571">
            <v>75</v>
          </cell>
          <cell r="AS571">
            <v>95</v>
          </cell>
          <cell r="AT571">
            <v>45</v>
          </cell>
          <cell r="AU571">
            <v>1</v>
          </cell>
          <cell r="AV571">
            <v>2240</v>
          </cell>
          <cell r="AW571">
            <v>890</v>
          </cell>
          <cell r="AX571">
            <v>70</v>
          </cell>
          <cell r="AY571">
            <v>255</v>
          </cell>
          <cell r="AZ571">
            <v>560</v>
          </cell>
          <cell r="BA571">
            <v>1355</v>
          </cell>
          <cell r="BB571">
            <v>2.9</v>
          </cell>
          <cell r="BC571">
            <v>350</v>
          </cell>
          <cell r="BD571">
            <v>245</v>
          </cell>
          <cell r="BE571">
            <v>20</v>
          </cell>
          <cell r="BF571">
            <v>25</v>
          </cell>
          <cell r="BG571">
            <v>200</v>
          </cell>
          <cell r="BH571">
            <v>105</v>
          </cell>
          <cell r="BI571">
            <v>1170</v>
          </cell>
          <cell r="BJ571">
            <v>3.9</v>
          </cell>
          <cell r="BK571">
            <v>4563</v>
          </cell>
          <cell r="BL571">
            <v>1.5</v>
          </cell>
          <cell r="BM571">
            <v>1755</v>
          </cell>
          <cell r="BN571">
            <v>1170</v>
          </cell>
          <cell r="BO571">
            <v>225</v>
          </cell>
          <cell r="BP571">
            <v>950</v>
          </cell>
          <cell r="BQ571">
            <v>0</v>
          </cell>
          <cell r="BR571">
            <v>1170</v>
          </cell>
          <cell r="BS571">
            <v>760</v>
          </cell>
          <cell r="BT571">
            <v>320</v>
          </cell>
          <cell r="BU571">
            <v>90</v>
          </cell>
          <cell r="BV571">
            <v>1170</v>
          </cell>
          <cell r="BW571">
            <v>385</v>
          </cell>
          <cell r="BX571">
            <v>205</v>
          </cell>
          <cell r="BY571">
            <v>230</v>
          </cell>
          <cell r="BZ571">
            <v>80</v>
          </cell>
          <cell r="CA571">
            <v>90</v>
          </cell>
          <cell r="CB571">
            <v>25</v>
          </cell>
          <cell r="CC571">
            <v>90</v>
          </cell>
          <cell r="CD571">
            <v>25</v>
          </cell>
          <cell r="CE571">
            <v>35</v>
          </cell>
          <cell r="CF571">
            <v>1170</v>
          </cell>
          <cell r="CG571">
            <v>5</v>
          </cell>
          <cell r="CH571">
            <v>10</v>
          </cell>
          <cell r="CI571">
            <v>20</v>
          </cell>
          <cell r="CJ571">
            <v>130</v>
          </cell>
          <cell r="CK571">
            <v>85</v>
          </cell>
          <cell r="CL571">
            <v>905</v>
          </cell>
          <cell r="CM571">
            <v>25</v>
          </cell>
          <cell r="CN571">
            <v>0</v>
          </cell>
          <cell r="CO571">
            <v>1175</v>
          </cell>
          <cell r="CP571">
            <v>565</v>
          </cell>
          <cell r="CQ571">
            <v>355</v>
          </cell>
          <cell r="CR571">
            <v>125</v>
          </cell>
          <cell r="CS571">
            <v>120</v>
          </cell>
          <cell r="CT571">
            <v>15</v>
          </cell>
          <cell r="CU571">
            <v>2240</v>
          </cell>
          <cell r="CV571">
            <v>1.9</v>
          </cell>
          <cell r="CW571">
            <v>1170</v>
          </cell>
          <cell r="CX571">
            <v>480</v>
          </cell>
          <cell r="CY571">
            <v>0</v>
          </cell>
          <cell r="CZ571">
            <v>695</v>
          </cell>
        </row>
        <row r="572">
          <cell r="A572" t="str">
            <v>4620235.00</v>
          </cell>
          <cell r="B572" t="str">
            <v>0235.00</v>
          </cell>
          <cell r="C572" t="str">
            <v>Villeray-Saint-Michel-Parc-Extension</v>
          </cell>
          <cell r="D572">
            <v>1675</v>
          </cell>
          <cell r="E572">
            <v>1105</v>
          </cell>
          <cell r="F572">
            <v>285</v>
          </cell>
          <cell r="G572">
            <v>30</v>
          </cell>
          <cell r="H572">
            <v>155</v>
          </cell>
          <cell r="I572">
            <v>95</v>
          </cell>
          <cell r="J572">
            <v>1670</v>
          </cell>
          <cell r="K572">
            <v>1295</v>
          </cell>
          <cell r="L572">
            <v>380</v>
          </cell>
          <cell r="M572">
            <v>430</v>
          </cell>
          <cell r="N572">
            <v>270</v>
          </cell>
          <cell r="O572">
            <v>90</v>
          </cell>
          <cell r="P572">
            <v>60</v>
          </cell>
          <cell r="Q572">
            <v>10</v>
          </cell>
          <cell r="R572">
            <v>430</v>
          </cell>
          <cell r="S572">
            <v>325</v>
          </cell>
          <cell r="T572">
            <v>140</v>
          </cell>
          <cell r="U572">
            <v>75</v>
          </cell>
          <cell r="V572">
            <v>65</v>
          </cell>
          <cell r="W572">
            <v>20</v>
          </cell>
          <cell r="X572">
            <v>40</v>
          </cell>
          <cell r="Y572">
            <v>10</v>
          </cell>
          <cell r="Z572">
            <v>190</v>
          </cell>
          <cell r="AA572">
            <v>120</v>
          </cell>
          <cell r="AB572">
            <v>70</v>
          </cell>
          <cell r="AC572">
            <v>55</v>
          </cell>
          <cell r="AD572">
            <v>10</v>
          </cell>
          <cell r="AE572">
            <v>0</v>
          </cell>
          <cell r="AF572">
            <v>105</v>
          </cell>
          <cell r="AG572">
            <v>85</v>
          </cell>
          <cell r="AH572">
            <v>70</v>
          </cell>
          <cell r="AI572">
            <v>15</v>
          </cell>
          <cell r="AJ572">
            <v>10</v>
          </cell>
          <cell r="AK572">
            <v>20</v>
          </cell>
          <cell r="AL572">
            <v>10</v>
          </cell>
          <cell r="AM572">
            <v>10</v>
          </cell>
          <cell r="AN572">
            <v>10</v>
          </cell>
          <cell r="AO572">
            <v>345</v>
          </cell>
          <cell r="AP572">
            <v>50</v>
          </cell>
          <cell r="AQ572">
            <v>115</v>
          </cell>
          <cell r="AR572">
            <v>50</v>
          </cell>
          <cell r="AS572">
            <v>60</v>
          </cell>
          <cell r="AT572">
            <v>65</v>
          </cell>
          <cell r="AU572">
            <v>0.8</v>
          </cell>
          <cell r="AV572">
            <v>1850</v>
          </cell>
          <cell r="AW572">
            <v>750</v>
          </cell>
          <cell r="AX572">
            <v>70</v>
          </cell>
          <cell r="AY572">
            <v>255</v>
          </cell>
          <cell r="AZ572">
            <v>425</v>
          </cell>
          <cell r="BA572">
            <v>1105</v>
          </cell>
          <cell r="BB572">
            <v>2.6</v>
          </cell>
          <cell r="BC572">
            <v>190</v>
          </cell>
          <cell r="BD572">
            <v>75</v>
          </cell>
          <cell r="BE572">
            <v>10</v>
          </cell>
          <cell r="BF572">
            <v>0</v>
          </cell>
          <cell r="BG572">
            <v>70</v>
          </cell>
          <cell r="BH572">
            <v>110</v>
          </cell>
          <cell r="BI572">
            <v>975</v>
          </cell>
          <cell r="BJ572">
            <v>4.9000000000000004</v>
          </cell>
          <cell r="BK572">
            <v>4777.5</v>
          </cell>
          <cell r="BL572">
            <v>2</v>
          </cell>
          <cell r="BM572">
            <v>1950</v>
          </cell>
          <cell r="BN572">
            <v>975</v>
          </cell>
          <cell r="BO572">
            <v>290</v>
          </cell>
          <cell r="BP572">
            <v>690</v>
          </cell>
          <cell r="BQ572">
            <v>0</v>
          </cell>
          <cell r="BR572">
            <v>975</v>
          </cell>
          <cell r="BS572">
            <v>530</v>
          </cell>
          <cell r="BT572">
            <v>350</v>
          </cell>
          <cell r="BU572">
            <v>100</v>
          </cell>
          <cell r="BV572">
            <v>980</v>
          </cell>
          <cell r="BW572">
            <v>630</v>
          </cell>
          <cell r="BX572">
            <v>280</v>
          </cell>
          <cell r="BY572">
            <v>40</v>
          </cell>
          <cell r="BZ572">
            <v>20</v>
          </cell>
          <cell r="CA572">
            <v>10</v>
          </cell>
          <cell r="CB572">
            <v>0</v>
          </cell>
          <cell r="CC572">
            <v>0</v>
          </cell>
          <cell r="CD572">
            <v>0</v>
          </cell>
          <cell r="CE572">
            <v>0</v>
          </cell>
          <cell r="CF572">
            <v>975</v>
          </cell>
          <cell r="CG572">
            <v>0</v>
          </cell>
          <cell r="CH572">
            <v>5</v>
          </cell>
          <cell r="CI572">
            <v>15</v>
          </cell>
          <cell r="CJ572">
            <v>190</v>
          </cell>
          <cell r="CK572">
            <v>0</v>
          </cell>
          <cell r="CL572">
            <v>750</v>
          </cell>
          <cell r="CM572">
            <v>20</v>
          </cell>
          <cell r="CN572">
            <v>0</v>
          </cell>
          <cell r="CO572">
            <v>975</v>
          </cell>
          <cell r="CP572">
            <v>435</v>
          </cell>
          <cell r="CQ572">
            <v>335</v>
          </cell>
          <cell r="CR572">
            <v>120</v>
          </cell>
          <cell r="CS572">
            <v>75</v>
          </cell>
          <cell r="CT572">
            <v>10</v>
          </cell>
          <cell r="CU572">
            <v>1850</v>
          </cell>
          <cell r="CV572">
            <v>1.9</v>
          </cell>
          <cell r="CW572">
            <v>975</v>
          </cell>
          <cell r="CX572">
            <v>420</v>
          </cell>
          <cell r="CY572">
            <v>10</v>
          </cell>
          <cell r="CZ572">
            <v>550</v>
          </cell>
        </row>
        <row r="573">
          <cell r="A573" t="str">
            <v>4620236.00</v>
          </cell>
          <cell r="B573" t="str">
            <v>0236.00</v>
          </cell>
          <cell r="C573" t="str">
            <v>Villeray-Saint-Michel-Parc-Extension</v>
          </cell>
          <cell r="D573">
            <v>1490</v>
          </cell>
          <cell r="E573">
            <v>895</v>
          </cell>
          <cell r="F573">
            <v>330</v>
          </cell>
          <cell r="G573">
            <v>25</v>
          </cell>
          <cell r="H573">
            <v>140</v>
          </cell>
          <cell r="I573">
            <v>105</v>
          </cell>
          <cell r="J573">
            <v>1490</v>
          </cell>
          <cell r="K573">
            <v>1170</v>
          </cell>
          <cell r="L573">
            <v>320</v>
          </cell>
          <cell r="M573">
            <v>425</v>
          </cell>
          <cell r="N573">
            <v>305</v>
          </cell>
          <cell r="O573">
            <v>90</v>
          </cell>
          <cell r="P573">
            <v>20</v>
          </cell>
          <cell r="Q573">
            <v>15</v>
          </cell>
          <cell r="R573">
            <v>425</v>
          </cell>
          <cell r="S573">
            <v>305</v>
          </cell>
          <cell r="T573">
            <v>140</v>
          </cell>
          <cell r="U573">
            <v>95</v>
          </cell>
          <cell r="V573">
            <v>40</v>
          </cell>
          <cell r="W573">
            <v>25</v>
          </cell>
          <cell r="X573">
            <v>0</v>
          </cell>
          <cell r="Y573">
            <v>10</v>
          </cell>
          <cell r="Z573">
            <v>170</v>
          </cell>
          <cell r="AA573">
            <v>125</v>
          </cell>
          <cell r="AB573">
            <v>45</v>
          </cell>
          <cell r="AC573">
            <v>25</v>
          </cell>
          <cell r="AD573">
            <v>10</v>
          </cell>
          <cell r="AE573">
            <v>0</v>
          </cell>
          <cell r="AF573">
            <v>115</v>
          </cell>
          <cell r="AG573">
            <v>95</v>
          </cell>
          <cell r="AH573">
            <v>75</v>
          </cell>
          <cell r="AI573">
            <v>25</v>
          </cell>
          <cell r="AJ573">
            <v>0</v>
          </cell>
          <cell r="AK573">
            <v>20</v>
          </cell>
          <cell r="AL573">
            <v>10</v>
          </cell>
          <cell r="AM573">
            <v>10</v>
          </cell>
          <cell r="AN573">
            <v>0</v>
          </cell>
          <cell r="AO573">
            <v>290</v>
          </cell>
          <cell r="AP573">
            <v>70</v>
          </cell>
          <cell r="AQ573">
            <v>70</v>
          </cell>
          <cell r="AR573">
            <v>40</v>
          </cell>
          <cell r="AS573">
            <v>70</v>
          </cell>
          <cell r="AT573">
            <v>35</v>
          </cell>
          <cell r="AU573">
            <v>0.7</v>
          </cell>
          <cell r="AV573">
            <v>1660</v>
          </cell>
          <cell r="AW573">
            <v>640</v>
          </cell>
          <cell r="AX573">
            <v>45</v>
          </cell>
          <cell r="AY573">
            <v>175</v>
          </cell>
          <cell r="AZ573">
            <v>420</v>
          </cell>
          <cell r="BA573">
            <v>1015</v>
          </cell>
          <cell r="BB573">
            <v>2.4</v>
          </cell>
          <cell r="BC573">
            <v>215</v>
          </cell>
          <cell r="BD573">
            <v>110</v>
          </cell>
          <cell r="BE573">
            <v>10</v>
          </cell>
          <cell r="BF573">
            <v>0</v>
          </cell>
          <cell r="BG573">
            <v>100</v>
          </cell>
          <cell r="BH573">
            <v>105</v>
          </cell>
          <cell r="BI573">
            <v>920</v>
          </cell>
          <cell r="BJ573">
            <v>4.5</v>
          </cell>
          <cell r="BK573">
            <v>4140</v>
          </cell>
          <cell r="BL573">
            <v>1.6</v>
          </cell>
          <cell r="BM573">
            <v>1472</v>
          </cell>
          <cell r="BN573">
            <v>920</v>
          </cell>
          <cell r="BO573">
            <v>225</v>
          </cell>
          <cell r="BP573">
            <v>695</v>
          </cell>
          <cell r="BQ573">
            <v>0</v>
          </cell>
          <cell r="BR573">
            <v>920</v>
          </cell>
          <cell r="BS573">
            <v>550</v>
          </cell>
          <cell r="BT573">
            <v>290</v>
          </cell>
          <cell r="BU573">
            <v>75</v>
          </cell>
          <cell r="BV573">
            <v>920</v>
          </cell>
          <cell r="BW573">
            <v>400</v>
          </cell>
          <cell r="BX573">
            <v>295</v>
          </cell>
          <cell r="BY573">
            <v>90</v>
          </cell>
          <cell r="BZ573">
            <v>75</v>
          </cell>
          <cell r="CA573">
            <v>20</v>
          </cell>
          <cell r="CB573">
            <v>0</v>
          </cell>
          <cell r="CC573">
            <v>10</v>
          </cell>
          <cell r="CD573">
            <v>0</v>
          </cell>
          <cell r="CE573">
            <v>25</v>
          </cell>
          <cell r="CF573">
            <v>915</v>
          </cell>
          <cell r="CG573">
            <v>5</v>
          </cell>
          <cell r="CH573">
            <v>10</v>
          </cell>
          <cell r="CI573">
            <v>15</v>
          </cell>
          <cell r="CJ573">
            <v>210</v>
          </cell>
          <cell r="CK573">
            <v>90</v>
          </cell>
          <cell r="CL573">
            <v>545</v>
          </cell>
          <cell r="CM573">
            <v>45</v>
          </cell>
          <cell r="CN573">
            <v>0</v>
          </cell>
          <cell r="CO573">
            <v>920</v>
          </cell>
          <cell r="CP573">
            <v>435</v>
          </cell>
          <cell r="CQ573">
            <v>315</v>
          </cell>
          <cell r="CR573">
            <v>100</v>
          </cell>
          <cell r="CS573">
            <v>60</v>
          </cell>
          <cell r="CT573">
            <v>5</v>
          </cell>
          <cell r="CU573">
            <v>1660</v>
          </cell>
          <cell r="CV573">
            <v>1.8</v>
          </cell>
          <cell r="CW573">
            <v>920</v>
          </cell>
          <cell r="CX573">
            <v>425</v>
          </cell>
          <cell r="CY573">
            <v>0</v>
          </cell>
          <cell r="CZ573">
            <v>495</v>
          </cell>
        </row>
        <row r="574">
          <cell r="A574" t="str">
            <v>4620237.00</v>
          </cell>
          <cell r="B574" t="str">
            <v>0237.00</v>
          </cell>
          <cell r="C574" t="str">
            <v>Villeray-Saint-Michel-Parc-Extension</v>
          </cell>
          <cell r="D574">
            <v>2750</v>
          </cell>
          <cell r="E574">
            <v>1795</v>
          </cell>
          <cell r="F574">
            <v>475</v>
          </cell>
          <cell r="G574">
            <v>45</v>
          </cell>
          <cell r="H574">
            <v>305</v>
          </cell>
          <cell r="I574">
            <v>130</v>
          </cell>
          <cell r="J574">
            <v>2755</v>
          </cell>
          <cell r="K574">
            <v>2025</v>
          </cell>
          <cell r="L574">
            <v>730</v>
          </cell>
          <cell r="M574">
            <v>795</v>
          </cell>
          <cell r="N574">
            <v>465</v>
          </cell>
          <cell r="O574">
            <v>180</v>
          </cell>
          <cell r="P574">
            <v>110</v>
          </cell>
          <cell r="Q574">
            <v>40</v>
          </cell>
          <cell r="R574">
            <v>795</v>
          </cell>
          <cell r="S574">
            <v>605</v>
          </cell>
          <cell r="T574">
            <v>235</v>
          </cell>
          <cell r="U574">
            <v>110</v>
          </cell>
          <cell r="V574">
            <v>135</v>
          </cell>
          <cell r="W574">
            <v>45</v>
          </cell>
          <cell r="X574">
            <v>65</v>
          </cell>
          <cell r="Y574">
            <v>20</v>
          </cell>
          <cell r="Z574">
            <v>365</v>
          </cell>
          <cell r="AA574">
            <v>220</v>
          </cell>
          <cell r="AB574">
            <v>145</v>
          </cell>
          <cell r="AC574">
            <v>80</v>
          </cell>
          <cell r="AD574">
            <v>40</v>
          </cell>
          <cell r="AE574">
            <v>20</v>
          </cell>
          <cell r="AF574">
            <v>195</v>
          </cell>
          <cell r="AG574">
            <v>170</v>
          </cell>
          <cell r="AH574">
            <v>125</v>
          </cell>
          <cell r="AI574">
            <v>35</v>
          </cell>
          <cell r="AJ574">
            <v>10</v>
          </cell>
          <cell r="AK574">
            <v>20</v>
          </cell>
          <cell r="AL574">
            <v>15</v>
          </cell>
          <cell r="AM574">
            <v>0</v>
          </cell>
          <cell r="AN574">
            <v>0</v>
          </cell>
          <cell r="AO574">
            <v>710</v>
          </cell>
          <cell r="AP574">
            <v>215</v>
          </cell>
          <cell r="AQ574">
            <v>165</v>
          </cell>
          <cell r="AR574">
            <v>70</v>
          </cell>
          <cell r="AS574">
            <v>175</v>
          </cell>
          <cell r="AT574">
            <v>80</v>
          </cell>
          <cell r="AU574">
            <v>0.9</v>
          </cell>
          <cell r="AV574">
            <v>3095</v>
          </cell>
          <cell r="AW574">
            <v>985</v>
          </cell>
          <cell r="AX574">
            <v>25</v>
          </cell>
          <cell r="AY574">
            <v>345</v>
          </cell>
          <cell r="AZ574">
            <v>615</v>
          </cell>
          <cell r="BA574">
            <v>2110</v>
          </cell>
          <cell r="BB574">
            <v>2.6</v>
          </cell>
          <cell r="BC574">
            <v>290</v>
          </cell>
          <cell r="BD574">
            <v>135</v>
          </cell>
          <cell r="BE574">
            <v>10</v>
          </cell>
          <cell r="BF574">
            <v>10</v>
          </cell>
          <cell r="BG574">
            <v>115</v>
          </cell>
          <cell r="BH574">
            <v>155</v>
          </cell>
          <cell r="BI574">
            <v>1555</v>
          </cell>
          <cell r="BJ574">
            <v>5</v>
          </cell>
          <cell r="BK574">
            <v>7775</v>
          </cell>
          <cell r="BL574">
            <v>1.8</v>
          </cell>
          <cell r="BM574">
            <v>2799</v>
          </cell>
          <cell r="BN574">
            <v>1550</v>
          </cell>
          <cell r="BO574">
            <v>405</v>
          </cell>
          <cell r="BP574">
            <v>1150</v>
          </cell>
          <cell r="BQ574">
            <v>0</v>
          </cell>
          <cell r="BR574">
            <v>1555</v>
          </cell>
          <cell r="BS574">
            <v>810</v>
          </cell>
          <cell r="BT574">
            <v>590</v>
          </cell>
          <cell r="BU574">
            <v>150</v>
          </cell>
          <cell r="BV574">
            <v>1555</v>
          </cell>
          <cell r="BW574">
            <v>860</v>
          </cell>
          <cell r="BX574">
            <v>465</v>
          </cell>
          <cell r="BY574">
            <v>110</v>
          </cell>
          <cell r="BZ574">
            <v>45</v>
          </cell>
          <cell r="CA574">
            <v>25</v>
          </cell>
          <cell r="CB574">
            <v>25</v>
          </cell>
          <cell r="CC574">
            <v>20</v>
          </cell>
          <cell r="CD574">
            <v>10</v>
          </cell>
          <cell r="CE574">
            <v>0</v>
          </cell>
          <cell r="CF574">
            <v>1555</v>
          </cell>
          <cell r="CG574">
            <v>5</v>
          </cell>
          <cell r="CH574">
            <v>10</v>
          </cell>
          <cell r="CI574">
            <v>20</v>
          </cell>
          <cell r="CJ574">
            <v>365</v>
          </cell>
          <cell r="CK574">
            <v>70</v>
          </cell>
          <cell r="CL574">
            <v>1045</v>
          </cell>
          <cell r="CM574">
            <v>25</v>
          </cell>
          <cell r="CN574">
            <v>5</v>
          </cell>
          <cell r="CO574">
            <v>1555</v>
          </cell>
          <cell r="CP574">
            <v>615</v>
          </cell>
          <cell r="CQ574">
            <v>560</v>
          </cell>
          <cell r="CR574">
            <v>220</v>
          </cell>
          <cell r="CS574">
            <v>150</v>
          </cell>
          <cell r="CT574">
            <v>15</v>
          </cell>
          <cell r="CU574">
            <v>3090</v>
          </cell>
          <cell r="CV574">
            <v>2</v>
          </cell>
          <cell r="CW574">
            <v>1555</v>
          </cell>
          <cell r="CX574">
            <v>790</v>
          </cell>
          <cell r="CY574">
            <v>0</v>
          </cell>
          <cell r="CZ574">
            <v>760</v>
          </cell>
        </row>
        <row r="575">
          <cell r="A575" t="str">
            <v>4620238.00</v>
          </cell>
          <cell r="B575" t="str">
            <v>0238.00</v>
          </cell>
          <cell r="C575" t="str">
            <v>Villeray-Saint-Michel-Parc-Extension</v>
          </cell>
          <cell r="D575">
            <v>2095</v>
          </cell>
          <cell r="E575">
            <v>1200</v>
          </cell>
          <cell r="F575">
            <v>550</v>
          </cell>
          <cell r="G575">
            <v>40</v>
          </cell>
          <cell r="H575">
            <v>200</v>
          </cell>
          <cell r="I575">
            <v>110</v>
          </cell>
          <cell r="J575">
            <v>2100</v>
          </cell>
          <cell r="K575">
            <v>1690</v>
          </cell>
          <cell r="L575">
            <v>405</v>
          </cell>
          <cell r="M575">
            <v>570</v>
          </cell>
          <cell r="N575">
            <v>285</v>
          </cell>
          <cell r="O575">
            <v>160</v>
          </cell>
          <cell r="P575">
            <v>90</v>
          </cell>
          <cell r="Q575">
            <v>30</v>
          </cell>
          <cell r="R575">
            <v>570</v>
          </cell>
          <cell r="S575">
            <v>475</v>
          </cell>
          <cell r="T575">
            <v>275</v>
          </cell>
          <cell r="U575">
            <v>120</v>
          </cell>
          <cell r="V575">
            <v>155</v>
          </cell>
          <cell r="W575">
            <v>85</v>
          </cell>
          <cell r="X575">
            <v>60</v>
          </cell>
          <cell r="Y575">
            <v>10</v>
          </cell>
          <cell r="Z575">
            <v>205</v>
          </cell>
          <cell r="AA575">
            <v>95</v>
          </cell>
          <cell r="AB575">
            <v>110</v>
          </cell>
          <cell r="AC575">
            <v>60</v>
          </cell>
          <cell r="AD575">
            <v>30</v>
          </cell>
          <cell r="AE575">
            <v>15</v>
          </cell>
          <cell r="AF575">
            <v>90</v>
          </cell>
          <cell r="AG575">
            <v>90</v>
          </cell>
          <cell r="AH575">
            <v>65</v>
          </cell>
          <cell r="AI575">
            <v>10</v>
          </cell>
          <cell r="AJ575">
            <v>0</v>
          </cell>
          <cell r="AK575">
            <v>0</v>
          </cell>
          <cell r="AL575">
            <v>0</v>
          </cell>
          <cell r="AM575">
            <v>0</v>
          </cell>
          <cell r="AN575">
            <v>0</v>
          </cell>
          <cell r="AO575">
            <v>545</v>
          </cell>
          <cell r="AP575">
            <v>150</v>
          </cell>
          <cell r="AQ575">
            <v>155</v>
          </cell>
          <cell r="AR575">
            <v>60</v>
          </cell>
          <cell r="AS575">
            <v>100</v>
          </cell>
          <cell r="AT575">
            <v>75</v>
          </cell>
          <cell r="AU575">
            <v>0.9</v>
          </cell>
          <cell r="AV575">
            <v>2395</v>
          </cell>
          <cell r="AW575">
            <v>805</v>
          </cell>
          <cell r="AX575">
            <v>105</v>
          </cell>
          <cell r="AY575">
            <v>150</v>
          </cell>
          <cell r="AZ575">
            <v>550</v>
          </cell>
          <cell r="BA575">
            <v>1590</v>
          </cell>
          <cell r="BB575">
            <v>2.8</v>
          </cell>
          <cell r="BC575">
            <v>285</v>
          </cell>
          <cell r="BD575">
            <v>120</v>
          </cell>
          <cell r="BE575">
            <v>10</v>
          </cell>
          <cell r="BF575">
            <v>15</v>
          </cell>
          <cell r="BG575">
            <v>95</v>
          </cell>
          <cell r="BH575">
            <v>165</v>
          </cell>
          <cell r="BI575">
            <v>1240</v>
          </cell>
          <cell r="BJ575">
            <v>4.5999999999999996</v>
          </cell>
          <cell r="BK575">
            <v>5704</v>
          </cell>
          <cell r="BL575">
            <v>1.7</v>
          </cell>
          <cell r="BM575">
            <v>2108</v>
          </cell>
          <cell r="BN575">
            <v>1245</v>
          </cell>
          <cell r="BO575">
            <v>325</v>
          </cell>
          <cell r="BP575">
            <v>915</v>
          </cell>
          <cell r="BQ575">
            <v>0</v>
          </cell>
          <cell r="BR575">
            <v>1240</v>
          </cell>
          <cell r="BS575">
            <v>675</v>
          </cell>
          <cell r="BT575">
            <v>455</v>
          </cell>
          <cell r="BU575">
            <v>110</v>
          </cell>
          <cell r="BV575">
            <v>1245</v>
          </cell>
          <cell r="BW575">
            <v>555</v>
          </cell>
          <cell r="BX575">
            <v>390</v>
          </cell>
          <cell r="BY575">
            <v>160</v>
          </cell>
          <cell r="BZ575">
            <v>65</v>
          </cell>
          <cell r="CA575">
            <v>45</v>
          </cell>
          <cell r="CB575">
            <v>10</v>
          </cell>
          <cell r="CC575">
            <v>10</v>
          </cell>
          <cell r="CD575">
            <v>0</v>
          </cell>
          <cell r="CE575">
            <v>0</v>
          </cell>
          <cell r="CF575">
            <v>1245</v>
          </cell>
          <cell r="CG575">
            <v>5</v>
          </cell>
          <cell r="CH575">
            <v>0</v>
          </cell>
          <cell r="CI575">
            <v>40</v>
          </cell>
          <cell r="CJ575">
            <v>395</v>
          </cell>
          <cell r="CK575">
            <v>95</v>
          </cell>
          <cell r="CL575">
            <v>710</v>
          </cell>
          <cell r="CM575">
            <v>0</v>
          </cell>
          <cell r="CN575">
            <v>0</v>
          </cell>
          <cell r="CO575">
            <v>1240</v>
          </cell>
          <cell r="CP575">
            <v>550</v>
          </cell>
          <cell r="CQ575">
            <v>395</v>
          </cell>
          <cell r="CR575">
            <v>175</v>
          </cell>
          <cell r="CS575">
            <v>115</v>
          </cell>
          <cell r="CT575">
            <v>5</v>
          </cell>
          <cell r="CU575">
            <v>2400</v>
          </cell>
          <cell r="CV575">
            <v>1.9</v>
          </cell>
          <cell r="CW575">
            <v>1240</v>
          </cell>
          <cell r="CX575">
            <v>570</v>
          </cell>
          <cell r="CY575">
            <v>0</v>
          </cell>
          <cell r="CZ575">
            <v>670</v>
          </cell>
        </row>
        <row r="576">
          <cell r="A576" t="str">
            <v>4620239.00</v>
          </cell>
          <cell r="B576" t="str">
            <v>0239.00</v>
          </cell>
          <cell r="C576" t="str">
            <v>Villeray-Saint-Michel-Parc-Extension</v>
          </cell>
          <cell r="D576">
            <v>4005</v>
          </cell>
          <cell r="E576">
            <v>2225</v>
          </cell>
          <cell r="F576">
            <v>1005</v>
          </cell>
          <cell r="G576">
            <v>115</v>
          </cell>
          <cell r="H576">
            <v>395</v>
          </cell>
          <cell r="I576">
            <v>265</v>
          </cell>
          <cell r="J576">
            <v>4005</v>
          </cell>
          <cell r="K576">
            <v>3375</v>
          </cell>
          <cell r="L576">
            <v>625</v>
          </cell>
          <cell r="M576">
            <v>1100</v>
          </cell>
          <cell r="N576">
            <v>625</v>
          </cell>
          <cell r="O576">
            <v>310</v>
          </cell>
          <cell r="P576">
            <v>110</v>
          </cell>
          <cell r="Q576">
            <v>50</v>
          </cell>
          <cell r="R576">
            <v>1095</v>
          </cell>
          <cell r="S576">
            <v>795</v>
          </cell>
          <cell r="T576">
            <v>480</v>
          </cell>
          <cell r="U576">
            <v>215</v>
          </cell>
          <cell r="V576">
            <v>265</v>
          </cell>
          <cell r="W576">
            <v>160</v>
          </cell>
          <cell r="X576">
            <v>65</v>
          </cell>
          <cell r="Y576">
            <v>35</v>
          </cell>
          <cell r="Z576">
            <v>310</v>
          </cell>
          <cell r="AA576">
            <v>235</v>
          </cell>
          <cell r="AB576">
            <v>75</v>
          </cell>
          <cell r="AC576">
            <v>30</v>
          </cell>
          <cell r="AD576">
            <v>40</v>
          </cell>
          <cell r="AE576">
            <v>0</v>
          </cell>
          <cell r="AF576">
            <v>300</v>
          </cell>
          <cell r="AG576">
            <v>265</v>
          </cell>
          <cell r="AH576">
            <v>135</v>
          </cell>
          <cell r="AI576">
            <v>120</v>
          </cell>
          <cell r="AJ576">
            <v>10</v>
          </cell>
          <cell r="AK576">
            <v>35</v>
          </cell>
          <cell r="AL576">
            <v>35</v>
          </cell>
          <cell r="AM576">
            <v>0</v>
          </cell>
          <cell r="AN576">
            <v>0</v>
          </cell>
          <cell r="AO576">
            <v>990</v>
          </cell>
          <cell r="AP576">
            <v>285</v>
          </cell>
          <cell r="AQ576">
            <v>275</v>
          </cell>
          <cell r="AR576">
            <v>70</v>
          </cell>
          <cell r="AS576">
            <v>195</v>
          </cell>
          <cell r="AT576">
            <v>155</v>
          </cell>
          <cell r="AU576">
            <v>0.9</v>
          </cell>
          <cell r="AV576">
            <v>4570</v>
          </cell>
          <cell r="AW576">
            <v>1695</v>
          </cell>
          <cell r="AX576">
            <v>80</v>
          </cell>
          <cell r="AY576">
            <v>355</v>
          </cell>
          <cell r="AZ576">
            <v>1255</v>
          </cell>
          <cell r="BA576">
            <v>2880</v>
          </cell>
          <cell r="BB576">
            <v>2.6</v>
          </cell>
          <cell r="BC576">
            <v>660</v>
          </cell>
          <cell r="BD576">
            <v>380</v>
          </cell>
          <cell r="BE576">
            <v>35</v>
          </cell>
          <cell r="BF576">
            <v>45</v>
          </cell>
          <cell r="BG576">
            <v>300</v>
          </cell>
          <cell r="BH576">
            <v>280</v>
          </cell>
          <cell r="BI576">
            <v>2480</v>
          </cell>
          <cell r="BJ576">
            <v>4</v>
          </cell>
          <cell r="BK576">
            <v>9920</v>
          </cell>
          <cell r="BL576">
            <v>1.6</v>
          </cell>
          <cell r="BM576">
            <v>3968</v>
          </cell>
          <cell r="BN576">
            <v>2480</v>
          </cell>
          <cell r="BO576">
            <v>495</v>
          </cell>
          <cell r="BP576">
            <v>1980</v>
          </cell>
          <cell r="BQ576">
            <v>0</v>
          </cell>
          <cell r="BR576">
            <v>2480</v>
          </cell>
          <cell r="BS576">
            <v>1395</v>
          </cell>
          <cell r="BT576">
            <v>795</v>
          </cell>
          <cell r="BU576">
            <v>285</v>
          </cell>
          <cell r="BV576">
            <v>2480</v>
          </cell>
          <cell r="BW576">
            <v>435</v>
          </cell>
          <cell r="BX576">
            <v>1010</v>
          </cell>
          <cell r="BY576">
            <v>505</v>
          </cell>
          <cell r="BZ576">
            <v>250</v>
          </cell>
          <cell r="CA576">
            <v>125</v>
          </cell>
          <cell r="CB576">
            <v>70</v>
          </cell>
          <cell r="CC576">
            <v>15</v>
          </cell>
          <cell r="CD576">
            <v>15</v>
          </cell>
          <cell r="CE576">
            <v>50</v>
          </cell>
          <cell r="CF576">
            <v>2480</v>
          </cell>
          <cell r="CG576">
            <v>30</v>
          </cell>
          <cell r="CH576">
            <v>0</v>
          </cell>
          <cell r="CI576">
            <v>80</v>
          </cell>
          <cell r="CJ576">
            <v>425</v>
          </cell>
          <cell r="CK576">
            <v>225</v>
          </cell>
          <cell r="CL576">
            <v>1705</v>
          </cell>
          <cell r="CM576">
            <v>15</v>
          </cell>
          <cell r="CN576">
            <v>0</v>
          </cell>
          <cell r="CO576">
            <v>2475</v>
          </cell>
          <cell r="CP576">
            <v>1255</v>
          </cell>
          <cell r="CQ576">
            <v>725</v>
          </cell>
          <cell r="CR576">
            <v>280</v>
          </cell>
          <cell r="CS576">
            <v>195</v>
          </cell>
          <cell r="CT576">
            <v>30</v>
          </cell>
          <cell r="CU576">
            <v>4570</v>
          </cell>
          <cell r="CV576">
            <v>1.8</v>
          </cell>
          <cell r="CW576">
            <v>2475</v>
          </cell>
          <cell r="CX576">
            <v>985</v>
          </cell>
          <cell r="CY576">
            <v>55</v>
          </cell>
          <cell r="CZ576">
            <v>1435</v>
          </cell>
        </row>
        <row r="577">
          <cell r="A577" t="str">
            <v>4620240.00</v>
          </cell>
          <cell r="B577" t="str">
            <v>0240.00</v>
          </cell>
          <cell r="C577" t="str">
            <v>Villeray-Saint-Michel-Parc-Extension</v>
          </cell>
          <cell r="D577">
            <v>2420</v>
          </cell>
          <cell r="E577">
            <v>1130</v>
          </cell>
          <cell r="F577">
            <v>700</v>
          </cell>
          <cell r="G577">
            <v>95</v>
          </cell>
          <cell r="H577">
            <v>310</v>
          </cell>
          <cell r="I577">
            <v>190</v>
          </cell>
          <cell r="J577">
            <v>2425</v>
          </cell>
          <cell r="K577">
            <v>2150</v>
          </cell>
          <cell r="L577">
            <v>275</v>
          </cell>
          <cell r="M577">
            <v>675</v>
          </cell>
          <cell r="N577">
            <v>345</v>
          </cell>
          <cell r="O577">
            <v>150</v>
          </cell>
          <cell r="P577">
            <v>115</v>
          </cell>
          <cell r="Q577">
            <v>60</v>
          </cell>
          <cell r="R577">
            <v>675</v>
          </cell>
          <cell r="S577">
            <v>470</v>
          </cell>
          <cell r="T577">
            <v>335</v>
          </cell>
          <cell r="U577">
            <v>140</v>
          </cell>
          <cell r="V577">
            <v>195</v>
          </cell>
          <cell r="W577">
            <v>80</v>
          </cell>
          <cell r="X577">
            <v>80</v>
          </cell>
          <cell r="Y577">
            <v>35</v>
          </cell>
          <cell r="Z577">
            <v>135</v>
          </cell>
          <cell r="AA577">
            <v>95</v>
          </cell>
          <cell r="AB577">
            <v>40</v>
          </cell>
          <cell r="AC577">
            <v>10</v>
          </cell>
          <cell r="AD577">
            <v>20</v>
          </cell>
          <cell r="AE577">
            <v>15</v>
          </cell>
          <cell r="AF577">
            <v>200</v>
          </cell>
          <cell r="AG577">
            <v>160</v>
          </cell>
          <cell r="AH577">
            <v>80</v>
          </cell>
          <cell r="AI577">
            <v>55</v>
          </cell>
          <cell r="AJ577">
            <v>20</v>
          </cell>
          <cell r="AK577">
            <v>45</v>
          </cell>
          <cell r="AL577">
            <v>30</v>
          </cell>
          <cell r="AM577">
            <v>10</v>
          </cell>
          <cell r="AN577">
            <v>0</v>
          </cell>
          <cell r="AO577">
            <v>765</v>
          </cell>
          <cell r="AP577">
            <v>195</v>
          </cell>
          <cell r="AQ577">
            <v>235</v>
          </cell>
          <cell r="AR577">
            <v>85</v>
          </cell>
          <cell r="AS577">
            <v>100</v>
          </cell>
          <cell r="AT577">
            <v>145</v>
          </cell>
          <cell r="AU577">
            <v>1.1000000000000001</v>
          </cell>
          <cell r="AV577">
            <v>2830</v>
          </cell>
          <cell r="AW577">
            <v>915</v>
          </cell>
          <cell r="AX577">
            <v>95</v>
          </cell>
          <cell r="AY577">
            <v>160</v>
          </cell>
          <cell r="AZ577">
            <v>660</v>
          </cell>
          <cell r="BA577">
            <v>1910</v>
          </cell>
          <cell r="BB577">
            <v>2.8</v>
          </cell>
          <cell r="BC577">
            <v>470</v>
          </cell>
          <cell r="BD577">
            <v>255</v>
          </cell>
          <cell r="BE577">
            <v>35</v>
          </cell>
          <cell r="BF577">
            <v>0</v>
          </cell>
          <cell r="BG577">
            <v>215</v>
          </cell>
          <cell r="BH577">
            <v>220</v>
          </cell>
          <cell r="BI577">
            <v>1440</v>
          </cell>
          <cell r="BJ577">
            <v>4.3</v>
          </cell>
          <cell r="BK577">
            <v>6192</v>
          </cell>
          <cell r="BL577">
            <v>1.7</v>
          </cell>
          <cell r="BM577">
            <v>2448</v>
          </cell>
          <cell r="BN577">
            <v>1440</v>
          </cell>
          <cell r="BO577">
            <v>385</v>
          </cell>
          <cell r="BP577">
            <v>1060</v>
          </cell>
          <cell r="BQ577">
            <v>0</v>
          </cell>
          <cell r="BR577">
            <v>1440</v>
          </cell>
          <cell r="BS577">
            <v>795</v>
          </cell>
          <cell r="BT577">
            <v>385</v>
          </cell>
          <cell r="BU577">
            <v>260</v>
          </cell>
          <cell r="BV577">
            <v>1440</v>
          </cell>
          <cell r="BW577">
            <v>75</v>
          </cell>
          <cell r="BX577">
            <v>745</v>
          </cell>
          <cell r="BY577">
            <v>235</v>
          </cell>
          <cell r="BZ577">
            <v>70</v>
          </cell>
          <cell r="CA577">
            <v>40</v>
          </cell>
          <cell r="CB577">
            <v>75</v>
          </cell>
          <cell r="CC577">
            <v>165</v>
          </cell>
          <cell r="CD577">
            <v>10</v>
          </cell>
          <cell r="CE577">
            <v>15</v>
          </cell>
          <cell r="CF577">
            <v>1440</v>
          </cell>
          <cell r="CG577">
            <v>70</v>
          </cell>
          <cell r="CH577">
            <v>35</v>
          </cell>
          <cell r="CI577">
            <v>0</v>
          </cell>
          <cell r="CJ577">
            <v>85</v>
          </cell>
          <cell r="CK577">
            <v>110</v>
          </cell>
          <cell r="CL577">
            <v>1130</v>
          </cell>
          <cell r="CM577">
            <v>5</v>
          </cell>
          <cell r="CN577">
            <v>0</v>
          </cell>
          <cell r="CO577">
            <v>1440</v>
          </cell>
          <cell r="CP577">
            <v>660</v>
          </cell>
          <cell r="CQ577">
            <v>425</v>
          </cell>
          <cell r="CR577">
            <v>190</v>
          </cell>
          <cell r="CS577">
            <v>150</v>
          </cell>
          <cell r="CT577">
            <v>20</v>
          </cell>
          <cell r="CU577">
            <v>2830</v>
          </cell>
          <cell r="CV577">
            <v>2</v>
          </cell>
          <cell r="CW577">
            <v>1440</v>
          </cell>
          <cell r="CX577">
            <v>670</v>
          </cell>
          <cell r="CY577">
            <v>0</v>
          </cell>
          <cell r="CZ577">
            <v>770</v>
          </cell>
        </row>
        <row r="578">
          <cell r="A578" t="str">
            <v>4620241.00</v>
          </cell>
          <cell r="B578" t="str">
            <v>0241.00</v>
          </cell>
          <cell r="C578" t="str">
            <v>Villeray-Saint-Michel-Parc-Extension</v>
          </cell>
          <cell r="D578">
            <v>2460</v>
          </cell>
          <cell r="E578">
            <v>1160</v>
          </cell>
          <cell r="F578">
            <v>815</v>
          </cell>
          <cell r="G578">
            <v>70</v>
          </cell>
          <cell r="H578">
            <v>275</v>
          </cell>
          <cell r="I578">
            <v>145</v>
          </cell>
          <cell r="J578">
            <v>2455</v>
          </cell>
          <cell r="K578">
            <v>2165</v>
          </cell>
          <cell r="L578">
            <v>295</v>
          </cell>
          <cell r="M578">
            <v>770</v>
          </cell>
          <cell r="N578">
            <v>375</v>
          </cell>
          <cell r="O578">
            <v>195</v>
          </cell>
          <cell r="P578">
            <v>145</v>
          </cell>
          <cell r="Q578">
            <v>55</v>
          </cell>
          <cell r="R578">
            <v>770</v>
          </cell>
          <cell r="S578">
            <v>545</v>
          </cell>
          <cell r="T578">
            <v>395</v>
          </cell>
          <cell r="U578">
            <v>145</v>
          </cell>
          <cell r="V578">
            <v>255</v>
          </cell>
          <cell r="W578">
            <v>95</v>
          </cell>
          <cell r="X578">
            <v>110</v>
          </cell>
          <cell r="Y578">
            <v>50</v>
          </cell>
          <cell r="Z578">
            <v>145</v>
          </cell>
          <cell r="AA578">
            <v>95</v>
          </cell>
          <cell r="AB578">
            <v>45</v>
          </cell>
          <cell r="AC578">
            <v>40</v>
          </cell>
          <cell r="AD578">
            <v>10</v>
          </cell>
          <cell r="AE578">
            <v>0</v>
          </cell>
          <cell r="AF578">
            <v>225</v>
          </cell>
          <cell r="AG578">
            <v>205</v>
          </cell>
          <cell r="AH578">
            <v>115</v>
          </cell>
          <cell r="AI578">
            <v>60</v>
          </cell>
          <cell r="AJ578">
            <v>30</v>
          </cell>
          <cell r="AK578">
            <v>20</v>
          </cell>
          <cell r="AL578">
            <v>20</v>
          </cell>
          <cell r="AM578">
            <v>0</v>
          </cell>
          <cell r="AN578">
            <v>0</v>
          </cell>
          <cell r="AO578">
            <v>895</v>
          </cell>
          <cell r="AP578">
            <v>210</v>
          </cell>
          <cell r="AQ578">
            <v>260</v>
          </cell>
          <cell r="AR578">
            <v>120</v>
          </cell>
          <cell r="AS578">
            <v>130</v>
          </cell>
          <cell r="AT578">
            <v>170</v>
          </cell>
          <cell r="AU578">
            <v>1.2</v>
          </cell>
          <cell r="AV578">
            <v>2940</v>
          </cell>
          <cell r="AW578">
            <v>735</v>
          </cell>
          <cell r="AX578">
            <v>100</v>
          </cell>
          <cell r="AY578">
            <v>110</v>
          </cell>
          <cell r="AZ578">
            <v>525</v>
          </cell>
          <cell r="BA578">
            <v>2210</v>
          </cell>
          <cell r="BB578">
            <v>2.9</v>
          </cell>
          <cell r="BC578">
            <v>385</v>
          </cell>
          <cell r="BD578">
            <v>145</v>
          </cell>
          <cell r="BE578">
            <v>20</v>
          </cell>
          <cell r="BF578">
            <v>10</v>
          </cell>
          <cell r="BG578">
            <v>115</v>
          </cell>
          <cell r="BH578">
            <v>240</v>
          </cell>
          <cell r="BI578">
            <v>1355</v>
          </cell>
          <cell r="BJ578">
            <v>4.3</v>
          </cell>
          <cell r="BK578">
            <v>5826.5</v>
          </cell>
          <cell r="BL578">
            <v>1.8</v>
          </cell>
          <cell r="BM578">
            <v>2439</v>
          </cell>
          <cell r="BN578">
            <v>1350</v>
          </cell>
          <cell r="BO578">
            <v>365</v>
          </cell>
          <cell r="BP578">
            <v>980</v>
          </cell>
          <cell r="BQ578">
            <v>0</v>
          </cell>
          <cell r="BR578">
            <v>1350</v>
          </cell>
          <cell r="BS578">
            <v>730</v>
          </cell>
          <cell r="BT578">
            <v>480</v>
          </cell>
          <cell r="BU578">
            <v>145</v>
          </cell>
          <cell r="BV578">
            <v>1350</v>
          </cell>
          <cell r="BW578">
            <v>120</v>
          </cell>
          <cell r="BX578">
            <v>670</v>
          </cell>
          <cell r="BY578">
            <v>380</v>
          </cell>
          <cell r="BZ578">
            <v>85</v>
          </cell>
          <cell r="CA578">
            <v>45</v>
          </cell>
          <cell r="CB578">
            <v>25</v>
          </cell>
          <cell r="CC578">
            <v>15</v>
          </cell>
          <cell r="CD578">
            <v>10</v>
          </cell>
          <cell r="CE578">
            <v>0</v>
          </cell>
          <cell r="CF578">
            <v>1350</v>
          </cell>
          <cell r="CG578">
            <v>5</v>
          </cell>
          <cell r="CH578">
            <v>90</v>
          </cell>
          <cell r="CI578">
            <v>5</v>
          </cell>
          <cell r="CJ578">
            <v>185</v>
          </cell>
          <cell r="CK578">
            <v>0</v>
          </cell>
          <cell r="CL578">
            <v>1055</v>
          </cell>
          <cell r="CM578">
            <v>15</v>
          </cell>
          <cell r="CN578">
            <v>0</v>
          </cell>
          <cell r="CO578">
            <v>1350</v>
          </cell>
          <cell r="CP578">
            <v>525</v>
          </cell>
          <cell r="CQ578">
            <v>405</v>
          </cell>
          <cell r="CR578">
            <v>210</v>
          </cell>
          <cell r="CS578">
            <v>180</v>
          </cell>
          <cell r="CT578">
            <v>30</v>
          </cell>
          <cell r="CU578">
            <v>2945</v>
          </cell>
          <cell r="CV578">
            <v>2.2000000000000002</v>
          </cell>
          <cell r="CW578">
            <v>1355</v>
          </cell>
          <cell r="CX578">
            <v>750</v>
          </cell>
          <cell r="CY578">
            <v>10</v>
          </cell>
          <cell r="CZ578">
            <v>595</v>
          </cell>
        </row>
        <row r="579">
          <cell r="A579" t="str">
            <v>4620242.00</v>
          </cell>
          <cell r="B579" t="str">
            <v>0242.00</v>
          </cell>
          <cell r="C579" t="str">
            <v>Villeray-Saint-Michel-Parc-Extension</v>
          </cell>
          <cell r="D579">
            <v>5390</v>
          </cell>
          <cell r="E579">
            <v>2590</v>
          </cell>
          <cell r="F579">
            <v>1740</v>
          </cell>
          <cell r="G579">
            <v>195</v>
          </cell>
          <cell r="H579">
            <v>540</v>
          </cell>
          <cell r="I579">
            <v>330</v>
          </cell>
          <cell r="J579">
            <v>5390</v>
          </cell>
          <cell r="K579">
            <v>4675</v>
          </cell>
          <cell r="L579">
            <v>720</v>
          </cell>
          <cell r="M579">
            <v>1605</v>
          </cell>
          <cell r="N579">
            <v>810</v>
          </cell>
          <cell r="O579">
            <v>380</v>
          </cell>
          <cell r="P579">
            <v>270</v>
          </cell>
          <cell r="Q579">
            <v>140</v>
          </cell>
          <cell r="R579">
            <v>1605</v>
          </cell>
          <cell r="S579">
            <v>1200</v>
          </cell>
          <cell r="T579">
            <v>835</v>
          </cell>
          <cell r="U579">
            <v>345</v>
          </cell>
          <cell r="V579">
            <v>495</v>
          </cell>
          <cell r="W579">
            <v>185</v>
          </cell>
          <cell r="X579">
            <v>185</v>
          </cell>
          <cell r="Y579">
            <v>120</v>
          </cell>
          <cell r="Z579">
            <v>360</v>
          </cell>
          <cell r="AA579">
            <v>215</v>
          </cell>
          <cell r="AB579">
            <v>145</v>
          </cell>
          <cell r="AC579">
            <v>85</v>
          </cell>
          <cell r="AD579">
            <v>50</v>
          </cell>
          <cell r="AE579">
            <v>10</v>
          </cell>
          <cell r="AF579">
            <v>405</v>
          </cell>
          <cell r="AG579">
            <v>340</v>
          </cell>
          <cell r="AH579">
            <v>215</v>
          </cell>
          <cell r="AI579">
            <v>80</v>
          </cell>
          <cell r="AJ579">
            <v>40</v>
          </cell>
          <cell r="AK579">
            <v>65</v>
          </cell>
          <cell r="AL579">
            <v>35</v>
          </cell>
          <cell r="AM579">
            <v>30</v>
          </cell>
          <cell r="AN579">
            <v>0</v>
          </cell>
          <cell r="AO579">
            <v>1765</v>
          </cell>
          <cell r="AP579">
            <v>425</v>
          </cell>
          <cell r="AQ579">
            <v>555</v>
          </cell>
          <cell r="AR579">
            <v>165</v>
          </cell>
          <cell r="AS579">
            <v>305</v>
          </cell>
          <cell r="AT579">
            <v>315</v>
          </cell>
          <cell r="AU579">
            <v>1.1000000000000001</v>
          </cell>
          <cell r="AV579">
            <v>6365</v>
          </cell>
          <cell r="AW579">
            <v>1800</v>
          </cell>
          <cell r="AX579">
            <v>205</v>
          </cell>
          <cell r="AY579">
            <v>350</v>
          </cell>
          <cell r="AZ579">
            <v>1240</v>
          </cell>
          <cell r="BA579">
            <v>4570</v>
          </cell>
          <cell r="BB579">
            <v>2.9</v>
          </cell>
          <cell r="BC579">
            <v>930</v>
          </cell>
          <cell r="BD579">
            <v>395</v>
          </cell>
          <cell r="BE579">
            <v>30</v>
          </cell>
          <cell r="BF579">
            <v>30</v>
          </cell>
          <cell r="BG579">
            <v>335</v>
          </cell>
          <cell r="BH579">
            <v>530</v>
          </cell>
          <cell r="BI579">
            <v>3025</v>
          </cell>
          <cell r="BJ579">
            <v>4.4000000000000004</v>
          </cell>
          <cell r="BK579">
            <v>13310.000000000002</v>
          </cell>
          <cell r="BL579">
            <v>1.8</v>
          </cell>
          <cell r="BM579">
            <v>5445</v>
          </cell>
          <cell r="BN579">
            <v>3025</v>
          </cell>
          <cell r="BO579">
            <v>755</v>
          </cell>
          <cell r="BP579">
            <v>2265</v>
          </cell>
          <cell r="BQ579">
            <v>0</v>
          </cell>
          <cell r="BR579">
            <v>3025</v>
          </cell>
          <cell r="BS579">
            <v>1735</v>
          </cell>
          <cell r="BT579">
            <v>950</v>
          </cell>
          <cell r="BU579">
            <v>340</v>
          </cell>
          <cell r="BV579">
            <v>3025</v>
          </cell>
          <cell r="BW579">
            <v>580</v>
          </cell>
          <cell r="BX579">
            <v>1435</v>
          </cell>
          <cell r="BY579">
            <v>660</v>
          </cell>
          <cell r="BZ579">
            <v>185</v>
          </cell>
          <cell r="CA579">
            <v>60</v>
          </cell>
          <cell r="CB579">
            <v>40</v>
          </cell>
          <cell r="CC579">
            <v>20</v>
          </cell>
          <cell r="CD579">
            <v>0</v>
          </cell>
          <cell r="CE579">
            <v>35</v>
          </cell>
          <cell r="CF579">
            <v>3025</v>
          </cell>
          <cell r="CG579">
            <v>5</v>
          </cell>
          <cell r="CH579">
            <v>15</v>
          </cell>
          <cell r="CI579">
            <v>40</v>
          </cell>
          <cell r="CJ579">
            <v>545</v>
          </cell>
          <cell r="CK579">
            <v>50</v>
          </cell>
          <cell r="CL579">
            <v>2275</v>
          </cell>
          <cell r="CM579">
            <v>100</v>
          </cell>
          <cell r="CN579">
            <v>0</v>
          </cell>
          <cell r="CO579">
            <v>3020</v>
          </cell>
          <cell r="CP579">
            <v>1240</v>
          </cell>
          <cell r="CQ579">
            <v>915</v>
          </cell>
          <cell r="CR579">
            <v>415</v>
          </cell>
          <cell r="CS579">
            <v>410</v>
          </cell>
          <cell r="CT579">
            <v>40</v>
          </cell>
          <cell r="CU579">
            <v>6370</v>
          </cell>
          <cell r="CV579">
            <v>2.1</v>
          </cell>
          <cell r="CW579">
            <v>3020</v>
          </cell>
          <cell r="CX579">
            <v>1565</v>
          </cell>
          <cell r="CY579">
            <v>20</v>
          </cell>
          <cell r="CZ579">
            <v>1440</v>
          </cell>
        </row>
        <row r="580">
          <cell r="A580" t="str">
            <v>4620243.00</v>
          </cell>
          <cell r="B580" t="str">
            <v>0243.00</v>
          </cell>
          <cell r="C580" t="str">
            <v>Villeray-Saint-Michel-Parc-Extension</v>
          </cell>
          <cell r="D580">
            <v>3365</v>
          </cell>
          <cell r="E580">
            <v>1575</v>
          </cell>
          <cell r="F580">
            <v>1155</v>
          </cell>
          <cell r="G580">
            <v>100</v>
          </cell>
          <cell r="H580">
            <v>310</v>
          </cell>
          <cell r="I580">
            <v>230</v>
          </cell>
          <cell r="J580">
            <v>3365</v>
          </cell>
          <cell r="K580">
            <v>2960</v>
          </cell>
          <cell r="L580">
            <v>405</v>
          </cell>
          <cell r="M580">
            <v>1015</v>
          </cell>
          <cell r="N580">
            <v>460</v>
          </cell>
          <cell r="O580">
            <v>260</v>
          </cell>
          <cell r="P580">
            <v>190</v>
          </cell>
          <cell r="Q580">
            <v>110</v>
          </cell>
          <cell r="R580">
            <v>1010</v>
          </cell>
          <cell r="S580">
            <v>755</v>
          </cell>
          <cell r="T580">
            <v>560</v>
          </cell>
          <cell r="U580">
            <v>185</v>
          </cell>
          <cell r="V580">
            <v>375</v>
          </cell>
          <cell r="W580">
            <v>150</v>
          </cell>
          <cell r="X580">
            <v>120</v>
          </cell>
          <cell r="Y580">
            <v>110</v>
          </cell>
          <cell r="Z580">
            <v>190</v>
          </cell>
          <cell r="AA580">
            <v>105</v>
          </cell>
          <cell r="AB580">
            <v>90</v>
          </cell>
          <cell r="AC580">
            <v>45</v>
          </cell>
          <cell r="AD580">
            <v>40</v>
          </cell>
          <cell r="AE580">
            <v>0</v>
          </cell>
          <cell r="AF580">
            <v>260</v>
          </cell>
          <cell r="AG580">
            <v>215</v>
          </cell>
          <cell r="AH580">
            <v>135</v>
          </cell>
          <cell r="AI580">
            <v>50</v>
          </cell>
          <cell r="AJ580">
            <v>25</v>
          </cell>
          <cell r="AK580">
            <v>45</v>
          </cell>
          <cell r="AL580">
            <v>30</v>
          </cell>
          <cell r="AM580">
            <v>15</v>
          </cell>
          <cell r="AN580">
            <v>0</v>
          </cell>
          <cell r="AO580">
            <v>1245</v>
          </cell>
          <cell r="AP580">
            <v>335</v>
          </cell>
          <cell r="AQ580">
            <v>390</v>
          </cell>
          <cell r="AR580">
            <v>85</v>
          </cell>
          <cell r="AS580">
            <v>225</v>
          </cell>
          <cell r="AT580">
            <v>210</v>
          </cell>
          <cell r="AU580">
            <v>1.2</v>
          </cell>
          <cell r="AV580">
            <v>4010</v>
          </cell>
          <cell r="AW580">
            <v>995</v>
          </cell>
          <cell r="AX580">
            <v>145</v>
          </cell>
          <cell r="AY580">
            <v>235</v>
          </cell>
          <cell r="AZ580">
            <v>615</v>
          </cell>
          <cell r="BA580">
            <v>3015</v>
          </cell>
          <cell r="BB580">
            <v>3</v>
          </cell>
          <cell r="BC580">
            <v>585</v>
          </cell>
          <cell r="BD580">
            <v>240</v>
          </cell>
          <cell r="BE580">
            <v>40</v>
          </cell>
          <cell r="BF580">
            <v>10</v>
          </cell>
          <cell r="BG580">
            <v>190</v>
          </cell>
          <cell r="BH580">
            <v>350</v>
          </cell>
          <cell r="BI580">
            <v>1775</v>
          </cell>
          <cell r="BJ580">
            <v>4.4000000000000004</v>
          </cell>
          <cell r="BK580">
            <v>7810.0000000000009</v>
          </cell>
          <cell r="BL580">
            <v>2</v>
          </cell>
          <cell r="BM580">
            <v>3550</v>
          </cell>
          <cell r="BN580">
            <v>1775</v>
          </cell>
          <cell r="BO580">
            <v>380</v>
          </cell>
          <cell r="BP580">
            <v>1395</v>
          </cell>
          <cell r="BQ580">
            <v>0</v>
          </cell>
          <cell r="BR580">
            <v>1775</v>
          </cell>
          <cell r="BS580">
            <v>1030</v>
          </cell>
          <cell r="BT580">
            <v>535</v>
          </cell>
          <cell r="BU580">
            <v>215</v>
          </cell>
          <cell r="BV580">
            <v>1775</v>
          </cell>
          <cell r="BW580">
            <v>200</v>
          </cell>
          <cell r="BX580">
            <v>880</v>
          </cell>
          <cell r="BY580">
            <v>455</v>
          </cell>
          <cell r="BZ580">
            <v>145</v>
          </cell>
          <cell r="CA580">
            <v>10</v>
          </cell>
          <cell r="CB580">
            <v>75</v>
          </cell>
          <cell r="CC580">
            <v>0</v>
          </cell>
          <cell r="CD580">
            <v>0</v>
          </cell>
          <cell r="CE580">
            <v>0</v>
          </cell>
          <cell r="CF580">
            <v>1775</v>
          </cell>
          <cell r="CG580">
            <v>5</v>
          </cell>
          <cell r="CH580">
            <v>0</v>
          </cell>
          <cell r="CI580">
            <v>0</v>
          </cell>
          <cell r="CJ580">
            <v>390</v>
          </cell>
          <cell r="CK580">
            <v>5</v>
          </cell>
          <cell r="CL580">
            <v>1355</v>
          </cell>
          <cell r="CM580">
            <v>20</v>
          </cell>
          <cell r="CN580">
            <v>0</v>
          </cell>
          <cell r="CO580">
            <v>1775</v>
          </cell>
          <cell r="CP580">
            <v>620</v>
          </cell>
          <cell r="CQ580">
            <v>560</v>
          </cell>
          <cell r="CR580">
            <v>280</v>
          </cell>
          <cell r="CS580">
            <v>285</v>
          </cell>
          <cell r="CT580">
            <v>35</v>
          </cell>
          <cell r="CU580">
            <v>4005</v>
          </cell>
          <cell r="CV580">
            <v>2.2999999999999998</v>
          </cell>
          <cell r="CW580">
            <v>1775</v>
          </cell>
          <cell r="CX580">
            <v>1000</v>
          </cell>
          <cell r="CY580">
            <v>0</v>
          </cell>
          <cell r="CZ580">
            <v>765</v>
          </cell>
        </row>
        <row r="581">
          <cell r="A581" t="str">
            <v>4620244.00</v>
          </cell>
          <cell r="B581" t="str">
            <v>0244.00</v>
          </cell>
          <cell r="C581" t="str">
            <v>Villeray-Saint-Michel-Parc-Extension</v>
          </cell>
          <cell r="D581">
            <v>1870</v>
          </cell>
          <cell r="E581">
            <v>1015</v>
          </cell>
          <cell r="F581">
            <v>500</v>
          </cell>
          <cell r="G581">
            <v>40</v>
          </cell>
          <cell r="H581">
            <v>200</v>
          </cell>
          <cell r="I581">
            <v>115</v>
          </cell>
          <cell r="J581">
            <v>1870</v>
          </cell>
          <cell r="K581">
            <v>1485</v>
          </cell>
          <cell r="L581">
            <v>380</v>
          </cell>
          <cell r="M581">
            <v>580</v>
          </cell>
          <cell r="N581">
            <v>330</v>
          </cell>
          <cell r="O581">
            <v>145</v>
          </cell>
          <cell r="P581">
            <v>80</v>
          </cell>
          <cell r="Q581">
            <v>25</v>
          </cell>
          <cell r="R581">
            <v>580</v>
          </cell>
          <cell r="S581">
            <v>430</v>
          </cell>
          <cell r="T581">
            <v>225</v>
          </cell>
          <cell r="U581">
            <v>125</v>
          </cell>
          <cell r="V581">
            <v>110</v>
          </cell>
          <cell r="W581">
            <v>70</v>
          </cell>
          <cell r="X581">
            <v>30</v>
          </cell>
          <cell r="Y581">
            <v>0</v>
          </cell>
          <cell r="Z581">
            <v>205</v>
          </cell>
          <cell r="AA581">
            <v>120</v>
          </cell>
          <cell r="AB581">
            <v>85</v>
          </cell>
          <cell r="AC581">
            <v>30</v>
          </cell>
          <cell r="AD581">
            <v>40</v>
          </cell>
          <cell r="AE581">
            <v>10</v>
          </cell>
          <cell r="AF581">
            <v>145</v>
          </cell>
          <cell r="AG581">
            <v>145</v>
          </cell>
          <cell r="AH581">
            <v>85</v>
          </cell>
          <cell r="AI581">
            <v>45</v>
          </cell>
          <cell r="AJ581">
            <v>15</v>
          </cell>
          <cell r="AK581">
            <v>0</v>
          </cell>
          <cell r="AL581">
            <v>0</v>
          </cell>
          <cell r="AM581">
            <v>0</v>
          </cell>
          <cell r="AN581">
            <v>0</v>
          </cell>
          <cell r="AO581">
            <v>535</v>
          </cell>
          <cell r="AP581">
            <v>140</v>
          </cell>
          <cell r="AQ581">
            <v>200</v>
          </cell>
          <cell r="AR581">
            <v>60</v>
          </cell>
          <cell r="AS581">
            <v>75</v>
          </cell>
          <cell r="AT581">
            <v>50</v>
          </cell>
          <cell r="AU581">
            <v>0.9</v>
          </cell>
          <cell r="AV581">
            <v>2230</v>
          </cell>
          <cell r="AW581">
            <v>680</v>
          </cell>
          <cell r="AX581">
            <v>60</v>
          </cell>
          <cell r="AY581">
            <v>190</v>
          </cell>
          <cell r="AZ581">
            <v>425</v>
          </cell>
          <cell r="BA581">
            <v>1550</v>
          </cell>
          <cell r="BB581">
            <v>2.7</v>
          </cell>
          <cell r="BC581">
            <v>250</v>
          </cell>
          <cell r="BD581">
            <v>140</v>
          </cell>
          <cell r="BE581">
            <v>15</v>
          </cell>
          <cell r="BF581">
            <v>10</v>
          </cell>
          <cell r="BG581">
            <v>115</v>
          </cell>
          <cell r="BH581">
            <v>110</v>
          </cell>
          <cell r="BI581">
            <v>1095</v>
          </cell>
          <cell r="BJ581">
            <v>4.4000000000000004</v>
          </cell>
          <cell r="BK581">
            <v>4818</v>
          </cell>
          <cell r="BL581">
            <v>1.9</v>
          </cell>
          <cell r="BM581">
            <v>2080.5</v>
          </cell>
          <cell r="BN581">
            <v>1095</v>
          </cell>
          <cell r="BO581">
            <v>220</v>
          </cell>
          <cell r="BP581">
            <v>880</v>
          </cell>
          <cell r="BQ581">
            <v>0</v>
          </cell>
          <cell r="BR581">
            <v>1095</v>
          </cell>
          <cell r="BS581">
            <v>630</v>
          </cell>
          <cell r="BT581">
            <v>360</v>
          </cell>
          <cell r="BU581">
            <v>100</v>
          </cell>
          <cell r="BV581">
            <v>1095</v>
          </cell>
          <cell r="BW581">
            <v>285</v>
          </cell>
          <cell r="BX581">
            <v>545</v>
          </cell>
          <cell r="BY581">
            <v>155</v>
          </cell>
          <cell r="BZ581">
            <v>80</v>
          </cell>
          <cell r="CA581">
            <v>0</v>
          </cell>
          <cell r="CB581">
            <v>0</v>
          </cell>
          <cell r="CC581">
            <v>25</v>
          </cell>
          <cell r="CD581">
            <v>0</v>
          </cell>
          <cell r="CE581">
            <v>0</v>
          </cell>
          <cell r="CF581">
            <v>1095</v>
          </cell>
          <cell r="CG581">
            <v>0</v>
          </cell>
          <cell r="CH581">
            <v>0</v>
          </cell>
          <cell r="CI581">
            <v>0</v>
          </cell>
          <cell r="CJ581">
            <v>265</v>
          </cell>
          <cell r="CK581">
            <v>10</v>
          </cell>
          <cell r="CL581">
            <v>805</v>
          </cell>
          <cell r="CM581">
            <v>10</v>
          </cell>
          <cell r="CN581">
            <v>0</v>
          </cell>
          <cell r="CO581">
            <v>1095</v>
          </cell>
          <cell r="CP581">
            <v>445</v>
          </cell>
          <cell r="CQ581">
            <v>360</v>
          </cell>
          <cell r="CR581">
            <v>145</v>
          </cell>
          <cell r="CS581">
            <v>135</v>
          </cell>
          <cell r="CT581">
            <v>10</v>
          </cell>
          <cell r="CU581">
            <v>2230</v>
          </cell>
          <cell r="CV581">
            <v>2.1</v>
          </cell>
          <cell r="CW581">
            <v>1095</v>
          </cell>
          <cell r="CX581">
            <v>570</v>
          </cell>
          <cell r="CY581">
            <v>10</v>
          </cell>
          <cell r="CZ581">
            <v>520</v>
          </cell>
        </row>
        <row r="582">
          <cell r="A582" t="str">
            <v>4620245.00</v>
          </cell>
          <cell r="B582" t="str">
            <v>0245.00</v>
          </cell>
          <cell r="C582" t="str">
            <v>Villeray-Saint-Michel-Parc-Extension</v>
          </cell>
          <cell r="D582">
            <v>2390</v>
          </cell>
          <cell r="E582">
            <v>1505</v>
          </cell>
          <cell r="F582">
            <v>440</v>
          </cell>
          <cell r="G582">
            <v>85</v>
          </cell>
          <cell r="H582">
            <v>255</v>
          </cell>
          <cell r="I582">
            <v>105</v>
          </cell>
          <cell r="J582">
            <v>2385</v>
          </cell>
          <cell r="K582">
            <v>1900</v>
          </cell>
          <cell r="L582">
            <v>490</v>
          </cell>
          <cell r="M582">
            <v>585</v>
          </cell>
          <cell r="N582">
            <v>350</v>
          </cell>
          <cell r="O582">
            <v>120</v>
          </cell>
          <cell r="P582">
            <v>80</v>
          </cell>
          <cell r="Q582">
            <v>40</v>
          </cell>
          <cell r="R582">
            <v>590</v>
          </cell>
          <cell r="S582">
            <v>455</v>
          </cell>
          <cell r="T582">
            <v>210</v>
          </cell>
          <cell r="U582">
            <v>105</v>
          </cell>
          <cell r="V582">
            <v>100</v>
          </cell>
          <cell r="W582">
            <v>55</v>
          </cell>
          <cell r="X582">
            <v>45</v>
          </cell>
          <cell r="Y582">
            <v>0</v>
          </cell>
          <cell r="Z582">
            <v>245</v>
          </cell>
          <cell r="AA582">
            <v>185</v>
          </cell>
          <cell r="AB582">
            <v>65</v>
          </cell>
          <cell r="AC582">
            <v>30</v>
          </cell>
          <cell r="AD582">
            <v>10</v>
          </cell>
          <cell r="AE582">
            <v>20</v>
          </cell>
          <cell r="AF582">
            <v>130</v>
          </cell>
          <cell r="AG582">
            <v>100</v>
          </cell>
          <cell r="AH582">
            <v>35</v>
          </cell>
          <cell r="AI582">
            <v>25</v>
          </cell>
          <cell r="AJ582">
            <v>40</v>
          </cell>
          <cell r="AK582">
            <v>30</v>
          </cell>
          <cell r="AL582">
            <v>25</v>
          </cell>
          <cell r="AM582">
            <v>10</v>
          </cell>
          <cell r="AN582">
            <v>0</v>
          </cell>
          <cell r="AO582">
            <v>535</v>
          </cell>
          <cell r="AP582">
            <v>105</v>
          </cell>
          <cell r="AQ582">
            <v>185</v>
          </cell>
          <cell r="AR582">
            <v>25</v>
          </cell>
          <cell r="AS582">
            <v>105</v>
          </cell>
          <cell r="AT582">
            <v>105</v>
          </cell>
          <cell r="AU582">
            <v>0.9</v>
          </cell>
          <cell r="AV582">
            <v>2660</v>
          </cell>
          <cell r="AW582">
            <v>1085</v>
          </cell>
          <cell r="AX582">
            <v>85</v>
          </cell>
          <cell r="AY582">
            <v>245</v>
          </cell>
          <cell r="AZ582">
            <v>750</v>
          </cell>
          <cell r="BA582">
            <v>1580</v>
          </cell>
          <cell r="BB582">
            <v>2.7</v>
          </cell>
          <cell r="BC582">
            <v>290</v>
          </cell>
          <cell r="BD582">
            <v>170</v>
          </cell>
          <cell r="BE582">
            <v>0</v>
          </cell>
          <cell r="BF582">
            <v>0</v>
          </cell>
          <cell r="BG582">
            <v>150</v>
          </cell>
          <cell r="BH582">
            <v>120</v>
          </cell>
          <cell r="BI582">
            <v>1470</v>
          </cell>
          <cell r="BJ582">
            <v>4.4000000000000004</v>
          </cell>
          <cell r="BK582">
            <v>6468.0000000000009</v>
          </cell>
          <cell r="BL582">
            <v>1.7</v>
          </cell>
          <cell r="BM582">
            <v>2499</v>
          </cell>
          <cell r="BN582">
            <v>1475</v>
          </cell>
          <cell r="BO582">
            <v>300</v>
          </cell>
          <cell r="BP582">
            <v>1175</v>
          </cell>
          <cell r="BQ582">
            <v>0</v>
          </cell>
          <cell r="BR582">
            <v>1475</v>
          </cell>
          <cell r="BS582">
            <v>825</v>
          </cell>
          <cell r="BT582">
            <v>490</v>
          </cell>
          <cell r="BU582">
            <v>150</v>
          </cell>
          <cell r="BV582">
            <v>1475</v>
          </cell>
          <cell r="BW582">
            <v>535</v>
          </cell>
          <cell r="BX582">
            <v>450</v>
          </cell>
          <cell r="BY582">
            <v>165</v>
          </cell>
          <cell r="BZ582">
            <v>75</v>
          </cell>
          <cell r="CA582">
            <v>120</v>
          </cell>
          <cell r="CB582">
            <v>70</v>
          </cell>
          <cell r="CC582">
            <v>10</v>
          </cell>
          <cell r="CD582">
            <v>15</v>
          </cell>
          <cell r="CE582">
            <v>30</v>
          </cell>
          <cell r="CF582">
            <v>1475</v>
          </cell>
          <cell r="CG582">
            <v>0</v>
          </cell>
          <cell r="CH582">
            <v>20</v>
          </cell>
          <cell r="CI582">
            <v>5</v>
          </cell>
          <cell r="CJ582">
            <v>205</v>
          </cell>
          <cell r="CK582">
            <v>100</v>
          </cell>
          <cell r="CL582">
            <v>1135</v>
          </cell>
          <cell r="CM582">
            <v>10</v>
          </cell>
          <cell r="CN582">
            <v>0</v>
          </cell>
          <cell r="CO582">
            <v>1475</v>
          </cell>
          <cell r="CP582">
            <v>750</v>
          </cell>
          <cell r="CQ582">
            <v>445</v>
          </cell>
          <cell r="CR582">
            <v>155</v>
          </cell>
          <cell r="CS582">
            <v>110</v>
          </cell>
          <cell r="CT582">
            <v>15</v>
          </cell>
          <cell r="CU582">
            <v>2665</v>
          </cell>
          <cell r="CV582">
            <v>1.8</v>
          </cell>
          <cell r="CW582">
            <v>1470</v>
          </cell>
          <cell r="CX582">
            <v>585</v>
          </cell>
          <cell r="CY582">
            <v>0</v>
          </cell>
          <cell r="CZ582">
            <v>885</v>
          </cell>
        </row>
        <row r="583">
          <cell r="A583" t="str">
            <v>4620249.00</v>
          </cell>
          <cell r="B583" t="str">
            <v>0249.00</v>
          </cell>
          <cell r="C583" t="str">
            <v>Villeray-Saint-Michel-Parc-Extension</v>
          </cell>
          <cell r="D583">
            <v>3720</v>
          </cell>
          <cell r="E583">
            <v>1745</v>
          </cell>
          <cell r="F583">
            <v>1240</v>
          </cell>
          <cell r="G583">
            <v>105</v>
          </cell>
          <cell r="H583">
            <v>380</v>
          </cell>
          <cell r="I583">
            <v>255</v>
          </cell>
          <cell r="J583">
            <v>3725</v>
          </cell>
          <cell r="K583">
            <v>3225</v>
          </cell>
          <cell r="L583">
            <v>495</v>
          </cell>
          <cell r="M583">
            <v>1065</v>
          </cell>
          <cell r="N583">
            <v>590</v>
          </cell>
          <cell r="O583">
            <v>265</v>
          </cell>
          <cell r="P583">
            <v>150</v>
          </cell>
          <cell r="Q583">
            <v>55</v>
          </cell>
          <cell r="R583">
            <v>1060</v>
          </cell>
          <cell r="S583">
            <v>855</v>
          </cell>
          <cell r="T583">
            <v>605</v>
          </cell>
          <cell r="U583">
            <v>260</v>
          </cell>
          <cell r="V583">
            <v>345</v>
          </cell>
          <cell r="W583">
            <v>205</v>
          </cell>
          <cell r="X583">
            <v>100</v>
          </cell>
          <cell r="Y583">
            <v>40</v>
          </cell>
          <cell r="Z583">
            <v>250</v>
          </cell>
          <cell r="AA583">
            <v>170</v>
          </cell>
          <cell r="AB583">
            <v>80</v>
          </cell>
          <cell r="AC583">
            <v>30</v>
          </cell>
          <cell r="AD583">
            <v>35</v>
          </cell>
          <cell r="AE583">
            <v>15</v>
          </cell>
          <cell r="AF583">
            <v>205</v>
          </cell>
          <cell r="AG583">
            <v>150</v>
          </cell>
          <cell r="AH583">
            <v>100</v>
          </cell>
          <cell r="AI583">
            <v>30</v>
          </cell>
          <cell r="AJ583">
            <v>15</v>
          </cell>
          <cell r="AK583">
            <v>60</v>
          </cell>
          <cell r="AL583">
            <v>60</v>
          </cell>
          <cell r="AM583">
            <v>0</v>
          </cell>
          <cell r="AN583">
            <v>0</v>
          </cell>
          <cell r="AO583">
            <v>955</v>
          </cell>
          <cell r="AP583">
            <v>215</v>
          </cell>
          <cell r="AQ583">
            <v>330</v>
          </cell>
          <cell r="AR583">
            <v>100</v>
          </cell>
          <cell r="AS583">
            <v>125</v>
          </cell>
          <cell r="AT583">
            <v>185</v>
          </cell>
          <cell r="AU583">
            <v>0.9</v>
          </cell>
          <cell r="AV583">
            <v>4195</v>
          </cell>
          <cell r="AW583">
            <v>1315</v>
          </cell>
          <cell r="AX583">
            <v>115</v>
          </cell>
          <cell r="AY583">
            <v>260</v>
          </cell>
          <cell r="AZ583">
            <v>940</v>
          </cell>
          <cell r="BA583">
            <v>2880</v>
          </cell>
          <cell r="BB583">
            <v>2.7</v>
          </cell>
          <cell r="BC583">
            <v>735</v>
          </cell>
          <cell r="BD583">
            <v>245</v>
          </cell>
          <cell r="BE583">
            <v>50</v>
          </cell>
          <cell r="BF583">
            <v>0</v>
          </cell>
          <cell r="BG583">
            <v>195</v>
          </cell>
          <cell r="BH583">
            <v>490</v>
          </cell>
          <cell r="BI583">
            <v>2105</v>
          </cell>
          <cell r="BJ583">
            <v>4.5</v>
          </cell>
          <cell r="BK583">
            <v>9472.5</v>
          </cell>
          <cell r="BL583">
            <v>1.8</v>
          </cell>
          <cell r="BM583">
            <v>3789</v>
          </cell>
          <cell r="BN583">
            <v>2105</v>
          </cell>
          <cell r="BO583">
            <v>720</v>
          </cell>
          <cell r="BP583">
            <v>1385</v>
          </cell>
          <cell r="BQ583">
            <v>0</v>
          </cell>
          <cell r="BR583">
            <v>2105</v>
          </cell>
          <cell r="BS583">
            <v>1125</v>
          </cell>
          <cell r="BT583">
            <v>770</v>
          </cell>
          <cell r="BU583">
            <v>205</v>
          </cell>
          <cell r="BV583">
            <v>2105</v>
          </cell>
          <cell r="BW583">
            <v>350</v>
          </cell>
          <cell r="BX583">
            <v>1165</v>
          </cell>
          <cell r="BY583">
            <v>350</v>
          </cell>
          <cell r="BZ583">
            <v>110</v>
          </cell>
          <cell r="CA583">
            <v>65</v>
          </cell>
          <cell r="CB583">
            <v>15</v>
          </cell>
          <cell r="CC583">
            <v>20</v>
          </cell>
          <cell r="CD583">
            <v>20</v>
          </cell>
          <cell r="CE583">
            <v>0</v>
          </cell>
          <cell r="CF583">
            <v>2095</v>
          </cell>
          <cell r="CG583">
            <v>250</v>
          </cell>
          <cell r="CH583">
            <v>55</v>
          </cell>
          <cell r="CI583">
            <v>30</v>
          </cell>
          <cell r="CJ583">
            <v>415</v>
          </cell>
          <cell r="CK583">
            <v>10</v>
          </cell>
          <cell r="CL583">
            <v>1290</v>
          </cell>
          <cell r="CM583">
            <v>35</v>
          </cell>
          <cell r="CN583">
            <v>5</v>
          </cell>
          <cell r="CO583">
            <v>2100</v>
          </cell>
          <cell r="CP583">
            <v>935</v>
          </cell>
          <cell r="CQ583">
            <v>615</v>
          </cell>
          <cell r="CR583">
            <v>290</v>
          </cell>
          <cell r="CS583">
            <v>235</v>
          </cell>
          <cell r="CT583">
            <v>25</v>
          </cell>
          <cell r="CU583">
            <v>4185</v>
          </cell>
          <cell r="CV583">
            <v>2</v>
          </cell>
          <cell r="CW583">
            <v>2105</v>
          </cell>
          <cell r="CX583">
            <v>1020</v>
          </cell>
          <cell r="CY583">
            <v>20</v>
          </cell>
          <cell r="CZ583">
            <v>1060</v>
          </cell>
        </row>
        <row r="584">
          <cell r="A584" t="str">
            <v>4620250.00</v>
          </cell>
          <cell r="B584" t="str">
            <v>0250.00</v>
          </cell>
          <cell r="C584" t="str">
            <v>Villeray-Saint-Michel-Parc-Extension</v>
          </cell>
          <cell r="D584">
            <v>3270</v>
          </cell>
          <cell r="E584">
            <v>1485</v>
          </cell>
          <cell r="F584">
            <v>1135</v>
          </cell>
          <cell r="G584">
            <v>95</v>
          </cell>
          <cell r="H584">
            <v>320</v>
          </cell>
          <cell r="I584">
            <v>235</v>
          </cell>
          <cell r="J584">
            <v>3270</v>
          </cell>
          <cell r="K584">
            <v>2900</v>
          </cell>
          <cell r="L584">
            <v>375</v>
          </cell>
          <cell r="M584">
            <v>970</v>
          </cell>
          <cell r="N584">
            <v>520</v>
          </cell>
          <cell r="O584">
            <v>220</v>
          </cell>
          <cell r="P584">
            <v>170</v>
          </cell>
          <cell r="Q584">
            <v>60</v>
          </cell>
          <cell r="R584">
            <v>970</v>
          </cell>
          <cell r="S584">
            <v>740</v>
          </cell>
          <cell r="T584">
            <v>550</v>
          </cell>
          <cell r="U584">
            <v>205</v>
          </cell>
          <cell r="V584">
            <v>340</v>
          </cell>
          <cell r="W584">
            <v>155</v>
          </cell>
          <cell r="X584">
            <v>130</v>
          </cell>
          <cell r="Y584">
            <v>60</v>
          </cell>
          <cell r="Z584">
            <v>190</v>
          </cell>
          <cell r="AA584">
            <v>130</v>
          </cell>
          <cell r="AB584">
            <v>60</v>
          </cell>
          <cell r="AC584">
            <v>30</v>
          </cell>
          <cell r="AD584">
            <v>35</v>
          </cell>
          <cell r="AE584">
            <v>0</v>
          </cell>
          <cell r="AF584">
            <v>230</v>
          </cell>
          <cell r="AG584">
            <v>185</v>
          </cell>
          <cell r="AH584">
            <v>155</v>
          </cell>
          <cell r="AI584">
            <v>20</v>
          </cell>
          <cell r="AJ584">
            <v>0</v>
          </cell>
          <cell r="AK584">
            <v>45</v>
          </cell>
          <cell r="AL584">
            <v>25</v>
          </cell>
          <cell r="AM584">
            <v>20</v>
          </cell>
          <cell r="AN584">
            <v>0</v>
          </cell>
          <cell r="AO584">
            <v>980</v>
          </cell>
          <cell r="AP584">
            <v>220</v>
          </cell>
          <cell r="AQ584">
            <v>305</v>
          </cell>
          <cell r="AR584">
            <v>115</v>
          </cell>
          <cell r="AS584">
            <v>200</v>
          </cell>
          <cell r="AT584">
            <v>135</v>
          </cell>
          <cell r="AU584">
            <v>1</v>
          </cell>
          <cell r="AV584">
            <v>3805</v>
          </cell>
          <cell r="AW584">
            <v>1110</v>
          </cell>
          <cell r="AX584">
            <v>155</v>
          </cell>
          <cell r="AY584">
            <v>200</v>
          </cell>
          <cell r="AZ584">
            <v>760</v>
          </cell>
          <cell r="BA584">
            <v>2695</v>
          </cell>
          <cell r="BB584">
            <v>2.8</v>
          </cell>
          <cell r="BC584">
            <v>655</v>
          </cell>
          <cell r="BD584">
            <v>315</v>
          </cell>
          <cell r="BE584">
            <v>50</v>
          </cell>
          <cell r="BF584">
            <v>15</v>
          </cell>
          <cell r="BG584">
            <v>245</v>
          </cell>
          <cell r="BH584">
            <v>340</v>
          </cell>
          <cell r="BI584">
            <v>1830</v>
          </cell>
          <cell r="BJ584">
            <v>4.5999999999999996</v>
          </cell>
          <cell r="BK584">
            <v>8418</v>
          </cell>
          <cell r="BL584">
            <v>2</v>
          </cell>
          <cell r="BM584">
            <v>3660</v>
          </cell>
          <cell r="BN584">
            <v>1830</v>
          </cell>
          <cell r="BO584">
            <v>695</v>
          </cell>
          <cell r="BP584">
            <v>1130</v>
          </cell>
          <cell r="BQ584">
            <v>0</v>
          </cell>
          <cell r="BR584">
            <v>1825</v>
          </cell>
          <cell r="BS584">
            <v>1190</v>
          </cell>
          <cell r="BT584">
            <v>500</v>
          </cell>
          <cell r="BU584">
            <v>140</v>
          </cell>
          <cell r="BV584">
            <v>1830</v>
          </cell>
          <cell r="BW584">
            <v>235</v>
          </cell>
          <cell r="BX584">
            <v>1055</v>
          </cell>
          <cell r="BY584">
            <v>330</v>
          </cell>
          <cell r="BZ584">
            <v>115</v>
          </cell>
          <cell r="CA584">
            <v>20</v>
          </cell>
          <cell r="CB584">
            <v>20</v>
          </cell>
          <cell r="CC584">
            <v>35</v>
          </cell>
          <cell r="CD584">
            <v>10</v>
          </cell>
          <cell r="CE584">
            <v>10</v>
          </cell>
          <cell r="CF584">
            <v>1825</v>
          </cell>
          <cell r="CG584">
            <v>25</v>
          </cell>
          <cell r="CH584">
            <v>210</v>
          </cell>
          <cell r="CI584">
            <v>60</v>
          </cell>
          <cell r="CJ584">
            <v>340</v>
          </cell>
          <cell r="CK584">
            <v>5</v>
          </cell>
          <cell r="CL584">
            <v>1110</v>
          </cell>
          <cell r="CM584">
            <v>80</v>
          </cell>
          <cell r="CN584">
            <v>0</v>
          </cell>
          <cell r="CO584">
            <v>1830</v>
          </cell>
          <cell r="CP584">
            <v>755</v>
          </cell>
          <cell r="CQ584">
            <v>570</v>
          </cell>
          <cell r="CR584">
            <v>240</v>
          </cell>
          <cell r="CS584">
            <v>235</v>
          </cell>
          <cell r="CT584">
            <v>30</v>
          </cell>
          <cell r="CU584">
            <v>3805</v>
          </cell>
          <cell r="CV584">
            <v>2.1</v>
          </cell>
          <cell r="CW584">
            <v>1825</v>
          </cell>
          <cell r="CX584">
            <v>935</v>
          </cell>
          <cell r="CY584">
            <v>20</v>
          </cell>
          <cell r="CZ584">
            <v>875</v>
          </cell>
        </row>
        <row r="585">
          <cell r="A585" t="str">
            <v>4620251.01</v>
          </cell>
          <cell r="B585" t="str">
            <v>0251.01</v>
          </cell>
          <cell r="C585" t="str">
            <v>Villeray-Saint-Michel-Parc-Extension</v>
          </cell>
          <cell r="D585">
            <v>3325</v>
          </cell>
          <cell r="E585">
            <v>1360</v>
          </cell>
          <cell r="F585">
            <v>1185</v>
          </cell>
          <cell r="G585">
            <v>100</v>
          </cell>
          <cell r="H585">
            <v>315</v>
          </cell>
          <cell r="I585">
            <v>375</v>
          </cell>
          <cell r="J585">
            <v>3325</v>
          </cell>
          <cell r="K585">
            <v>3015</v>
          </cell>
          <cell r="L585">
            <v>310</v>
          </cell>
          <cell r="M585">
            <v>960</v>
          </cell>
          <cell r="N585">
            <v>520</v>
          </cell>
          <cell r="O585">
            <v>220</v>
          </cell>
          <cell r="P585">
            <v>165</v>
          </cell>
          <cell r="Q585">
            <v>55</v>
          </cell>
          <cell r="R585">
            <v>960</v>
          </cell>
          <cell r="S585">
            <v>690</v>
          </cell>
          <cell r="T585">
            <v>535</v>
          </cell>
          <cell r="U585">
            <v>235</v>
          </cell>
          <cell r="V585">
            <v>300</v>
          </cell>
          <cell r="W585">
            <v>120</v>
          </cell>
          <cell r="X585">
            <v>125</v>
          </cell>
          <cell r="Y585">
            <v>55</v>
          </cell>
          <cell r="Z585">
            <v>150</v>
          </cell>
          <cell r="AA585">
            <v>95</v>
          </cell>
          <cell r="AB585">
            <v>55</v>
          </cell>
          <cell r="AC585">
            <v>25</v>
          </cell>
          <cell r="AD585">
            <v>25</v>
          </cell>
          <cell r="AE585">
            <v>0</v>
          </cell>
          <cell r="AF585">
            <v>270</v>
          </cell>
          <cell r="AG585">
            <v>220</v>
          </cell>
          <cell r="AH585">
            <v>155</v>
          </cell>
          <cell r="AI585">
            <v>60</v>
          </cell>
          <cell r="AJ585">
            <v>10</v>
          </cell>
          <cell r="AK585">
            <v>50</v>
          </cell>
          <cell r="AL585">
            <v>35</v>
          </cell>
          <cell r="AM585">
            <v>10</v>
          </cell>
          <cell r="AN585">
            <v>0</v>
          </cell>
          <cell r="AO585">
            <v>1010</v>
          </cell>
          <cell r="AP585">
            <v>205</v>
          </cell>
          <cell r="AQ585">
            <v>280</v>
          </cell>
          <cell r="AR585">
            <v>115</v>
          </cell>
          <cell r="AS585">
            <v>185</v>
          </cell>
          <cell r="AT585">
            <v>220</v>
          </cell>
          <cell r="AU585">
            <v>1.1000000000000001</v>
          </cell>
          <cell r="AV585">
            <v>3400</v>
          </cell>
          <cell r="AW585">
            <v>735</v>
          </cell>
          <cell r="AX585">
            <v>65</v>
          </cell>
          <cell r="AY585">
            <v>135</v>
          </cell>
          <cell r="AZ585">
            <v>535</v>
          </cell>
          <cell r="BA585">
            <v>2660</v>
          </cell>
          <cell r="BB585">
            <v>2.8</v>
          </cell>
          <cell r="BC585">
            <v>620</v>
          </cell>
          <cell r="BD585">
            <v>250</v>
          </cell>
          <cell r="BE585">
            <v>25</v>
          </cell>
          <cell r="BF585">
            <v>0</v>
          </cell>
          <cell r="BG585">
            <v>225</v>
          </cell>
          <cell r="BH585">
            <v>370</v>
          </cell>
          <cell r="BI585">
            <v>1530</v>
          </cell>
          <cell r="BJ585">
            <v>4.7</v>
          </cell>
          <cell r="BK585">
            <v>7191</v>
          </cell>
          <cell r="BL585">
            <v>2.1</v>
          </cell>
          <cell r="BM585">
            <v>3213</v>
          </cell>
          <cell r="BN585">
            <v>1525</v>
          </cell>
          <cell r="BO585">
            <v>555</v>
          </cell>
          <cell r="BP585">
            <v>975</v>
          </cell>
          <cell r="BQ585">
            <v>0</v>
          </cell>
          <cell r="BR585">
            <v>1525</v>
          </cell>
          <cell r="BS585">
            <v>845</v>
          </cell>
          <cell r="BT585">
            <v>555</v>
          </cell>
          <cell r="BU585">
            <v>125</v>
          </cell>
          <cell r="BV585">
            <v>1525</v>
          </cell>
          <cell r="BW585">
            <v>125</v>
          </cell>
          <cell r="BX585">
            <v>680</v>
          </cell>
          <cell r="BY585">
            <v>460</v>
          </cell>
          <cell r="BZ585">
            <v>120</v>
          </cell>
          <cell r="CA585">
            <v>80</v>
          </cell>
          <cell r="CB585">
            <v>25</v>
          </cell>
          <cell r="CC585">
            <v>20</v>
          </cell>
          <cell r="CD585">
            <v>10</v>
          </cell>
          <cell r="CE585">
            <v>0</v>
          </cell>
          <cell r="CF585">
            <v>1525</v>
          </cell>
          <cell r="CG585">
            <v>110</v>
          </cell>
          <cell r="CH585">
            <v>15</v>
          </cell>
          <cell r="CI585">
            <v>15</v>
          </cell>
          <cell r="CJ585">
            <v>485</v>
          </cell>
          <cell r="CK585">
            <v>140</v>
          </cell>
          <cell r="CL585">
            <v>755</v>
          </cell>
          <cell r="CM585">
            <v>10</v>
          </cell>
          <cell r="CN585">
            <v>0</v>
          </cell>
          <cell r="CO585">
            <v>1525</v>
          </cell>
          <cell r="CP585">
            <v>535</v>
          </cell>
          <cell r="CQ585">
            <v>500</v>
          </cell>
          <cell r="CR585">
            <v>240</v>
          </cell>
          <cell r="CS585">
            <v>225</v>
          </cell>
          <cell r="CT585">
            <v>30</v>
          </cell>
          <cell r="CU585">
            <v>3400</v>
          </cell>
          <cell r="CV585">
            <v>2.2000000000000002</v>
          </cell>
          <cell r="CW585">
            <v>1525</v>
          </cell>
          <cell r="CX585">
            <v>895</v>
          </cell>
          <cell r="CY585">
            <v>30</v>
          </cell>
          <cell r="CZ585">
            <v>605</v>
          </cell>
        </row>
        <row r="586">
          <cell r="A586" t="str">
            <v>4620251.02</v>
          </cell>
          <cell r="B586" t="str">
            <v>0251.02</v>
          </cell>
          <cell r="C586" t="str">
            <v>Villeray-Saint-Michel-Parc-Extension</v>
          </cell>
          <cell r="D586">
            <v>2165</v>
          </cell>
          <cell r="E586">
            <v>990</v>
          </cell>
          <cell r="F586">
            <v>755</v>
          </cell>
          <cell r="G586">
            <v>85</v>
          </cell>
          <cell r="H586">
            <v>215</v>
          </cell>
          <cell r="I586">
            <v>115</v>
          </cell>
          <cell r="J586">
            <v>2160</v>
          </cell>
          <cell r="K586">
            <v>1950</v>
          </cell>
          <cell r="L586">
            <v>215</v>
          </cell>
          <cell r="M586">
            <v>640</v>
          </cell>
          <cell r="N586">
            <v>320</v>
          </cell>
          <cell r="O586">
            <v>145</v>
          </cell>
          <cell r="P586">
            <v>75</v>
          </cell>
          <cell r="Q586">
            <v>100</v>
          </cell>
          <cell r="R586">
            <v>635</v>
          </cell>
          <cell r="S586">
            <v>475</v>
          </cell>
          <cell r="T586">
            <v>355</v>
          </cell>
          <cell r="U586">
            <v>140</v>
          </cell>
          <cell r="V586">
            <v>215</v>
          </cell>
          <cell r="W586">
            <v>85</v>
          </cell>
          <cell r="X586">
            <v>60</v>
          </cell>
          <cell r="Y586">
            <v>70</v>
          </cell>
          <cell r="Z586">
            <v>115</v>
          </cell>
          <cell r="AA586">
            <v>90</v>
          </cell>
          <cell r="AB586">
            <v>25</v>
          </cell>
          <cell r="AC586">
            <v>10</v>
          </cell>
          <cell r="AD586">
            <v>0</v>
          </cell>
          <cell r="AE586">
            <v>20</v>
          </cell>
          <cell r="AF586">
            <v>160</v>
          </cell>
          <cell r="AG586">
            <v>145</v>
          </cell>
          <cell r="AH586">
            <v>80</v>
          </cell>
          <cell r="AI586">
            <v>45</v>
          </cell>
          <cell r="AJ586">
            <v>15</v>
          </cell>
          <cell r="AK586">
            <v>15</v>
          </cell>
          <cell r="AL586">
            <v>10</v>
          </cell>
          <cell r="AM586">
            <v>10</v>
          </cell>
          <cell r="AN586">
            <v>10</v>
          </cell>
          <cell r="AO586">
            <v>770</v>
          </cell>
          <cell r="AP586">
            <v>130</v>
          </cell>
          <cell r="AQ586">
            <v>220</v>
          </cell>
          <cell r="AR586">
            <v>120</v>
          </cell>
          <cell r="AS586">
            <v>195</v>
          </cell>
          <cell r="AT586">
            <v>100</v>
          </cell>
          <cell r="AU586">
            <v>1.2</v>
          </cell>
          <cell r="AV586">
            <v>2530</v>
          </cell>
          <cell r="AW586">
            <v>650</v>
          </cell>
          <cell r="AX586">
            <v>80</v>
          </cell>
          <cell r="AY586">
            <v>80</v>
          </cell>
          <cell r="AZ586">
            <v>485</v>
          </cell>
          <cell r="BA586">
            <v>1885</v>
          </cell>
          <cell r="BB586">
            <v>3</v>
          </cell>
          <cell r="BC586">
            <v>330</v>
          </cell>
          <cell r="BD586">
            <v>150</v>
          </cell>
          <cell r="BE586">
            <v>10</v>
          </cell>
          <cell r="BF586">
            <v>10</v>
          </cell>
          <cell r="BG586">
            <v>135</v>
          </cell>
          <cell r="BH586">
            <v>180</v>
          </cell>
          <cell r="BI586">
            <v>1155</v>
          </cell>
          <cell r="BJ586">
            <v>4.5</v>
          </cell>
          <cell r="BK586">
            <v>5197.5</v>
          </cell>
          <cell r="BL586">
            <v>2</v>
          </cell>
          <cell r="BM586">
            <v>2310</v>
          </cell>
          <cell r="BN586">
            <v>1155</v>
          </cell>
          <cell r="BO586">
            <v>355</v>
          </cell>
          <cell r="BP586">
            <v>800</v>
          </cell>
          <cell r="BQ586">
            <v>0</v>
          </cell>
          <cell r="BR586">
            <v>1160</v>
          </cell>
          <cell r="BS586">
            <v>570</v>
          </cell>
          <cell r="BT586">
            <v>415</v>
          </cell>
          <cell r="BU586">
            <v>170</v>
          </cell>
          <cell r="BV586">
            <v>1160</v>
          </cell>
          <cell r="BW586">
            <v>100</v>
          </cell>
          <cell r="BX586">
            <v>590</v>
          </cell>
          <cell r="BY586">
            <v>230</v>
          </cell>
          <cell r="BZ586">
            <v>110</v>
          </cell>
          <cell r="CA586">
            <v>70</v>
          </cell>
          <cell r="CB586">
            <v>35</v>
          </cell>
          <cell r="CC586">
            <v>10</v>
          </cell>
          <cell r="CD586">
            <v>0</v>
          </cell>
          <cell r="CE586">
            <v>0</v>
          </cell>
          <cell r="CF586">
            <v>1155</v>
          </cell>
          <cell r="CG586">
            <v>20</v>
          </cell>
          <cell r="CH586">
            <v>15</v>
          </cell>
          <cell r="CI586">
            <v>10</v>
          </cell>
          <cell r="CJ586">
            <v>180</v>
          </cell>
          <cell r="CK586">
            <v>0</v>
          </cell>
          <cell r="CL586">
            <v>905</v>
          </cell>
          <cell r="CM586">
            <v>30</v>
          </cell>
          <cell r="CN586">
            <v>0</v>
          </cell>
          <cell r="CO586">
            <v>1155</v>
          </cell>
          <cell r="CP586">
            <v>460</v>
          </cell>
          <cell r="CQ586">
            <v>320</v>
          </cell>
          <cell r="CR586">
            <v>175</v>
          </cell>
          <cell r="CS586">
            <v>170</v>
          </cell>
          <cell r="CT586">
            <v>25</v>
          </cell>
          <cell r="CU586">
            <v>2565</v>
          </cell>
          <cell r="CV586">
            <v>2.2000000000000002</v>
          </cell>
          <cell r="CW586">
            <v>1160</v>
          </cell>
          <cell r="CX586">
            <v>625</v>
          </cell>
          <cell r="CY586">
            <v>0</v>
          </cell>
          <cell r="CZ586">
            <v>525</v>
          </cell>
        </row>
        <row r="587">
          <cell r="A587" t="str">
            <v>4620252.00</v>
          </cell>
          <cell r="B587" t="str">
            <v>0252.00</v>
          </cell>
          <cell r="C587" t="str">
            <v>Villeray-Saint-Michel-Parc-Extension</v>
          </cell>
          <cell r="D587">
            <v>4080</v>
          </cell>
          <cell r="E587">
            <v>1670</v>
          </cell>
          <cell r="F587">
            <v>1600</v>
          </cell>
          <cell r="G587">
            <v>125</v>
          </cell>
          <cell r="H587">
            <v>430</v>
          </cell>
          <cell r="I587">
            <v>250</v>
          </cell>
          <cell r="J587">
            <v>4080</v>
          </cell>
          <cell r="K587">
            <v>3670</v>
          </cell>
          <cell r="L587">
            <v>410</v>
          </cell>
          <cell r="M587">
            <v>1370</v>
          </cell>
          <cell r="N587">
            <v>685</v>
          </cell>
          <cell r="O587">
            <v>355</v>
          </cell>
          <cell r="P587">
            <v>230</v>
          </cell>
          <cell r="Q587">
            <v>90</v>
          </cell>
          <cell r="R587">
            <v>1365</v>
          </cell>
          <cell r="S587">
            <v>960</v>
          </cell>
          <cell r="T587">
            <v>755</v>
          </cell>
          <cell r="U587">
            <v>290</v>
          </cell>
          <cell r="V587">
            <v>470</v>
          </cell>
          <cell r="W587">
            <v>235</v>
          </cell>
          <cell r="X587">
            <v>155</v>
          </cell>
          <cell r="Y587">
            <v>80</v>
          </cell>
          <cell r="Z587">
            <v>205</v>
          </cell>
          <cell r="AA587">
            <v>135</v>
          </cell>
          <cell r="AB587">
            <v>70</v>
          </cell>
          <cell r="AC587">
            <v>25</v>
          </cell>
          <cell r="AD587">
            <v>30</v>
          </cell>
          <cell r="AE587">
            <v>15</v>
          </cell>
          <cell r="AF587">
            <v>405</v>
          </cell>
          <cell r="AG587">
            <v>350</v>
          </cell>
          <cell r="AH587">
            <v>225</v>
          </cell>
          <cell r="AI587">
            <v>80</v>
          </cell>
          <cell r="AJ587">
            <v>40</v>
          </cell>
          <cell r="AK587">
            <v>60</v>
          </cell>
          <cell r="AL587">
            <v>35</v>
          </cell>
          <cell r="AM587">
            <v>15</v>
          </cell>
          <cell r="AN587">
            <v>10</v>
          </cell>
          <cell r="AO587">
            <v>1530</v>
          </cell>
          <cell r="AP587">
            <v>395</v>
          </cell>
          <cell r="AQ587">
            <v>470</v>
          </cell>
          <cell r="AR587">
            <v>140</v>
          </cell>
          <cell r="AS587">
            <v>225</v>
          </cell>
          <cell r="AT587">
            <v>285</v>
          </cell>
          <cell r="AU587">
            <v>1.1000000000000001</v>
          </cell>
          <cell r="AV587">
            <v>4905</v>
          </cell>
          <cell r="AW587">
            <v>1050</v>
          </cell>
          <cell r="AX587">
            <v>140</v>
          </cell>
          <cell r="AY587">
            <v>145</v>
          </cell>
          <cell r="AZ587">
            <v>765</v>
          </cell>
          <cell r="BA587">
            <v>3855</v>
          </cell>
          <cell r="BB587">
            <v>2.8</v>
          </cell>
          <cell r="BC587">
            <v>720</v>
          </cell>
          <cell r="BD587">
            <v>275</v>
          </cell>
          <cell r="BE587">
            <v>45</v>
          </cell>
          <cell r="BF587">
            <v>15</v>
          </cell>
          <cell r="BG587">
            <v>215</v>
          </cell>
          <cell r="BH587">
            <v>445</v>
          </cell>
          <cell r="BI587">
            <v>2200</v>
          </cell>
          <cell r="BJ587">
            <v>4.3</v>
          </cell>
          <cell r="BK587">
            <v>9460</v>
          </cell>
          <cell r="BL587">
            <v>1.9</v>
          </cell>
          <cell r="BM587">
            <v>4180</v>
          </cell>
          <cell r="BN587">
            <v>2200</v>
          </cell>
          <cell r="BO587">
            <v>725</v>
          </cell>
          <cell r="BP587">
            <v>1470</v>
          </cell>
          <cell r="BQ587">
            <v>0</v>
          </cell>
          <cell r="BR587">
            <v>2200</v>
          </cell>
          <cell r="BS587">
            <v>1290</v>
          </cell>
          <cell r="BT587">
            <v>620</v>
          </cell>
          <cell r="BU587">
            <v>285</v>
          </cell>
          <cell r="BV587">
            <v>2200</v>
          </cell>
          <cell r="BW587">
            <v>245</v>
          </cell>
          <cell r="BX587">
            <v>1100</v>
          </cell>
          <cell r="BY587">
            <v>520</v>
          </cell>
          <cell r="BZ587">
            <v>245</v>
          </cell>
          <cell r="CA587">
            <v>35</v>
          </cell>
          <cell r="CB587">
            <v>15</v>
          </cell>
          <cell r="CC587">
            <v>35</v>
          </cell>
          <cell r="CD587">
            <v>0</v>
          </cell>
          <cell r="CE587">
            <v>0</v>
          </cell>
          <cell r="CF587">
            <v>2200</v>
          </cell>
          <cell r="CG587">
            <v>55</v>
          </cell>
          <cell r="CH587">
            <v>50</v>
          </cell>
          <cell r="CI587">
            <v>5</v>
          </cell>
          <cell r="CJ587">
            <v>350</v>
          </cell>
          <cell r="CK587">
            <v>10</v>
          </cell>
          <cell r="CL587">
            <v>1655</v>
          </cell>
          <cell r="CM587">
            <v>70</v>
          </cell>
          <cell r="CN587">
            <v>0</v>
          </cell>
          <cell r="CO587">
            <v>2200</v>
          </cell>
          <cell r="CP587">
            <v>765</v>
          </cell>
          <cell r="CQ587">
            <v>710</v>
          </cell>
          <cell r="CR587">
            <v>355</v>
          </cell>
          <cell r="CS587">
            <v>330</v>
          </cell>
          <cell r="CT587">
            <v>40</v>
          </cell>
          <cell r="CU587">
            <v>4905</v>
          </cell>
          <cell r="CV587">
            <v>2.2000000000000002</v>
          </cell>
          <cell r="CW587">
            <v>2200</v>
          </cell>
          <cell r="CX587">
            <v>1310</v>
          </cell>
          <cell r="CY587">
            <v>30</v>
          </cell>
          <cell r="CZ587">
            <v>860</v>
          </cell>
        </row>
        <row r="588">
          <cell r="A588" t="str">
            <v>4620253.00</v>
          </cell>
          <cell r="B588" t="str">
            <v>0253.00</v>
          </cell>
          <cell r="C588" t="str">
            <v>Villeray-Saint-Michel-Parc-Extension</v>
          </cell>
          <cell r="D588">
            <v>2350</v>
          </cell>
          <cell r="E588">
            <v>925</v>
          </cell>
          <cell r="F588">
            <v>980</v>
          </cell>
          <cell r="G588">
            <v>75</v>
          </cell>
          <cell r="H588">
            <v>235</v>
          </cell>
          <cell r="I588">
            <v>145</v>
          </cell>
          <cell r="J588">
            <v>2350</v>
          </cell>
          <cell r="K588">
            <v>2155</v>
          </cell>
          <cell r="L588">
            <v>195</v>
          </cell>
          <cell r="M588">
            <v>820</v>
          </cell>
          <cell r="N588">
            <v>370</v>
          </cell>
          <cell r="O588">
            <v>205</v>
          </cell>
          <cell r="P588">
            <v>190</v>
          </cell>
          <cell r="Q588">
            <v>50</v>
          </cell>
          <cell r="R588">
            <v>825</v>
          </cell>
          <cell r="S588">
            <v>575</v>
          </cell>
          <cell r="T588">
            <v>485</v>
          </cell>
          <cell r="U588">
            <v>170</v>
          </cell>
          <cell r="V588">
            <v>320</v>
          </cell>
          <cell r="W588">
            <v>105</v>
          </cell>
          <cell r="X588">
            <v>170</v>
          </cell>
          <cell r="Y588">
            <v>40</v>
          </cell>
          <cell r="Z588">
            <v>90</v>
          </cell>
          <cell r="AA588">
            <v>80</v>
          </cell>
          <cell r="AB588">
            <v>15</v>
          </cell>
          <cell r="AC588">
            <v>10</v>
          </cell>
          <cell r="AD588">
            <v>0</v>
          </cell>
          <cell r="AE588">
            <v>0</v>
          </cell>
          <cell r="AF588">
            <v>250</v>
          </cell>
          <cell r="AG588">
            <v>205</v>
          </cell>
          <cell r="AH588">
            <v>105</v>
          </cell>
          <cell r="AI588">
            <v>85</v>
          </cell>
          <cell r="AJ588">
            <v>15</v>
          </cell>
          <cell r="AK588">
            <v>40</v>
          </cell>
          <cell r="AL588">
            <v>30</v>
          </cell>
          <cell r="AM588">
            <v>10</v>
          </cell>
          <cell r="AN588">
            <v>10</v>
          </cell>
          <cell r="AO588">
            <v>1005</v>
          </cell>
          <cell r="AP588">
            <v>260</v>
          </cell>
          <cell r="AQ588">
            <v>275</v>
          </cell>
          <cell r="AR588">
            <v>85</v>
          </cell>
          <cell r="AS588">
            <v>195</v>
          </cell>
          <cell r="AT588">
            <v>195</v>
          </cell>
          <cell r="AU588">
            <v>1.2</v>
          </cell>
          <cell r="AV588">
            <v>2865</v>
          </cell>
          <cell r="AW588">
            <v>465</v>
          </cell>
          <cell r="AX588">
            <v>45</v>
          </cell>
          <cell r="AY588">
            <v>85</v>
          </cell>
          <cell r="AZ588">
            <v>330</v>
          </cell>
          <cell r="BA588">
            <v>2400</v>
          </cell>
          <cell r="BB588">
            <v>2.9</v>
          </cell>
          <cell r="BC588">
            <v>375</v>
          </cell>
          <cell r="BD588">
            <v>130</v>
          </cell>
          <cell r="BE588">
            <v>25</v>
          </cell>
          <cell r="BF588">
            <v>10</v>
          </cell>
          <cell r="BG588">
            <v>95</v>
          </cell>
          <cell r="BH588">
            <v>245</v>
          </cell>
          <cell r="BI588">
            <v>1150</v>
          </cell>
          <cell r="BJ588">
            <v>4.5</v>
          </cell>
          <cell r="BK588">
            <v>5175</v>
          </cell>
          <cell r="BL588">
            <v>2.1</v>
          </cell>
          <cell r="BM588">
            <v>2415</v>
          </cell>
          <cell r="BN588">
            <v>1145</v>
          </cell>
          <cell r="BO588">
            <v>355</v>
          </cell>
          <cell r="BP588">
            <v>795</v>
          </cell>
          <cell r="BQ588">
            <v>0</v>
          </cell>
          <cell r="BR588">
            <v>1150</v>
          </cell>
          <cell r="BS588">
            <v>620</v>
          </cell>
          <cell r="BT588">
            <v>405</v>
          </cell>
          <cell r="BU588">
            <v>125</v>
          </cell>
          <cell r="BV588">
            <v>1150</v>
          </cell>
          <cell r="BW588">
            <v>95</v>
          </cell>
          <cell r="BX588">
            <v>595</v>
          </cell>
          <cell r="BY588">
            <v>285</v>
          </cell>
          <cell r="BZ588">
            <v>105</v>
          </cell>
          <cell r="CA588">
            <v>25</v>
          </cell>
          <cell r="CB588">
            <v>20</v>
          </cell>
          <cell r="CC588">
            <v>20</v>
          </cell>
          <cell r="CD588">
            <v>10</v>
          </cell>
          <cell r="CE588">
            <v>0</v>
          </cell>
          <cell r="CF588">
            <v>1150</v>
          </cell>
          <cell r="CG588">
            <v>15</v>
          </cell>
          <cell r="CH588">
            <v>10</v>
          </cell>
          <cell r="CI588">
            <v>10</v>
          </cell>
          <cell r="CJ588">
            <v>245</v>
          </cell>
          <cell r="CK588">
            <v>0</v>
          </cell>
          <cell r="CL588">
            <v>855</v>
          </cell>
          <cell r="CM588">
            <v>15</v>
          </cell>
          <cell r="CN588">
            <v>0</v>
          </cell>
          <cell r="CO588">
            <v>1145</v>
          </cell>
          <cell r="CP588">
            <v>350</v>
          </cell>
          <cell r="CQ588">
            <v>340</v>
          </cell>
          <cell r="CR588">
            <v>190</v>
          </cell>
          <cell r="CS588">
            <v>220</v>
          </cell>
          <cell r="CT588">
            <v>40</v>
          </cell>
          <cell r="CU588">
            <v>2835</v>
          </cell>
          <cell r="CV588">
            <v>2.5</v>
          </cell>
          <cell r="CW588">
            <v>1145</v>
          </cell>
          <cell r="CX588">
            <v>735</v>
          </cell>
          <cell r="CY588">
            <v>40</v>
          </cell>
          <cell r="CZ588">
            <v>370</v>
          </cell>
        </row>
        <row r="589">
          <cell r="A589" t="str">
            <v>4620254.00</v>
          </cell>
          <cell r="B589" t="str">
            <v>0254.00</v>
          </cell>
          <cell r="C589" t="str">
            <v>Villeray-Saint-Michel-Parc-Extension</v>
          </cell>
          <cell r="D589">
            <v>3280</v>
          </cell>
          <cell r="E589">
            <v>1415</v>
          </cell>
          <cell r="F589">
            <v>1185</v>
          </cell>
          <cell r="G589">
            <v>100</v>
          </cell>
          <cell r="H589">
            <v>370</v>
          </cell>
          <cell r="I589">
            <v>210</v>
          </cell>
          <cell r="J589">
            <v>3280</v>
          </cell>
          <cell r="K589">
            <v>2900</v>
          </cell>
          <cell r="L589">
            <v>380</v>
          </cell>
          <cell r="M589">
            <v>995</v>
          </cell>
          <cell r="N589">
            <v>510</v>
          </cell>
          <cell r="O589">
            <v>210</v>
          </cell>
          <cell r="P589">
            <v>180</v>
          </cell>
          <cell r="Q589">
            <v>95</v>
          </cell>
          <cell r="R589">
            <v>1000</v>
          </cell>
          <cell r="S589">
            <v>745</v>
          </cell>
          <cell r="T589">
            <v>550</v>
          </cell>
          <cell r="U589">
            <v>195</v>
          </cell>
          <cell r="V589">
            <v>355</v>
          </cell>
          <cell r="W589">
            <v>125</v>
          </cell>
          <cell r="X589">
            <v>140</v>
          </cell>
          <cell r="Y589">
            <v>90</v>
          </cell>
          <cell r="Z589">
            <v>190</v>
          </cell>
          <cell r="AA589">
            <v>110</v>
          </cell>
          <cell r="AB589">
            <v>80</v>
          </cell>
          <cell r="AC589">
            <v>35</v>
          </cell>
          <cell r="AD589">
            <v>40</v>
          </cell>
          <cell r="AE589">
            <v>0</v>
          </cell>
          <cell r="AF589">
            <v>255</v>
          </cell>
          <cell r="AG589">
            <v>230</v>
          </cell>
          <cell r="AH589">
            <v>190</v>
          </cell>
          <cell r="AI589">
            <v>35</v>
          </cell>
          <cell r="AJ589">
            <v>0</v>
          </cell>
          <cell r="AK589">
            <v>20</v>
          </cell>
          <cell r="AL589">
            <v>10</v>
          </cell>
          <cell r="AM589">
            <v>10</v>
          </cell>
          <cell r="AN589">
            <v>0</v>
          </cell>
          <cell r="AO589">
            <v>1150</v>
          </cell>
          <cell r="AP589">
            <v>260</v>
          </cell>
          <cell r="AQ589">
            <v>340</v>
          </cell>
          <cell r="AR589">
            <v>140</v>
          </cell>
          <cell r="AS589">
            <v>200</v>
          </cell>
          <cell r="AT589">
            <v>215</v>
          </cell>
          <cell r="AU589">
            <v>1.2</v>
          </cell>
          <cell r="AV589">
            <v>3855</v>
          </cell>
          <cell r="AW589">
            <v>970</v>
          </cell>
          <cell r="AX589">
            <v>65</v>
          </cell>
          <cell r="AY589">
            <v>245</v>
          </cell>
          <cell r="AZ589">
            <v>655</v>
          </cell>
          <cell r="BA589">
            <v>2885</v>
          </cell>
          <cell r="BB589">
            <v>2.9</v>
          </cell>
          <cell r="BC589">
            <v>540</v>
          </cell>
          <cell r="BD589">
            <v>250</v>
          </cell>
          <cell r="BE589">
            <v>35</v>
          </cell>
          <cell r="BF589">
            <v>25</v>
          </cell>
          <cell r="BG589">
            <v>190</v>
          </cell>
          <cell r="BH589">
            <v>290</v>
          </cell>
          <cell r="BI589">
            <v>1735</v>
          </cell>
          <cell r="BJ589">
            <v>4.5999999999999996</v>
          </cell>
          <cell r="BK589">
            <v>7980.9999999999991</v>
          </cell>
          <cell r="BL589">
            <v>2</v>
          </cell>
          <cell r="BM589">
            <v>3470</v>
          </cell>
          <cell r="BN589">
            <v>1735</v>
          </cell>
          <cell r="BO589">
            <v>700</v>
          </cell>
          <cell r="BP589">
            <v>1035</v>
          </cell>
          <cell r="BQ589">
            <v>0</v>
          </cell>
          <cell r="BR589">
            <v>1735</v>
          </cell>
          <cell r="BS589">
            <v>860</v>
          </cell>
          <cell r="BT589">
            <v>685</v>
          </cell>
          <cell r="BU589">
            <v>190</v>
          </cell>
          <cell r="BV589">
            <v>1735</v>
          </cell>
          <cell r="BW589">
            <v>115</v>
          </cell>
          <cell r="BX589">
            <v>990</v>
          </cell>
          <cell r="BY589">
            <v>335</v>
          </cell>
          <cell r="BZ589">
            <v>185</v>
          </cell>
          <cell r="CA589">
            <v>40</v>
          </cell>
          <cell r="CB589">
            <v>30</v>
          </cell>
          <cell r="CC589">
            <v>20</v>
          </cell>
          <cell r="CD589">
            <v>15</v>
          </cell>
          <cell r="CE589">
            <v>10</v>
          </cell>
          <cell r="CF589">
            <v>1735</v>
          </cell>
          <cell r="CG589">
            <v>400</v>
          </cell>
          <cell r="CH589">
            <v>80</v>
          </cell>
          <cell r="CI589">
            <v>0</v>
          </cell>
          <cell r="CJ589">
            <v>75</v>
          </cell>
          <cell r="CK589">
            <v>0</v>
          </cell>
          <cell r="CL589">
            <v>1175</v>
          </cell>
          <cell r="CM589">
            <v>10</v>
          </cell>
          <cell r="CN589">
            <v>0</v>
          </cell>
          <cell r="CO589">
            <v>1735</v>
          </cell>
          <cell r="CP589">
            <v>655</v>
          </cell>
          <cell r="CQ589">
            <v>520</v>
          </cell>
          <cell r="CR589">
            <v>255</v>
          </cell>
          <cell r="CS589">
            <v>265</v>
          </cell>
          <cell r="CT589">
            <v>40</v>
          </cell>
          <cell r="CU589">
            <v>3855</v>
          </cell>
          <cell r="CV589">
            <v>2.2000000000000002</v>
          </cell>
          <cell r="CW589">
            <v>1735</v>
          </cell>
          <cell r="CX589">
            <v>950</v>
          </cell>
          <cell r="CY589">
            <v>25</v>
          </cell>
          <cell r="CZ589">
            <v>760</v>
          </cell>
        </row>
        <row r="590">
          <cell r="A590" t="str">
            <v>4620256.00</v>
          </cell>
          <cell r="B590" t="str">
            <v>0256.00</v>
          </cell>
          <cell r="C590" t="str">
            <v>Villeray-Saint-Michel-Parc-Extension</v>
          </cell>
          <cell r="D590">
            <v>3020</v>
          </cell>
          <cell r="E590">
            <v>1205</v>
          </cell>
          <cell r="F590">
            <v>1245</v>
          </cell>
          <cell r="G590">
            <v>130</v>
          </cell>
          <cell r="H590">
            <v>280</v>
          </cell>
          <cell r="I590">
            <v>160</v>
          </cell>
          <cell r="J590">
            <v>3020</v>
          </cell>
          <cell r="K590">
            <v>2855</v>
          </cell>
          <cell r="L590">
            <v>165</v>
          </cell>
          <cell r="M590">
            <v>975</v>
          </cell>
          <cell r="N590">
            <v>415</v>
          </cell>
          <cell r="O590">
            <v>220</v>
          </cell>
          <cell r="P590">
            <v>195</v>
          </cell>
          <cell r="Q590">
            <v>150</v>
          </cell>
          <cell r="R590">
            <v>975</v>
          </cell>
          <cell r="S590">
            <v>655</v>
          </cell>
          <cell r="T590">
            <v>590</v>
          </cell>
          <cell r="U590">
            <v>225</v>
          </cell>
          <cell r="V590">
            <v>365</v>
          </cell>
          <cell r="W590">
            <v>120</v>
          </cell>
          <cell r="X590">
            <v>135</v>
          </cell>
          <cell r="Y590">
            <v>110</v>
          </cell>
          <cell r="Z590">
            <v>70</v>
          </cell>
          <cell r="AA590">
            <v>25</v>
          </cell>
          <cell r="AB590">
            <v>45</v>
          </cell>
          <cell r="AC590">
            <v>0</v>
          </cell>
          <cell r="AD590">
            <v>0</v>
          </cell>
          <cell r="AE590">
            <v>35</v>
          </cell>
          <cell r="AF590">
            <v>320</v>
          </cell>
          <cell r="AG590">
            <v>270</v>
          </cell>
          <cell r="AH590">
            <v>140</v>
          </cell>
          <cell r="AI590">
            <v>70</v>
          </cell>
          <cell r="AJ590">
            <v>60</v>
          </cell>
          <cell r="AK590">
            <v>45</v>
          </cell>
          <cell r="AL590">
            <v>30</v>
          </cell>
          <cell r="AM590">
            <v>15</v>
          </cell>
          <cell r="AN590">
            <v>0</v>
          </cell>
          <cell r="AO590">
            <v>1445</v>
          </cell>
          <cell r="AP590">
            <v>275</v>
          </cell>
          <cell r="AQ590">
            <v>535</v>
          </cell>
          <cell r="AR590">
            <v>135</v>
          </cell>
          <cell r="AS590">
            <v>315</v>
          </cell>
          <cell r="AT590">
            <v>185</v>
          </cell>
          <cell r="AU590">
            <v>1.5</v>
          </cell>
          <cell r="AV590">
            <v>3815</v>
          </cell>
          <cell r="AW590">
            <v>730</v>
          </cell>
          <cell r="AX590">
            <v>210</v>
          </cell>
          <cell r="AY590">
            <v>140</v>
          </cell>
          <cell r="AZ590">
            <v>385</v>
          </cell>
          <cell r="BA590">
            <v>3085</v>
          </cell>
          <cell r="BB590">
            <v>3.2</v>
          </cell>
          <cell r="BC590">
            <v>420</v>
          </cell>
          <cell r="BD590">
            <v>145</v>
          </cell>
          <cell r="BE590">
            <v>45</v>
          </cell>
          <cell r="BF590">
            <v>0</v>
          </cell>
          <cell r="BG590">
            <v>95</v>
          </cell>
          <cell r="BH590">
            <v>285</v>
          </cell>
          <cell r="BI590">
            <v>1430</v>
          </cell>
          <cell r="BJ590">
            <v>4.7</v>
          </cell>
          <cell r="BK590">
            <v>6721</v>
          </cell>
          <cell r="BL590">
            <v>2.2999999999999998</v>
          </cell>
          <cell r="BM590">
            <v>3288.9999999999995</v>
          </cell>
          <cell r="BN590">
            <v>1430</v>
          </cell>
          <cell r="BO590">
            <v>475</v>
          </cell>
          <cell r="BP590">
            <v>950</v>
          </cell>
          <cell r="BQ590">
            <v>0</v>
          </cell>
          <cell r="BR590">
            <v>1430</v>
          </cell>
          <cell r="BS590">
            <v>740</v>
          </cell>
          <cell r="BT590">
            <v>490</v>
          </cell>
          <cell r="BU590">
            <v>200</v>
          </cell>
          <cell r="BV590">
            <v>1430</v>
          </cell>
          <cell r="BW590">
            <v>145</v>
          </cell>
          <cell r="BX590">
            <v>565</v>
          </cell>
          <cell r="BY590">
            <v>465</v>
          </cell>
          <cell r="BZ590">
            <v>70</v>
          </cell>
          <cell r="CA590">
            <v>50</v>
          </cell>
          <cell r="CB590">
            <v>60</v>
          </cell>
          <cell r="CC590">
            <v>45</v>
          </cell>
          <cell r="CD590">
            <v>10</v>
          </cell>
          <cell r="CE590">
            <v>20</v>
          </cell>
          <cell r="CF590">
            <v>1430</v>
          </cell>
          <cell r="CG590">
            <v>30</v>
          </cell>
          <cell r="CH590">
            <v>10</v>
          </cell>
          <cell r="CI590">
            <v>35</v>
          </cell>
          <cell r="CJ590">
            <v>520</v>
          </cell>
          <cell r="CK590">
            <v>5</v>
          </cell>
          <cell r="CL590">
            <v>790</v>
          </cell>
          <cell r="CM590">
            <v>50</v>
          </cell>
          <cell r="CN590">
            <v>0</v>
          </cell>
          <cell r="CO590">
            <v>1430</v>
          </cell>
          <cell r="CP590">
            <v>385</v>
          </cell>
          <cell r="CQ590">
            <v>395</v>
          </cell>
          <cell r="CR590">
            <v>255</v>
          </cell>
          <cell r="CS590">
            <v>330</v>
          </cell>
          <cell r="CT590">
            <v>65</v>
          </cell>
          <cell r="CU590">
            <v>3815</v>
          </cell>
          <cell r="CV590">
            <v>2.7</v>
          </cell>
          <cell r="CW590">
            <v>1430</v>
          </cell>
          <cell r="CX590">
            <v>950</v>
          </cell>
          <cell r="CY590">
            <v>15</v>
          </cell>
          <cell r="CZ590">
            <v>465</v>
          </cell>
        </row>
        <row r="591">
          <cell r="A591" t="str">
            <v>4620257.00</v>
          </cell>
          <cell r="B591" t="str">
            <v>0257.00</v>
          </cell>
          <cell r="C591" t="str">
            <v>Villeray-Saint-Michel-Parc-Extension</v>
          </cell>
          <cell r="D591">
            <v>3615</v>
          </cell>
          <cell r="E591">
            <v>1345</v>
          </cell>
          <cell r="F591">
            <v>1560</v>
          </cell>
          <cell r="G591">
            <v>115</v>
          </cell>
          <cell r="H591">
            <v>325</v>
          </cell>
          <cell r="I591">
            <v>270</v>
          </cell>
          <cell r="J591">
            <v>3615</v>
          </cell>
          <cell r="K591">
            <v>3385</v>
          </cell>
          <cell r="L591">
            <v>230</v>
          </cell>
          <cell r="M591">
            <v>1285</v>
          </cell>
          <cell r="N591">
            <v>560</v>
          </cell>
          <cell r="O591">
            <v>310</v>
          </cell>
          <cell r="P591">
            <v>250</v>
          </cell>
          <cell r="Q591">
            <v>165</v>
          </cell>
          <cell r="R591">
            <v>1285</v>
          </cell>
          <cell r="S591">
            <v>895</v>
          </cell>
          <cell r="T591">
            <v>765</v>
          </cell>
          <cell r="U591">
            <v>250</v>
          </cell>
          <cell r="V591">
            <v>515</v>
          </cell>
          <cell r="W591">
            <v>185</v>
          </cell>
          <cell r="X591">
            <v>195</v>
          </cell>
          <cell r="Y591">
            <v>140</v>
          </cell>
          <cell r="Z591">
            <v>130</v>
          </cell>
          <cell r="AA591">
            <v>70</v>
          </cell>
          <cell r="AB591">
            <v>60</v>
          </cell>
          <cell r="AC591">
            <v>15</v>
          </cell>
          <cell r="AD591">
            <v>20</v>
          </cell>
          <cell r="AE591">
            <v>20</v>
          </cell>
          <cell r="AF591">
            <v>390</v>
          </cell>
          <cell r="AG591">
            <v>340</v>
          </cell>
          <cell r="AH591">
            <v>210</v>
          </cell>
          <cell r="AI591">
            <v>90</v>
          </cell>
          <cell r="AJ591">
            <v>35</v>
          </cell>
          <cell r="AK591">
            <v>50</v>
          </cell>
          <cell r="AL591">
            <v>35</v>
          </cell>
          <cell r="AM591">
            <v>15</v>
          </cell>
          <cell r="AN591">
            <v>0</v>
          </cell>
          <cell r="AO591">
            <v>1755</v>
          </cell>
          <cell r="AP591">
            <v>375</v>
          </cell>
          <cell r="AQ591">
            <v>585</v>
          </cell>
          <cell r="AR591">
            <v>175</v>
          </cell>
          <cell r="AS591">
            <v>350</v>
          </cell>
          <cell r="AT591">
            <v>265</v>
          </cell>
          <cell r="AU591">
            <v>1.4</v>
          </cell>
          <cell r="AV591">
            <v>4590</v>
          </cell>
          <cell r="AW591">
            <v>655</v>
          </cell>
          <cell r="AX591">
            <v>130</v>
          </cell>
          <cell r="AY591">
            <v>110</v>
          </cell>
          <cell r="AZ591">
            <v>415</v>
          </cell>
          <cell r="BA591">
            <v>3935</v>
          </cell>
          <cell r="BB591">
            <v>3.1</v>
          </cell>
          <cell r="BC591">
            <v>690</v>
          </cell>
          <cell r="BD591">
            <v>265</v>
          </cell>
          <cell r="BE591">
            <v>50</v>
          </cell>
          <cell r="BF591">
            <v>10</v>
          </cell>
          <cell r="BG591">
            <v>205</v>
          </cell>
          <cell r="BH591">
            <v>425</v>
          </cell>
          <cell r="BI591">
            <v>1675</v>
          </cell>
          <cell r="BJ591">
            <v>4.7</v>
          </cell>
          <cell r="BK591">
            <v>7872.5</v>
          </cell>
          <cell r="BL591">
            <v>2.4</v>
          </cell>
          <cell r="BM591">
            <v>4020</v>
          </cell>
          <cell r="BN591">
            <v>1670</v>
          </cell>
          <cell r="BO591">
            <v>495</v>
          </cell>
          <cell r="BP591">
            <v>1180</v>
          </cell>
          <cell r="BQ591">
            <v>0</v>
          </cell>
          <cell r="BR591">
            <v>1675</v>
          </cell>
          <cell r="BS591">
            <v>1030</v>
          </cell>
          <cell r="BT591">
            <v>550</v>
          </cell>
          <cell r="BU591">
            <v>95</v>
          </cell>
          <cell r="BV591">
            <v>1670</v>
          </cell>
          <cell r="BW591">
            <v>35</v>
          </cell>
          <cell r="BX591">
            <v>450</v>
          </cell>
          <cell r="BY591">
            <v>800</v>
          </cell>
          <cell r="BZ591">
            <v>200</v>
          </cell>
          <cell r="CA591">
            <v>90</v>
          </cell>
          <cell r="CB591">
            <v>45</v>
          </cell>
          <cell r="CC591">
            <v>10</v>
          </cell>
          <cell r="CD591">
            <v>15</v>
          </cell>
          <cell r="CE591">
            <v>20</v>
          </cell>
          <cell r="CF591">
            <v>1670</v>
          </cell>
          <cell r="CG591">
            <v>0</v>
          </cell>
          <cell r="CH591">
            <v>5</v>
          </cell>
          <cell r="CI591">
            <v>5</v>
          </cell>
          <cell r="CJ591">
            <v>725</v>
          </cell>
          <cell r="CK591">
            <v>5</v>
          </cell>
          <cell r="CL591">
            <v>935</v>
          </cell>
          <cell r="CM591">
            <v>0</v>
          </cell>
          <cell r="CN591">
            <v>0</v>
          </cell>
          <cell r="CO591">
            <v>1675</v>
          </cell>
          <cell r="CP591">
            <v>415</v>
          </cell>
          <cell r="CQ591">
            <v>455</v>
          </cell>
          <cell r="CR591">
            <v>305</v>
          </cell>
          <cell r="CS591">
            <v>415</v>
          </cell>
          <cell r="CT591">
            <v>80</v>
          </cell>
          <cell r="CU591">
            <v>4590</v>
          </cell>
          <cell r="CV591">
            <v>2.7</v>
          </cell>
          <cell r="CW591">
            <v>1675</v>
          </cell>
          <cell r="CX591">
            <v>1155</v>
          </cell>
          <cell r="CY591">
            <v>65</v>
          </cell>
          <cell r="CZ591">
            <v>455</v>
          </cell>
        </row>
        <row r="592">
          <cell r="A592" t="str">
            <v>4620258.00</v>
          </cell>
          <cell r="B592" t="str">
            <v>0258.00</v>
          </cell>
          <cell r="C592" t="str">
            <v>Villeray-Saint-Michel-Parc-Extension</v>
          </cell>
          <cell r="D592">
            <v>3635</v>
          </cell>
          <cell r="E592">
            <v>1665</v>
          </cell>
          <cell r="F592">
            <v>1315</v>
          </cell>
          <cell r="G592">
            <v>145</v>
          </cell>
          <cell r="H592">
            <v>365</v>
          </cell>
          <cell r="I592">
            <v>155</v>
          </cell>
          <cell r="J592">
            <v>3635</v>
          </cell>
          <cell r="K592">
            <v>3300</v>
          </cell>
          <cell r="L592">
            <v>340</v>
          </cell>
          <cell r="M592">
            <v>1310</v>
          </cell>
          <cell r="N592">
            <v>475</v>
          </cell>
          <cell r="O592">
            <v>355</v>
          </cell>
          <cell r="P592">
            <v>295</v>
          </cell>
          <cell r="Q592">
            <v>185</v>
          </cell>
          <cell r="R592">
            <v>1310</v>
          </cell>
          <cell r="S592">
            <v>810</v>
          </cell>
          <cell r="T592">
            <v>640</v>
          </cell>
          <cell r="U592">
            <v>190</v>
          </cell>
          <cell r="V592">
            <v>450</v>
          </cell>
          <cell r="W592">
            <v>145</v>
          </cell>
          <cell r="X592">
            <v>190</v>
          </cell>
          <cell r="Y592">
            <v>120</v>
          </cell>
          <cell r="Z592">
            <v>170</v>
          </cell>
          <cell r="AA592">
            <v>75</v>
          </cell>
          <cell r="AB592">
            <v>95</v>
          </cell>
          <cell r="AC592">
            <v>45</v>
          </cell>
          <cell r="AD592">
            <v>30</v>
          </cell>
          <cell r="AE592">
            <v>20</v>
          </cell>
          <cell r="AF592">
            <v>495</v>
          </cell>
          <cell r="AG592">
            <v>455</v>
          </cell>
          <cell r="AH592">
            <v>175</v>
          </cell>
          <cell r="AI592">
            <v>160</v>
          </cell>
          <cell r="AJ592">
            <v>120</v>
          </cell>
          <cell r="AK592">
            <v>35</v>
          </cell>
          <cell r="AL592">
            <v>25</v>
          </cell>
          <cell r="AM592">
            <v>0</v>
          </cell>
          <cell r="AN592">
            <v>0</v>
          </cell>
          <cell r="AO592">
            <v>2125</v>
          </cell>
          <cell r="AP592">
            <v>535</v>
          </cell>
          <cell r="AQ592">
            <v>720</v>
          </cell>
          <cell r="AR592">
            <v>220</v>
          </cell>
          <cell r="AS592">
            <v>425</v>
          </cell>
          <cell r="AT592">
            <v>220</v>
          </cell>
          <cell r="AU592">
            <v>1.6</v>
          </cell>
          <cell r="AV592">
            <v>4915</v>
          </cell>
          <cell r="AW592">
            <v>665</v>
          </cell>
          <cell r="AX592">
            <v>115</v>
          </cell>
          <cell r="AY592">
            <v>195</v>
          </cell>
          <cell r="AZ592">
            <v>350</v>
          </cell>
          <cell r="BA592">
            <v>4245</v>
          </cell>
          <cell r="BB592">
            <v>3.2</v>
          </cell>
          <cell r="BC592">
            <v>360</v>
          </cell>
          <cell r="BD592">
            <v>100</v>
          </cell>
          <cell r="BE592">
            <v>0</v>
          </cell>
          <cell r="BF592">
            <v>35</v>
          </cell>
          <cell r="BG592">
            <v>55</v>
          </cell>
          <cell r="BH592">
            <v>260</v>
          </cell>
          <cell r="BI592">
            <v>1735</v>
          </cell>
          <cell r="BJ592">
            <v>4.9000000000000004</v>
          </cell>
          <cell r="BK592">
            <v>8501.5</v>
          </cell>
          <cell r="BL592">
            <v>2.4</v>
          </cell>
          <cell r="BM592">
            <v>4164</v>
          </cell>
          <cell r="BN592">
            <v>1735</v>
          </cell>
          <cell r="BO592">
            <v>350</v>
          </cell>
          <cell r="BP592">
            <v>1385</v>
          </cell>
          <cell r="BQ592">
            <v>0</v>
          </cell>
          <cell r="BR592">
            <v>1735</v>
          </cell>
          <cell r="BS592">
            <v>1010</v>
          </cell>
          <cell r="BT592">
            <v>465</v>
          </cell>
          <cell r="BU592">
            <v>265</v>
          </cell>
          <cell r="BV592">
            <v>1735</v>
          </cell>
          <cell r="BW592">
            <v>175</v>
          </cell>
          <cell r="BX592">
            <v>675</v>
          </cell>
          <cell r="BY592">
            <v>500</v>
          </cell>
          <cell r="BZ592">
            <v>215</v>
          </cell>
          <cell r="CA592">
            <v>95</v>
          </cell>
          <cell r="CB592">
            <v>45</v>
          </cell>
          <cell r="CC592">
            <v>0</v>
          </cell>
          <cell r="CD592">
            <v>10</v>
          </cell>
          <cell r="CE592">
            <v>0</v>
          </cell>
          <cell r="CF592">
            <v>1735</v>
          </cell>
          <cell r="CG592">
            <v>200</v>
          </cell>
          <cell r="CH592">
            <v>20</v>
          </cell>
          <cell r="CI592">
            <v>10</v>
          </cell>
          <cell r="CJ592">
            <v>150</v>
          </cell>
          <cell r="CK592">
            <v>5</v>
          </cell>
          <cell r="CL592">
            <v>1350</v>
          </cell>
          <cell r="CM592">
            <v>10</v>
          </cell>
          <cell r="CN592">
            <v>0</v>
          </cell>
          <cell r="CO592">
            <v>1740</v>
          </cell>
          <cell r="CP592">
            <v>350</v>
          </cell>
          <cell r="CQ592">
            <v>515</v>
          </cell>
          <cell r="CR592">
            <v>365</v>
          </cell>
          <cell r="CS592">
            <v>415</v>
          </cell>
          <cell r="CT592">
            <v>100</v>
          </cell>
          <cell r="CU592">
            <v>4915</v>
          </cell>
          <cell r="CV592">
            <v>2.8</v>
          </cell>
          <cell r="CW592">
            <v>1735</v>
          </cell>
          <cell r="CX592">
            <v>1265</v>
          </cell>
          <cell r="CY592">
            <v>20</v>
          </cell>
          <cell r="CZ592">
            <v>450</v>
          </cell>
        </row>
        <row r="593">
          <cell r="A593" t="str">
            <v>4620259.00</v>
          </cell>
          <cell r="B593" t="str">
            <v>0259.00</v>
          </cell>
          <cell r="C593" t="str">
            <v>Villeray-Saint-Michel-Parc-Extension</v>
          </cell>
          <cell r="D593">
            <v>4755</v>
          </cell>
          <cell r="E593">
            <v>1990</v>
          </cell>
          <cell r="F593">
            <v>1810</v>
          </cell>
          <cell r="G593">
            <v>195</v>
          </cell>
          <cell r="H593">
            <v>520</v>
          </cell>
          <cell r="I593">
            <v>235</v>
          </cell>
          <cell r="J593">
            <v>4755</v>
          </cell>
          <cell r="K593">
            <v>4345</v>
          </cell>
          <cell r="L593">
            <v>410</v>
          </cell>
          <cell r="M593">
            <v>1590</v>
          </cell>
          <cell r="N593">
            <v>635</v>
          </cell>
          <cell r="O593">
            <v>400</v>
          </cell>
          <cell r="P593">
            <v>370</v>
          </cell>
          <cell r="Q593">
            <v>180</v>
          </cell>
          <cell r="R593">
            <v>1590</v>
          </cell>
          <cell r="S593">
            <v>1055</v>
          </cell>
          <cell r="T593">
            <v>855</v>
          </cell>
          <cell r="U593">
            <v>235</v>
          </cell>
          <cell r="V593">
            <v>625</v>
          </cell>
          <cell r="W593">
            <v>190</v>
          </cell>
          <cell r="X593">
            <v>275</v>
          </cell>
          <cell r="Y593">
            <v>160</v>
          </cell>
          <cell r="Z593">
            <v>195</v>
          </cell>
          <cell r="AA593">
            <v>95</v>
          </cell>
          <cell r="AB593">
            <v>95</v>
          </cell>
          <cell r="AC593">
            <v>45</v>
          </cell>
          <cell r="AD593">
            <v>35</v>
          </cell>
          <cell r="AE593">
            <v>15</v>
          </cell>
          <cell r="AF593">
            <v>540</v>
          </cell>
          <cell r="AG593">
            <v>460</v>
          </cell>
          <cell r="AH593">
            <v>265</v>
          </cell>
          <cell r="AI593">
            <v>130</v>
          </cell>
          <cell r="AJ593">
            <v>65</v>
          </cell>
          <cell r="AK593">
            <v>80</v>
          </cell>
          <cell r="AL593">
            <v>40</v>
          </cell>
          <cell r="AM593">
            <v>35</v>
          </cell>
          <cell r="AN593">
            <v>10</v>
          </cell>
          <cell r="AO593">
            <v>2300</v>
          </cell>
          <cell r="AP593">
            <v>655</v>
          </cell>
          <cell r="AQ593">
            <v>795</v>
          </cell>
          <cell r="AR593">
            <v>190</v>
          </cell>
          <cell r="AS593">
            <v>435</v>
          </cell>
          <cell r="AT593">
            <v>225</v>
          </cell>
          <cell r="AU593">
            <v>1.4</v>
          </cell>
          <cell r="AV593">
            <v>6180</v>
          </cell>
          <cell r="AW593">
            <v>1235</v>
          </cell>
          <cell r="AX593">
            <v>245</v>
          </cell>
          <cell r="AY593">
            <v>385</v>
          </cell>
          <cell r="AZ593">
            <v>600</v>
          </cell>
          <cell r="BA593">
            <v>4945</v>
          </cell>
          <cell r="BB593">
            <v>3.1</v>
          </cell>
          <cell r="BC593">
            <v>565</v>
          </cell>
          <cell r="BD593">
            <v>250</v>
          </cell>
          <cell r="BE593">
            <v>60</v>
          </cell>
          <cell r="BF593">
            <v>30</v>
          </cell>
          <cell r="BG593">
            <v>160</v>
          </cell>
          <cell r="BH593">
            <v>315</v>
          </cell>
          <cell r="BI593">
            <v>2360</v>
          </cell>
          <cell r="BJ593">
            <v>4.5</v>
          </cell>
          <cell r="BK593">
            <v>10620</v>
          </cell>
          <cell r="BL593">
            <v>2.2000000000000002</v>
          </cell>
          <cell r="BM593">
            <v>5192</v>
          </cell>
          <cell r="BN593">
            <v>2360</v>
          </cell>
          <cell r="BO593">
            <v>455</v>
          </cell>
          <cell r="BP593">
            <v>1910</v>
          </cell>
          <cell r="BQ593">
            <v>0</v>
          </cell>
          <cell r="BR593">
            <v>2360</v>
          </cell>
          <cell r="BS593">
            <v>1295</v>
          </cell>
          <cell r="BT593">
            <v>770</v>
          </cell>
          <cell r="BU593">
            <v>290</v>
          </cell>
          <cell r="BV593">
            <v>2360</v>
          </cell>
          <cell r="BW593">
            <v>105</v>
          </cell>
          <cell r="BX593">
            <v>860</v>
          </cell>
          <cell r="BY593">
            <v>805</v>
          </cell>
          <cell r="BZ593">
            <v>270</v>
          </cell>
          <cell r="CA593">
            <v>150</v>
          </cell>
          <cell r="CB593">
            <v>55</v>
          </cell>
          <cell r="CC593">
            <v>70</v>
          </cell>
          <cell r="CD593">
            <v>40</v>
          </cell>
          <cell r="CE593">
            <v>0</v>
          </cell>
          <cell r="CF593">
            <v>2360</v>
          </cell>
          <cell r="CG593">
            <v>10</v>
          </cell>
          <cell r="CH593">
            <v>5</v>
          </cell>
          <cell r="CI593">
            <v>0</v>
          </cell>
          <cell r="CJ593">
            <v>315</v>
          </cell>
          <cell r="CK593">
            <v>5</v>
          </cell>
          <cell r="CL593">
            <v>2030</v>
          </cell>
          <cell r="CM593">
            <v>5</v>
          </cell>
          <cell r="CN593">
            <v>0</v>
          </cell>
          <cell r="CO593">
            <v>2360</v>
          </cell>
          <cell r="CP593">
            <v>605</v>
          </cell>
          <cell r="CQ593">
            <v>685</v>
          </cell>
          <cell r="CR593">
            <v>450</v>
          </cell>
          <cell r="CS593">
            <v>535</v>
          </cell>
          <cell r="CT593">
            <v>85</v>
          </cell>
          <cell r="CU593">
            <v>6180</v>
          </cell>
          <cell r="CV593">
            <v>2.6</v>
          </cell>
          <cell r="CW593">
            <v>2360</v>
          </cell>
          <cell r="CX593">
            <v>1510</v>
          </cell>
          <cell r="CY593">
            <v>45</v>
          </cell>
          <cell r="CZ593">
            <v>810</v>
          </cell>
        </row>
        <row r="594">
          <cell r="A594" t="str">
            <v>4620260.00</v>
          </cell>
          <cell r="B594" t="str">
            <v>0260.00</v>
          </cell>
          <cell r="C594" t="str">
            <v>Villeray-Saint-Michel-Parc-Extension</v>
          </cell>
          <cell r="D594">
            <v>1800</v>
          </cell>
          <cell r="E594">
            <v>780</v>
          </cell>
          <cell r="F594">
            <v>720</v>
          </cell>
          <cell r="G594">
            <v>60</v>
          </cell>
          <cell r="H594">
            <v>145</v>
          </cell>
          <cell r="I594">
            <v>100</v>
          </cell>
          <cell r="J594">
            <v>1800</v>
          </cell>
          <cell r="K594">
            <v>1645</v>
          </cell>
          <cell r="L594">
            <v>160</v>
          </cell>
          <cell r="M594">
            <v>605</v>
          </cell>
          <cell r="N594">
            <v>245</v>
          </cell>
          <cell r="O594">
            <v>175</v>
          </cell>
          <cell r="P594">
            <v>95</v>
          </cell>
          <cell r="Q594">
            <v>85</v>
          </cell>
          <cell r="R594">
            <v>605</v>
          </cell>
          <cell r="S594">
            <v>425</v>
          </cell>
          <cell r="T594">
            <v>340</v>
          </cell>
          <cell r="U594">
            <v>105</v>
          </cell>
          <cell r="V594">
            <v>235</v>
          </cell>
          <cell r="W594">
            <v>80</v>
          </cell>
          <cell r="X594">
            <v>80</v>
          </cell>
          <cell r="Y594">
            <v>75</v>
          </cell>
          <cell r="Z594">
            <v>85</v>
          </cell>
          <cell r="AA594">
            <v>50</v>
          </cell>
          <cell r="AB594">
            <v>35</v>
          </cell>
          <cell r="AC594">
            <v>25</v>
          </cell>
          <cell r="AD594">
            <v>10</v>
          </cell>
          <cell r="AE594">
            <v>10</v>
          </cell>
          <cell r="AF594">
            <v>180</v>
          </cell>
          <cell r="AG594">
            <v>170</v>
          </cell>
          <cell r="AH594">
            <v>90</v>
          </cell>
          <cell r="AI594">
            <v>65</v>
          </cell>
          <cell r="AJ594">
            <v>15</v>
          </cell>
          <cell r="AK594">
            <v>10</v>
          </cell>
          <cell r="AL594">
            <v>10</v>
          </cell>
          <cell r="AM594">
            <v>0</v>
          </cell>
          <cell r="AN594">
            <v>0</v>
          </cell>
          <cell r="AO594">
            <v>820</v>
          </cell>
          <cell r="AP594">
            <v>210</v>
          </cell>
          <cell r="AQ594">
            <v>185</v>
          </cell>
          <cell r="AR594">
            <v>80</v>
          </cell>
          <cell r="AS594">
            <v>195</v>
          </cell>
          <cell r="AT594">
            <v>155</v>
          </cell>
          <cell r="AU594">
            <v>1.4</v>
          </cell>
          <cell r="AV594">
            <v>2220</v>
          </cell>
          <cell r="AW594">
            <v>370</v>
          </cell>
          <cell r="AX594">
            <v>75</v>
          </cell>
          <cell r="AY594">
            <v>85</v>
          </cell>
          <cell r="AZ594">
            <v>210</v>
          </cell>
          <cell r="BA594">
            <v>1850</v>
          </cell>
          <cell r="BB594">
            <v>3.1</v>
          </cell>
          <cell r="BC594">
            <v>205</v>
          </cell>
          <cell r="BD594">
            <v>110</v>
          </cell>
          <cell r="BE594">
            <v>35</v>
          </cell>
          <cell r="BF594">
            <v>0</v>
          </cell>
          <cell r="BG594">
            <v>75</v>
          </cell>
          <cell r="BH594">
            <v>95</v>
          </cell>
          <cell r="BI594">
            <v>855</v>
          </cell>
          <cell r="BJ594">
            <v>4.7</v>
          </cell>
          <cell r="BK594">
            <v>4018.5</v>
          </cell>
          <cell r="BL594">
            <v>2.4</v>
          </cell>
          <cell r="BM594">
            <v>2052</v>
          </cell>
          <cell r="BN594">
            <v>855</v>
          </cell>
          <cell r="BO594">
            <v>280</v>
          </cell>
          <cell r="BP594">
            <v>575</v>
          </cell>
          <cell r="BQ594">
            <v>0</v>
          </cell>
          <cell r="BR594">
            <v>855</v>
          </cell>
          <cell r="BS594">
            <v>430</v>
          </cell>
          <cell r="BT594">
            <v>285</v>
          </cell>
          <cell r="BU594">
            <v>140</v>
          </cell>
          <cell r="BV594">
            <v>855</v>
          </cell>
          <cell r="BW594">
            <v>50</v>
          </cell>
          <cell r="BX594">
            <v>350</v>
          </cell>
          <cell r="BY594">
            <v>295</v>
          </cell>
          <cell r="BZ594">
            <v>125</v>
          </cell>
          <cell r="CA594">
            <v>15</v>
          </cell>
          <cell r="CB594">
            <v>15</v>
          </cell>
          <cell r="CC594">
            <v>10</v>
          </cell>
          <cell r="CD594">
            <v>0</v>
          </cell>
          <cell r="CE594">
            <v>0</v>
          </cell>
          <cell r="CF594">
            <v>860</v>
          </cell>
          <cell r="CG594">
            <v>70</v>
          </cell>
          <cell r="CH594">
            <v>5</v>
          </cell>
          <cell r="CI594">
            <v>0</v>
          </cell>
          <cell r="CJ594">
            <v>240</v>
          </cell>
          <cell r="CK594">
            <v>0</v>
          </cell>
          <cell r="CL594">
            <v>530</v>
          </cell>
          <cell r="CM594">
            <v>5</v>
          </cell>
          <cell r="CN594">
            <v>0</v>
          </cell>
          <cell r="CO594">
            <v>855</v>
          </cell>
          <cell r="CP594">
            <v>210</v>
          </cell>
          <cell r="CQ594">
            <v>245</v>
          </cell>
          <cell r="CR594">
            <v>185</v>
          </cell>
          <cell r="CS594">
            <v>190</v>
          </cell>
          <cell r="CT594">
            <v>25</v>
          </cell>
          <cell r="CU594">
            <v>2235</v>
          </cell>
          <cell r="CV594">
            <v>2.6</v>
          </cell>
          <cell r="CW594">
            <v>855</v>
          </cell>
          <cell r="CX594">
            <v>595</v>
          </cell>
          <cell r="CY594">
            <v>10</v>
          </cell>
          <cell r="CZ594">
            <v>260</v>
          </cell>
        </row>
        <row r="595">
          <cell r="A595" t="str">
            <v>4620261.00</v>
          </cell>
          <cell r="B595" t="str">
            <v>0261.00</v>
          </cell>
          <cell r="C595" t="str">
            <v>Villeray-Saint-Michel-Parc-Extension</v>
          </cell>
          <cell r="D595">
            <v>2275</v>
          </cell>
          <cell r="E595">
            <v>865</v>
          </cell>
          <cell r="F595">
            <v>965</v>
          </cell>
          <cell r="G595">
            <v>80</v>
          </cell>
          <cell r="H595">
            <v>220</v>
          </cell>
          <cell r="I595">
            <v>145</v>
          </cell>
          <cell r="J595">
            <v>2280</v>
          </cell>
          <cell r="K595">
            <v>2080</v>
          </cell>
          <cell r="L595">
            <v>195</v>
          </cell>
          <cell r="M595">
            <v>775</v>
          </cell>
          <cell r="N595">
            <v>290</v>
          </cell>
          <cell r="O595">
            <v>200</v>
          </cell>
          <cell r="P595">
            <v>200</v>
          </cell>
          <cell r="Q595">
            <v>85</v>
          </cell>
          <cell r="R595">
            <v>775</v>
          </cell>
          <cell r="S595">
            <v>570</v>
          </cell>
          <cell r="T595">
            <v>470</v>
          </cell>
          <cell r="U595">
            <v>115</v>
          </cell>
          <cell r="V595">
            <v>355</v>
          </cell>
          <cell r="W595">
            <v>105</v>
          </cell>
          <cell r="X595">
            <v>185</v>
          </cell>
          <cell r="Y595">
            <v>70</v>
          </cell>
          <cell r="Z595">
            <v>95</v>
          </cell>
          <cell r="AA595">
            <v>65</v>
          </cell>
          <cell r="AB595">
            <v>30</v>
          </cell>
          <cell r="AC595">
            <v>20</v>
          </cell>
          <cell r="AD595">
            <v>0</v>
          </cell>
          <cell r="AE595">
            <v>15</v>
          </cell>
          <cell r="AF595">
            <v>210</v>
          </cell>
          <cell r="AG595">
            <v>165</v>
          </cell>
          <cell r="AH595">
            <v>90</v>
          </cell>
          <cell r="AI595">
            <v>65</v>
          </cell>
          <cell r="AJ595">
            <v>15</v>
          </cell>
          <cell r="AK595">
            <v>40</v>
          </cell>
          <cell r="AL595">
            <v>15</v>
          </cell>
          <cell r="AM595">
            <v>15</v>
          </cell>
          <cell r="AN595">
            <v>10</v>
          </cell>
          <cell r="AO595">
            <v>1110</v>
          </cell>
          <cell r="AP595">
            <v>280</v>
          </cell>
          <cell r="AQ595">
            <v>370</v>
          </cell>
          <cell r="AR595">
            <v>100</v>
          </cell>
          <cell r="AS595">
            <v>150</v>
          </cell>
          <cell r="AT595">
            <v>210</v>
          </cell>
          <cell r="AU595">
            <v>1.4</v>
          </cell>
          <cell r="AV595">
            <v>2885</v>
          </cell>
          <cell r="AW595">
            <v>425</v>
          </cell>
          <cell r="AX595">
            <v>65</v>
          </cell>
          <cell r="AY595">
            <v>65</v>
          </cell>
          <cell r="AZ595">
            <v>300</v>
          </cell>
          <cell r="BA595">
            <v>2455</v>
          </cell>
          <cell r="BB595">
            <v>3.2</v>
          </cell>
          <cell r="BC595">
            <v>430</v>
          </cell>
          <cell r="BD595">
            <v>160</v>
          </cell>
          <cell r="BE595">
            <v>30</v>
          </cell>
          <cell r="BF595">
            <v>0</v>
          </cell>
          <cell r="BG595">
            <v>125</v>
          </cell>
          <cell r="BH595">
            <v>265</v>
          </cell>
          <cell r="BI595">
            <v>1090</v>
          </cell>
          <cell r="BJ595">
            <v>4.8</v>
          </cell>
          <cell r="BK595">
            <v>5232</v>
          </cell>
          <cell r="BL595">
            <v>2.2000000000000002</v>
          </cell>
          <cell r="BM595">
            <v>2398</v>
          </cell>
          <cell r="BN595">
            <v>1095</v>
          </cell>
          <cell r="BO595">
            <v>400</v>
          </cell>
          <cell r="BP595">
            <v>695</v>
          </cell>
          <cell r="BQ595">
            <v>0</v>
          </cell>
          <cell r="BR595">
            <v>1090</v>
          </cell>
          <cell r="BS595">
            <v>605</v>
          </cell>
          <cell r="BT595">
            <v>390</v>
          </cell>
          <cell r="BU595">
            <v>100</v>
          </cell>
          <cell r="BV595">
            <v>1095</v>
          </cell>
          <cell r="BW595">
            <v>45</v>
          </cell>
          <cell r="BX595">
            <v>570</v>
          </cell>
          <cell r="BY595">
            <v>335</v>
          </cell>
          <cell r="BZ595">
            <v>115</v>
          </cell>
          <cell r="CA595">
            <v>20</v>
          </cell>
          <cell r="CB595">
            <v>10</v>
          </cell>
          <cell r="CC595">
            <v>0</v>
          </cell>
          <cell r="CD595">
            <v>0</v>
          </cell>
          <cell r="CE595">
            <v>0</v>
          </cell>
          <cell r="CF595">
            <v>1095</v>
          </cell>
          <cell r="CG595">
            <v>30</v>
          </cell>
          <cell r="CH595">
            <v>5</v>
          </cell>
          <cell r="CI595">
            <v>0</v>
          </cell>
          <cell r="CJ595">
            <v>410</v>
          </cell>
          <cell r="CK595">
            <v>0</v>
          </cell>
          <cell r="CL595">
            <v>645</v>
          </cell>
          <cell r="CM595">
            <v>5</v>
          </cell>
          <cell r="CN595">
            <v>0</v>
          </cell>
          <cell r="CO595">
            <v>1095</v>
          </cell>
          <cell r="CP595">
            <v>295</v>
          </cell>
          <cell r="CQ595">
            <v>320</v>
          </cell>
          <cell r="CR595">
            <v>195</v>
          </cell>
          <cell r="CS595">
            <v>235</v>
          </cell>
          <cell r="CT595">
            <v>55</v>
          </cell>
          <cell r="CU595">
            <v>2870</v>
          </cell>
          <cell r="CV595">
            <v>2.6</v>
          </cell>
          <cell r="CW595">
            <v>1095</v>
          </cell>
          <cell r="CX595">
            <v>740</v>
          </cell>
          <cell r="CY595">
            <v>20</v>
          </cell>
          <cell r="CZ595">
            <v>335</v>
          </cell>
        </row>
        <row r="596">
          <cell r="A596" t="str">
            <v>4620262.00</v>
          </cell>
          <cell r="B596" t="str">
            <v>0262.00</v>
          </cell>
          <cell r="C596" t="str">
            <v>Villeray-Saint-Michel-Parc-Extension</v>
          </cell>
          <cell r="D596">
            <v>3630</v>
          </cell>
          <cell r="E596">
            <v>1310</v>
          </cell>
          <cell r="F596">
            <v>1655</v>
          </cell>
          <cell r="G596">
            <v>130</v>
          </cell>
          <cell r="H596">
            <v>300</v>
          </cell>
          <cell r="I596">
            <v>245</v>
          </cell>
          <cell r="J596">
            <v>3635</v>
          </cell>
          <cell r="K596">
            <v>3420</v>
          </cell>
          <cell r="L596">
            <v>210</v>
          </cell>
          <cell r="M596">
            <v>1325</v>
          </cell>
          <cell r="N596">
            <v>585</v>
          </cell>
          <cell r="O596">
            <v>365</v>
          </cell>
          <cell r="P596">
            <v>235</v>
          </cell>
          <cell r="Q596">
            <v>135</v>
          </cell>
          <cell r="R596">
            <v>1325</v>
          </cell>
          <cell r="S596">
            <v>925</v>
          </cell>
          <cell r="T596">
            <v>815</v>
          </cell>
          <cell r="U596">
            <v>310</v>
          </cell>
          <cell r="V596">
            <v>505</v>
          </cell>
          <cell r="W596">
            <v>200</v>
          </cell>
          <cell r="X596">
            <v>165</v>
          </cell>
          <cell r="Y596">
            <v>135</v>
          </cell>
          <cell r="Z596">
            <v>110</v>
          </cell>
          <cell r="AA596">
            <v>45</v>
          </cell>
          <cell r="AB596">
            <v>60</v>
          </cell>
          <cell r="AC596">
            <v>35</v>
          </cell>
          <cell r="AD596">
            <v>25</v>
          </cell>
          <cell r="AE596">
            <v>0</v>
          </cell>
          <cell r="AF596">
            <v>400</v>
          </cell>
          <cell r="AG596">
            <v>380</v>
          </cell>
          <cell r="AH596">
            <v>210</v>
          </cell>
          <cell r="AI596">
            <v>125</v>
          </cell>
          <cell r="AJ596">
            <v>40</v>
          </cell>
          <cell r="AK596">
            <v>25</v>
          </cell>
          <cell r="AL596">
            <v>15</v>
          </cell>
          <cell r="AM596">
            <v>10</v>
          </cell>
          <cell r="AN596">
            <v>0</v>
          </cell>
          <cell r="AO596">
            <v>1700</v>
          </cell>
          <cell r="AP596">
            <v>345</v>
          </cell>
          <cell r="AQ596">
            <v>525</v>
          </cell>
          <cell r="AR596">
            <v>180</v>
          </cell>
          <cell r="AS596">
            <v>345</v>
          </cell>
          <cell r="AT596">
            <v>305</v>
          </cell>
          <cell r="AU596">
            <v>1.3</v>
          </cell>
          <cell r="AV596">
            <v>4500</v>
          </cell>
          <cell r="AW596">
            <v>555</v>
          </cell>
          <cell r="AX596">
            <v>105</v>
          </cell>
          <cell r="AY596">
            <v>75</v>
          </cell>
          <cell r="AZ596">
            <v>375</v>
          </cell>
          <cell r="BA596">
            <v>3945</v>
          </cell>
          <cell r="BB596">
            <v>3</v>
          </cell>
          <cell r="BC596">
            <v>665</v>
          </cell>
          <cell r="BD596">
            <v>185</v>
          </cell>
          <cell r="BE596">
            <v>55</v>
          </cell>
          <cell r="BF596">
            <v>0</v>
          </cell>
          <cell r="BG596">
            <v>125</v>
          </cell>
          <cell r="BH596">
            <v>485</v>
          </cell>
          <cell r="BI596">
            <v>1675</v>
          </cell>
          <cell r="BJ596">
            <v>5</v>
          </cell>
          <cell r="BK596">
            <v>8375</v>
          </cell>
          <cell r="BL596">
            <v>2.4</v>
          </cell>
          <cell r="BM596">
            <v>4020</v>
          </cell>
          <cell r="BN596">
            <v>1675</v>
          </cell>
          <cell r="BO596">
            <v>615</v>
          </cell>
          <cell r="BP596">
            <v>1060</v>
          </cell>
          <cell r="BQ596">
            <v>0</v>
          </cell>
          <cell r="BR596">
            <v>1675</v>
          </cell>
          <cell r="BS596">
            <v>950</v>
          </cell>
          <cell r="BT596">
            <v>555</v>
          </cell>
          <cell r="BU596">
            <v>170</v>
          </cell>
          <cell r="BV596">
            <v>1675</v>
          </cell>
          <cell r="BW596">
            <v>90</v>
          </cell>
          <cell r="BX596">
            <v>730</v>
          </cell>
          <cell r="BY596">
            <v>645</v>
          </cell>
          <cell r="BZ596">
            <v>135</v>
          </cell>
          <cell r="CA596">
            <v>35</v>
          </cell>
          <cell r="CB596">
            <v>45</v>
          </cell>
          <cell r="CC596">
            <v>0</v>
          </cell>
          <cell r="CD596">
            <v>0</v>
          </cell>
          <cell r="CE596">
            <v>0</v>
          </cell>
          <cell r="CF596">
            <v>1675</v>
          </cell>
          <cell r="CG596">
            <v>5</v>
          </cell>
          <cell r="CH596">
            <v>0</v>
          </cell>
          <cell r="CI596">
            <v>10</v>
          </cell>
          <cell r="CJ596">
            <v>585</v>
          </cell>
          <cell r="CK596">
            <v>5</v>
          </cell>
          <cell r="CL596">
            <v>1040</v>
          </cell>
          <cell r="CM596">
            <v>30</v>
          </cell>
          <cell r="CN596">
            <v>0</v>
          </cell>
          <cell r="CO596">
            <v>1680</v>
          </cell>
          <cell r="CP596">
            <v>375</v>
          </cell>
          <cell r="CQ596">
            <v>515</v>
          </cell>
          <cell r="CR596">
            <v>340</v>
          </cell>
          <cell r="CS596">
            <v>365</v>
          </cell>
          <cell r="CT596">
            <v>75</v>
          </cell>
          <cell r="CU596">
            <v>4505</v>
          </cell>
          <cell r="CV596">
            <v>2.7</v>
          </cell>
          <cell r="CW596">
            <v>1675</v>
          </cell>
          <cell r="CX596">
            <v>1215</v>
          </cell>
          <cell r="CY596">
            <v>55</v>
          </cell>
          <cell r="CZ596">
            <v>405</v>
          </cell>
        </row>
        <row r="597">
          <cell r="A597" t="str">
            <v>4620263.00</v>
          </cell>
          <cell r="B597" t="str">
            <v>0263.00</v>
          </cell>
          <cell r="C597" t="str">
            <v>Villeray-Saint-Michel-Parc-Extension</v>
          </cell>
          <cell r="D597">
            <v>3325</v>
          </cell>
          <cell r="E597">
            <v>1270</v>
          </cell>
          <cell r="F597">
            <v>1330</v>
          </cell>
          <cell r="G597">
            <v>120</v>
          </cell>
          <cell r="H597">
            <v>310</v>
          </cell>
          <cell r="I597">
            <v>300</v>
          </cell>
          <cell r="J597">
            <v>3325</v>
          </cell>
          <cell r="K597">
            <v>3015</v>
          </cell>
          <cell r="L597">
            <v>310</v>
          </cell>
          <cell r="M597">
            <v>1075</v>
          </cell>
          <cell r="N597">
            <v>505</v>
          </cell>
          <cell r="O597">
            <v>240</v>
          </cell>
          <cell r="P597">
            <v>205</v>
          </cell>
          <cell r="Q597">
            <v>120</v>
          </cell>
          <cell r="R597">
            <v>1075</v>
          </cell>
          <cell r="S597">
            <v>795</v>
          </cell>
          <cell r="T597">
            <v>650</v>
          </cell>
          <cell r="U597">
            <v>235</v>
          </cell>
          <cell r="V597">
            <v>415</v>
          </cell>
          <cell r="W597">
            <v>145</v>
          </cell>
          <cell r="X597">
            <v>175</v>
          </cell>
          <cell r="Y597">
            <v>95</v>
          </cell>
          <cell r="Z597">
            <v>150</v>
          </cell>
          <cell r="AA597">
            <v>85</v>
          </cell>
          <cell r="AB597">
            <v>65</v>
          </cell>
          <cell r="AC597">
            <v>40</v>
          </cell>
          <cell r="AD597">
            <v>10</v>
          </cell>
          <cell r="AE597">
            <v>15</v>
          </cell>
          <cell r="AF597">
            <v>280</v>
          </cell>
          <cell r="AG597">
            <v>240</v>
          </cell>
          <cell r="AH597">
            <v>160</v>
          </cell>
          <cell r="AI597">
            <v>50</v>
          </cell>
          <cell r="AJ597">
            <v>30</v>
          </cell>
          <cell r="AK597">
            <v>35</v>
          </cell>
          <cell r="AL597">
            <v>25</v>
          </cell>
          <cell r="AM597">
            <v>0</v>
          </cell>
          <cell r="AN597">
            <v>10</v>
          </cell>
          <cell r="AO597">
            <v>1310</v>
          </cell>
          <cell r="AP597">
            <v>280</v>
          </cell>
          <cell r="AQ597">
            <v>390</v>
          </cell>
          <cell r="AR597">
            <v>155</v>
          </cell>
          <cell r="AS597">
            <v>235</v>
          </cell>
          <cell r="AT597">
            <v>250</v>
          </cell>
          <cell r="AU597">
            <v>1.2</v>
          </cell>
          <cell r="AV597">
            <v>3940</v>
          </cell>
          <cell r="AW597">
            <v>755</v>
          </cell>
          <cell r="AX597">
            <v>115</v>
          </cell>
          <cell r="AY597">
            <v>85</v>
          </cell>
          <cell r="AZ597">
            <v>555</v>
          </cell>
          <cell r="BA597">
            <v>3185</v>
          </cell>
          <cell r="BB597">
            <v>3</v>
          </cell>
          <cell r="BC597">
            <v>765</v>
          </cell>
          <cell r="BD597">
            <v>320</v>
          </cell>
          <cell r="BE597">
            <v>30</v>
          </cell>
          <cell r="BF597">
            <v>15</v>
          </cell>
          <cell r="BG597">
            <v>280</v>
          </cell>
          <cell r="BH597">
            <v>440</v>
          </cell>
          <cell r="BI597">
            <v>1665</v>
          </cell>
          <cell r="BJ597">
            <v>4.9000000000000004</v>
          </cell>
          <cell r="BK597">
            <v>8158.5000000000009</v>
          </cell>
          <cell r="BL597">
            <v>2.2999999999999998</v>
          </cell>
          <cell r="BM597">
            <v>3829.4999999999995</v>
          </cell>
          <cell r="BN597">
            <v>1665</v>
          </cell>
          <cell r="BO597">
            <v>580</v>
          </cell>
          <cell r="BP597">
            <v>1085</v>
          </cell>
          <cell r="BQ597">
            <v>0</v>
          </cell>
          <cell r="BR597">
            <v>1665</v>
          </cell>
          <cell r="BS597">
            <v>1085</v>
          </cell>
          <cell r="BT597">
            <v>485</v>
          </cell>
          <cell r="BU597">
            <v>100</v>
          </cell>
          <cell r="BV597">
            <v>1665</v>
          </cell>
          <cell r="BW597">
            <v>50</v>
          </cell>
          <cell r="BX597">
            <v>405</v>
          </cell>
          <cell r="BY597">
            <v>610</v>
          </cell>
          <cell r="BZ597">
            <v>200</v>
          </cell>
          <cell r="CA597">
            <v>125</v>
          </cell>
          <cell r="CB597">
            <v>85</v>
          </cell>
          <cell r="CC597">
            <v>120</v>
          </cell>
          <cell r="CD597">
            <v>40</v>
          </cell>
          <cell r="CE597">
            <v>25</v>
          </cell>
          <cell r="CF597">
            <v>1670</v>
          </cell>
          <cell r="CG597">
            <v>20</v>
          </cell>
          <cell r="CH597">
            <v>15</v>
          </cell>
          <cell r="CI597">
            <v>10</v>
          </cell>
          <cell r="CJ597">
            <v>650</v>
          </cell>
          <cell r="CK597">
            <v>5</v>
          </cell>
          <cell r="CL597">
            <v>950</v>
          </cell>
          <cell r="CM597">
            <v>15</v>
          </cell>
          <cell r="CN597">
            <v>0</v>
          </cell>
          <cell r="CO597">
            <v>1665</v>
          </cell>
          <cell r="CP597">
            <v>555</v>
          </cell>
          <cell r="CQ597">
            <v>495</v>
          </cell>
          <cell r="CR597">
            <v>285</v>
          </cell>
          <cell r="CS597">
            <v>280</v>
          </cell>
          <cell r="CT597">
            <v>50</v>
          </cell>
          <cell r="CU597">
            <v>3940</v>
          </cell>
          <cell r="CV597">
            <v>2.4</v>
          </cell>
          <cell r="CW597">
            <v>1665</v>
          </cell>
          <cell r="CX597">
            <v>1045</v>
          </cell>
          <cell r="CY597">
            <v>20</v>
          </cell>
          <cell r="CZ597">
            <v>610</v>
          </cell>
        </row>
        <row r="598">
          <cell r="C598" t="str">
            <v>Villeray-Saint-Michel-Parc-Extension</v>
          </cell>
          <cell r="D598">
            <v>118650</v>
          </cell>
          <cell r="E598">
            <v>54065</v>
          </cell>
          <cell r="F598">
            <v>42915</v>
          </cell>
          <cell r="G598">
            <v>3665</v>
          </cell>
          <cell r="H598">
            <v>10990</v>
          </cell>
          <cell r="I598">
            <v>7105</v>
          </cell>
          <cell r="J598">
            <v>118655</v>
          </cell>
          <cell r="K598">
            <v>105025</v>
          </cell>
          <cell r="L598">
            <v>13640</v>
          </cell>
          <cell r="M598">
            <v>36515</v>
          </cell>
          <cell r="N598">
            <v>17460</v>
          </cell>
          <cell r="O598">
            <v>8920</v>
          </cell>
          <cell r="P598">
            <v>6625</v>
          </cell>
          <cell r="Q598">
            <v>3410</v>
          </cell>
          <cell r="R598">
            <v>36485</v>
          </cell>
          <cell r="S598">
            <v>27225</v>
          </cell>
          <cell r="T598">
            <v>20365</v>
          </cell>
          <cell r="U598">
            <v>7465</v>
          </cell>
          <cell r="V598">
            <v>12920</v>
          </cell>
          <cell r="W598">
            <v>5165</v>
          </cell>
          <cell r="X598">
            <v>4915</v>
          </cell>
          <cell r="Y598">
            <v>2820</v>
          </cell>
          <cell r="Z598">
            <v>6830</v>
          </cell>
          <cell r="AA598">
            <v>4330</v>
          </cell>
          <cell r="AB598">
            <v>2480</v>
          </cell>
          <cell r="AC598">
            <v>1235</v>
          </cell>
          <cell r="AD598">
            <v>855</v>
          </cell>
          <cell r="AE598">
            <v>365</v>
          </cell>
          <cell r="AF598">
            <v>9265</v>
          </cell>
          <cell r="AG598">
            <v>7860</v>
          </cell>
          <cell r="AH598">
            <v>4725</v>
          </cell>
          <cell r="AI598">
            <v>2110</v>
          </cell>
          <cell r="AJ598">
            <v>960</v>
          </cell>
          <cell r="AK598">
            <v>1400</v>
          </cell>
          <cell r="AL598">
            <v>945</v>
          </cell>
          <cell r="AM598">
            <v>340</v>
          </cell>
          <cell r="AN598">
            <v>145</v>
          </cell>
          <cell r="AO598">
            <v>43015</v>
          </cell>
          <cell r="AP598">
            <v>10425</v>
          </cell>
          <cell r="AQ598">
            <v>13500</v>
          </cell>
          <cell r="AR598">
            <v>4205</v>
          </cell>
          <cell r="AS598">
            <v>7840</v>
          </cell>
          <cell r="AT598">
            <v>6955</v>
          </cell>
          <cell r="AU598">
            <v>1.1789776620528984</v>
          </cell>
          <cell r="AV598">
            <v>141760</v>
          </cell>
          <cell r="AW598">
            <v>34985</v>
          </cell>
          <cell r="AX598">
            <v>4145</v>
          </cell>
          <cell r="AY598">
            <v>7635</v>
          </cell>
          <cell r="AZ598">
            <v>23175</v>
          </cell>
          <cell r="BA598">
            <v>106760</v>
          </cell>
          <cell r="BB598">
            <v>2.9261340276826093</v>
          </cell>
          <cell r="BC598">
            <v>18640</v>
          </cell>
          <cell r="BD598">
            <v>7715</v>
          </cell>
          <cell r="BE598">
            <v>1095</v>
          </cell>
          <cell r="BF598">
            <v>395</v>
          </cell>
          <cell r="BG598">
            <v>6195</v>
          </cell>
          <cell r="BH598">
            <v>10925</v>
          </cell>
          <cell r="BI598">
            <v>62845</v>
          </cell>
          <cell r="BJ598">
            <v>4.4650489299069136</v>
          </cell>
          <cell r="BK598">
            <v>280606</v>
          </cell>
          <cell r="BL598">
            <v>1.9089426366457156</v>
          </cell>
          <cell r="BM598">
            <v>119967.5</v>
          </cell>
          <cell r="BN598">
            <v>62840</v>
          </cell>
          <cell r="BO598">
            <v>16815</v>
          </cell>
          <cell r="BP598">
            <v>46025</v>
          </cell>
          <cell r="BQ598">
            <v>0</v>
          </cell>
          <cell r="BR598">
            <v>62835</v>
          </cell>
          <cell r="BS598">
            <v>35500</v>
          </cell>
          <cell r="BT598">
            <v>20290</v>
          </cell>
          <cell r="BU598">
            <v>7025</v>
          </cell>
          <cell r="BV598">
            <v>62850</v>
          </cell>
          <cell r="BW598">
            <v>12950</v>
          </cell>
          <cell r="BX598">
            <v>25685</v>
          </cell>
          <cell r="BY598">
            <v>13885</v>
          </cell>
          <cell r="BZ598">
            <v>4725</v>
          </cell>
          <cell r="CA598">
            <v>1985</v>
          </cell>
          <cell r="CB598">
            <v>1230</v>
          </cell>
          <cell r="CC598">
            <v>985</v>
          </cell>
          <cell r="CD598">
            <v>485</v>
          </cell>
          <cell r="CE598">
            <v>780</v>
          </cell>
          <cell r="CF598">
            <v>62835</v>
          </cell>
          <cell r="CG598">
            <v>1555</v>
          </cell>
          <cell r="CH598">
            <v>750</v>
          </cell>
          <cell r="CI598">
            <v>625</v>
          </cell>
          <cell r="CJ598">
            <v>12310</v>
          </cell>
          <cell r="CK598">
            <v>1980</v>
          </cell>
          <cell r="CL598">
            <v>44870</v>
          </cell>
          <cell r="CM598">
            <v>770</v>
          </cell>
          <cell r="CN598">
            <v>30</v>
          </cell>
          <cell r="CO598">
            <v>62855</v>
          </cell>
          <cell r="CP598">
            <v>23195</v>
          </cell>
          <cell r="CQ598">
            <v>18750</v>
          </cell>
          <cell r="CR598">
            <v>9570</v>
          </cell>
          <cell r="CS598">
            <v>9755</v>
          </cell>
          <cell r="CT598">
            <v>1595</v>
          </cell>
          <cell r="CU598">
            <v>141765</v>
          </cell>
          <cell r="CV598">
            <v>2.2554291623578075</v>
          </cell>
          <cell r="CW598">
            <v>62825</v>
          </cell>
          <cell r="CX598">
            <v>34755</v>
          </cell>
          <cell r="CY598">
            <v>850</v>
          </cell>
          <cell r="CZ598">
            <v>27220</v>
          </cell>
        </row>
        <row r="601">
          <cell r="A601" t="str">
            <v>4620350.00</v>
          </cell>
          <cell r="B601" t="str">
            <v>0350.00</v>
          </cell>
          <cell r="C601" t="str">
            <v>WESTMOUNT</v>
          </cell>
          <cell r="D601">
            <v>2390</v>
          </cell>
          <cell r="E601">
            <v>1095</v>
          </cell>
          <cell r="F601">
            <v>770</v>
          </cell>
          <cell r="G601">
            <v>60</v>
          </cell>
          <cell r="H601">
            <v>225</v>
          </cell>
          <cell r="I601">
            <v>245</v>
          </cell>
          <cell r="J601">
            <v>2390</v>
          </cell>
          <cell r="K601">
            <v>2220</v>
          </cell>
          <cell r="L601">
            <v>165</v>
          </cell>
          <cell r="M601">
            <v>575</v>
          </cell>
          <cell r="N601">
            <v>325</v>
          </cell>
          <cell r="O601">
            <v>120</v>
          </cell>
          <cell r="P601">
            <v>100</v>
          </cell>
          <cell r="Q601">
            <v>25</v>
          </cell>
          <cell r="R601">
            <v>570</v>
          </cell>
          <cell r="S601">
            <v>445</v>
          </cell>
          <cell r="T601">
            <v>360</v>
          </cell>
          <cell r="U601">
            <v>160</v>
          </cell>
          <cell r="V601">
            <v>205</v>
          </cell>
          <cell r="W601">
            <v>75</v>
          </cell>
          <cell r="X601">
            <v>100</v>
          </cell>
          <cell r="Y601">
            <v>20</v>
          </cell>
          <cell r="Z601">
            <v>85</v>
          </cell>
          <cell r="AA601">
            <v>85</v>
          </cell>
          <cell r="AB601">
            <v>0</v>
          </cell>
          <cell r="AC601">
            <v>0</v>
          </cell>
          <cell r="AD601">
            <v>0</v>
          </cell>
          <cell r="AE601">
            <v>0</v>
          </cell>
          <cell r="AF601">
            <v>130</v>
          </cell>
          <cell r="AG601">
            <v>110</v>
          </cell>
          <cell r="AH601">
            <v>80</v>
          </cell>
          <cell r="AI601">
            <v>35</v>
          </cell>
          <cell r="AJ601">
            <v>0</v>
          </cell>
          <cell r="AK601">
            <v>15</v>
          </cell>
          <cell r="AL601">
            <v>0</v>
          </cell>
          <cell r="AM601">
            <v>10</v>
          </cell>
          <cell r="AN601">
            <v>0</v>
          </cell>
          <cell r="AO601">
            <v>530</v>
          </cell>
          <cell r="AP601">
            <v>85</v>
          </cell>
          <cell r="AQ601">
            <v>150</v>
          </cell>
          <cell r="AR601">
            <v>80</v>
          </cell>
          <cell r="AS601">
            <v>155</v>
          </cell>
          <cell r="AT601">
            <v>60</v>
          </cell>
          <cell r="AU601">
            <v>0.9</v>
          </cell>
          <cell r="AV601">
            <v>2265</v>
          </cell>
          <cell r="AW601">
            <v>710</v>
          </cell>
          <cell r="AX601">
            <v>40</v>
          </cell>
          <cell r="AY601">
            <v>65</v>
          </cell>
          <cell r="AZ601">
            <v>600</v>
          </cell>
          <cell r="BA601">
            <v>1550</v>
          </cell>
          <cell r="BB601">
            <v>2.7</v>
          </cell>
          <cell r="BC601">
            <v>490</v>
          </cell>
          <cell r="BD601">
            <v>265</v>
          </cell>
          <cell r="BE601">
            <v>0</v>
          </cell>
          <cell r="BF601">
            <v>0</v>
          </cell>
          <cell r="BG601">
            <v>255</v>
          </cell>
          <cell r="BH601">
            <v>225</v>
          </cell>
          <cell r="BI601">
            <v>1215</v>
          </cell>
          <cell r="BJ601">
            <v>4.8</v>
          </cell>
          <cell r="BK601">
            <v>5832</v>
          </cell>
          <cell r="BL601">
            <v>1.9</v>
          </cell>
          <cell r="BM601">
            <v>2308.5</v>
          </cell>
          <cell r="BN601">
            <v>1215</v>
          </cell>
          <cell r="BO601">
            <v>445</v>
          </cell>
          <cell r="BP601">
            <v>770</v>
          </cell>
          <cell r="BQ601">
            <v>0</v>
          </cell>
          <cell r="BR601">
            <v>1215</v>
          </cell>
          <cell r="BS601">
            <v>705</v>
          </cell>
          <cell r="BT601">
            <v>390</v>
          </cell>
          <cell r="BU601">
            <v>120</v>
          </cell>
          <cell r="BV601">
            <v>1220</v>
          </cell>
          <cell r="BW601">
            <v>460</v>
          </cell>
          <cell r="BX601">
            <v>120</v>
          </cell>
          <cell r="BY601">
            <v>220</v>
          </cell>
          <cell r="BZ601">
            <v>115</v>
          </cell>
          <cell r="CA601">
            <v>25</v>
          </cell>
          <cell r="CB601">
            <v>200</v>
          </cell>
          <cell r="CC601">
            <v>60</v>
          </cell>
          <cell r="CD601">
            <v>0</v>
          </cell>
          <cell r="CE601">
            <v>20</v>
          </cell>
          <cell r="CF601">
            <v>1215</v>
          </cell>
          <cell r="CG601">
            <v>5</v>
          </cell>
          <cell r="CH601">
            <v>5</v>
          </cell>
          <cell r="CI601">
            <v>210</v>
          </cell>
          <cell r="CJ601">
            <v>15</v>
          </cell>
          <cell r="CK601">
            <v>530</v>
          </cell>
          <cell r="CL601">
            <v>445</v>
          </cell>
          <cell r="CM601">
            <v>5</v>
          </cell>
          <cell r="CN601">
            <v>0</v>
          </cell>
          <cell r="CO601">
            <v>1220</v>
          </cell>
          <cell r="CP601">
            <v>600</v>
          </cell>
          <cell r="CQ601">
            <v>355</v>
          </cell>
          <cell r="CR601">
            <v>135</v>
          </cell>
          <cell r="CS601">
            <v>115</v>
          </cell>
          <cell r="CT601">
            <v>10</v>
          </cell>
          <cell r="CU601">
            <v>2265</v>
          </cell>
          <cell r="CV601">
            <v>1.9</v>
          </cell>
          <cell r="CW601">
            <v>1215</v>
          </cell>
          <cell r="CX601">
            <v>575</v>
          </cell>
          <cell r="CY601">
            <v>0</v>
          </cell>
          <cell r="CZ601">
            <v>640</v>
          </cell>
        </row>
        <row r="602">
          <cell r="A602" t="str">
            <v>4620351.00</v>
          </cell>
          <cell r="B602" t="str">
            <v>0351.00</v>
          </cell>
          <cell r="C602" t="str">
            <v>WESTMOUNT</v>
          </cell>
          <cell r="D602">
            <v>4620</v>
          </cell>
          <cell r="E602">
            <v>1580</v>
          </cell>
          <cell r="F602">
            <v>2030</v>
          </cell>
          <cell r="G602">
            <v>85</v>
          </cell>
          <cell r="H602">
            <v>410</v>
          </cell>
          <cell r="I602">
            <v>515</v>
          </cell>
          <cell r="J602">
            <v>4620</v>
          </cell>
          <cell r="K602">
            <v>4300</v>
          </cell>
          <cell r="L602">
            <v>320</v>
          </cell>
          <cell r="M602">
            <v>1315</v>
          </cell>
          <cell r="N602">
            <v>825</v>
          </cell>
          <cell r="O602">
            <v>215</v>
          </cell>
          <cell r="P602">
            <v>175</v>
          </cell>
          <cell r="Q602">
            <v>100</v>
          </cell>
          <cell r="R602">
            <v>1315</v>
          </cell>
          <cell r="S602">
            <v>1155</v>
          </cell>
          <cell r="T602">
            <v>1000</v>
          </cell>
          <cell r="U602">
            <v>610</v>
          </cell>
          <cell r="V602">
            <v>390</v>
          </cell>
          <cell r="W602">
            <v>145</v>
          </cell>
          <cell r="X602">
            <v>160</v>
          </cell>
          <cell r="Y602">
            <v>80</v>
          </cell>
          <cell r="Z602">
            <v>160</v>
          </cell>
          <cell r="AA602">
            <v>105</v>
          </cell>
          <cell r="AB602">
            <v>55</v>
          </cell>
          <cell r="AC602">
            <v>40</v>
          </cell>
          <cell r="AD602">
            <v>10</v>
          </cell>
          <cell r="AE602">
            <v>10</v>
          </cell>
          <cell r="AF602">
            <v>155</v>
          </cell>
          <cell r="AG602">
            <v>105</v>
          </cell>
          <cell r="AH602">
            <v>85</v>
          </cell>
          <cell r="AI602">
            <v>10</v>
          </cell>
          <cell r="AJ602">
            <v>10</v>
          </cell>
          <cell r="AK602">
            <v>50</v>
          </cell>
          <cell r="AL602">
            <v>30</v>
          </cell>
          <cell r="AM602">
            <v>15</v>
          </cell>
          <cell r="AN602">
            <v>0</v>
          </cell>
          <cell r="AO602">
            <v>1050</v>
          </cell>
          <cell r="AP602">
            <v>175</v>
          </cell>
          <cell r="AQ602">
            <v>340</v>
          </cell>
          <cell r="AR602">
            <v>120</v>
          </cell>
          <cell r="AS602">
            <v>285</v>
          </cell>
          <cell r="AT602">
            <v>130</v>
          </cell>
          <cell r="AU602">
            <v>0.8</v>
          </cell>
          <cell r="AV602">
            <v>5115</v>
          </cell>
          <cell r="AW602">
            <v>1595</v>
          </cell>
          <cell r="AX602">
            <v>155</v>
          </cell>
          <cell r="AY602">
            <v>115</v>
          </cell>
          <cell r="AZ602">
            <v>1325</v>
          </cell>
          <cell r="BA602">
            <v>3520</v>
          </cell>
          <cell r="BB602">
            <v>2.7</v>
          </cell>
          <cell r="BC602">
            <v>1635</v>
          </cell>
          <cell r="BD602">
            <v>750</v>
          </cell>
          <cell r="BE602">
            <v>55</v>
          </cell>
          <cell r="BF602">
            <v>20</v>
          </cell>
          <cell r="BG602">
            <v>670</v>
          </cell>
          <cell r="BH602">
            <v>890</v>
          </cell>
          <cell r="BI602">
            <v>2730</v>
          </cell>
          <cell r="BJ602">
            <v>4.7</v>
          </cell>
          <cell r="BK602">
            <v>12831</v>
          </cell>
          <cell r="BL602">
            <v>1.8</v>
          </cell>
          <cell r="BM602">
            <v>4914</v>
          </cell>
          <cell r="BN602">
            <v>2730</v>
          </cell>
          <cell r="BO602">
            <v>645</v>
          </cell>
          <cell r="BP602">
            <v>2085</v>
          </cell>
          <cell r="BQ602">
            <v>0</v>
          </cell>
          <cell r="BR602">
            <v>2730</v>
          </cell>
          <cell r="BS602">
            <v>1895</v>
          </cell>
          <cell r="BT602">
            <v>595</v>
          </cell>
          <cell r="BU602">
            <v>240</v>
          </cell>
          <cell r="BV602">
            <v>2730</v>
          </cell>
          <cell r="BW602">
            <v>815</v>
          </cell>
          <cell r="BX602">
            <v>505</v>
          </cell>
          <cell r="BY602">
            <v>955</v>
          </cell>
          <cell r="BZ602">
            <v>180</v>
          </cell>
          <cell r="CA602">
            <v>50</v>
          </cell>
          <cell r="CB602">
            <v>180</v>
          </cell>
          <cell r="CC602">
            <v>40</v>
          </cell>
          <cell r="CD602">
            <v>10</v>
          </cell>
          <cell r="CE602">
            <v>0</v>
          </cell>
          <cell r="CF602">
            <v>2730</v>
          </cell>
          <cell r="CG602">
            <v>55</v>
          </cell>
          <cell r="CH602">
            <v>100</v>
          </cell>
          <cell r="CI602">
            <v>170</v>
          </cell>
          <cell r="CJ602">
            <v>50</v>
          </cell>
          <cell r="CK602">
            <v>1830</v>
          </cell>
          <cell r="CL602">
            <v>520</v>
          </cell>
          <cell r="CM602">
            <v>5</v>
          </cell>
          <cell r="CN602">
            <v>0</v>
          </cell>
          <cell r="CO602">
            <v>2730</v>
          </cell>
          <cell r="CP602">
            <v>1325</v>
          </cell>
          <cell r="CQ602">
            <v>870</v>
          </cell>
          <cell r="CR602">
            <v>230</v>
          </cell>
          <cell r="CS602">
            <v>275</v>
          </cell>
          <cell r="CT602">
            <v>25</v>
          </cell>
          <cell r="CU602">
            <v>5120</v>
          </cell>
          <cell r="CV602">
            <v>1.9</v>
          </cell>
          <cell r="CW602">
            <v>2730</v>
          </cell>
          <cell r="CX602">
            <v>1260</v>
          </cell>
          <cell r="CY602">
            <v>25</v>
          </cell>
          <cell r="CZ602">
            <v>1445</v>
          </cell>
        </row>
        <row r="603">
          <cell r="A603" t="str">
            <v>4620352.00</v>
          </cell>
          <cell r="B603" t="str">
            <v>0352.00</v>
          </cell>
          <cell r="C603" t="str">
            <v>WESTMOUNT</v>
          </cell>
          <cell r="D603">
            <v>2495</v>
          </cell>
          <cell r="E603">
            <v>840</v>
          </cell>
          <cell r="F603">
            <v>1035</v>
          </cell>
          <cell r="G603">
            <v>45</v>
          </cell>
          <cell r="H603">
            <v>265</v>
          </cell>
          <cell r="I603">
            <v>305</v>
          </cell>
          <cell r="J603">
            <v>2490</v>
          </cell>
          <cell r="K603">
            <v>2290</v>
          </cell>
          <cell r="L603">
            <v>200</v>
          </cell>
          <cell r="M603">
            <v>735</v>
          </cell>
          <cell r="N603">
            <v>430</v>
          </cell>
          <cell r="O603">
            <v>120</v>
          </cell>
          <cell r="P603">
            <v>145</v>
          </cell>
          <cell r="Q603">
            <v>40</v>
          </cell>
          <cell r="R603">
            <v>740</v>
          </cell>
          <cell r="S603">
            <v>590</v>
          </cell>
          <cell r="T603">
            <v>495</v>
          </cell>
          <cell r="U603">
            <v>245</v>
          </cell>
          <cell r="V603">
            <v>250</v>
          </cell>
          <cell r="W603">
            <v>85</v>
          </cell>
          <cell r="X603">
            <v>120</v>
          </cell>
          <cell r="Y603">
            <v>40</v>
          </cell>
          <cell r="Z603">
            <v>95</v>
          </cell>
          <cell r="AA603">
            <v>80</v>
          </cell>
          <cell r="AB603">
            <v>15</v>
          </cell>
          <cell r="AC603">
            <v>0</v>
          </cell>
          <cell r="AD603">
            <v>15</v>
          </cell>
          <cell r="AE603">
            <v>0</v>
          </cell>
          <cell r="AF603">
            <v>145</v>
          </cell>
          <cell r="AG603">
            <v>135</v>
          </cell>
          <cell r="AH603">
            <v>100</v>
          </cell>
          <cell r="AI603">
            <v>30</v>
          </cell>
          <cell r="AJ603">
            <v>0</v>
          </cell>
          <cell r="AK603">
            <v>10</v>
          </cell>
          <cell r="AL603">
            <v>10</v>
          </cell>
          <cell r="AM603">
            <v>0</v>
          </cell>
          <cell r="AN603">
            <v>0</v>
          </cell>
          <cell r="AO603">
            <v>695</v>
          </cell>
          <cell r="AP603">
            <v>125</v>
          </cell>
          <cell r="AQ603">
            <v>270</v>
          </cell>
          <cell r="AR603">
            <v>85</v>
          </cell>
          <cell r="AS603">
            <v>155</v>
          </cell>
          <cell r="AT603">
            <v>55</v>
          </cell>
          <cell r="AU603">
            <v>0.9</v>
          </cell>
          <cell r="AV603">
            <v>2620</v>
          </cell>
          <cell r="AW603">
            <v>600</v>
          </cell>
          <cell r="AX603">
            <v>90</v>
          </cell>
          <cell r="AY603">
            <v>25</v>
          </cell>
          <cell r="AZ603">
            <v>480</v>
          </cell>
          <cell r="BA603">
            <v>2020</v>
          </cell>
          <cell r="BB603">
            <v>2.7</v>
          </cell>
          <cell r="BC603">
            <v>500</v>
          </cell>
          <cell r="BD603">
            <v>240</v>
          </cell>
          <cell r="BE603">
            <v>30</v>
          </cell>
          <cell r="BF603">
            <v>0</v>
          </cell>
          <cell r="BG603">
            <v>205</v>
          </cell>
          <cell r="BH603">
            <v>265</v>
          </cell>
          <cell r="BI603">
            <v>1245</v>
          </cell>
          <cell r="BJ603">
            <v>5.6</v>
          </cell>
          <cell r="BK603">
            <v>6972</v>
          </cell>
          <cell r="BL603">
            <v>2.4</v>
          </cell>
          <cell r="BM603">
            <v>2988</v>
          </cell>
          <cell r="BN603">
            <v>1245</v>
          </cell>
          <cell r="BO603">
            <v>560</v>
          </cell>
          <cell r="BP603">
            <v>685</v>
          </cell>
          <cell r="BQ603">
            <v>0</v>
          </cell>
          <cell r="BR603">
            <v>1245</v>
          </cell>
          <cell r="BS603">
            <v>785</v>
          </cell>
          <cell r="BT603">
            <v>385</v>
          </cell>
          <cell r="BU603">
            <v>75</v>
          </cell>
          <cell r="BV603">
            <v>1245</v>
          </cell>
          <cell r="BW603">
            <v>600</v>
          </cell>
          <cell r="BX603">
            <v>135</v>
          </cell>
          <cell r="BY603">
            <v>230</v>
          </cell>
          <cell r="BZ603">
            <v>105</v>
          </cell>
          <cell r="CA603">
            <v>60</v>
          </cell>
          <cell r="CB603">
            <v>70</v>
          </cell>
          <cell r="CC603">
            <v>0</v>
          </cell>
          <cell r="CD603">
            <v>25</v>
          </cell>
          <cell r="CE603">
            <v>20</v>
          </cell>
          <cell r="CF603">
            <v>1250</v>
          </cell>
          <cell r="CG603">
            <v>15</v>
          </cell>
          <cell r="CH603">
            <v>100</v>
          </cell>
          <cell r="CI603">
            <v>220</v>
          </cell>
          <cell r="CJ603">
            <v>50</v>
          </cell>
          <cell r="CK603">
            <v>570</v>
          </cell>
          <cell r="CL603">
            <v>295</v>
          </cell>
          <cell r="CM603">
            <v>0</v>
          </cell>
          <cell r="CN603">
            <v>0</v>
          </cell>
          <cell r="CO603">
            <v>1245</v>
          </cell>
          <cell r="CP603">
            <v>480</v>
          </cell>
          <cell r="CQ603">
            <v>405</v>
          </cell>
          <cell r="CR603">
            <v>175</v>
          </cell>
          <cell r="CS603">
            <v>180</v>
          </cell>
          <cell r="CT603">
            <v>10</v>
          </cell>
          <cell r="CU603">
            <v>2620</v>
          </cell>
          <cell r="CV603">
            <v>2.1</v>
          </cell>
          <cell r="CW603">
            <v>1245</v>
          </cell>
          <cell r="CX603">
            <v>730</v>
          </cell>
          <cell r="CY603">
            <v>10</v>
          </cell>
          <cell r="CZ603">
            <v>515</v>
          </cell>
        </row>
        <row r="604">
          <cell r="A604" t="str">
            <v>4620353.00</v>
          </cell>
          <cell r="B604" t="str">
            <v>0353.00</v>
          </cell>
          <cell r="C604" t="str">
            <v>WESTMOUNT</v>
          </cell>
          <cell r="D604">
            <v>2400</v>
          </cell>
          <cell r="E604">
            <v>790</v>
          </cell>
          <cell r="F604">
            <v>1235</v>
          </cell>
          <cell r="G604">
            <v>35</v>
          </cell>
          <cell r="H604">
            <v>225</v>
          </cell>
          <cell r="I604">
            <v>110</v>
          </cell>
          <cell r="J604">
            <v>2400</v>
          </cell>
          <cell r="K604">
            <v>2205</v>
          </cell>
          <cell r="L604">
            <v>195</v>
          </cell>
          <cell r="M604">
            <v>795</v>
          </cell>
          <cell r="N604">
            <v>325</v>
          </cell>
          <cell r="O604">
            <v>165</v>
          </cell>
          <cell r="P604">
            <v>195</v>
          </cell>
          <cell r="Q604">
            <v>110</v>
          </cell>
          <cell r="R604">
            <v>795</v>
          </cell>
          <cell r="S604">
            <v>700</v>
          </cell>
          <cell r="T604">
            <v>605</v>
          </cell>
          <cell r="U604">
            <v>210</v>
          </cell>
          <cell r="V604">
            <v>395</v>
          </cell>
          <cell r="W604">
            <v>105</v>
          </cell>
          <cell r="X604">
            <v>180</v>
          </cell>
          <cell r="Y604">
            <v>110</v>
          </cell>
          <cell r="Z604">
            <v>95</v>
          </cell>
          <cell r="AA604">
            <v>55</v>
          </cell>
          <cell r="AB604">
            <v>35</v>
          </cell>
          <cell r="AC604">
            <v>30</v>
          </cell>
          <cell r="AD604">
            <v>0</v>
          </cell>
          <cell r="AE604">
            <v>0</v>
          </cell>
          <cell r="AF604">
            <v>100</v>
          </cell>
          <cell r="AG604">
            <v>85</v>
          </cell>
          <cell r="AH604">
            <v>45</v>
          </cell>
          <cell r="AI604">
            <v>20</v>
          </cell>
          <cell r="AJ604">
            <v>10</v>
          </cell>
          <cell r="AK604">
            <v>15</v>
          </cell>
          <cell r="AL604">
            <v>10</v>
          </cell>
          <cell r="AM604">
            <v>10</v>
          </cell>
          <cell r="AN604">
            <v>0</v>
          </cell>
          <cell r="AO604">
            <v>1000</v>
          </cell>
          <cell r="AP604">
            <v>170</v>
          </cell>
          <cell r="AQ604">
            <v>395</v>
          </cell>
          <cell r="AR604">
            <v>160</v>
          </cell>
          <cell r="AS604">
            <v>225</v>
          </cell>
          <cell r="AT604">
            <v>55</v>
          </cell>
          <cell r="AU604">
            <v>1.2</v>
          </cell>
          <cell r="AV604">
            <v>2930</v>
          </cell>
          <cell r="AW604">
            <v>435</v>
          </cell>
          <cell r="AX604">
            <v>25</v>
          </cell>
          <cell r="AY604">
            <v>70</v>
          </cell>
          <cell r="AZ604">
            <v>335</v>
          </cell>
          <cell r="BA604">
            <v>2500</v>
          </cell>
          <cell r="BB604">
            <v>3.1</v>
          </cell>
          <cell r="BC604">
            <v>430</v>
          </cell>
          <cell r="BD604">
            <v>170</v>
          </cell>
          <cell r="BE604">
            <v>10</v>
          </cell>
          <cell r="BF604">
            <v>0</v>
          </cell>
          <cell r="BG604">
            <v>155</v>
          </cell>
          <cell r="BH604">
            <v>260</v>
          </cell>
          <cell r="BI604">
            <v>1165</v>
          </cell>
          <cell r="BJ604">
            <v>7.3</v>
          </cell>
          <cell r="BK604">
            <v>8504.5</v>
          </cell>
          <cell r="BL604">
            <v>3</v>
          </cell>
          <cell r="BM604">
            <v>3495</v>
          </cell>
          <cell r="BN604">
            <v>1170</v>
          </cell>
          <cell r="BO604">
            <v>740</v>
          </cell>
          <cell r="BP604">
            <v>430</v>
          </cell>
          <cell r="BQ604">
            <v>0</v>
          </cell>
          <cell r="BR604">
            <v>1170</v>
          </cell>
          <cell r="BS604">
            <v>685</v>
          </cell>
          <cell r="BT604">
            <v>365</v>
          </cell>
          <cell r="BU604">
            <v>115</v>
          </cell>
          <cell r="BV604">
            <v>1170</v>
          </cell>
          <cell r="BW604">
            <v>970</v>
          </cell>
          <cell r="BX604">
            <v>95</v>
          </cell>
          <cell r="BY604">
            <v>75</v>
          </cell>
          <cell r="BZ604">
            <v>20</v>
          </cell>
          <cell r="CA604">
            <v>0</v>
          </cell>
          <cell r="CB604">
            <v>0</v>
          </cell>
          <cell r="CC604">
            <v>0</v>
          </cell>
          <cell r="CD604">
            <v>0</v>
          </cell>
          <cell r="CE604">
            <v>0</v>
          </cell>
          <cell r="CF604">
            <v>1165</v>
          </cell>
          <cell r="CG604">
            <v>75</v>
          </cell>
          <cell r="CH604">
            <v>195</v>
          </cell>
          <cell r="CI604">
            <v>410</v>
          </cell>
          <cell r="CJ604">
            <v>95</v>
          </cell>
          <cell r="CK604">
            <v>125</v>
          </cell>
          <cell r="CL604">
            <v>255</v>
          </cell>
          <cell r="CM604">
            <v>10</v>
          </cell>
          <cell r="CN604">
            <v>0</v>
          </cell>
          <cell r="CO604">
            <v>1170</v>
          </cell>
          <cell r="CP604">
            <v>330</v>
          </cell>
          <cell r="CQ604">
            <v>350</v>
          </cell>
          <cell r="CR604">
            <v>170</v>
          </cell>
          <cell r="CS604">
            <v>290</v>
          </cell>
          <cell r="CT604">
            <v>25</v>
          </cell>
          <cell r="CU604">
            <v>2930</v>
          </cell>
          <cell r="CV604">
            <v>2.5</v>
          </cell>
          <cell r="CW604">
            <v>1170</v>
          </cell>
          <cell r="CX604">
            <v>780</v>
          </cell>
          <cell r="CY604">
            <v>10</v>
          </cell>
          <cell r="CZ604">
            <v>380</v>
          </cell>
        </row>
        <row r="605">
          <cell r="A605" t="str">
            <v>4620354.00</v>
          </cell>
          <cell r="B605" t="str">
            <v>0354.00</v>
          </cell>
          <cell r="C605" t="str">
            <v>WESTMOUNT</v>
          </cell>
          <cell r="D605">
            <v>2480</v>
          </cell>
          <cell r="E605">
            <v>715</v>
          </cell>
          <cell r="F605">
            <v>1560</v>
          </cell>
          <cell r="G605">
            <v>20</v>
          </cell>
          <cell r="H605">
            <v>95</v>
          </cell>
          <cell r="I605">
            <v>95</v>
          </cell>
          <cell r="J605">
            <v>2485</v>
          </cell>
          <cell r="K605">
            <v>2395</v>
          </cell>
          <cell r="L605">
            <v>90</v>
          </cell>
          <cell r="M605">
            <v>895</v>
          </cell>
          <cell r="N605">
            <v>315</v>
          </cell>
          <cell r="O605">
            <v>160</v>
          </cell>
          <cell r="P605">
            <v>255</v>
          </cell>
          <cell r="Q605">
            <v>160</v>
          </cell>
          <cell r="R605">
            <v>895</v>
          </cell>
          <cell r="S605">
            <v>820</v>
          </cell>
          <cell r="T605">
            <v>770</v>
          </cell>
          <cell r="U605">
            <v>255</v>
          </cell>
          <cell r="V605">
            <v>515</v>
          </cell>
          <cell r="W605">
            <v>130</v>
          </cell>
          <cell r="X605">
            <v>220</v>
          </cell>
          <cell r="Y605">
            <v>155</v>
          </cell>
          <cell r="Z605">
            <v>50</v>
          </cell>
          <cell r="AA605">
            <v>20</v>
          </cell>
          <cell r="AB605">
            <v>30</v>
          </cell>
          <cell r="AC605">
            <v>0</v>
          </cell>
          <cell r="AD605">
            <v>25</v>
          </cell>
          <cell r="AE605">
            <v>0</v>
          </cell>
          <cell r="AF605">
            <v>70</v>
          </cell>
          <cell r="AG605">
            <v>55</v>
          </cell>
          <cell r="AH605">
            <v>30</v>
          </cell>
          <cell r="AI605">
            <v>25</v>
          </cell>
          <cell r="AJ605">
            <v>0</v>
          </cell>
          <cell r="AK605">
            <v>10</v>
          </cell>
          <cell r="AL605">
            <v>15</v>
          </cell>
          <cell r="AM605">
            <v>0</v>
          </cell>
          <cell r="AN605">
            <v>0</v>
          </cell>
          <cell r="AO605">
            <v>1275</v>
          </cell>
          <cell r="AP605">
            <v>220</v>
          </cell>
          <cell r="AQ605">
            <v>480</v>
          </cell>
          <cell r="AR605">
            <v>165</v>
          </cell>
          <cell r="AS605">
            <v>295</v>
          </cell>
          <cell r="AT605">
            <v>115</v>
          </cell>
          <cell r="AU605">
            <v>1.4</v>
          </cell>
          <cell r="AV605">
            <v>3175</v>
          </cell>
          <cell r="AW605">
            <v>185</v>
          </cell>
          <cell r="AX605">
            <v>25</v>
          </cell>
          <cell r="AY605">
            <v>40</v>
          </cell>
          <cell r="AZ605">
            <v>125</v>
          </cell>
          <cell r="BA605">
            <v>2990</v>
          </cell>
          <cell r="BB605">
            <v>3.4</v>
          </cell>
          <cell r="BC605">
            <v>400</v>
          </cell>
          <cell r="BD605">
            <v>85</v>
          </cell>
          <cell r="BE605">
            <v>25</v>
          </cell>
          <cell r="BF605">
            <v>0</v>
          </cell>
          <cell r="BG605">
            <v>60</v>
          </cell>
          <cell r="BH605">
            <v>310</v>
          </cell>
          <cell r="BI605">
            <v>1015</v>
          </cell>
          <cell r="BJ605">
            <v>9.1</v>
          </cell>
          <cell r="BK605">
            <v>9236.5</v>
          </cell>
          <cell r="BL605">
            <v>3.9</v>
          </cell>
          <cell r="BM605">
            <v>3958.5</v>
          </cell>
          <cell r="BN605">
            <v>1015</v>
          </cell>
          <cell r="BO605">
            <v>935</v>
          </cell>
          <cell r="BP605">
            <v>80</v>
          </cell>
          <cell r="BQ605">
            <v>0</v>
          </cell>
          <cell r="BR605">
            <v>1015</v>
          </cell>
          <cell r="BS605">
            <v>595</v>
          </cell>
          <cell r="BT605">
            <v>335</v>
          </cell>
          <cell r="BU605">
            <v>85</v>
          </cell>
          <cell r="BV605">
            <v>1015</v>
          </cell>
          <cell r="BW605">
            <v>865</v>
          </cell>
          <cell r="BX605">
            <v>100</v>
          </cell>
          <cell r="BY605">
            <v>25</v>
          </cell>
          <cell r="BZ605">
            <v>20</v>
          </cell>
          <cell r="CA605">
            <v>0</v>
          </cell>
          <cell r="CB605">
            <v>0</v>
          </cell>
          <cell r="CC605">
            <v>0</v>
          </cell>
          <cell r="CD605">
            <v>0</v>
          </cell>
          <cell r="CE605">
            <v>0</v>
          </cell>
          <cell r="CF605">
            <v>1010</v>
          </cell>
          <cell r="CG605">
            <v>300</v>
          </cell>
          <cell r="CH605">
            <v>605</v>
          </cell>
          <cell r="CI605">
            <v>45</v>
          </cell>
          <cell r="CJ605">
            <v>25</v>
          </cell>
          <cell r="CK605">
            <v>35</v>
          </cell>
          <cell r="CL605">
            <v>0</v>
          </cell>
          <cell r="CM605">
            <v>5</v>
          </cell>
          <cell r="CN605">
            <v>0</v>
          </cell>
          <cell r="CO605">
            <v>1010</v>
          </cell>
          <cell r="CP605">
            <v>130</v>
          </cell>
          <cell r="CQ605">
            <v>300</v>
          </cell>
          <cell r="CR605">
            <v>140</v>
          </cell>
          <cell r="CS605">
            <v>395</v>
          </cell>
          <cell r="CT605">
            <v>50</v>
          </cell>
          <cell r="CU605">
            <v>3165</v>
          </cell>
          <cell r="CV605">
            <v>3.1</v>
          </cell>
          <cell r="CW605">
            <v>1015</v>
          </cell>
          <cell r="CX605">
            <v>890</v>
          </cell>
          <cell r="CY605">
            <v>0</v>
          </cell>
          <cell r="CZ605">
            <v>125</v>
          </cell>
        </row>
        <row r="606">
          <cell r="A606" t="str">
            <v>4620355.00</v>
          </cell>
          <cell r="B606" t="str">
            <v>0355.00</v>
          </cell>
          <cell r="C606" t="str">
            <v>WESTMOUNT</v>
          </cell>
          <cell r="D606">
            <v>1340</v>
          </cell>
          <cell r="E606">
            <v>520</v>
          </cell>
          <cell r="F606">
            <v>670</v>
          </cell>
          <cell r="G606">
            <v>15</v>
          </cell>
          <cell r="H606">
            <v>90</v>
          </cell>
          <cell r="I606">
            <v>55</v>
          </cell>
          <cell r="J606">
            <v>1340</v>
          </cell>
          <cell r="K606">
            <v>1260</v>
          </cell>
          <cell r="L606">
            <v>85</v>
          </cell>
          <cell r="M606">
            <v>385</v>
          </cell>
          <cell r="N606">
            <v>175</v>
          </cell>
          <cell r="O606">
            <v>65</v>
          </cell>
          <cell r="P606">
            <v>105</v>
          </cell>
          <cell r="Q606">
            <v>40</v>
          </cell>
          <cell r="R606">
            <v>385</v>
          </cell>
          <cell r="S606">
            <v>365</v>
          </cell>
          <cell r="T606">
            <v>310</v>
          </cell>
          <cell r="U606">
            <v>130</v>
          </cell>
          <cell r="V606">
            <v>180</v>
          </cell>
          <cell r="W606">
            <v>55</v>
          </cell>
          <cell r="X606">
            <v>90</v>
          </cell>
          <cell r="Y606">
            <v>40</v>
          </cell>
          <cell r="Z606">
            <v>50</v>
          </cell>
          <cell r="AA606">
            <v>30</v>
          </cell>
          <cell r="AB606">
            <v>20</v>
          </cell>
          <cell r="AC606">
            <v>0</v>
          </cell>
          <cell r="AD606">
            <v>0</v>
          </cell>
          <cell r="AE606">
            <v>0</v>
          </cell>
          <cell r="AF606">
            <v>20</v>
          </cell>
          <cell r="AG606">
            <v>20</v>
          </cell>
          <cell r="AH606">
            <v>10</v>
          </cell>
          <cell r="AI606">
            <v>0</v>
          </cell>
          <cell r="AJ606">
            <v>10</v>
          </cell>
          <cell r="AK606">
            <v>0</v>
          </cell>
          <cell r="AL606">
            <v>0</v>
          </cell>
          <cell r="AM606">
            <v>0</v>
          </cell>
          <cell r="AN606">
            <v>0</v>
          </cell>
          <cell r="AO606">
            <v>430</v>
          </cell>
          <cell r="AP606">
            <v>85</v>
          </cell>
          <cell r="AQ606">
            <v>150</v>
          </cell>
          <cell r="AR606">
            <v>40</v>
          </cell>
          <cell r="AS606">
            <v>110</v>
          </cell>
          <cell r="AT606">
            <v>35</v>
          </cell>
          <cell r="AU606">
            <v>1.1000000000000001</v>
          </cell>
          <cell r="AV606">
            <v>1565</v>
          </cell>
          <cell r="AW606">
            <v>395</v>
          </cell>
          <cell r="AX606">
            <v>10</v>
          </cell>
          <cell r="AY606">
            <v>180</v>
          </cell>
          <cell r="AZ606">
            <v>200</v>
          </cell>
          <cell r="BA606">
            <v>1175</v>
          </cell>
          <cell r="BB606">
            <v>3.1</v>
          </cell>
          <cell r="BC606">
            <v>285</v>
          </cell>
          <cell r="BD606">
            <v>80</v>
          </cell>
          <cell r="BE606">
            <v>10</v>
          </cell>
          <cell r="BF606">
            <v>10</v>
          </cell>
          <cell r="BG606">
            <v>60</v>
          </cell>
          <cell r="BH606">
            <v>205</v>
          </cell>
          <cell r="BI606">
            <v>645</v>
          </cell>
          <cell r="BJ606">
            <v>7.3</v>
          </cell>
          <cell r="BK606">
            <v>4708.5</v>
          </cell>
          <cell r="BL606">
            <v>3</v>
          </cell>
          <cell r="BM606">
            <v>1935</v>
          </cell>
          <cell r="BN606">
            <v>645</v>
          </cell>
          <cell r="BO606">
            <v>400</v>
          </cell>
          <cell r="BP606">
            <v>245</v>
          </cell>
          <cell r="BQ606">
            <v>0</v>
          </cell>
          <cell r="BR606">
            <v>645</v>
          </cell>
          <cell r="BS606">
            <v>400</v>
          </cell>
          <cell r="BT606">
            <v>225</v>
          </cell>
          <cell r="BU606">
            <v>25</v>
          </cell>
          <cell r="BV606">
            <v>645</v>
          </cell>
          <cell r="BW606">
            <v>475</v>
          </cell>
          <cell r="BX606">
            <v>75</v>
          </cell>
          <cell r="BY606">
            <v>65</v>
          </cell>
          <cell r="BZ606">
            <v>20</v>
          </cell>
          <cell r="CA606">
            <v>0</v>
          </cell>
          <cell r="CB606">
            <v>0</v>
          </cell>
          <cell r="CC606">
            <v>0</v>
          </cell>
          <cell r="CD606">
            <v>0</v>
          </cell>
          <cell r="CE606">
            <v>0</v>
          </cell>
          <cell r="CF606">
            <v>645</v>
          </cell>
          <cell r="CG606">
            <v>130</v>
          </cell>
          <cell r="CH606">
            <v>145</v>
          </cell>
          <cell r="CI606">
            <v>110</v>
          </cell>
          <cell r="CJ606">
            <v>20</v>
          </cell>
          <cell r="CK606">
            <v>100</v>
          </cell>
          <cell r="CL606">
            <v>140</v>
          </cell>
          <cell r="CM606">
            <v>0</v>
          </cell>
          <cell r="CN606">
            <v>0</v>
          </cell>
          <cell r="CO606">
            <v>645</v>
          </cell>
          <cell r="CP606">
            <v>185</v>
          </cell>
          <cell r="CQ606">
            <v>215</v>
          </cell>
          <cell r="CR606">
            <v>90</v>
          </cell>
          <cell r="CS606">
            <v>145</v>
          </cell>
          <cell r="CT606">
            <v>10</v>
          </cell>
          <cell r="CU606">
            <v>1570</v>
          </cell>
          <cell r="CV606">
            <v>2.4</v>
          </cell>
          <cell r="CW606">
            <v>645</v>
          </cell>
          <cell r="CX606">
            <v>380</v>
          </cell>
          <cell r="CY606">
            <v>0</v>
          </cell>
          <cell r="CZ606">
            <v>260</v>
          </cell>
        </row>
        <row r="607">
          <cell r="A607" t="str">
            <v>4620356.00</v>
          </cell>
          <cell r="B607" t="str">
            <v>0356.00</v>
          </cell>
          <cell r="C607" t="str">
            <v>WESTMOUNT</v>
          </cell>
          <cell r="D607">
            <v>1650</v>
          </cell>
          <cell r="E607">
            <v>480</v>
          </cell>
          <cell r="F607">
            <v>1005</v>
          </cell>
          <cell r="G607">
            <v>25</v>
          </cell>
          <cell r="H607">
            <v>70</v>
          </cell>
          <cell r="I607">
            <v>70</v>
          </cell>
          <cell r="J607">
            <v>1650</v>
          </cell>
          <cell r="K607">
            <v>1570</v>
          </cell>
          <cell r="L607">
            <v>80</v>
          </cell>
          <cell r="M607">
            <v>580</v>
          </cell>
          <cell r="N607">
            <v>195</v>
          </cell>
          <cell r="O607">
            <v>145</v>
          </cell>
          <cell r="P607">
            <v>160</v>
          </cell>
          <cell r="Q607">
            <v>75</v>
          </cell>
          <cell r="R607">
            <v>585</v>
          </cell>
          <cell r="S607">
            <v>535</v>
          </cell>
          <cell r="T607">
            <v>500</v>
          </cell>
          <cell r="U607">
            <v>165</v>
          </cell>
          <cell r="V607">
            <v>340</v>
          </cell>
          <cell r="W607">
            <v>110</v>
          </cell>
          <cell r="X607">
            <v>150</v>
          </cell>
          <cell r="Y607">
            <v>75</v>
          </cell>
          <cell r="Z607">
            <v>35</v>
          </cell>
          <cell r="AA607">
            <v>15</v>
          </cell>
          <cell r="AB607">
            <v>20</v>
          </cell>
          <cell r="AC607">
            <v>0</v>
          </cell>
          <cell r="AD607">
            <v>10</v>
          </cell>
          <cell r="AE607">
            <v>10</v>
          </cell>
          <cell r="AF607">
            <v>45</v>
          </cell>
          <cell r="AG607">
            <v>35</v>
          </cell>
          <cell r="AH607">
            <v>15</v>
          </cell>
          <cell r="AI607">
            <v>15</v>
          </cell>
          <cell r="AJ607">
            <v>0</v>
          </cell>
          <cell r="AK607">
            <v>10</v>
          </cell>
          <cell r="AL607">
            <v>0</v>
          </cell>
          <cell r="AM607">
            <v>0</v>
          </cell>
          <cell r="AN607">
            <v>0</v>
          </cell>
          <cell r="AO607">
            <v>770</v>
          </cell>
          <cell r="AP607">
            <v>50</v>
          </cell>
          <cell r="AQ607">
            <v>315</v>
          </cell>
          <cell r="AR607">
            <v>85</v>
          </cell>
          <cell r="AS607">
            <v>260</v>
          </cell>
          <cell r="AT607">
            <v>65</v>
          </cell>
          <cell r="AU607">
            <v>1.3</v>
          </cell>
          <cell r="AV607">
            <v>2010</v>
          </cell>
          <cell r="AW607">
            <v>120</v>
          </cell>
          <cell r="AX607">
            <v>0</v>
          </cell>
          <cell r="AY607">
            <v>50</v>
          </cell>
          <cell r="AZ607">
            <v>65</v>
          </cell>
          <cell r="BA607">
            <v>1890</v>
          </cell>
          <cell r="BB607">
            <v>3.3</v>
          </cell>
          <cell r="BC607">
            <v>270</v>
          </cell>
          <cell r="BD607">
            <v>55</v>
          </cell>
          <cell r="BE607">
            <v>10</v>
          </cell>
          <cell r="BF607">
            <v>15</v>
          </cell>
          <cell r="BG607">
            <v>35</v>
          </cell>
          <cell r="BH607">
            <v>215</v>
          </cell>
          <cell r="BI607">
            <v>665</v>
          </cell>
          <cell r="BJ607">
            <v>10.1</v>
          </cell>
          <cell r="BK607">
            <v>6716.5</v>
          </cell>
          <cell r="BL607">
            <v>4.2</v>
          </cell>
          <cell r="BM607">
            <v>2793</v>
          </cell>
          <cell r="BN607">
            <v>665</v>
          </cell>
          <cell r="BO607">
            <v>650</v>
          </cell>
          <cell r="BP607">
            <v>10</v>
          </cell>
          <cell r="BQ607">
            <v>0</v>
          </cell>
          <cell r="BR607">
            <v>665</v>
          </cell>
          <cell r="BS607">
            <v>370</v>
          </cell>
          <cell r="BT607">
            <v>195</v>
          </cell>
          <cell r="BU607">
            <v>90</v>
          </cell>
          <cell r="BV607">
            <v>660</v>
          </cell>
          <cell r="BW607">
            <v>455</v>
          </cell>
          <cell r="BX607">
            <v>100</v>
          </cell>
          <cell r="BY607">
            <v>55</v>
          </cell>
          <cell r="BZ607">
            <v>10</v>
          </cell>
          <cell r="CA607">
            <v>10</v>
          </cell>
          <cell r="CB607">
            <v>35</v>
          </cell>
          <cell r="CC607">
            <v>10</v>
          </cell>
          <cell r="CD607">
            <v>0</v>
          </cell>
          <cell r="CE607">
            <v>0</v>
          </cell>
          <cell r="CF607">
            <v>665</v>
          </cell>
          <cell r="CG607">
            <v>470</v>
          </cell>
          <cell r="CH607">
            <v>185</v>
          </cell>
          <cell r="CI607">
            <v>0</v>
          </cell>
          <cell r="CJ607">
            <v>5</v>
          </cell>
          <cell r="CK607">
            <v>0</v>
          </cell>
          <cell r="CL607">
            <v>5</v>
          </cell>
          <cell r="CM607">
            <v>0</v>
          </cell>
          <cell r="CN607">
            <v>0</v>
          </cell>
          <cell r="CO607">
            <v>660</v>
          </cell>
          <cell r="CP607">
            <v>85</v>
          </cell>
          <cell r="CQ607">
            <v>195</v>
          </cell>
          <cell r="CR607">
            <v>130</v>
          </cell>
          <cell r="CS607">
            <v>220</v>
          </cell>
          <cell r="CT607">
            <v>30</v>
          </cell>
          <cell r="CU607">
            <v>2010</v>
          </cell>
          <cell r="CV607">
            <v>3</v>
          </cell>
          <cell r="CW607">
            <v>660</v>
          </cell>
          <cell r="CX607">
            <v>580</v>
          </cell>
          <cell r="CY607">
            <v>0</v>
          </cell>
          <cell r="CZ607">
            <v>80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heetName val="Feb"/>
      <sheetName val="Feb Dashboard"/>
      <sheetName val="Reasons NR"/>
      <sheetName val="Herd wisdom"/>
      <sheetName val="UW TAB LIST"/>
      <sheetName val="Brokers"/>
      <sheetName val="list IBC"/>
      <sheetName val="Dictionnaire NR"/>
      <sheetName val="Sheet1"/>
    </sheetNames>
    <sheetDataSet>
      <sheetData sheetId="0"/>
      <sheetData sheetId="1"/>
      <sheetData sheetId="2"/>
      <sheetData sheetId="3">
        <row r="4">
          <cell r="F4">
            <v>0</v>
          </cell>
        </row>
        <row r="7">
          <cell r="J7" t="str">
            <v>Y</v>
          </cell>
        </row>
        <row r="8">
          <cell r="J8" t="str">
            <v>N</v>
          </cell>
        </row>
      </sheetData>
      <sheetData sheetId="4"/>
      <sheetData sheetId="5">
        <row r="3">
          <cell r="H3">
            <v>0</v>
          </cell>
        </row>
        <row r="4">
          <cell r="C4" t="str">
            <v>Couture, Danielle</v>
          </cell>
        </row>
        <row r="5">
          <cell r="C5" t="str">
            <v>Dépatie, Johanne</v>
          </cell>
        </row>
        <row r="6">
          <cell r="C6" t="str">
            <v>Guillaume, Normand</v>
          </cell>
        </row>
        <row r="7">
          <cell r="C7" t="str">
            <v>Leandre, Audrey</v>
          </cell>
        </row>
        <row r="8">
          <cell r="C8" t="str">
            <v>Michaud, Jean-David</v>
          </cell>
        </row>
        <row r="9">
          <cell r="C9" t="str">
            <v>Tessio, Sylvie</v>
          </cell>
        </row>
        <row r="10">
          <cell r="C10" t="str">
            <v>Wilson, Ghislain</v>
          </cell>
        </row>
        <row r="11">
          <cell r="C11" t="str">
            <v>Desrochers, Valerie</v>
          </cell>
        </row>
        <row r="12">
          <cell r="C12" t="str">
            <v>Ziemer, Manuela</v>
          </cell>
        </row>
      </sheetData>
      <sheetData sheetId="6"/>
      <sheetData sheetId="7"/>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 delete"/>
      <sheetName val="Entry Page"/>
      <sheetName val="EQ Calculator "/>
      <sheetName val="Drop Down Boxes"/>
      <sheetName val="Endt. Page"/>
      <sheetName val="Property Risk Grading"/>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OfContents"/>
      <sheetName val="List"/>
      <sheetName val="Operations"/>
      <sheetName val="CMIG_NoWriteZones"/>
      <sheetName val="Test Sheet"/>
      <sheetName val="Log"/>
      <sheetName val="Map"/>
      <sheetName val="Calculator"/>
      <sheetName val="13.CommercialPKG - Factors"/>
      <sheetName val="11.OperationClass - Factors"/>
      <sheetName val="Drops"/>
      <sheetName val="OpsSearch"/>
      <sheetName val="1.CommPkgAptRetOffChurRealty"/>
      <sheetName val="2.ContractorsPackages"/>
      <sheetName val="ChargesAdditivemultiplicative"/>
      <sheetName val="3.Home Based Business"/>
      <sheetName val="4.CommMultiplicativeDiscSur"/>
      <sheetName val="5.CommBLDGCNTSRates - Algo_Rate"/>
      <sheetName val="6.CommFloaters - Algo_Rates"/>
      <sheetName val="7.AddtlCoverage - Algo_Rates"/>
      <sheetName val="8.CommercialLiabExt - Algo_Rate"/>
      <sheetName val="9.CommIncomeExpense - Algo_Rate"/>
      <sheetName val="CyberOneDataCompromise"/>
      <sheetName val="10.FloodEarthquake - Factors"/>
      <sheetName val="12.CommCrime - Flat Factors"/>
      <sheetName val="14.CommAdditiveDisc- Factors"/>
      <sheetName val="ProfessionE&amp;O"/>
      <sheetName val="Pollution"/>
      <sheetName val="CyberOneLimts"/>
      <sheetName val="DataCompromise"/>
      <sheetName val="BuildersRisk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1">
          <cell r="A1" t="str">
            <v>Industry Code</v>
          </cell>
        </row>
        <row r="2">
          <cell r="A2">
            <v>152201</v>
          </cell>
        </row>
        <row r="3">
          <cell r="A3">
            <v>152202</v>
          </cell>
        </row>
        <row r="4">
          <cell r="A4">
            <v>162500</v>
          </cell>
        </row>
        <row r="5">
          <cell r="A5">
            <v>173102</v>
          </cell>
        </row>
        <row r="6">
          <cell r="A6">
            <v>173600</v>
          </cell>
        </row>
        <row r="7">
          <cell r="A7">
            <v>173602</v>
          </cell>
        </row>
        <row r="8">
          <cell r="A8">
            <v>357000</v>
          </cell>
        </row>
        <row r="9">
          <cell r="A9">
            <v>357100</v>
          </cell>
        </row>
        <row r="10">
          <cell r="A10">
            <v>357200</v>
          </cell>
        </row>
        <row r="11">
          <cell r="A11">
            <v>359000</v>
          </cell>
        </row>
        <row r="12">
          <cell r="A12">
            <v>369000</v>
          </cell>
        </row>
        <row r="13">
          <cell r="A13">
            <v>491000</v>
          </cell>
        </row>
        <row r="14">
          <cell r="A14">
            <v>509101</v>
          </cell>
        </row>
        <row r="15">
          <cell r="A15">
            <v>509102</v>
          </cell>
        </row>
        <row r="16">
          <cell r="A16">
            <v>509200</v>
          </cell>
        </row>
        <row r="17">
          <cell r="A17">
            <v>552300</v>
          </cell>
        </row>
        <row r="18">
          <cell r="A18">
            <v>740801</v>
          </cell>
        </row>
        <row r="19">
          <cell r="A19">
            <v>769200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12.xml"/><Relationship Id="rId21" Type="http://schemas.openxmlformats.org/officeDocument/2006/relationships/image" Target="../media/image9.emf"/><Relationship Id="rId34" Type="http://schemas.openxmlformats.org/officeDocument/2006/relationships/ctrlProp" Target="../ctrlProps/ctrlProp7.xml"/><Relationship Id="rId42" Type="http://schemas.openxmlformats.org/officeDocument/2006/relationships/ctrlProp" Target="../ctrlProps/ctrlProp15.xml"/><Relationship Id="rId47" Type="http://schemas.openxmlformats.org/officeDocument/2006/relationships/ctrlProp" Target="../ctrlProps/ctrlProp20.xml"/><Relationship Id="rId50" Type="http://schemas.openxmlformats.org/officeDocument/2006/relationships/ctrlProp" Target="../ctrlProps/ctrlProp23.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ctrlProp" Target="../ctrlProps/ctrlProp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trlProp" Target="../ctrlProps/ctrlProp5.xml"/><Relationship Id="rId37" Type="http://schemas.openxmlformats.org/officeDocument/2006/relationships/ctrlProp" Target="../ctrlProps/ctrlProp10.xml"/><Relationship Id="rId40" Type="http://schemas.openxmlformats.org/officeDocument/2006/relationships/ctrlProp" Target="../ctrlProps/ctrlProp13.xml"/><Relationship Id="rId45" Type="http://schemas.openxmlformats.org/officeDocument/2006/relationships/ctrlProp" Target="../ctrlProps/ctrlProp18.xml"/><Relationship Id="rId53" Type="http://schemas.openxmlformats.org/officeDocument/2006/relationships/ctrlProp" Target="../ctrlProps/ctrlProp2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4.xml"/><Relationship Id="rId44" Type="http://schemas.openxmlformats.org/officeDocument/2006/relationships/ctrlProp" Target="../ctrlProps/ctrlProp17.xml"/><Relationship Id="rId52" Type="http://schemas.openxmlformats.org/officeDocument/2006/relationships/ctrlProp" Target="../ctrlProps/ctrlProp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3.xml"/><Relationship Id="rId35" Type="http://schemas.openxmlformats.org/officeDocument/2006/relationships/ctrlProp" Target="../ctrlProps/ctrlProp8.xml"/><Relationship Id="rId43" Type="http://schemas.openxmlformats.org/officeDocument/2006/relationships/ctrlProp" Target="../ctrlProps/ctrlProp16.xml"/><Relationship Id="rId48" Type="http://schemas.openxmlformats.org/officeDocument/2006/relationships/ctrlProp" Target="../ctrlProps/ctrlProp21.xml"/><Relationship Id="rId8" Type="http://schemas.openxmlformats.org/officeDocument/2006/relationships/control" Target="../activeX/activeX3.xml"/><Relationship Id="rId51" Type="http://schemas.openxmlformats.org/officeDocument/2006/relationships/ctrlProp" Target="../ctrlProps/ctrlProp24.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trlProp" Target="../ctrlProps/ctrlProp6.xml"/><Relationship Id="rId38" Type="http://schemas.openxmlformats.org/officeDocument/2006/relationships/ctrlProp" Target="../ctrlProps/ctrlProp11.xml"/><Relationship Id="rId46" Type="http://schemas.openxmlformats.org/officeDocument/2006/relationships/ctrlProp" Target="../ctrlProps/ctrlProp19.xml"/><Relationship Id="rId20" Type="http://schemas.openxmlformats.org/officeDocument/2006/relationships/control" Target="../activeX/activeX9.xml"/><Relationship Id="rId41" Type="http://schemas.openxmlformats.org/officeDocument/2006/relationships/ctrlProp" Target="../ctrlProps/ctrlProp14.xml"/><Relationship Id="rId54"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1.xml"/><Relationship Id="rId36" Type="http://schemas.openxmlformats.org/officeDocument/2006/relationships/ctrlProp" Target="../ctrlProps/ctrlProp9.xml"/><Relationship Id="rId49"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37.xml"/><Relationship Id="rId18" Type="http://schemas.openxmlformats.org/officeDocument/2006/relationships/ctrlProp" Target="../ctrlProps/ctrlProp42.xml"/><Relationship Id="rId26" Type="http://schemas.openxmlformats.org/officeDocument/2006/relationships/ctrlProp" Target="../ctrlProps/ctrlProp50.xml"/><Relationship Id="rId3" Type="http://schemas.openxmlformats.org/officeDocument/2006/relationships/vmlDrawing" Target="../drawings/vmlDrawing2.vml"/><Relationship Id="rId21" Type="http://schemas.openxmlformats.org/officeDocument/2006/relationships/ctrlProp" Target="../ctrlProps/ctrlProp45.x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5" Type="http://schemas.openxmlformats.org/officeDocument/2006/relationships/ctrlProp" Target="../ctrlProps/ctrlProp49.xml"/><Relationship Id="rId33"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40.xml"/><Relationship Id="rId20" Type="http://schemas.openxmlformats.org/officeDocument/2006/relationships/ctrlProp" Target="../ctrlProps/ctrlProp44.xml"/><Relationship Id="rId29" Type="http://schemas.openxmlformats.org/officeDocument/2006/relationships/ctrlProp" Target="../ctrlProps/ctrlProp53.xml"/><Relationship Id="rId1" Type="http://schemas.openxmlformats.org/officeDocument/2006/relationships/printerSettings" Target="../printerSettings/printerSettings3.bin"/><Relationship Id="rId6" Type="http://schemas.openxmlformats.org/officeDocument/2006/relationships/ctrlProp" Target="../ctrlProps/ctrlProp30.xml"/><Relationship Id="rId11" Type="http://schemas.openxmlformats.org/officeDocument/2006/relationships/ctrlProp" Target="../ctrlProps/ctrlProp35.xml"/><Relationship Id="rId24" Type="http://schemas.openxmlformats.org/officeDocument/2006/relationships/ctrlProp" Target="../ctrlProps/ctrlProp48.xml"/><Relationship Id="rId32" Type="http://schemas.openxmlformats.org/officeDocument/2006/relationships/ctrlProp" Target="../ctrlProps/ctrlProp56.xml"/><Relationship Id="rId5" Type="http://schemas.openxmlformats.org/officeDocument/2006/relationships/ctrlProp" Target="../ctrlProps/ctrlProp29.xml"/><Relationship Id="rId15" Type="http://schemas.openxmlformats.org/officeDocument/2006/relationships/ctrlProp" Target="../ctrlProps/ctrlProp39.xml"/><Relationship Id="rId23" Type="http://schemas.openxmlformats.org/officeDocument/2006/relationships/ctrlProp" Target="../ctrlProps/ctrlProp47.xml"/><Relationship Id="rId28" Type="http://schemas.openxmlformats.org/officeDocument/2006/relationships/ctrlProp" Target="../ctrlProps/ctrlProp52.xml"/><Relationship Id="rId10" Type="http://schemas.openxmlformats.org/officeDocument/2006/relationships/ctrlProp" Target="../ctrlProps/ctrlProp34.xml"/><Relationship Id="rId19" Type="http://schemas.openxmlformats.org/officeDocument/2006/relationships/ctrlProp" Target="../ctrlProps/ctrlProp43.xml"/><Relationship Id="rId31" Type="http://schemas.openxmlformats.org/officeDocument/2006/relationships/ctrlProp" Target="../ctrlProps/ctrlProp55.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 Id="rId22" Type="http://schemas.openxmlformats.org/officeDocument/2006/relationships/ctrlProp" Target="../ctrlProps/ctrlProp46.xml"/><Relationship Id="rId27" Type="http://schemas.openxmlformats.org/officeDocument/2006/relationships/ctrlProp" Target="../ctrlProps/ctrlProp51.xml"/><Relationship Id="rId30" Type="http://schemas.openxmlformats.org/officeDocument/2006/relationships/ctrlProp" Target="../ctrlProps/ctrlProp54.xml"/><Relationship Id="rId8"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3" Type="http://schemas.openxmlformats.org/officeDocument/2006/relationships/vmlDrawing" Target="../drawings/vmlDrawing3.vml"/><Relationship Id="rId21" Type="http://schemas.openxmlformats.org/officeDocument/2006/relationships/ctrlProp" Target="../ctrlProps/ctrlProp75.x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4.xml"/><Relationship Id="rId16" Type="http://schemas.openxmlformats.org/officeDocument/2006/relationships/ctrlProp" Target="../ctrlProps/ctrlProp70.xml"/><Relationship Id="rId20" Type="http://schemas.openxmlformats.org/officeDocument/2006/relationships/ctrlProp" Target="../ctrlProps/ctrlProp74.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10" Type="http://schemas.openxmlformats.org/officeDocument/2006/relationships/ctrlProp" Target="../ctrlProps/ctrlProp64.xml"/><Relationship Id="rId19" Type="http://schemas.openxmlformats.org/officeDocument/2006/relationships/ctrlProp" Target="../ctrlProps/ctrlProp73.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88.xml"/><Relationship Id="rId18" Type="http://schemas.openxmlformats.org/officeDocument/2006/relationships/ctrlProp" Target="../ctrlProps/ctrlProp93.xml"/><Relationship Id="rId26" Type="http://schemas.openxmlformats.org/officeDocument/2006/relationships/ctrlProp" Target="../ctrlProps/ctrlProp101.xml"/><Relationship Id="rId39" Type="http://schemas.openxmlformats.org/officeDocument/2006/relationships/ctrlProp" Target="../ctrlProps/ctrlProp114.xml"/><Relationship Id="rId21" Type="http://schemas.openxmlformats.org/officeDocument/2006/relationships/ctrlProp" Target="../ctrlProps/ctrlProp96.xml"/><Relationship Id="rId34" Type="http://schemas.openxmlformats.org/officeDocument/2006/relationships/ctrlProp" Target="../ctrlProps/ctrlProp109.xml"/><Relationship Id="rId42" Type="http://schemas.openxmlformats.org/officeDocument/2006/relationships/ctrlProp" Target="../ctrlProps/ctrlProp117.xml"/><Relationship Id="rId47" Type="http://schemas.openxmlformats.org/officeDocument/2006/relationships/ctrlProp" Target="../ctrlProps/ctrlProp122.xml"/><Relationship Id="rId7" Type="http://schemas.openxmlformats.org/officeDocument/2006/relationships/ctrlProp" Target="../ctrlProps/ctrlProp82.xml"/><Relationship Id="rId2" Type="http://schemas.openxmlformats.org/officeDocument/2006/relationships/drawing" Target="../drawings/drawing5.xml"/><Relationship Id="rId16" Type="http://schemas.openxmlformats.org/officeDocument/2006/relationships/ctrlProp" Target="../ctrlProps/ctrlProp91.xml"/><Relationship Id="rId29" Type="http://schemas.openxmlformats.org/officeDocument/2006/relationships/ctrlProp" Target="../ctrlProps/ctrlProp104.xml"/><Relationship Id="rId1" Type="http://schemas.openxmlformats.org/officeDocument/2006/relationships/printerSettings" Target="../printerSettings/printerSettings6.bin"/><Relationship Id="rId6" Type="http://schemas.openxmlformats.org/officeDocument/2006/relationships/ctrlProp" Target="../ctrlProps/ctrlProp81.xml"/><Relationship Id="rId11" Type="http://schemas.openxmlformats.org/officeDocument/2006/relationships/ctrlProp" Target="../ctrlProps/ctrlProp86.xml"/><Relationship Id="rId24" Type="http://schemas.openxmlformats.org/officeDocument/2006/relationships/ctrlProp" Target="../ctrlProps/ctrlProp99.xml"/><Relationship Id="rId32" Type="http://schemas.openxmlformats.org/officeDocument/2006/relationships/ctrlProp" Target="../ctrlProps/ctrlProp107.xml"/><Relationship Id="rId37" Type="http://schemas.openxmlformats.org/officeDocument/2006/relationships/ctrlProp" Target="../ctrlProps/ctrlProp112.xml"/><Relationship Id="rId40" Type="http://schemas.openxmlformats.org/officeDocument/2006/relationships/ctrlProp" Target="../ctrlProps/ctrlProp115.xml"/><Relationship Id="rId45" Type="http://schemas.openxmlformats.org/officeDocument/2006/relationships/ctrlProp" Target="../ctrlProps/ctrlProp120.xml"/><Relationship Id="rId5" Type="http://schemas.openxmlformats.org/officeDocument/2006/relationships/ctrlProp" Target="../ctrlProps/ctrlProp80.xml"/><Relationship Id="rId15" Type="http://schemas.openxmlformats.org/officeDocument/2006/relationships/ctrlProp" Target="../ctrlProps/ctrlProp90.xml"/><Relationship Id="rId23" Type="http://schemas.openxmlformats.org/officeDocument/2006/relationships/ctrlProp" Target="../ctrlProps/ctrlProp98.xml"/><Relationship Id="rId28" Type="http://schemas.openxmlformats.org/officeDocument/2006/relationships/ctrlProp" Target="../ctrlProps/ctrlProp103.xml"/><Relationship Id="rId36" Type="http://schemas.openxmlformats.org/officeDocument/2006/relationships/ctrlProp" Target="../ctrlProps/ctrlProp111.xml"/><Relationship Id="rId10" Type="http://schemas.openxmlformats.org/officeDocument/2006/relationships/ctrlProp" Target="../ctrlProps/ctrlProp85.xml"/><Relationship Id="rId19" Type="http://schemas.openxmlformats.org/officeDocument/2006/relationships/ctrlProp" Target="../ctrlProps/ctrlProp94.xml"/><Relationship Id="rId31" Type="http://schemas.openxmlformats.org/officeDocument/2006/relationships/ctrlProp" Target="../ctrlProps/ctrlProp106.xml"/><Relationship Id="rId44" Type="http://schemas.openxmlformats.org/officeDocument/2006/relationships/ctrlProp" Target="../ctrlProps/ctrlProp119.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 Id="rId22" Type="http://schemas.openxmlformats.org/officeDocument/2006/relationships/ctrlProp" Target="../ctrlProps/ctrlProp97.xml"/><Relationship Id="rId27" Type="http://schemas.openxmlformats.org/officeDocument/2006/relationships/ctrlProp" Target="../ctrlProps/ctrlProp102.xml"/><Relationship Id="rId30" Type="http://schemas.openxmlformats.org/officeDocument/2006/relationships/ctrlProp" Target="../ctrlProps/ctrlProp105.xml"/><Relationship Id="rId35" Type="http://schemas.openxmlformats.org/officeDocument/2006/relationships/ctrlProp" Target="../ctrlProps/ctrlProp110.xml"/><Relationship Id="rId43" Type="http://schemas.openxmlformats.org/officeDocument/2006/relationships/ctrlProp" Target="../ctrlProps/ctrlProp118.xml"/><Relationship Id="rId8" Type="http://schemas.openxmlformats.org/officeDocument/2006/relationships/ctrlProp" Target="../ctrlProps/ctrlProp83.xml"/><Relationship Id="rId3" Type="http://schemas.openxmlformats.org/officeDocument/2006/relationships/vmlDrawing" Target="../drawings/vmlDrawing4.vml"/><Relationship Id="rId12" Type="http://schemas.openxmlformats.org/officeDocument/2006/relationships/ctrlProp" Target="../ctrlProps/ctrlProp87.xml"/><Relationship Id="rId17" Type="http://schemas.openxmlformats.org/officeDocument/2006/relationships/ctrlProp" Target="../ctrlProps/ctrlProp92.xml"/><Relationship Id="rId25" Type="http://schemas.openxmlformats.org/officeDocument/2006/relationships/ctrlProp" Target="../ctrlProps/ctrlProp100.xml"/><Relationship Id="rId33" Type="http://schemas.openxmlformats.org/officeDocument/2006/relationships/ctrlProp" Target="../ctrlProps/ctrlProp108.xml"/><Relationship Id="rId38" Type="http://schemas.openxmlformats.org/officeDocument/2006/relationships/ctrlProp" Target="../ctrlProps/ctrlProp113.xml"/><Relationship Id="rId46" Type="http://schemas.openxmlformats.org/officeDocument/2006/relationships/ctrlProp" Target="../ctrlProps/ctrlProp121.xml"/><Relationship Id="rId20" Type="http://schemas.openxmlformats.org/officeDocument/2006/relationships/ctrlProp" Target="../ctrlProps/ctrlProp95.xml"/><Relationship Id="rId41" Type="http://schemas.openxmlformats.org/officeDocument/2006/relationships/ctrlProp" Target="../ctrlProps/ctrlProp116.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132.xml"/><Relationship Id="rId18" Type="http://schemas.openxmlformats.org/officeDocument/2006/relationships/ctrlProp" Target="../ctrlProps/ctrlProp137.xml"/><Relationship Id="rId26" Type="http://schemas.openxmlformats.org/officeDocument/2006/relationships/ctrlProp" Target="../ctrlProps/ctrlProp145.xml"/><Relationship Id="rId39" Type="http://schemas.openxmlformats.org/officeDocument/2006/relationships/ctrlProp" Target="../ctrlProps/ctrlProp158.xml"/><Relationship Id="rId21" Type="http://schemas.openxmlformats.org/officeDocument/2006/relationships/ctrlProp" Target="../ctrlProps/ctrlProp140.xml"/><Relationship Id="rId34" Type="http://schemas.openxmlformats.org/officeDocument/2006/relationships/ctrlProp" Target="../ctrlProps/ctrlProp153.xml"/><Relationship Id="rId42" Type="http://schemas.openxmlformats.org/officeDocument/2006/relationships/ctrlProp" Target="../ctrlProps/ctrlProp161.xml"/><Relationship Id="rId47" Type="http://schemas.openxmlformats.org/officeDocument/2006/relationships/ctrlProp" Target="../ctrlProps/ctrlProp166.xml"/><Relationship Id="rId50" Type="http://schemas.openxmlformats.org/officeDocument/2006/relationships/ctrlProp" Target="../ctrlProps/ctrlProp169.xml"/><Relationship Id="rId55" Type="http://schemas.openxmlformats.org/officeDocument/2006/relationships/ctrlProp" Target="../ctrlProps/ctrlProp174.xml"/><Relationship Id="rId7" Type="http://schemas.openxmlformats.org/officeDocument/2006/relationships/ctrlProp" Target="../ctrlProps/ctrlProp126.xml"/><Relationship Id="rId2" Type="http://schemas.openxmlformats.org/officeDocument/2006/relationships/drawing" Target="../drawings/drawing6.xml"/><Relationship Id="rId16" Type="http://schemas.openxmlformats.org/officeDocument/2006/relationships/ctrlProp" Target="../ctrlProps/ctrlProp135.xml"/><Relationship Id="rId29" Type="http://schemas.openxmlformats.org/officeDocument/2006/relationships/ctrlProp" Target="../ctrlProps/ctrlProp148.xml"/><Relationship Id="rId11" Type="http://schemas.openxmlformats.org/officeDocument/2006/relationships/ctrlProp" Target="../ctrlProps/ctrlProp130.xml"/><Relationship Id="rId24" Type="http://schemas.openxmlformats.org/officeDocument/2006/relationships/ctrlProp" Target="../ctrlProps/ctrlProp143.xml"/><Relationship Id="rId32" Type="http://schemas.openxmlformats.org/officeDocument/2006/relationships/ctrlProp" Target="../ctrlProps/ctrlProp151.xml"/><Relationship Id="rId37" Type="http://schemas.openxmlformats.org/officeDocument/2006/relationships/ctrlProp" Target="../ctrlProps/ctrlProp156.xml"/><Relationship Id="rId40" Type="http://schemas.openxmlformats.org/officeDocument/2006/relationships/ctrlProp" Target="../ctrlProps/ctrlProp159.xml"/><Relationship Id="rId45" Type="http://schemas.openxmlformats.org/officeDocument/2006/relationships/ctrlProp" Target="../ctrlProps/ctrlProp164.xml"/><Relationship Id="rId53" Type="http://schemas.openxmlformats.org/officeDocument/2006/relationships/ctrlProp" Target="../ctrlProps/ctrlProp172.xml"/><Relationship Id="rId5" Type="http://schemas.openxmlformats.org/officeDocument/2006/relationships/ctrlProp" Target="../ctrlProps/ctrlProp124.xml"/><Relationship Id="rId19" Type="http://schemas.openxmlformats.org/officeDocument/2006/relationships/ctrlProp" Target="../ctrlProps/ctrlProp138.xml"/><Relationship Id="rId4" Type="http://schemas.openxmlformats.org/officeDocument/2006/relationships/ctrlProp" Target="../ctrlProps/ctrlProp123.xml"/><Relationship Id="rId9" Type="http://schemas.openxmlformats.org/officeDocument/2006/relationships/ctrlProp" Target="../ctrlProps/ctrlProp12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 Id="rId30" Type="http://schemas.openxmlformats.org/officeDocument/2006/relationships/ctrlProp" Target="../ctrlProps/ctrlProp149.xml"/><Relationship Id="rId35" Type="http://schemas.openxmlformats.org/officeDocument/2006/relationships/ctrlProp" Target="../ctrlProps/ctrlProp154.xml"/><Relationship Id="rId43" Type="http://schemas.openxmlformats.org/officeDocument/2006/relationships/ctrlProp" Target="../ctrlProps/ctrlProp162.xml"/><Relationship Id="rId48" Type="http://schemas.openxmlformats.org/officeDocument/2006/relationships/ctrlProp" Target="../ctrlProps/ctrlProp167.xml"/><Relationship Id="rId56" Type="http://schemas.openxmlformats.org/officeDocument/2006/relationships/ctrlProp" Target="../ctrlProps/ctrlProp175.xml"/><Relationship Id="rId8" Type="http://schemas.openxmlformats.org/officeDocument/2006/relationships/ctrlProp" Target="../ctrlProps/ctrlProp127.xml"/><Relationship Id="rId51" Type="http://schemas.openxmlformats.org/officeDocument/2006/relationships/ctrlProp" Target="../ctrlProps/ctrlProp170.xml"/><Relationship Id="rId3" Type="http://schemas.openxmlformats.org/officeDocument/2006/relationships/vmlDrawing" Target="../drawings/vmlDrawing5.v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1" Type="http://schemas.openxmlformats.org/officeDocument/2006/relationships/printerSettings" Target="../printerSettings/printerSettings7.bin"/><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07943-9B04-44BD-8FB8-780383C030B5}">
  <dimension ref="A1:D33"/>
  <sheetViews>
    <sheetView workbookViewId="0">
      <selection activeCell="C5" sqref="C5"/>
    </sheetView>
  </sheetViews>
  <sheetFormatPr defaultRowHeight="15"/>
  <cols>
    <col min="1" max="1" width="12.42578125" style="1711" customWidth="1"/>
    <col min="2" max="2" width="102.42578125" style="1711" customWidth="1"/>
    <col min="3" max="3" width="32.42578125" style="1711" customWidth="1"/>
    <col min="4" max="4" width="37.7109375" style="1711" customWidth="1"/>
    <col min="5" max="16384" width="9.140625" style="1711"/>
  </cols>
  <sheetData>
    <row r="1" spans="1:4" ht="21">
      <c r="A1" s="3635" t="s">
        <v>5364</v>
      </c>
    </row>
    <row r="4" spans="1:4" ht="15.75" thickBot="1">
      <c r="A4" s="3345" t="s">
        <v>4402</v>
      </c>
      <c r="B4" s="3345" t="s">
        <v>5365</v>
      </c>
      <c r="C4" s="3345" t="s">
        <v>5366</v>
      </c>
      <c r="D4" s="3345" t="s">
        <v>5367</v>
      </c>
    </row>
    <row r="5" spans="1:4" s="3639" customFormat="1" ht="30.75" thickTop="1">
      <c r="A5" s="3636">
        <v>44765</v>
      </c>
      <c r="B5" s="3637" t="s">
        <v>5368</v>
      </c>
      <c r="C5" s="3638" t="s">
        <v>3805</v>
      </c>
      <c r="D5" s="3638" t="s">
        <v>3805</v>
      </c>
    </row>
    <row r="6" spans="1:4" s="3639" customFormat="1">
      <c r="A6" s="3640"/>
      <c r="B6" s="3640"/>
      <c r="C6" s="3640"/>
      <c r="D6" s="3640"/>
    </row>
    <row r="7" spans="1:4" s="3639" customFormat="1">
      <c r="A7" s="3640"/>
      <c r="B7" s="3640"/>
      <c r="C7" s="3640"/>
      <c r="D7" s="3640"/>
    </row>
    <row r="8" spans="1:4" s="3639" customFormat="1">
      <c r="A8" s="3640"/>
      <c r="B8" s="3640"/>
      <c r="C8" s="3640"/>
      <c r="D8" s="3640"/>
    </row>
    <row r="9" spans="1:4" s="3639" customFormat="1">
      <c r="A9" s="3640"/>
      <c r="B9" s="3640"/>
      <c r="C9" s="3640"/>
      <c r="D9" s="3640"/>
    </row>
    <row r="10" spans="1:4" s="3639" customFormat="1">
      <c r="A10" s="3640"/>
      <c r="B10" s="3640"/>
      <c r="C10" s="3640"/>
      <c r="D10" s="3640"/>
    </row>
    <row r="11" spans="1:4" s="3639" customFormat="1">
      <c r="A11" s="3640"/>
      <c r="B11" s="3640"/>
      <c r="C11" s="3640"/>
      <c r="D11" s="3640"/>
    </row>
    <row r="12" spans="1:4" s="3639" customFormat="1">
      <c r="A12" s="3640"/>
      <c r="B12" s="3640"/>
      <c r="C12" s="3640"/>
      <c r="D12" s="3640"/>
    </row>
    <row r="13" spans="1:4" s="3639" customFormat="1">
      <c r="A13" s="3640"/>
      <c r="B13" s="3640"/>
      <c r="C13" s="3640"/>
      <c r="D13" s="3640"/>
    </row>
    <row r="14" spans="1:4" s="3639" customFormat="1">
      <c r="A14" s="3640"/>
      <c r="B14" s="3640"/>
      <c r="C14" s="3640"/>
      <c r="D14" s="3640"/>
    </row>
    <row r="15" spans="1:4" s="3639" customFormat="1">
      <c r="A15" s="3640"/>
      <c r="B15" s="3640"/>
      <c r="C15" s="3640"/>
      <c r="D15" s="3640"/>
    </row>
    <row r="16" spans="1:4" s="3639" customFormat="1">
      <c r="A16" s="3640"/>
      <c r="B16" s="3640"/>
      <c r="C16" s="3640"/>
      <c r="D16" s="3640"/>
    </row>
    <row r="17" spans="1:4" s="3639" customFormat="1">
      <c r="A17" s="3640"/>
      <c r="B17" s="3640"/>
      <c r="C17" s="3640"/>
      <c r="D17" s="3640"/>
    </row>
    <row r="18" spans="1:4" s="3639" customFormat="1">
      <c r="A18" s="3640"/>
      <c r="B18" s="3640"/>
      <c r="C18" s="3640"/>
      <c r="D18" s="3640"/>
    </row>
    <row r="19" spans="1:4" s="3639" customFormat="1">
      <c r="A19" s="3640"/>
      <c r="B19" s="3640"/>
      <c r="C19" s="3640"/>
      <c r="D19" s="3640"/>
    </row>
    <row r="20" spans="1:4" s="3639" customFormat="1">
      <c r="A20" s="3640"/>
      <c r="B20" s="3640"/>
      <c r="C20" s="3640"/>
      <c r="D20" s="3640"/>
    </row>
    <row r="21" spans="1:4" s="3639" customFormat="1">
      <c r="A21" s="3640"/>
      <c r="B21" s="3640"/>
      <c r="C21" s="3640"/>
      <c r="D21" s="3640"/>
    </row>
    <row r="22" spans="1:4" s="3639" customFormat="1">
      <c r="A22" s="3640"/>
      <c r="B22" s="3640"/>
      <c r="C22" s="3640"/>
      <c r="D22" s="3640"/>
    </row>
    <row r="23" spans="1:4" s="3639" customFormat="1">
      <c r="A23" s="3640"/>
      <c r="B23" s="3640"/>
      <c r="C23" s="3640"/>
      <c r="D23" s="3640"/>
    </row>
    <row r="24" spans="1:4" s="3639" customFormat="1">
      <c r="A24" s="3640"/>
      <c r="B24" s="3640"/>
      <c r="C24" s="3640"/>
      <c r="D24" s="3640"/>
    </row>
    <row r="25" spans="1:4" s="3639" customFormat="1">
      <c r="A25" s="3641"/>
      <c r="B25" s="3641"/>
      <c r="C25" s="3641"/>
      <c r="D25" s="3641"/>
    </row>
    <row r="26" spans="1:4" s="3639" customFormat="1"/>
    <row r="27" spans="1:4" s="3639" customFormat="1"/>
    <row r="28" spans="1:4" s="3639" customFormat="1"/>
    <row r="29" spans="1:4" s="3639" customFormat="1"/>
    <row r="30" spans="1:4" s="3639" customFormat="1"/>
    <row r="31" spans="1:4" s="3639" customFormat="1"/>
    <row r="32" spans="1:4" s="3639" customFormat="1"/>
    <row r="33" s="3639" customForma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BB288-B5CB-454B-97A9-1757838D15F5}">
  <sheetPr codeName="Sheet58">
    <tabColor rgb="FFFFC000"/>
  </sheetPr>
  <dimension ref="A1:AS333"/>
  <sheetViews>
    <sheetView showGridLines="0" tabSelected="1" topLeftCell="A25" zoomScale="115" zoomScaleNormal="115" workbookViewId="0">
      <selection activeCell="A33" sqref="A33"/>
    </sheetView>
  </sheetViews>
  <sheetFormatPr defaultRowHeight="15" outlineLevelCol="1"/>
  <cols>
    <col min="1" max="1" width="24" style="423" customWidth="1"/>
    <col min="2" max="2" width="74.85546875" style="1711" customWidth="1"/>
    <col min="3" max="3" width="12.42578125" style="3331" customWidth="1"/>
    <col min="4" max="4" width="3.85546875" style="3332" customWidth="1"/>
    <col min="5" max="6" width="53.140625" style="1711" customWidth="1"/>
    <col min="7" max="7" width="38.85546875" style="1711" customWidth="1"/>
    <col min="8" max="8" width="18" style="569" customWidth="1"/>
    <col min="9" max="9" width="15.5703125" style="569" customWidth="1"/>
    <col min="10" max="10" width="10.140625" style="569" customWidth="1"/>
    <col min="11" max="11" width="9.85546875" style="569" customWidth="1"/>
    <col min="12" max="12" width="11.28515625" style="569" customWidth="1"/>
    <col min="13" max="14" width="9.140625" style="1711" customWidth="1"/>
    <col min="15" max="15" width="15.5703125" style="3332" customWidth="1" outlineLevel="1"/>
    <col min="16" max="16" width="12" style="1711" customWidth="1" outlineLevel="1"/>
    <col min="17" max="17" width="41.140625" style="1711" customWidth="1" outlineLevel="1"/>
    <col min="18" max="18" width="46" style="1711" customWidth="1" outlineLevel="1"/>
    <col min="19" max="19" width="17.28515625" style="1711" customWidth="1" outlineLevel="1"/>
    <col min="20" max="20" width="21.7109375" style="1711" customWidth="1" outlineLevel="1"/>
    <col min="21" max="21" width="9.140625" style="1711" customWidth="1" outlineLevel="1" collapsed="1"/>
    <col min="22" max="23" width="9.140625" style="1711" customWidth="1" outlineLevel="1"/>
    <col min="24" max="27" width="9.140625" style="1711" hidden="1" customWidth="1" outlineLevel="1"/>
    <col min="28" max="28" width="9.140625" style="1711" customWidth="1" outlineLevel="1"/>
    <col min="29" max="29" width="54.140625" style="3332" customWidth="1"/>
    <col min="30" max="30" width="12.140625" style="3331" customWidth="1"/>
    <col min="31" max="31" width="42.5703125" style="3332" customWidth="1"/>
    <col min="32" max="32" width="47.5703125" style="1711" customWidth="1"/>
    <col min="33" max="33" width="29.5703125" style="3335" customWidth="1"/>
    <col min="34" max="34" width="9.42578125" style="1711" customWidth="1" outlineLevel="1"/>
    <col min="35" max="35" width="46.42578125" style="1711" customWidth="1" outlineLevel="1"/>
    <col min="36" max="36" width="27.5703125" style="3336" customWidth="1" outlineLevel="1"/>
    <col min="37" max="37" width="27.5703125" style="3335" customWidth="1" outlineLevel="1"/>
    <col min="38" max="45" width="9.140625" style="1711" customWidth="1" outlineLevel="1"/>
    <col min="46" max="16384" width="9.140625" style="1711"/>
  </cols>
  <sheetData>
    <row r="1" spans="1:38" s="3324" customFormat="1" ht="23.25">
      <c r="A1" s="3312"/>
      <c r="B1" s="3313" t="s">
        <v>4533</v>
      </c>
      <c r="C1" s="3314"/>
      <c r="D1" s="3315" t="s">
        <v>4534</v>
      </c>
      <c r="E1" s="3316"/>
      <c r="F1" s="3316"/>
      <c r="G1" s="3316"/>
      <c r="H1" s="3317"/>
      <c r="I1" s="3317"/>
      <c r="J1" s="3317"/>
      <c r="K1" s="3317"/>
      <c r="L1" s="3317"/>
      <c r="M1" s="3316"/>
      <c r="N1" s="3316"/>
      <c r="O1" s="3318" t="s">
        <v>4535</v>
      </c>
      <c r="P1" s="3319"/>
      <c r="Q1" s="3319"/>
      <c r="R1" s="3319"/>
      <c r="S1" s="3319"/>
      <c r="T1" s="3319"/>
      <c r="U1" s="3319"/>
      <c r="V1" s="3319"/>
      <c r="W1" s="3319"/>
      <c r="X1" s="3319"/>
      <c r="Y1" s="3319"/>
      <c r="Z1" s="3319"/>
      <c r="AA1" s="3319"/>
      <c r="AB1" s="3319"/>
      <c r="AC1" s="3320" t="s">
        <v>4536</v>
      </c>
      <c r="AD1" s="3462"/>
      <c r="AE1" s="3321" t="s">
        <v>4537</v>
      </c>
      <c r="AF1" s="3322"/>
      <c r="AG1" s="3323"/>
      <c r="AH1" s="3324" t="s">
        <v>4538</v>
      </c>
      <c r="AJ1" s="3325"/>
      <c r="AK1" s="3326"/>
    </row>
    <row r="2" spans="1:38" s="3330" customFormat="1" ht="30.75" customHeight="1" thickBot="1">
      <c r="A2" s="3327"/>
      <c r="B2" s="3504" t="s">
        <v>4539</v>
      </c>
      <c r="C2" s="3505"/>
      <c r="D2" s="3506" t="s">
        <v>4540</v>
      </c>
      <c r="E2" s="3507"/>
      <c r="F2" s="3507"/>
      <c r="G2" s="3507"/>
      <c r="H2" s="3507"/>
      <c r="I2" s="3507"/>
      <c r="J2" s="3507"/>
      <c r="K2" s="3507"/>
      <c r="L2" s="3507"/>
      <c r="M2" s="3507"/>
      <c r="N2" s="3507"/>
      <c r="O2" s="3328" t="s">
        <v>4541</v>
      </c>
      <c r="P2" s="3329"/>
      <c r="Q2" s="3329"/>
      <c r="R2" s="3329"/>
      <c r="S2" s="3329"/>
      <c r="T2" s="3329"/>
      <c r="U2" s="3329"/>
      <c r="V2" s="3329"/>
      <c r="W2" s="3329"/>
      <c r="X2" s="3329"/>
      <c r="Y2" s="3329"/>
      <c r="Z2" s="3329"/>
      <c r="AA2" s="3329"/>
      <c r="AB2" s="3329"/>
      <c r="AC2" s="3508" t="s">
        <v>4542</v>
      </c>
      <c r="AD2" s="3509"/>
      <c r="AE2" s="3510" t="s">
        <v>4543</v>
      </c>
      <c r="AF2" s="3511"/>
      <c r="AG2" s="3512"/>
      <c r="AH2" s="3498" t="s">
        <v>4544</v>
      </c>
      <c r="AI2" s="3499"/>
      <c r="AJ2" s="3499"/>
      <c r="AK2" s="3500"/>
    </row>
    <row r="4" spans="1:38">
      <c r="E4" s="395" t="s">
        <v>4545</v>
      </c>
      <c r="F4" s="395"/>
      <c r="G4" s="3333" t="e">
        <f>SUM($J$9:$J$304)</f>
        <v>#N/A</v>
      </c>
      <c r="H4" s="718" t="s">
        <v>4546</v>
      </c>
      <c r="I4" s="423" t="e">
        <f>IF(G4=0,"Quote",IF(G5=0,"Refer","Decline"))</f>
        <v>#N/A</v>
      </c>
      <c r="O4" s="3334" t="s">
        <v>5152</v>
      </c>
    </row>
    <row r="5" spans="1:38" ht="17.25" thickBot="1">
      <c r="A5" s="3337"/>
      <c r="B5" s="3338" t="s">
        <v>4547</v>
      </c>
      <c r="C5" s="3339" t="s">
        <v>4548</v>
      </c>
      <c r="E5" s="395" t="s">
        <v>4549</v>
      </c>
      <c r="F5" s="395"/>
      <c r="G5" s="423" t="e">
        <f>SUM($L$9:$L$204)</f>
        <v>#N/A</v>
      </c>
      <c r="H5" s="718" t="s">
        <v>4550</v>
      </c>
      <c r="I5" s="3501" t="str" cm="1">
        <f t="array" ref="I5">IFERROR(INDEX($M$9:$M$100,MATCH(TRUE,$M$9:$M$100&lt;&gt;"",0)),"")</f>
        <v>Previous claims</v>
      </c>
      <c r="J5" s="3501"/>
      <c r="K5" s="3501"/>
      <c r="L5" s="3501"/>
      <c r="M5" s="3501"/>
      <c r="N5" s="3502"/>
      <c r="O5" s="3341" t="s">
        <v>5126</v>
      </c>
      <c r="P5" s="3342" t="s">
        <v>4551</v>
      </c>
      <c r="Q5" s="3342" t="s">
        <v>4552</v>
      </c>
      <c r="R5" s="3342" t="s">
        <v>5153</v>
      </c>
      <c r="T5" s="3342" t="s">
        <v>5326</v>
      </c>
      <c r="U5" s="3491" t="s">
        <v>5327</v>
      </c>
      <c r="AC5" s="3343" t="s">
        <v>4547</v>
      </c>
      <c r="AD5" s="3344" t="s">
        <v>4548</v>
      </c>
      <c r="AE5" s="3343" t="s">
        <v>3829</v>
      </c>
      <c r="AF5" s="3345"/>
      <c r="AG5" s="3344" t="s">
        <v>4548</v>
      </c>
      <c r="AH5" s="1711" t="s">
        <v>4553</v>
      </c>
      <c r="AI5" s="1711" t="s">
        <v>4554</v>
      </c>
      <c r="AJ5" s="3346" t="s">
        <v>4555</v>
      </c>
      <c r="AK5" s="3335" t="s">
        <v>4556</v>
      </c>
    </row>
    <row r="6" spans="1:38" ht="17.25" thickTop="1">
      <c r="A6" s="423" t="s">
        <v>4557</v>
      </c>
      <c r="B6" s="3347" t="s">
        <v>4558</v>
      </c>
      <c r="C6" s="3348"/>
      <c r="E6" s="1711" t="s">
        <v>4560</v>
      </c>
      <c r="F6" s="395" t="e">
        <f>IF(I4="Quote","",IF(I4="Refer",I6,IF(I4="Decline",I5,"")))</f>
        <v>#N/A</v>
      </c>
      <c r="H6" s="718" t="s">
        <v>4561</v>
      </c>
      <c r="I6" s="3501" t="str" cm="1">
        <f t="array" aca="1" ref="I6" ca="1">IFERROR(INDEX($N$9:$N$100,MATCH(TRUE,$N$9:$N$100&lt;&gt;"",0)),"")</f>
        <v>Not enough experience</v>
      </c>
      <c r="J6" s="3501"/>
      <c r="K6" s="3501"/>
      <c r="L6" s="3501"/>
      <c r="M6" s="3501"/>
      <c r="N6" s="3502"/>
      <c r="O6" s="3332">
        <v>73500</v>
      </c>
      <c r="P6" s="1711">
        <v>735</v>
      </c>
      <c r="Q6" s="1711" t="s">
        <v>220</v>
      </c>
      <c r="R6" s="1711" t="s">
        <v>5128</v>
      </c>
      <c r="T6" s="1711">
        <v>173101</v>
      </c>
      <c r="AC6" s="3349" t="s">
        <v>4577</v>
      </c>
      <c r="AD6" s="3351">
        <f>C6</f>
        <v>0</v>
      </c>
      <c r="AE6" s="3349" t="s">
        <v>4563</v>
      </c>
      <c r="AF6" s="3350"/>
      <c r="AG6" s="3351" t="s">
        <v>5219</v>
      </c>
    </row>
    <row r="7" spans="1:38">
      <c r="A7" s="3453" t="s">
        <v>5354</v>
      </c>
      <c r="B7" s="3495" t="s">
        <v>5348</v>
      </c>
      <c r="C7" s="3496"/>
      <c r="E7" s="395"/>
      <c r="F7" s="395"/>
      <c r="G7" s="423"/>
      <c r="K7" s="718"/>
      <c r="M7" s="423"/>
      <c r="O7" s="3332">
        <v>73600</v>
      </c>
      <c r="P7" s="1711">
        <v>736</v>
      </c>
      <c r="Q7" s="1711" t="s">
        <v>218</v>
      </c>
      <c r="R7" s="1711" t="s">
        <v>218</v>
      </c>
      <c r="T7" s="1711">
        <v>173200</v>
      </c>
      <c r="AC7" s="3419" t="s">
        <v>5156</v>
      </c>
      <c r="AD7" s="3421">
        <f>C18</f>
        <v>0</v>
      </c>
      <c r="AE7" s="3349" t="s">
        <v>4555</v>
      </c>
      <c r="AF7" s="1711" t="s">
        <v>4565</v>
      </c>
      <c r="AG7" s="3353" t="e">
        <f>I4</f>
        <v>#N/A</v>
      </c>
      <c r="AH7" s="1711">
        <v>1</v>
      </c>
      <c r="AI7" s="1711" t="s">
        <v>4565</v>
      </c>
      <c r="AJ7" s="3346" t="str">
        <f t="shared" ref="AJ7:AJ12" si="0">IFERROR(VLOOKUP(AI7,$AF$6:$AG$824,2,FALSE),"")</f>
        <v/>
      </c>
      <c r="AL7" s="3474" t="str">
        <f t="shared" ref="AL7:AL70" si="1">IF(ISERROR(VLOOKUP(AI7,$AF$6:$AF$971,1,FALSE))=TRUE,AI7,"")</f>
        <v/>
      </c>
    </row>
    <row r="8" spans="1:38" ht="30.75" thickBot="1">
      <c r="A8" s="3453" t="s">
        <v>5355</v>
      </c>
      <c r="B8" s="3495" t="s">
        <v>5356</v>
      </c>
      <c r="C8" s="3496"/>
      <c r="D8" s="3503" t="s">
        <v>4567</v>
      </c>
      <c r="E8" s="3503"/>
      <c r="F8" s="3354" t="s">
        <v>4568</v>
      </c>
      <c r="G8" s="3355" t="s">
        <v>4569</v>
      </c>
      <c r="H8" s="3356" t="s">
        <v>4570</v>
      </c>
      <c r="I8" s="3356" t="s">
        <v>4571</v>
      </c>
      <c r="J8" s="3356" t="s">
        <v>4572</v>
      </c>
      <c r="K8" s="3356" t="s">
        <v>4573</v>
      </c>
      <c r="L8" s="3356" t="s">
        <v>4574</v>
      </c>
      <c r="M8" s="3356" t="s">
        <v>4575</v>
      </c>
      <c r="N8" s="3356" t="s">
        <v>4576</v>
      </c>
      <c r="O8" s="3332">
        <v>151200</v>
      </c>
      <c r="P8" s="1711">
        <v>1512</v>
      </c>
      <c r="Q8" s="1711" t="s">
        <v>214</v>
      </c>
      <c r="R8" s="1711" t="s">
        <v>5129</v>
      </c>
      <c r="T8" s="1711">
        <v>173600</v>
      </c>
      <c r="AC8" s="3419" t="s">
        <v>4604</v>
      </c>
      <c r="AD8" s="3420">
        <f>IFERROR(VALUE(C13),"")</f>
        <v>0</v>
      </c>
      <c r="AE8" s="3349" t="s">
        <v>4578</v>
      </c>
      <c r="AF8" s="3350" t="s">
        <v>4456</v>
      </c>
      <c r="AG8" s="3353" t="e">
        <f>IF(AG7="Refer",I6,IF(AG7="Decline",I5,"Send bind request to APRIL to bind"))</f>
        <v>#N/A</v>
      </c>
      <c r="AH8" s="1711">
        <v>2</v>
      </c>
      <c r="AI8" s="1711" t="s">
        <v>4456</v>
      </c>
      <c r="AJ8" s="3346" t="str">
        <f t="shared" si="0"/>
        <v/>
      </c>
      <c r="AL8" s="3474" t="str">
        <f t="shared" si="1"/>
        <v/>
      </c>
    </row>
    <row r="9" spans="1:38">
      <c r="A9" s="3453" t="s">
        <v>5357</v>
      </c>
      <c r="B9" s="3495" t="s">
        <v>5358</v>
      </c>
      <c r="C9" s="3496"/>
      <c r="D9" s="3359">
        <v>1</v>
      </c>
      <c r="E9" s="3360" t="s">
        <v>4580</v>
      </c>
      <c r="F9" s="3360" t="s">
        <v>4581</v>
      </c>
      <c r="G9" s="3360" t="s">
        <v>4582</v>
      </c>
      <c r="H9" s="3361">
        <f>C11</f>
        <v>0</v>
      </c>
      <c r="I9" s="3361" t="s">
        <v>3821</v>
      </c>
      <c r="J9" s="3361">
        <f>IF(H9=I9,0,1)</f>
        <v>1</v>
      </c>
      <c r="K9" s="3361" t="s">
        <v>4583</v>
      </c>
      <c r="L9" s="3361">
        <f>IF(J9=0,0,IF(K9="Y",0,1))</f>
        <v>1</v>
      </c>
      <c r="M9" s="3360" t="str">
        <f>IF(J9=1,F9,"")</f>
        <v>Previous claims</v>
      </c>
      <c r="N9" s="3360" t="str">
        <f>IF(M9="","",IF(L9=0,F9,""))</f>
        <v/>
      </c>
      <c r="O9" s="3332">
        <v>152100</v>
      </c>
      <c r="P9" s="1711">
        <v>1521</v>
      </c>
      <c r="Q9" s="1711" t="s">
        <v>206</v>
      </c>
      <c r="R9" s="1711" t="s">
        <v>5130</v>
      </c>
      <c r="T9" s="1711">
        <v>151200</v>
      </c>
      <c r="AC9" s="3419" t="s">
        <v>4611</v>
      </c>
      <c r="AD9" s="3423">
        <f ca="1">IFERROR(YEAR(TODAY())-VALUE(C15),"")</f>
        <v>2022</v>
      </c>
      <c r="AE9" s="3349" t="s">
        <v>3688</v>
      </c>
      <c r="AF9" s="1711" t="s">
        <v>3521</v>
      </c>
      <c r="AG9" s="3353" t="e">
        <f>IF(AG7="Quote",'Quote template-1'!N151,"")</f>
        <v>#N/A</v>
      </c>
      <c r="AH9" s="1711">
        <v>3</v>
      </c>
      <c r="AI9" s="1711" t="s">
        <v>5243</v>
      </c>
      <c r="AJ9" s="3346" t="str">
        <f t="shared" si="0"/>
        <v/>
      </c>
      <c r="AL9" s="3474" t="str">
        <f t="shared" si="1"/>
        <v/>
      </c>
    </row>
    <row r="10" spans="1:38">
      <c r="A10" s="3453" t="s">
        <v>5359</v>
      </c>
      <c r="B10" s="3495" t="s">
        <v>5360</v>
      </c>
      <c r="C10" s="3496"/>
      <c r="D10" s="3362">
        <v>2</v>
      </c>
      <c r="E10" s="3350" t="s">
        <v>4586</v>
      </c>
      <c r="F10" s="3350" t="s">
        <v>4587</v>
      </c>
      <c r="G10" s="3350" t="s">
        <v>4566</v>
      </c>
      <c r="H10" s="3363">
        <f>C12</f>
        <v>0</v>
      </c>
      <c r="I10" s="3363" t="s">
        <v>3821</v>
      </c>
      <c r="J10" s="3363">
        <f>IF(H10=I10,0,1)</f>
        <v>1</v>
      </c>
      <c r="K10" s="3363" t="s">
        <v>1032</v>
      </c>
      <c r="L10" s="3363">
        <f t="shared" ref="L10:L31" si="2">IF(J10=0,0,IF(K10="Y",0,1))</f>
        <v>1</v>
      </c>
      <c r="M10" s="3350" t="str">
        <f t="shared" ref="M10:M31" si="3">IF(J10=1,F10,"")</f>
        <v>Other known or pending losses</v>
      </c>
      <c r="N10" s="3350" t="str">
        <f t="shared" ref="N10:N31" si="4">IF(M10="","",IF(L10=0,F10,""))</f>
        <v/>
      </c>
      <c r="O10" s="3332">
        <v>152200</v>
      </c>
      <c r="P10" s="1711">
        <v>1522</v>
      </c>
      <c r="Q10" s="1711" t="s">
        <v>204</v>
      </c>
      <c r="R10" s="1711" t="s">
        <v>5131</v>
      </c>
      <c r="T10" s="1711">
        <v>177400</v>
      </c>
      <c r="AC10" s="3419" t="s">
        <v>4618</v>
      </c>
      <c r="AD10" s="3423">
        <f>IFERROR(VALUE(C16),"")</f>
        <v>0</v>
      </c>
      <c r="AE10" s="3349" t="s">
        <v>4588</v>
      </c>
      <c r="AF10" s="1711" t="s">
        <v>5244</v>
      </c>
      <c r="AG10" s="3353" t="e">
        <f>IF(AG7="Quote",SUM('Quote template-1'!N153:N154),"")</f>
        <v>#N/A</v>
      </c>
      <c r="AH10" s="1711">
        <v>4</v>
      </c>
      <c r="AI10" s="1711" t="s">
        <v>5244</v>
      </c>
      <c r="AJ10" s="3346" t="str">
        <f t="shared" si="0"/>
        <v/>
      </c>
      <c r="AL10" s="3474" t="str">
        <f t="shared" si="1"/>
        <v/>
      </c>
    </row>
    <row r="11" spans="1:38">
      <c r="A11" s="423">
        <v>650000</v>
      </c>
      <c r="B11" s="3350" t="s">
        <v>4564</v>
      </c>
      <c r="C11" s="3352"/>
      <c r="D11" s="3362">
        <v>3</v>
      </c>
      <c r="E11" s="3350" t="s">
        <v>4590</v>
      </c>
      <c r="F11" s="3350" t="s">
        <v>4591</v>
      </c>
      <c r="G11" s="3350" t="s">
        <v>4592</v>
      </c>
      <c r="H11" s="3377" t="str">
        <f>V84</f>
        <v>Yes</v>
      </c>
      <c r="I11" s="3363" t="s">
        <v>3805</v>
      </c>
      <c r="J11" s="3363">
        <f>IF(H11=I11,0,1)</f>
        <v>0</v>
      </c>
      <c r="K11" s="3363" t="s">
        <v>1031</v>
      </c>
      <c r="L11" s="3363">
        <f t="shared" si="2"/>
        <v>0</v>
      </c>
      <c r="M11" s="3350" t="str">
        <f t="shared" si="3"/>
        <v/>
      </c>
      <c r="N11" s="3350" t="str">
        <f t="shared" si="4"/>
        <v/>
      </c>
      <c r="O11" s="3332">
        <v>152300</v>
      </c>
      <c r="P11" s="1711">
        <v>1523</v>
      </c>
      <c r="Q11" s="1711" t="s">
        <v>202</v>
      </c>
      <c r="R11" s="1711" t="s">
        <v>4760</v>
      </c>
      <c r="AC11" s="3419" t="s">
        <v>4625</v>
      </c>
      <c r="AD11" s="3423">
        <f>IFERROR(IF(C11="No",0,1),"")</f>
        <v>1</v>
      </c>
      <c r="AE11" s="3349" t="s">
        <v>4593</v>
      </c>
      <c r="AF11" s="3350" t="s">
        <v>4584</v>
      </c>
      <c r="AG11" s="3353" t="e">
        <f>IF(AG7="Quote",'Quote template-1'!N155,"")</f>
        <v>#N/A</v>
      </c>
      <c r="AH11" s="1711">
        <v>5</v>
      </c>
      <c r="AI11" s="1711" t="s">
        <v>4594</v>
      </c>
      <c r="AJ11" s="3346" t="str">
        <f t="shared" si="0"/>
        <v/>
      </c>
      <c r="AL11" s="3474" t="str">
        <f t="shared" si="1"/>
        <v>Covermatch</v>
      </c>
    </row>
    <row r="12" spans="1:38">
      <c r="A12" s="423">
        <v>650100</v>
      </c>
      <c r="B12" s="3350" t="s">
        <v>4566</v>
      </c>
      <c r="C12" s="3352"/>
      <c r="D12" s="3362">
        <v>4</v>
      </c>
      <c r="E12" s="3350" t="s">
        <v>5323</v>
      </c>
      <c r="F12" s="3350" t="s">
        <v>4596</v>
      </c>
      <c r="G12" s="3350" t="s">
        <v>4579</v>
      </c>
      <c r="H12" s="3363">
        <f>IFERROR(VALUE(C13),"")</f>
        <v>0</v>
      </c>
      <c r="I12" s="3364" t="e">
        <f>'Input '!I27*100</f>
        <v>#N/A</v>
      </c>
      <c r="J12" s="3363" t="e">
        <f>IF(H12&lt;=I12,0,1)</f>
        <v>#N/A</v>
      </c>
      <c r="K12" s="3363" t="s">
        <v>1031</v>
      </c>
      <c r="L12" s="3363" t="e">
        <f t="shared" si="2"/>
        <v>#N/A</v>
      </c>
      <c r="M12" s="3350" t="e">
        <f t="shared" si="3"/>
        <v>#N/A</v>
      </c>
      <c r="N12" s="3350" t="e">
        <f t="shared" si="4"/>
        <v>#N/A</v>
      </c>
      <c r="O12" s="3332">
        <v>152400</v>
      </c>
      <c r="P12" s="1711">
        <v>1524</v>
      </c>
      <c r="Q12" s="1711" t="s">
        <v>200</v>
      </c>
      <c r="R12" s="1711" t="s">
        <v>5132</v>
      </c>
      <c r="AC12" s="3419" t="s">
        <v>4632</v>
      </c>
      <c r="AD12" s="3423" t="str">
        <f>H26</f>
        <v>Yes</v>
      </c>
      <c r="AE12" s="3349" t="s">
        <v>5220</v>
      </c>
      <c r="AF12" s="1711" t="s">
        <v>5220</v>
      </c>
      <c r="AG12" s="3465" t="e">
        <f>IF(AG7="Quote",'Quote template-1'!N156,"")</f>
        <v>#N/A</v>
      </c>
      <c r="AH12" s="1711">
        <v>6</v>
      </c>
      <c r="AI12" s="1711" t="s">
        <v>4599</v>
      </c>
      <c r="AJ12" s="3346" t="str">
        <f t="shared" si="0"/>
        <v/>
      </c>
      <c r="AL12" s="3474" t="str">
        <f t="shared" si="1"/>
        <v>Quotey Value Score</v>
      </c>
    </row>
    <row r="13" spans="1:38">
      <c r="A13" s="3357">
        <v>510</v>
      </c>
      <c r="B13" s="3350" t="s">
        <v>4579</v>
      </c>
      <c r="C13" s="3358"/>
      <c r="D13" s="3362">
        <v>5</v>
      </c>
      <c r="E13" s="3350" t="s">
        <v>4601</v>
      </c>
      <c r="F13" s="3350" t="s">
        <v>4602</v>
      </c>
      <c r="G13" s="3350" t="s">
        <v>4585</v>
      </c>
      <c r="H13" s="3363" t="str">
        <f>IF(C14="","",C14)</f>
        <v/>
      </c>
      <c r="I13" s="3363" t="s">
        <v>3805</v>
      </c>
      <c r="J13" s="3363">
        <f>IF(H13="",0,IF(H13=I13,0,1))</f>
        <v>0</v>
      </c>
      <c r="K13" s="3363" t="s">
        <v>1032</v>
      </c>
      <c r="L13" s="3363">
        <f t="shared" si="2"/>
        <v>0</v>
      </c>
      <c r="M13" s="3350" t="str">
        <f t="shared" si="3"/>
        <v/>
      </c>
      <c r="N13" s="3350" t="str">
        <f t="shared" si="4"/>
        <v/>
      </c>
      <c r="O13" s="3332">
        <v>152600</v>
      </c>
      <c r="P13" s="1711">
        <v>1526</v>
      </c>
      <c r="Q13" s="1711" t="s">
        <v>198</v>
      </c>
      <c r="R13" s="1711" t="s">
        <v>198</v>
      </c>
      <c r="AC13" s="3349" t="s">
        <v>4641</v>
      </c>
      <c r="AD13" s="3370" t="str">
        <f>IF(H29&lt;10%,"Yes","No")</f>
        <v>Yes</v>
      </c>
      <c r="AE13" s="3349" t="s">
        <v>5221</v>
      </c>
      <c r="AF13" s="1711" t="s">
        <v>5276</v>
      </c>
      <c r="AG13" s="3353" t="e">
        <f>IF(AG7="Quote",MAX(350,25%*AG9),"")</f>
        <v>#N/A</v>
      </c>
      <c r="AH13" s="3366">
        <v>7</v>
      </c>
      <c r="AI13" s="165" t="s">
        <v>4606</v>
      </c>
      <c r="AJ13" s="3367" t="str">
        <f t="shared" ref="AJ13:AJ76" si="5">IFERROR(IF($AJ$7&lt;&gt;"Quote","",IF(VLOOKUP(AI13,$AF$7:$AG$169,2,FALSE)=0,"-",VLOOKUP(AI13,$AF$7:$AG$169,2,FALSE))),"-")</f>
        <v/>
      </c>
      <c r="AK13" s="3368"/>
      <c r="AL13" s="3474" t="str">
        <f t="shared" si="1"/>
        <v/>
      </c>
    </row>
    <row r="14" spans="1:38">
      <c r="A14" s="3357">
        <v>513</v>
      </c>
      <c r="B14" s="3350" t="s">
        <v>4585</v>
      </c>
      <c r="C14" s="3352"/>
      <c r="D14" s="3362">
        <v>6</v>
      </c>
      <c r="E14" s="3350" t="s">
        <v>4608</v>
      </c>
      <c r="F14" s="3350" t="s">
        <v>4609</v>
      </c>
      <c r="G14" s="3369" t="s">
        <v>4610</v>
      </c>
      <c r="H14" s="3363" t="str">
        <f>IF(C22="","Yes",IF(ISERROR(VLOOKUP(VALUE(C22),$O$6:$P$71,2,FALSE))=FALSE,"Yes","No"))</f>
        <v>Yes</v>
      </c>
      <c r="I14" s="3363" t="s">
        <v>3805</v>
      </c>
      <c r="J14" s="3363">
        <f>IF(H14=I14,0,1)</f>
        <v>0</v>
      </c>
      <c r="K14" s="3363" t="s">
        <v>1031</v>
      </c>
      <c r="L14" s="3363">
        <f>IF(J14=0,0,IF(K14="Y",0,1))</f>
        <v>0</v>
      </c>
      <c r="M14" s="3350" t="str">
        <f>IF(J14=1,F14,"")</f>
        <v/>
      </c>
      <c r="N14" s="3350" t="str">
        <f t="shared" si="4"/>
        <v/>
      </c>
      <c r="O14" s="3332">
        <v>152700</v>
      </c>
      <c r="P14" s="1711">
        <v>1527</v>
      </c>
      <c r="Q14" s="1711" t="s">
        <v>196</v>
      </c>
      <c r="R14" s="1711" t="s">
        <v>196</v>
      </c>
      <c r="AC14" s="3436"/>
      <c r="AD14" s="3437"/>
      <c r="AE14" s="3349" t="s">
        <v>5222</v>
      </c>
      <c r="AF14" s="1711" t="s">
        <v>5222</v>
      </c>
      <c r="AG14" s="3466" t="e">
        <f ca="1">IF(AG7="Quote",TODAY()+30,"")</f>
        <v>#N/A</v>
      </c>
      <c r="AH14" s="1711">
        <v>8</v>
      </c>
      <c r="AI14" s="1711" t="s">
        <v>4613</v>
      </c>
      <c r="AJ14" s="3346" t="str">
        <f t="shared" si="5"/>
        <v/>
      </c>
      <c r="AL14" s="3474" t="str">
        <f t="shared" si="1"/>
        <v/>
      </c>
    </row>
    <row r="15" spans="1:38">
      <c r="A15" s="3357">
        <v>10508</v>
      </c>
      <c r="B15" s="3350" t="s">
        <v>4589</v>
      </c>
      <c r="C15" s="3352"/>
      <c r="D15" s="3362">
        <v>7</v>
      </c>
      <c r="E15" s="3350" t="s">
        <v>4615</v>
      </c>
      <c r="F15" s="3350" t="s">
        <v>4616</v>
      </c>
      <c r="G15" s="3369" t="s">
        <v>4617</v>
      </c>
      <c r="H15" s="3363" t="str">
        <f>IF(C29="","Yes",IF(ISERROR(VLOOKUP(VALUE(C29),$O$6:$P$71,2,FALSE))=FALSE,"Yes","No"))</f>
        <v>Yes</v>
      </c>
      <c r="I15" s="3363" t="s">
        <v>3805</v>
      </c>
      <c r="J15" s="3363">
        <f t="shared" ref="J15:J16" si="6">IF(H15=I15,0,1)</f>
        <v>0</v>
      </c>
      <c r="K15" s="3363" t="s">
        <v>1031</v>
      </c>
      <c r="L15" s="3363">
        <f t="shared" si="2"/>
        <v>0</v>
      </c>
      <c r="M15" s="3350" t="str">
        <f t="shared" si="3"/>
        <v/>
      </c>
      <c r="N15" s="3350" t="str">
        <f>IF(M15="","",IF(L15=0,F15,""))</f>
        <v/>
      </c>
      <c r="O15" s="3332">
        <v>152800</v>
      </c>
      <c r="P15" s="1711">
        <v>1528</v>
      </c>
      <c r="Q15" s="1711" t="s">
        <v>194</v>
      </c>
      <c r="R15" s="1711" t="s">
        <v>5133</v>
      </c>
      <c r="AC15" s="3349"/>
      <c r="AD15" s="3374"/>
      <c r="AE15" s="3349" t="s">
        <v>4597</v>
      </c>
      <c r="AF15" s="3350" t="s">
        <v>4598</v>
      </c>
      <c r="AG15" s="3353" t="e">
        <f>IF(AG7="Quote",'Quote template-1'!L31,"")</f>
        <v>#N/A</v>
      </c>
      <c r="AH15" s="1711">
        <v>9</v>
      </c>
      <c r="AI15" s="1711" t="s">
        <v>4620</v>
      </c>
      <c r="AJ15" s="3346" t="str">
        <f t="shared" si="5"/>
        <v/>
      </c>
      <c r="AL15" s="3474" t="str">
        <f t="shared" si="1"/>
        <v>Bailees customer form</v>
      </c>
    </row>
    <row r="16" spans="1:38">
      <c r="A16" s="3357">
        <v>519</v>
      </c>
      <c r="B16" s="3350" t="s">
        <v>4595</v>
      </c>
      <c r="C16" s="3352"/>
      <c r="D16" s="3362">
        <v>8</v>
      </c>
      <c r="E16" s="3350" t="s">
        <v>4622</v>
      </c>
      <c r="F16" s="3350" t="s">
        <v>4623</v>
      </c>
      <c r="G16" s="3369" t="s">
        <v>4624</v>
      </c>
      <c r="H16" s="3363" t="str">
        <f>IF(C36="","Yes",IF(ISERROR(VLOOKUP(VALUE(C36),$O$6:$P$71,2,FALSE))=FALSE,"Yes","No"))</f>
        <v>Yes</v>
      </c>
      <c r="I16" s="3363" t="s">
        <v>3805</v>
      </c>
      <c r="J16" s="3363">
        <f t="shared" si="6"/>
        <v>0</v>
      </c>
      <c r="K16" s="3363" t="s">
        <v>1031</v>
      </c>
      <c r="L16" s="3363">
        <f t="shared" si="2"/>
        <v>0</v>
      </c>
      <c r="M16" s="3350" t="str">
        <f t="shared" si="3"/>
        <v/>
      </c>
      <c r="N16" s="3350" t="str">
        <f t="shared" si="4"/>
        <v/>
      </c>
      <c r="O16" s="3332">
        <v>153100</v>
      </c>
      <c r="P16" s="1711">
        <v>1531</v>
      </c>
      <c r="Q16" s="1711" t="s">
        <v>192</v>
      </c>
      <c r="R16" s="1711" t="s">
        <v>192</v>
      </c>
      <c r="AC16" s="3349"/>
      <c r="AD16" s="3374"/>
      <c r="AE16" s="3349" t="s">
        <v>4605</v>
      </c>
      <c r="AG16" s="3353" t="e">
        <f>IF(AG7="Quote",'Quote template-1'!K31,"")</f>
        <v>#N/A</v>
      </c>
      <c r="AH16" s="1711">
        <v>10</v>
      </c>
      <c r="AI16" s="1711" t="s">
        <v>5245</v>
      </c>
      <c r="AJ16" s="3346" t="str">
        <f t="shared" si="5"/>
        <v/>
      </c>
      <c r="AL16" s="3474" t="str">
        <f t="shared" si="1"/>
        <v>Building bylaws</v>
      </c>
    </row>
    <row r="17" spans="1:38">
      <c r="A17" s="3357">
        <v>523</v>
      </c>
      <c r="B17" s="3350" t="s">
        <v>4600</v>
      </c>
      <c r="C17" s="3365"/>
      <c r="D17" s="3362">
        <v>9</v>
      </c>
      <c r="E17" s="3350" t="s">
        <v>4628</v>
      </c>
      <c r="F17" s="3350" t="s">
        <v>4629</v>
      </c>
      <c r="G17" s="3369" t="s">
        <v>4630</v>
      </c>
      <c r="H17" s="3363" t="str">
        <f>IF(C43="","Yes",IF(ISERROR(VLOOKUP(VALUE(C43),$O$6:$P$71,2,FALSE))=FALSE,"Yes","No"))</f>
        <v>Yes</v>
      </c>
      <c r="I17" s="3363" t="s">
        <v>3805</v>
      </c>
      <c r="J17" s="3363">
        <f>IF(H17=I17,0,1)</f>
        <v>0</v>
      </c>
      <c r="K17" s="3363" t="s">
        <v>1031</v>
      </c>
      <c r="L17" s="3363">
        <f t="shared" si="2"/>
        <v>0</v>
      </c>
      <c r="M17" s="3350" t="str">
        <f t="shared" si="3"/>
        <v/>
      </c>
      <c r="N17" s="3350" t="str">
        <f t="shared" si="4"/>
        <v/>
      </c>
      <c r="O17" s="3332">
        <v>153200</v>
      </c>
      <c r="P17" s="1711">
        <v>1532</v>
      </c>
      <c r="Q17" s="1711" t="s">
        <v>190</v>
      </c>
      <c r="R17" s="1711" t="s">
        <v>4764</v>
      </c>
      <c r="AC17" s="3349"/>
      <c r="AD17" s="3374"/>
      <c r="AE17" s="3349" t="s">
        <v>4612</v>
      </c>
      <c r="AF17" s="3350" t="s">
        <v>3550</v>
      </c>
      <c r="AG17" s="3353" t="e">
        <f>IF(AG7="Quote",'Quote template-1'!L32,"")</f>
        <v>#N/A</v>
      </c>
      <c r="AH17" s="1711">
        <v>11</v>
      </c>
      <c r="AI17" s="1711" t="s">
        <v>4635</v>
      </c>
      <c r="AJ17" s="3346" t="str">
        <f t="shared" si="5"/>
        <v/>
      </c>
      <c r="AL17" s="3474" t="str">
        <f t="shared" si="1"/>
        <v/>
      </c>
    </row>
    <row r="18" spans="1:38">
      <c r="A18" s="3357">
        <v>650500</v>
      </c>
      <c r="B18" s="3350" t="s">
        <v>4607</v>
      </c>
      <c r="C18" s="3352"/>
      <c r="D18" s="3362">
        <v>10</v>
      </c>
      <c r="E18" s="3350" t="s">
        <v>4638</v>
      </c>
      <c r="F18" s="3350" t="s">
        <v>4639</v>
      </c>
      <c r="G18" s="3369" t="s">
        <v>4640</v>
      </c>
      <c r="H18" s="3363" t="str">
        <f>IF(C50="","Yes",IF(ISERROR(VLOOKUP(VALUE(C50),$O$6:$P$71,2,FALSE))=FALSE,"Yes","No"))</f>
        <v>Yes</v>
      </c>
      <c r="I18" s="3363" t="s">
        <v>3805</v>
      </c>
      <c r="J18" s="3363">
        <f>IF(H18=I18,0,1)</f>
        <v>0</v>
      </c>
      <c r="K18" s="3363" t="s">
        <v>1031</v>
      </c>
      <c r="L18" s="3363">
        <f t="shared" si="2"/>
        <v>0</v>
      </c>
      <c r="M18" s="3350" t="str">
        <f t="shared" si="3"/>
        <v/>
      </c>
      <c r="N18" s="3350" t="str">
        <f t="shared" si="4"/>
        <v/>
      </c>
      <c r="O18" s="3332">
        <v>153300</v>
      </c>
      <c r="P18" s="1711">
        <v>1533</v>
      </c>
      <c r="Q18" s="1711" t="s">
        <v>188</v>
      </c>
      <c r="R18" s="1711" t="s">
        <v>188</v>
      </c>
      <c r="AC18" s="3349"/>
      <c r="AD18" s="3374"/>
      <c r="AE18" s="3349" t="s">
        <v>4619</v>
      </c>
      <c r="AF18" s="3350"/>
      <c r="AG18" s="3353" t="e">
        <f>IF(AG7="Quote",IF(AG17&gt;0,'Quote template-1'!K32,""),"")</f>
        <v>#N/A</v>
      </c>
      <c r="AH18" s="1711">
        <v>12</v>
      </c>
      <c r="AI18" s="1711" t="s">
        <v>1304</v>
      </c>
      <c r="AJ18" s="3346" t="str">
        <f t="shared" si="5"/>
        <v/>
      </c>
      <c r="AL18" s="3474" t="str">
        <f t="shared" si="1"/>
        <v/>
      </c>
    </row>
    <row r="19" spans="1:38">
      <c r="A19" s="3357">
        <v>527</v>
      </c>
      <c r="B19" s="3350" t="s">
        <v>4614</v>
      </c>
      <c r="C19" s="3352"/>
      <c r="D19" s="3362">
        <v>11</v>
      </c>
      <c r="E19" s="3350" t="s">
        <v>4646</v>
      </c>
      <c r="F19" s="3350" t="s">
        <v>4647</v>
      </c>
      <c r="G19" s="3369" t="s">
        <v>4648</v>
      </c>
      <c r="H19" s="3363" t="str">
        <f>IF(C57="","Yes",IF(ISERROR(VLOOKUP(VALUE(C57),$O$6:$P$71,2,FALSE))=FALSE,"Yes","No"))</f>
        <v>Yes</v>
      </c>
      <c r="I19" s="3363" t="s">
        <v>3805</v>
      </c>
      <c r="J19" s="3363">
        <f t="shared" ref="J19:J23" si="7">IF(H19=I19,0,1)</f>
        <v>0</v>
      </c>
      <c r="K19" s="3363" t="s">
        <v>1031</v>
      </c>
      <c r="L19" s="3363">
        <f t="shared" si="2"/>
        <v>0</v>
      </c>
      <c r="M19" s="3350" t="str">
        <f t="shared" si="3"/>
        <v/>
      </c>
      <c r="N19" s="3350" t="str">
        <f t="shared" si="4"/>
        <v/>
      </c>
      <c r="O19" s="3332">
        <v>153400</v>
      </c>
      <c r="P19" s="1711">
        <v>1534</v>
      </c>
      <c r="Q19" s="1711" t="s">
        <v>186</v>
      </c>
      <c r="R19" s="1711" t="s">
        <v>5134</v>
      </c>
      <c r="AC19" s="3349"/>
      <c r="AD19" s="3374"/>
      <c r="AE19" s="3349" t="s">
        <v>4626</v>
      </c>
      <c r="AF19" s="3350"/>
      <c r="AG19" s="3353" t="e">
        <f>IF(AG7="Quote",'Quote template-1'!L33,"")</f>
        <v>#N/A</v>
      </c>
      <c r="AH19" s="1711">
        <v>13</v>
      </c>
      <c r="AI19" s="1711" t="s">
        <v>4652</v>
      </c>
      <c r="AJ19" s="3346" t="str">
        <f t="shared" si="5"/>
        <v/>
      </c>
      <c r="AL19" s="3474" t="str">
        <f t="shared" si="1"/>
        <v>Broadform Building coverage</v>
      </c>
    </row>
    <row r="20" spans="1:38">
      <c r="A20" s="3357">
        <v>529</v>
      </c>
      <c r="B20" s="3350" t="s">
        <v>4621</v>
      </c>
      <c r="C20" s="3352"/>
      <c r="D20" s="3362">
        <v>12</v>
      </c>
      <c r="E20" s="3350" t="s">
        <v>4655</v>
      </c>
      <c r="F20" s="3350" t="s">
        <v>4647</v>
      </c>
      <c r="G20" s="3369" t="s">
        <v>4656</v>
      </c>
      <c r="H20" s="3363" t="str">
        <f>IF(C64="","Yes",IF(ISERROR(VLOOKUP(VALUE(C64),$O$6:$P$71,2,FALSE))=FALSE,"Yes","No"))</f>
        <v>Yes</v>
      </c>
      <c r="I20" s="3363" t="s">
        <v>3805</v>
      </c>
      <c r="J20" s="3363">
        <f t="shared" si="7"/>
        <v>0</v>
      </c>
      <c r="K20" s="3363" t="s">
        <v>1031</v>
      </c>
      <c r="L20" s="3363">
        <f t="shared" si="2"/>
        <v>0</v>
      </c>
      <c r="M20" s="3350" t="str">
        <f>IF(J20=1,F20,"")</f>
        <v/>
      </c>
      <c r="N20" s="3350" t="str">
        <f t="shared" si="4"/>
        <v/>
      </c>
      <c r="O20" s="3332">
        <v>153500</v>
      </c>
      <c r="P20" s="1711">
        <v>1535</v>
      </c>
      <c r="Q20" s="1711" t="s">
        <v>184</v>
      </c>
      <c r="R20" s="1711" t="s">
        <v>4631</v>
      </c>
      <c r="AC20" s="3384"/>
      <c r="AD20" s="3463"/>
      <c r="AE20" s="3349" t="s">
        <v>4633</v>
      </c>
      <c r="AF20" s="3350" t="s">
        <v>4634</v>
      </c>
      <c r="AG20" s="3353" t="e">
        <f>IF(AG7="Quote",'Quote template-1'!L46,"")</f>
        <v>#N/A</v>
      </c>
      <c r="AH20" s="1711">
        <v>14</v>
      </c>
      <c r="AI20" s="1711" t="s">
        <v>4659</v>
      </c>
      <c r="AJ20" s="3346" t="str">
        <f t="shared" si="5"/>
        <v/>
      </c>
      <c r="AL20" s="3474" t="str">
        <f t="shared" si="1"/>
        <v>Building damage by theft</v>
      </c>
    </row>
    <row r="21" spans="1:38">
      <c r="A21" s="3357">
        <v>538</v>
      </c>
      <c r="B21" s="3350" t="s">
        <v>4627</v>
      </c>
      <c r="C21" s="3352"/>
      <c r="D21" s="3362">
        <v>13</v>
      </c>
      <c r="E21" s="3350" t="s">
        <v>4662</v>
      </c>
      <c r="F21" s="3350" t="s">
        <v>4647</v>
      </c>
      <c r="G21" s="3369" t="s">
        <v>4663</v>
      </c>
      <c r="H21" s="3363" t="str">
        <f>IF(C71="","Yes",IF(ISERROR(VLOOKUP(VALUE(C71),$O$6:$P$71,2,FALSE))=FALSE,"Yes","No"))</f>
        <v>Yes</v>
      </c>
      <c r="I21" s="3363" t="s">
        <v>3805</v>
      </c>
      <c r="J21" s="3363">
        <f t="shared" si="7"/>
        <v>0</v>
      </c>
      <c r="K21" s="3363" t="s">
        <v>1031</v>
      </c>
      <c r="L21" s="3363">
        <f t="shared" si="2"/>
        <v>0</v>
      </c>
      <c r="M21" s="3350" t="str">
        <f t="shared" si="3"/>
        <v/>
      </c>
      <c r="N21" s="3350" t="str">
        <f t="shared" si="4"/>
        <v/>
      </c>
      <c r="O21" s="3332">
        <v>153601</v>
      </c>
      <c r="P21" s="1711">
        <v>1536</v>
      </c>
      <c r="Q21" s="1711" t="s">
        <v>182</v>
      </c>
      <c r="R21" s="1711" t="s">
        <v>5135</v>
      </c>
      <c r="AE21" s="3349" t="s">
        <v>5278</v>
      </c>
      <c r="AF21" s="3350" t="s">
        <v>5278</v>
      </c>
      <c r="AG21" s="3353" t="e">
        <f>IF(AG7="Quote",IF(AG20&gt;0,"Included",""),"")</f>
        <v>#N/A</v>
      </c>
      <c r="AH21" s="1711">
        <v>15</v>
      </c>
      <c r="AI21" s="1711" t="s">
        <v>4634</v>
      </c>
      <c r="AJ21" s="3346" t="str">
        <f t="shared" si="5"/>
        <v/>
      </c>
      <c r="AL21" s="3474" t="str">
        <f t="shared" si="1"/>
        <v/>
      </c>
    </row>
    <row r="22" spans="1:38">
      <c r="A22" s="423" t="s">
        <v>4636</v>
      </c>
      <c r="B22" s="3350" t="s">
        <v>4637</v>
      </c>
      <c r="C22" s="3352"/>
      <c r="D22" s="3362">
        <v>14</v>
      </c>
      <c r="E22" s="3350" t="s">
        <v>4666</v>
      </c>
      <c r="F22" s="3350" t="s">
        <v>4647</v>
      </c>
      <c r="G22" s="3369" t="s">
        <v>4667</v>
      </c>
      <c r="H22" s="3363" t="str">
        <f>IF(C78="","Yes",IF(ISERROR(VLOOKUP(VALUE(C78),$O$6:$P$71,2,FALSE))=FALSE,"Yes","No"))</f>
        <v>Yes</v>
      </c>
      <c r="I22" s="3363" t="s">
        <v>3805</v>
      </c>
      <c r="J22" s="3363">
        <f t="shared" si="7"/>
        <v>0</v>
      </c>
      <c r="K22" s="3363" t="s">
        <v>1031</v>
      </c>
      <c r="L22" s="3363">
        <f t="shared" si="2"/>
        <v>0</v>
      </c>
      <c r="M22" s="3350" t="str">
        <f t="shared" si="3"/>
        <v/>
      </c>
      <c r="N22" s="3350" t="str">
        <f t="shared" si="4"/>
        <v/>
      </c>
      <c r="O22" s="3332">
        <v>153602</v>
      </c>
      <c r="P22" s="1711">
        <v>1536</v>
      </c>
      <c r="Q22" s="1711" t="s">
        <v>182</v>
      </c>
      <c r="R22" s="1711" t="s">
        <v>5136</v>
      </c>
      <c r="AE22" s="3349" t="s">
        <v>5316</v>
      </c>
      <c r="AF22" s="3350" t="s">
        <v>5308</v>
      </c>
      <c r="AG22" s="3353" t="e">
        <f>IF(AG7="Quote",IF(AG20&gt;0,'Quote template-1'!K46,""),"")</f>
        <v>#N/A</v>
      </c>
      <c r="AH22" s="1711">
        <v>16</v>
      </c>
      <c r="AI22" s="1711" t="s">
        <v>5246</v>
      </c>
      <c r="AJ22" s="3346" t="str">
        <f t="shared" si="5"/>
        <v/>
      </c>
      <c r="AL22" s="3474" t="str">
        <f t="shared" si="1"/>
        <v>By-Laws - additional time to rebuild</v>
      </c>
    </row>
    <row r="23" spans="1:38">
      <c r="A23" s="423" t="s">
        <v>4644</v>
      </c>
      <c r="B23" s="3371" t="s">
        <v>4645</v>
      </c>
      <c r="C23" s="3372"/>
      <c r="D23" s="3362">
        <v>15</v>
      </c>
      <c r="E23" s="3350" t="s">
        <v>4671</v>
      </c>
      <c r="F23" s="3350" t="s">
        <v>4647</v>
      </c>
      <c r="G23" s="3369" t="s">
        <v>4672</v>
      </c>
      <c r="H23" s="3363" t="str">
        <f>IF(C85="","Yes",IF(ISERROR(VLOOKUP(VALUE(C85),$O$6:$P$71,2,FALSE))=FALSE,"Yes","No"))</f>
        <v>Yes</v>
      </c>
      <c r="I23" s="3363" t="s">
        <v>3805</v>
      </c>
      <c r="J23" s="3363">
        <f t="shared" si="7"/>
        <v>0</v>
      </c>
      <c r="K23" s="3363" t="s">
        <v>1031</v>
      </c>
      <c r="L23" s="3363">
        <f t="shared" si="2"/>
        <v>0</v>
      </c>
      <c r="M23" s="3350" t="str">
        <f t="shared" si="3"/>
        <v/>
      </c>
      <c r="N23" s="3350" t="str">
        <f t="shared" si="4"/>
        <v/>
      </c>
      <c r="O23" s="3332">
        <v>153700</v>
      </c>
      <c r="P23" s="1711">
        <v>1537</v>
      </c>
      <c r="Q23" s="1711" t="s">
        <v>180</v>
      </c>
      <c r="R23" s="1711" t="s">
        <v>180</v>
      </c>
      <c r="AE23" s="3349" t="s">
        <v>4642</v>
      </c>
      <c r="AF23" s="3350" t="s">
        <v>4643</v>
      </c>
      <c r="AG23" s="3353" t="e">
        <f>IF(AG7="Quote",MAX('Quote template-1'!L35,'Quote template-1'!L132),"")</f>
        <v>#N/A</v>
      </c>
      <c r="AH23" s="1711">
        <v>17</v>
      </c>
      <c r="AI23" s="1711" t="s">
        <v>4674</v>
      </c>
      <c r="AJ23" s="3346" t="str">
        <f t="shared" si="5"/>
        <v/>
      </c>
      <c r="AL23" s="3474" t="str">
        <f t="shared" si="1"/>
        <v>Catch-all Clause</v>
      </c>
    </row>
    <row r="24" spans="1:38">
      <c r="A24" s="423" t="s">
        <v>4653</v>
      </c>
      <c r="B24" s="3371" t="s">
        <v>4654</v>
      </c>
      <c r="C24" s="3373"/>
      <c r="D24" s="3362">
        <v>16</v>
      </c>
      <c r="E24" s="3350" t="s">
        <v>4677</v>
      </c>
      <c r="F24" s="3350" t="s">
        <v>4678</v>
      </c>
      <c r="G24" s="3350" t="s">
        <v>4679</v>
      </c>
      <c r="H24" s="3375" t="e">
        <f>T85</f>
        <v>#DIV/0!</v>
      </c>
      <c r="I24" s="3375" t="e">
        <f ca="1">'Input '!I25</f>
        <v>#N/A</v>
      </c>
      <c r="J24" s="3363" t="e">
        <f ca="1">IF(H24&lt;=I24,0,1)</f>
        <v>#DIV/0!</v>
      </c>
      <c r="K24" s="3363" t="s">
        <v>1032</v>
      </c>
      <c r="L24" s="3363" t="e">
        <f t="shared" ca="1" si="2"/>
        <v>#DIV/0!</v>
      </c>
      <c r="M24" s="3350" t="e">
        <f t="shared" ca="1" si="3"/>
        <v>#DIV/0!</v>
      </c>
      <c r="N24" s="3350" t="e">
        <f t="shared" ca="1" si="4"/>
        <v>#DIV/0!</v>
      </c>
      <c r="O24" s="3332">
        <v>163100</v>
      </c>
      <c r="P24" s="1711">
        <v>1631</v>
      </c>
      <c r="Q24" s="1711" t="s">
        <v>168</v>
      </c>
      <c r="R24" s="1711" t="s">
        <v>5137</v>
      </c>
      <c r="AE24" s="3349" t="s">
        <v>4651</v>
      </c>
      <c r="AF24" s="3350"/>
      <c r="AG24" s="3353" t="e">
        <f>IF(AG7="Quote",MAX('Quote template-1'!L36:L37),"")</f>
        <v>#N/A</v>
      </c>
      <c r="AH24" s="1711">
        <v>18</v>
      </c>
      <c r="AI24" s="1711" t="s">
        <v>5247</v>
      </c>
      <c r="AJ24" s="3346" t="str">
        <f t="shared" si="5"/>
        <v/>
      </c>
      <c r="AL24" s="3474" t="str">
        <f t="shared" si="1"/>
        <v>Coinsurance condition</v>
      </c>
    </row>
    <row r="25" spans="1:38">
      <c r="A25" s="423" t="s">
        <v>4660</v>
      </c>
      <c r="B25" s="3371" t="s">
        <v>4661</v>
      </c>
      <c r="C25" s="3373"/>
      <c r="D25" s="3362">
        <v>17</v>
      </c>
      <c r="E25" s="3350" t="s">
        <v>4683</v>
      </c>
      <c r="F25" s="3350" t="s">
        <v>4684</v>
      </c>
      <c r="G25" s="3350" t="s">
        <v>4685</v>
      </c>
      <c r="H25" s="3363">
        <f>IFERROR(VALUE(C16),"")</f>
        <v>0</v>
      </c>
      <c r="I25" s="3363">
        <v>3</v>
      </c>
      <c r="J25" s="3363">
        <f>IF(H25&gt;=I25,0,1)</f>
        <v>1</v>
      </c>
      <c r="K25" s="3363" t="s">
        <v>1031</v>
      </c>
      <c r="L25" s="3363">
        <f t="shared" si="2"/>
        <v>0</v>
      </c>
      <c r="M25" s="3350" t="str">
        <f t="shared" si="3"/>
        <v>Not enough experience</v>
      </c>
      <c r="N25" s="3350" t="str">
        <f t="shared" si="4"/>
        <v>Not enough experience</v>
      </c>
      <c r="O25" s="3332">
        <v>163800</v>
      </c>
      <c r="P25" s="1711">
        <v>1638</v>
      </c>
      <c r="Q25" s="1711" t="s">
        <v>155</v>
      </c>
      <c r="R25" s="1711" t="s">
        <v>155</v>
      </c>
      <c r="AE25" s="3349" t="s">
        <v>4658</v>
      </c>
      <c r="AF25" s="3350" t="s">
        <v>5252</v>
      </c>
      <c r="AG25" s="3353" t="e">
        <f>IF(AG7="Quote",'Quote template-1'!L109,"")</f>
        <v>#N/A</v>
      </c>
      <c r="AH25" s="1711">
        <v>19</v>
      </c>
      <c r="AI25" s="1711" t="s">
        <v>5248</v>
      </c>
      <c r="AJ25" s="3346" t="str">
        <f t="shared" si="5"/>
        <v/>
      </c>
      <c r="AL25" s="3474" t="str">
        <f t="shared" si="1"/>
        <v>Coinsurance waiver</v>
      </c>
    </row>
    <row r="26" spans="1:38">
      <c r="A26" s="423" t="s">
        <v>4664</v>
      </c>
      <c r="B26" s="3371" t="s">
        <v>4665</v>
      </c>
      <c r="C26" s="3373"/>
      <c r="D26" s="3362">
        <v>18</v>
      </c>
      <c r="E26" s="3350" t="s">
        <v>4691</v>
      </c>
      <c r="F26" s="3350" t="s">
        <v>4692</v>
      </c>
      <c r="G26" s="3350" t="s">
        <v>4600</v>
      </c>
      <c r="H26" s="3363" t="str">
        <f>IF(C17="License required but not obtained","No","Yes")</f>
        <v>Yes</v>
      </c>
      <c r="I26" s="3363" t="s">
        <v>3805</v>
      </c>
      <c r="J26" s="3363">
        <f>IF(H26=I26,0,1)</f>
        <v>0</v>
      </c>
      <c r="K26" s="3363" t="s">
        <v>1032</v>
      </c>
      <c r="L26" s="3363">
        <f t="shared" si="2"/>
        <v>0</v>
      </c>
      <c r="M26" s="3350" t="str">
        <f t="shared" si="3"/>
        <v/>
      </c>
      <c r="N26" s="3350" t="str">
        <f t="shared" si="4"/>
        <v/>
      </c>
      <c r="O26" s="3332">
        <v>173101</v>
      </c>
      <c r="P26" s="1711">
        <v>1731</v>
      </c>
      <c r="Q26" s="1711" t="s">
        <v>133</v>
      </c>
      <c r="R26" s="1711" t="s">
        <v>4180</v>
      </c>
      <c r="AE26" s="3349" t="s">
        <v>4339</v>
      </c>
      <c r="AF26" s="1711" t="s">
        <v>5257</v>
      </c>
      <c r="AG26" s="3353" t="e">
        <f>IF(AG7="Quote",'Quote template-1'!K109,"")</f>
        <v>#N/A</v>
      </c>
      <c r="AH26" s="1711">
        <v>20</v>
      </c>
      <c r="AI26" s="1711" t="s">
        <v>4694</v>
      </c>
      <c r="AJ26" s="3346" t="str">
        <f t="shared" si="5"/>
        <v/>
      </c>
      <c r="AL26" s="3474" t="str">
        <f t="shared" si="1"/>
        <v>Condominium contingent</v>
      </c>
    </row>
    <row r="27" spans="1:38">
      <c r="A27" s="423" t="s">
        <v>4669</v>
      </c>
      <c r="B27" s="3371" t="s">
        <v>4670</v>
      </c>
      <c r="C27" s="3373"/>
      <c r="D27" s="3362">
        <v>19</v>
      </c>
      <c r="E27" s="3350" t="s">
        <v>4697</v>
      </c>
      <c r="F27" s="3350" t="s">
        <v>4698</v>
      </c>
      <c r="G27" s="3350" t="s">
        <v>4607</v>
      </c>
      <c r="H27" s="3363">
        <f>IFERROR(C18,"")</f>
        <v>0</v>
      </c>
      <c r="I27" s="3363" t="s">
        <v>3821</v>
      </c>
      <c r="J27" s="3363">
        <f>IF(H27=I27,0,1)</f>
        <v>1</v>
      </c>
      <c r="K27" s="3363" t="s">
        <v>1032</v>
      </c>
      <c r="L27" s="3363">
        <f t="shared" si="2"/>
        <v>1</v>
      </c>
      <c r="M27" s="3350" t="str">
        <f t="shared" si="3"/>
        <v>Previous insurance refusal / cancellation</v>
      </c>
      <c r="N27" s="3350" t="str">
        <f t="shared" si="4"/>
        <v/>
      </c>
      <c r="O27" s="3332">
        <v>173102</v>
      </c>
      <c r="P27" s="1711">
        <v>1731</v>
      </c>
      <c r="Q27" s="1711" t="s">
        <v>133</v>
      </c>
      <c r="R27" s="1711" t="s">
        <v>4796</v>
      </c>
      <c r="AE27" s="3349" t="s">
        <v>4668</v>
      </c>
      <c r="AF27" s="3350" t="s">
        <v>3419</v>
      </c>
      <c r="AG27" s="3353" t="e">
        <f>IF(AG7="Quote",MAX('Quote template-1'!L138,'Quote template-1'!L133),"")</f>
        <v>#N/A</v>
      </c>
      <c r="AH27" s="1711">
        <v>21</v>
      </c>
      <c r="AI27" s="1711" t="s">
        <v>4702</v>
      </c>
      <c r="AJ27" s="3346" t="str">
        <f t="shared" si="5"/>
        <v/>
      </c>
      <c r="AL27" s="3474" t="str">
        <f t="shared" si="1"/>
        <v>Condominium loss assessment</v>
      </c>
    </row>
    <row r="28" spans="1:38">
      <c r="A28" s="423" t="s">
        <v>4675</v>
      </c>
      <c r="B28" s="3371" t="s">
        <v>4676</v>
      </c>
      <c r="C28" s="3352"/>
      <c r="D28" s="3362">
        <v>21</v>
      </c>
      <c r="E28" s="3350" t="s">
        <v>4709</v>
      </c>
      <c r="F28" s="3350" t="s">
        <v>4710</v>
      </c>
      <c r="G28" s="3350" t="s">
        <v>4711</v>
      </c>
      <c r="H28" s="3376" t="str">
        <f>IFERROR(IF(C19="Yes",C20,""),"")</f>
        <v/>
      </c>
      <c r="I28" s="3376">
        <v>10</v>
      </c>
      <c r="J28" s="3363">
        <f>IF(H28="",0,IF(H28&gt;I28,1,0))</f>
        <v>0</v>
      </c>
      <c r="K28" s="3363" t="s">
        <v>1031</v>
      </c>
      <c r="L28" s="3363">
        <f t="shared" si="2"/>
        <v>0</v>
      </c>
      <c r="M28" s="3350" t="str">
        <f t="shared" si="3"/>
        <v/>
      </c>
      <c r="N28" s="3350" t="str">
        <f t="shared" si="4"/>
        <v/>
      </c>
      <c r="O28" s="3332">
        <v>173103</v>
      </c>
      <c r="P28" s="1711">
        <v>1731</v>
      </c>
      <c r="Q28" s="1711" t="s">
        <v>133</v>
      </c>
      <c r="R28" s="1711" t="s">
        <v>4801</v>
      </c>
      <c r="AE28" s="3349" t="s">
        <v>4673</v>
      </c>
      <c r="AF28" s="1711" t="s">
        <v>5253</v>
      </c>
      <c r="AG28" s="3353" t="e">
        <f>IF(AG7="Quote",MAX('Quote template-1'!L139,'Quote template-1'!L134),"")</f>
        <v>#N/A</v>
      </c>
      <c r="AH28" s="1711">
        <v>22</v>
      </c>
      <c r="AI28" s="1711" t="s">
        <v>4706</v>
      </c>
      <c r="AJ28" s="3346" t="str">
        <f t="shared" si="5"/>
        <v/>
      </c>
      <c r="AL28" s="3474" t="str">
        <f t="shared" si="1"/>
        <v/>
      </c>
    </row>
    <row r="29" spans="1:38">
      <c r="A29" s="423" t="s">
        <v>4681</v>
      </c>
      <c r="B29" s="3350" t="s">
        <v>4682</v>
      </c>
      <c r="C29" s="3352"/>
      <c r="D29" s="3362">
        <v>22</v>
      </c>
      <c r="E29" s="3350" t="s">
        <v>4715</v>
      </c>
      <c r="F29" s="3350" t="s">
        <v>4716</v>
      </c>
      <c r="G29" s="3350" t="s">
        <v>4717</v>
      </c>
      <c r="H29" s="3375">
        <f>IFERROR(C21,"")</f>
        <v>0</v>
      </c>
      <c r="I29" s="3375" t="s">
        <v>3821</v>
      </c>
      <c r="J29" s="3363">
        <f>IF(H29&lt;=I29,0,1)</f>
        <v>0</v>
      </c>
      <c r="K29" s="3363" t="s">
        <v>1031</v>
      </c>
      <c r="L29" s="3363">
        <f t="shared" si="2"/>
        <v>0</v>
      </c>
      <c r="M29" s="3350" t="str">
        <f t="shared" si="3"/>
        <v/>
      </c>
      <c r="N29" s="3350" t="str">
        <f t="shared" si="4"/>
        <v/>
      </c>
      <c r="O29" s="3332">
        <v>173200</v>
      </c>
      <c r="P29" s="1711">
        <v>1732</v>
      </c>
      <c r="Q29" s="1711" t="s">
        <v>131</v>
      </c>
      <c r="R29" s="1711" t="s">
        <v>5138</v>
      </c>
      <c r="AE29" s="3349" t="s">
        <v>4680</v>
      </c>
      <c r="AF29" s="3350" t="s">
        <v>3420</v>
      </c>
      <c r="AG29" s="3353" t="e">
        <f>IF(AG7="Quote",MAX('Quote template-1'!L140,'Quote template-1'!L135),"")</f>
        <v>#N/A</v>
      </c>
      <c r="AH29" s="1711">
        <v>23</v>
      </c>
      <c r="AI29" s="1711" t="s">
        <v>4712</v>
      </c>
      <c r="AJ29" s="3346" t="str">
        <f t="shared" si="5"/>
        <v/>
      </c>
      <c r="AL29" s="3474" t="str">
        <f t="shared" si="1"/>
        <v/>
      </c>
    </row>
    <row r="30" spans="1:38">
      <c r="A30" s="423" t="s">
        <v>4689</v>
      </c>
      <c r="B30" s="3371" t="s">
        <v>4690</v>
      </c>
      <c r="C30" s="3372"/>
      <c r="D30" s="3362">
        <v>23</v>
      </c>
      <c r="E30" s="3350" t="s">
        <v>4721</v>
      </c>
      <c r="F30" s="3350" t="s">
        <v>4722</v>
      </c>
      <c r="G30" s="3350" t="s">
        <v>4650</v>
      </c>
      <c r="H30" s="3377">
        <f>Q84</f>
        <v>0</v>
      </c>
      <c r="I30" s="3377">
        <v>2000000</v>
      </c>
      <c r="J30" s="3363">
        <f>IF(H30&lt;=I30,0,1)</f>
        <v>0</v>
      </c>
      <c r="K30" s="3363" t="s">
        <v>1031</v>
      </c>
      <c r="L30" s="3363">
        <f t="shared" si="2"/>
        <v>0</v>
      </c>
      <c r="M30" s="3350" t="str">
        <f t="shared" si="3"/>
        <v/>
      </c>
      <c r="N30" s="3350" t="str">
        <f t="shared" si="4"/>
        <v/>
      </c>
      <c r="O30" s="3332">
        <v>173300</v>
      </c>
      <c r="P30" s="1711">
        <v>1733</v>
      </c>
      <c r="Q30" s="1711" t="s">
        <v>129</v>
      </c>
      <c r="R30" s="1711" t="s">
        <v>5139</v>
      </c>
      <c r="AE30" s="3349" t="s">
        <v>4687</v>
      </c>
      <c r="AF30" s="3350" t="s">
        <v>4688</v>
      </c>
      <c r="AG30" s="3353" t="e">
        <f>IF(AG7="Quote",MAX('Quote template-1'!L141,'Quote template-1'!L136),"")</f>
        <v>#N/A</v>
      </c>
      <c r="AH30" s="1711">
        <v>24</v>
      </c>
      <c r="AI30" s="1711" t="s">
        <v>4718</v>
      </c>
      <c r="AJ30" s="3346" t="str">
        <f t="shared" si="5"/>
        <v/>
      </c>
      <c r="AL30" s="3474" t="str">
        <f t="shared" si="1"/>
        <v/>
      </c>
    </row>
    <row r="31" spans="1:38">
      <c r="A31" s="423" t="s">
        <v>4695</v>
      </c>
      <c r="B31" s="3371" t="s">
        <v>4696</v>
      </c>
      <c r="C31" s="3373"/>
      <c r="D31" s="3362">
        <v>24</v>
      </c>
      <c r="E31" s="3350" t="s">
        <v>4726</v>
      </c>
      <c r="F31" s="3350" t="s">
        <v>4727</v>
      </c>
      <c r="G31" s="3350" t="s">
        <v>4728</v>
      </c>
      <c r="H31" s="3377">
        <f>C92</f>
        <v>0</v>
      </c>
      <c r="I31" s="3363">
        <v>0</v>
      </c>
      <c r="J31" s="3363">
        <f>IF(H31="",0,IF(H31&gt;I31,1,0))</f>
        <v>0</v>
      </c>
      <c r="K31" s="3363" t="s">
        <v>1031</v>
      </c>
      <c r="L31" s="3363">
        <f t="shared" si="2"/>
        <v>0</v>
      </c>
      <c r="M31" s="3350" t="str">
        <f t="shared" si="3"/>
        <v/>
      </c>
      <c r="N31" s="3350" t="str">
        <f t="shared" si="4"/>
        <v/>
      </c>
      <c r="O31" s="3332">
        <v>173400</v>
      </c>
      <c r="P31" s="1711">
        <v>1734</v>
      </c>
      <c r="Q31" s="1711" t="s">
        <v>127</v>
      </c>
      <c r="R31" s="1711" t="s">
        <v>5140</v>
      </c>
      <c r="AE31" s="3349" t="s">
        <v>4693</v>
      </c>
      <c r="AF31" s="3350" t="s">
        <v>3422</v>
      </c>
      <c r="AG31" s="3353" t="e">
        <f>IF(AG7="Quote",MAX('Quote template-1'!L142,'Quote template-1'!L137),"")</f>
        <v>#N/A</v>
      </c>
      <c r="AH31" s="1711">
        <v>25</v>
      </c>
      <c r="AI31" s="1711" t="s">
        <v>4723</v>
      </c>
      <c r="AJ31" s="3346" t="str">
        <f t="shared" si="5"/>
        <v/>
      </c>
      <c r="AL31" s="3474" t="str">
        <f t="shared" si="1"/>
        <v/>
      </c>
    </row>
    <row r="32" spans="1:38">
      <c r="A32" s="423" t="s">
        <v>4703</v>
      </c>
      <c r="B32" s="3371" t="s">
        <v>4704</v>
      </c>
      <c r="C32" s="3373"/>
      <c r="D32" s="3362">
        <v>25</v>
      </c>
      <c r="E32" s="3378" t="s">
        <v>4734</v>
      </c>
      <c r="F32" s="3378" t="s">
        <v>4735</v>
      </c>
      <c r="G32" s="3378" t="s">
        <v>4736</v>
      </c>
      <c r="H32" s="3379" t="e">
        <f>U85</f>
        <v>#DIV/0!</v>
      </c>
      <c r="I32" s="3380" t="e">
        <f>'Input '!K25</f>
        <v>#N/A</v>
      </c>
      <c r="J32" s="3363" t="e">
        <f>IF(H32="",0,IF(H32&gt;I32,1,0))</f>
        <v>#DIV/0!</v>
      </c>
      <c r="K32" s="3363" t="s">
        <v>1032</v>
      </c>
      <c r="L32" s="3363" t="e">
        <f>IF(J32=0,0,IF(K32="Y",0,1))</f>
        <v>#DIV/0!</v>
      </c>
      <c r="M32" s="3350" t="e">
        <f t="shared" ref="M32:M33" si="8">IF(J32=1,F32,"")</f>
        <v>#DIV/0!</v>
      </c>
      <c r="N32" s="3350" t="e">
        <f t="shared" ref="N32:N33" si="9">IF(M32="","",IF(L32=0,F32,""))</f>
        <v>#DIV/0!</v>
      </c>
      <c r="O32" s="3332">
        <v>173600</v>
      </c>
      <c r="P32" s="1711">
        <v>1736</v>
      </c>
      <c r="Q32" s="1711" t="s">
        <v>122</v>
      </c>
      <c r="R32" s="1711" t="s">
        <v>5141</v>
      </c>
      <c r="AE32" s="3349" t="s">
        <v>4700</v>
      </c>
      <c r="AF32" s="3350" t="s">
        <v>4701</v>
      </c>
      <c r="AG32" s="3353" t="e">
        <f>IF(AG7="Quote",'Quote template-1'!L116,"")</f>
        <v>#N/A</v>
      </c>
      <c r="AH32" s="1711">
        <v>26</v>
      </c>
      <c r="AI32" s="1711" t="s">
        <v>4731</v>
      </c>
      <c r="AJ32" s="3346" t="str">
        <f t="shared" si="5"/>
        <v/>
      </c>
      <c r="AL32" s="3474" t="str">
        <f t="shared" si="1"/>
        <v>Contents of others</v>
      </c>
    </row>
    <row r="33" spans="1:38">
      <c r="A33" s="423" t="s">
        <v>4707</v>
      </c>
      <c r="B33" s="3371" t="s">
        <v>4708</v>
      </c>
      <c r="C33" s="3373"/>
      <c r="D33" s="3362">
        <v>26</v>
      </c>
      <c r="E33" s="3350" t="s">
        <v>5288</v>
      </c>
      <c r="F33" s="3350" t="s">
        <v>5289</v>
      </c>
      <c r="G33" s="3350" t="s">
        <v>5290</v>
      </c>
      <c r="H33" s="3376">
        <f>C93</f>
        <v>0</v>
      </c>
      <c r="I33" s="3363">
        <f>0</f>
        <v>0</v>
      </c>
      <c r="J33" s="3363">
        <f>IF(H33=I33,0,1)</f>
        <v>0</v>
      </c>
      <c r="K33" s="3363" t="s">
        <v>1031</v>
      </c>
      <c r="L33" s="3363">
        <f>IF(J33=0,0,IF(K33="Y",0,1))</f>
        <v>0</v>
      </c>
      <c r="M33" s="3350" t="str">
        <f t="shared" si="8"/>
        <v/>
      </c>
      <c r="N33" s="3350" t="str">
        <f t="shared" si="9"/>
        <v/>
      </c>
      <c r="O33" s="3332">
        <v>174100</v>
      </c>
      <c r="P33" s="1711">
        <v>1741</v>
      </c>
      <c r="Q33" s="1711" t="s">
        <v>120</v>
      </c>
      <c r="R33" s="1711" t="s">
        <v>5142</v>
      </c>
      <c r="AE33" s="3349" t="s">
        <v>4606</v>
      </c>
      <c r="AF33" s="3350" t="s">
        <v>4606</v>
      </c>
      <c r="AG33" s="3353" t="e">
        <f>IF(AG7="Quote",IF($AG$24&gt;0,100000,0),"")</f>
        <v>#N/A</v>
      </c>
      <c r="AH33" s="1711">
        <v>27</v>
      </c>
      <c r="AI33" s="1711" t="s">
        <v>4738</v>
      </c>
      <c r="AJ33" s="3346" t="str">
        <f t="shared" si="5"/>
        <v/>
      </c>
      <c r="AL33" s="3474" t="str">
        <f t="shared" si="1"/>
        <v>Contract penalty coverage</v>
      </c>
    </row>
    <row r="34" spans="1:38">
      <c r="A34" s="423" t="s">
        <v>4713</v>
      </c>
      <c r="B34" s="3371" t="s">
        <v>4714</v>
      </c>
      <c r="C34" s="3373"/>
      <c r="D34" s="3362">
        <v>27</v>
      </c>
      <c r="E34" s="3350" t="s">
        <v>5361</v>
      </c>
      <c r="F34" s="3350" t="s">
        <v>5362</v>
      </c>
      <c r="G34" s="3350" t="s">
        <v>5361</v>
      </c>
      <c r="H34" s="3376" t="str">
        <f>U316</f>
        <v>Decline</v>
      </c>
      <c r="I34" s="3363" t="s">
        <v>5346</v>
      </c>
      <c r="J34" s="3363">
        <f>IF(H34="Accept",0,1)</f>
        <v>1</v>
      </c>
      <c r="K34" s="3363" t="s">
        <v>1032</v>
      </c>
      <c r="L34" s="3363">
        <f>IF(J34=0,0,IF(K34="Y",0,1))</f>
        <v>1</v>
      </c>
      <c r="M34" s="3350" t="str">
        <f t="shared" ref="M34" si="10">IF(J34=1,F34,"")</f>
        <v>Unable to quote in required province</v>
      </c>
      <c r="N34" s="3350" t="str">
        <f t="shared" ref="N34" si="11">IF(M34="","",IF(L34=0,F34,""))</f>
        <v/>
      </c>
      <c r="O34" s="3332">
        <v>174200</v>
      </c>
      <c r="P34" s="1711">
        <v>1742</v>
      </c>
      <c r="Q34" s="1711" t="s">
        <v>118</v>
      </c>
      <c r="R34" s="1711" t="s">
        <v>118</v>
      </c>
      <c r="AE34" s="3349" t="s">
        <v>4613</v>
      </c>
      <c r="AF34" s="3350" t="s">
        <v>4613</v>
      </c>
      <c r="AG34" s="3353" t="e">
        <f>IF(AG7="Quote",IF($AG$24&gt;0,10000,0),"")</f>
        <v>#N/A</v>
      </c>
      <c r="AH34" s="1711">
        <v>28</v>
      </c>
      <c r="AI34" s="1711" t="s">
        <v>3550</v>
      </c>
      <c r="AJ34" s="3346" t="str">
        <f t="shared" si="5"/>
        <v/>
      </c>
      <c r="AL34" s="3474" t="str">
        <f t="shared" si="1"/>
        <v/>
      </c>
    </row>
    <row r="35" spans="1:38">
      <c r="A35" s="423" t="s">
        <v>4719</v>
      </c>
      <c r="B35" s="3371" t="s">
        <v>4720</v>
      </c>
      <c r="C35" s="3352"/>
      <c r="D35" s="3362"/>
      <c r="E35" s="3350"/>
      <c r="F35" s="3350"/>
      <c r="G35" s="3350"/>
      <c r="H35" s="3376"/>
      <c r="I35" s="3363"/>
      <c r="J35" s="3363"/>
      <c r="K35" s="3363"/>
      <c r="L35" s="3363"/>
      <c r="M35" s="3350"/>
      <c r="N35" s="3350"/>
      <c r="O35" s="3332">
        <v>174300</v>
      </c>
      <c r="P35" s="1711">
        <v>1743</v>
      </c>
      <c r="Q35" s="1711" t="s">
        <v>116</v>
      </c>
      <c r="R35" s="1711" t="s">
        <v>4699</v>
      </c>
      <c r="AE35" s="3349" t="s">
        <v>4730</v>
      </c>
      <c r="AF35" s="3350" t="s">
        <v>4730</v>
      </c>
      <c r="AG35" s="3353" t="e">
        <f>IF(AG7="Quote",IF($AG$24&gt;0,100000,0),"")</f>
        <v>#N/A</v>
      </c>
      <c r="AH35" s="1711">
        <v>29</v>
      </c>
      <c r="AI35" s="1711" t="s">
        <v>4744</v>
      </c>
      <c r="AJ35" s="3382" t="str">
        <f t="shared" si="5"/>
        <v/>
      </c>
      <c r="AL35" s="3474" t="str">
        <f t="shared" si="1"/>
        <v/>
      </c>
    </row>
    <row r="36" spans="1:38">
      <c r="A36" s="423" t="s">
        <v>4724</v>
      </c>
      <c r="B36" s="3350" t="s">
        <v>4725</v>
      </c>
      <c r="C36" s="3352"/>
      <c r="D36" s="3381" t="s">
        <v>4747</v>
      </c>
      <c r="E36" s="3350"/>
      <c r="F36" s="3350"/>
      <c r="G36" s="3350"/>
      <c r="H36" s="3363"/>
      <c r="I36" s="3363"/>
      <c r="J36" s="3363"/>
      <c r="K36" s="3363"/>
      <c r="L36" s="3363"/>
      <c r="M36" s="3350"/>
      <c r="N36" s="3350"/>
      <c r="O36" s="3332">
        <v>174400</v>
      </c>
      <c r="P36" s="1711">
        <v>1744</v>
      </c>
      <c r="Q36" s="1711" t="s">
        <v>114</v>
      </c>
      <c r="R36" s="1711" t="s">
        <v>5143</v>
      </c>
      <c r="AE36" s="3349" t="s">
        <v>4635</v>
      </c>
      <c r="AF36" s="3350" t="s">
        <v>4635</v>
      </c>
      <c r="AG36" s="3353" t="e">
        <f>IF(AG7="Quote",IF($AG$24&gt;0,100000,0),"")</f>
        <v>#N/A</v>
      </c>
      <c r="AH36" s="1711">
        <v>30</v>
      </c>
      <c r="AI36" s="1711" t="s">
        <v>4749</v>
      </c>
      <c r="AJ36" s="3346" t="str">
        <f t="shared" si="5"/>
        <v/>
      </c>
      <c r="AL36" s="3474" t="str">
        <f t="shared" si="1"/>
        <v>Contractors equipment - fire department charges</v>
      </c>
    </row>
    <row r="37" spans="1:38" ht="30.75" thickBot="1">
      <c r="A37" s="423" t="s">
        <v>4732</v>
      </c>
      <c r="B37" s="3371" t="s">
        <v>4733</v>
      </c>
      <c r="C37" s="3372"/>
      <c r="D37" s="3485"/>
      <c r="E37" s="3485" t="s">
        <v>4752</v>
      </c>
      <c r="F37" s="3485" t="s">
        <v>4568</v>
      </c>
      <c r="G37" s="3485" t="s">
        <v>4753</v>
      </c>
      <c r="H37" s="3356" t="s">
        <v>4754</v>
      </c>
      <c r="I37" s="3356" t="s">
        <v>4571</v>
      </c>
      <c r="J37" s="3356" t="s">
        <v>4572</v>
      </c>
      <c r="K37" s="3356" t="s">
        <v>4573</v>
      </c>
      <c r="L37" s="3356" t="s">
        <v>4574</v>
      </c>
      <c r="M37" s="3356" t="s">
        <v>4575</v>
      </c>
      <c r="N37" s="3356" t="s">
        <v>4576</v>
      </c>
      <c r="O37" s="3332">
        <v>174500</v>
      </c>
      <c r="P37" s="1711">
        <v>1745</v>
      </c>
      <c r="Q37" s="1711" t="s">
        <v>112</v>
      </c>
      <c r="R37" s="1711" t="s">
        <v>5144</v>
      </c>
      <c r="AE37" s="3349" t="s">
        <v>1304</v>
      </c>
      <c r="AF37" s="1711" t="s">
        <v>1304</v>
      </c>
      <c r="AG37" s="3353" t="e">
        <f>IF(AG7="Quote",'Quote template-1'!L40,"")</f>
        <v>#N/A</v>
      </c>
      <c r="AH37" s="1711">
        <v>31</v>
      </c>
      <c r="AI37" s="1711" t="s">
        <v>4756</v>
      </c>
      <c r="AJ37" s="3346" t="str">
        <f t="shared" si="5"/>
        <v/>
      </c>
      <c r="AL37" s="3474" t="str">
        <f t="shared" si="1"/>
        <v>Contractors equipment - loss of use</v>
      </c>
    </row>
    <row r="38" spans="1:38">
      <c r="A38" s="423" t="s">
        <v>4739</v>
      </c>
      <c r="B38" s="3371" t="s">
        <v>4740</v>
      </c>
      <c r="C38" s="3373"/>
      <c r="D38" s="3362"/>
      <c r="E38" s="3369">
        <v>175200</v>
      </c>
      <c r="F38" s="3369" t="s">
        <v>4759</v>
      </c>
      <c r="G38" s="3363">
        <f t="shared" ref="G38:G70" si="12">IF(OR(E38=$C$22,E38=$C$29,E38=$C$36,E38=$C$43,E38=$C$50,E38=$C$57,E38=$C$64,E38=$C$71,E38=$C$78,E38=$C$85),1,0)</f>
        <v>0</v>
      </c>
      <c r="H38" s="3363">
        <f>$C$129</f>
        <v>0</v>
      </c>
      <c r="I38" s="3363" t="s">
        <v>3821</v>
      </c>
      <c r="J38" s="3363">
        <f>IF(G38&lt;&gt;1,0,IF(H38="Yes",1,0))</f>
        <v>0</v>
      </c>
      <c r="K38" s="3363" t="s">
        <v>1031</v>
      </c>
      <c r="L38" s="3363">
        <f t="shared" ref="L38:L85" si="13">IF(J38=0,0,IF(K38="Y",0,1))</f>
        <v>0</v>
      </c>
      <c r="M38" s="3350" t="str">
        <f t="shared" ref="M38:M85" si="14">IF(J38=1,F38,"")</f>
        <v/>
      </c>
      <c r="N38" s="3350" t="str">
        <f t="shared" ref="N38:N85" si="15">IF(M38="","",IF(L38=0,F38,""))</f>
        <v/>
      </c>
      <c r="O38" s="3332">
        <v>175100</v>
      </c>
      <c r="P38" s="1711">
        <v>1751</v>
      </c>
      <c r="Q38" s="1711" t="s">
        <v>110</v>
      </c>
      <c r="R38" s="1711" t="s">
        <v>5145</v>
      </c>
      <c r="AE38" s="3349" t="s">
        <v>4706</v>
      </c>
      <c r="AF38" s="3350" t="s">
        <v>4706</v>
      </c>
      <c r="AG38" s="3353" t="e">
        <f>IF(AG7="Quote",IF($AG$24&gt;0,100000,0),"")</f>
        <v>#N/A</v>
      </c>
      <c r="AH38" s="1711">
        <v>32</v>
      </c>
      <c r="AI38" s="1711" t="s">
        <v>4761</v>
      </c>
      <c r="AJ38" s="3346" t="str">
        <f t="shared" si="5"/>
        <v/>
      </c>
      <c r="AL38" s="3474" t="str">
        <f t="shared" si="1"/>
        <v/>
      </c>
    </row>
    <row r="39" spans="1:38">
      <c r="A39" s="423" t="s">
        <v>4741</v>
      </c>
      <c r="B39" s="3371" t="s">
        <v>4742</v>
      </c>
      <c r="C39" s="3373"/>
      <c r="D39" s="3362"/>
      <c r="E39" s="3369">
        <v>181200</v>
      </c>
      <c r="F39" s="3369" t="s">
        <v>4759</v>
      </c>
      <c r="G39" s="3363">
        <f t="shared" si="12"/>
        <v>0</v>
      </c>
      <c r="H39" s="3363">
        <f>$C$129</f>
        <v>0</v>
      </c>
      <c r="I39" s="3363" t="s">
        <v>3821</v>
      </c>
      <c r="J39" s="3363">
        <f t="shared" ref="J39:J85" si="16">IF(G39&lt;&gt;1,0,IF(H39="Yes",1,0))</f>
        <v>0</v>
      </c>
      <c r="K39" s="3363" t="s">
        <v>1031</v>
      </c>
      <c r="L39" s="3363">
        <f t="shared" si="13"/>
        <v>0</v>
      </c>
      <c r="M39" s="3350" t="str">
        <f t="shared" si="14"/>
        <v/>
      </c>
      <c r="N39" s="3350" t="str">
        <f t="shared" si="15"/>
        <v/>
      </c>
      <c r="O39" s="3332">
        <v>175200</v>
      </c>
      <c r="P39" s="1711">
        <v>1752</v>
      </c>
      <c r="Q39" s="1711" t="s">
        <v>108</v>
      </c>
      <c r="R39" s="1711" t="s">
        <v>4562</v>
      </c>
      <c r="AE39" s="3349" t="s">
        <v>4712</v>
      </c>
      <c r="AF39" s="3350" t="s">
        <v>4712</v>
      </c>
      <c r="AG39" s="3353" t="e">
        <f>IF(AG7="Quote",IF($AG$24&gt;0,100000,0),"")</f>
        <v>#N/A</v>
      </c>
      <c r="AH39" s="1711">
        <v>33</v>
      </c>
      <c r="AI39" s="1711" t="s">
        <v>4765</v>
      </c>
      <c r="AJ39" s="3346" t="str">
        <f t="shared" si="5"/>
        <v/>
      </c>
      <c r="AL39" s="3474" t="str">
        <f t="shared" si="1"/>
        <v>Contractors equipment - sinking into muskeg or ice</v>
      </c>
    </row>
    <row r="40" spans="1:38">
      <c r="A40" s="423" t="s">
        <v>4745</v>
      </c>
      <c r="B40" s="3371" t="s">
        <v>4746</v>
      </c>
      <c r="C40" s="3373"/>
      <c r="D40" s="3362"/>
      <c r="E40" s="3369">
        <v>176200</v>
      </c>
      <c r="F40" s="3369" t="s">
        <v>4759</v>
      </c>
      <c r="G40" s="3363">
        <f t="shared" si="12"/>
        <v>0</v>
      </c>
      <c r="H40" s="3363">
        <f>$C$129</f>
        <v>0</v>
      </c>
      <c r="I40" s="3363" t="s">
        <v>3821</v>
      </c>
      <c r="J40" s="3363">
        <f t="shared" si="16"/>
        <v>0</v>
      </c>
      <c r="K40" s="3363" t="s">
        <v>1031</v>
      </c>
      <c r="L40" s="3363">
        <f t="shared" si="13"/>
        <v>0</v>
      </c>
      <c r="M40" s="3350" t="str">
        <f t="shared" si="14"/>
        <v/>
      </c>
      <c r="N40" s="3350" t="str">
        <f t="shared" si="15"/>
        <v/>
      </c>
      <c r="O40" s="3332">
        <v>175300</v>
      </c>
      <c r="P40" s="1711">
        <v>1753</v>
      </c>
      <c r="Q40" s="1711" t="s">
        <v>106</v>
      </c>
      <c r="R40" s="1711" t="s">
        <v>106</v>
      </c>
      <c r="AE40" s="3349" t="s">
        <v>4718</v>
      </c>
      <c r="AF40" s="3350" t="s">
        <v>4718</v>
      </c>
      <c r="AG40" s="3353" t="e">
        <f>IF(AG7="Quote",IF($AG$24&gt;0,100000,0),"")</f>
        <v>#N/A</v>
      </c>
      <c r="AH40" s="1711">
        <v>34</v>
      </c>
      <c r="AI40" s="1711" t="s">
        <v>4769</v>
      </c>
      <c r="AJ40" s="3346" t="str">
        <f t="shared" si="5"/>
        <v/>
      </c>
      <c r="AL40" s="3474" t="str">
        <f t="shared" si="1"/>
        <v/>
      </c>
    </row>
    <row r="41" spans="1:38">
      <c r="A41" s="423" t="s">
        <v>4750</v>
      </c>
      <c r="B41" s="3371" t="s">
        <v>4751</v>
      </c>
      <c r="C41" s="3373"/>
      <c r="D41" s="3383"/>
      <c r="E41" s="3369">
        <v>174100</v>
      </c>
      <c r="F41" s="3369" t="s">
        <v>4772</v>
      </c>
      <c r="G41" s="3363">
        <f t="shared" si="12"/>
        <v>0</v>
      </c>
      <c r="H41" s="3363">
        <f>C130</f>
        <v>0</v>
      </c>
      <c r="I41" s="3363" t="s">
        <v>3821</v>
      </c>
      <c r="J41" s="3363">
        <f t="shared" si="16"/>
        <v>0</v>
      </c>
      <c r="K41" s="3363" t="s">
        <v>1031</v>
      </c>
      <c r="L41" s="3363">
        <f t="shared" si="13"/>
        <v>0</v>
      </c>
      <c r="M41" s="3350" t="str">
        <f t="shared" si="14"/>
        <v/>
      </c>
      <c r="N41" s="3350" t="str">
        <f t="shared" si="15"/>
        <v/>
      </c>
      <c r="O41" s="3332">
        <v>175400</v>
      </c>
      <c r="P41" s="1711">
        <v>1754</v>
      </c>
      <c r="Q41" s="1711" t="s">
        <v>104</v>
      </c>
      <c r="R41" s="1711" t="s">
        <v>4729</v>
      </c>
      <c r="AE41" s="3349" t="s">
        <v>4723</v>
      </c>
      <c r="AF41" s="3350" t="s">
        <v>4723</v>
      </c>
      <c r="AG41" s="3353" t="e">
        <f>IF(AG7="Quote",IF(AG20&gt;0,"Included",""),"")</f>
        <v>#N/A</v>
      </c>
      <c r="AH41" s="1711">
        <v>35</v>
      </c>
      <c r="AI41" s="1711" t="s">
        <v>4773</v>
      </c>
      <c r="AJ41" s="3346" t="str">
        <f t="shared" si="5"/>
        <v/>
      </c>
      <c r="AL41" s="3474" t="str">
        <f t="shared" si="1"/>
        <v>Conviction reward</v>
      </c>
    </row>
    <row r="42" spans="1:38">
      <c r="A42" s="423" t="s">
        <v>4757</v>
      </c>
      <c r="B42" s="3371" t="s">
        <v>4758</v>
      </c>
      <c r="C42" s="3352"/>
      <c r="D42" s="3383"/>
      <c r="E42" s="3369">
        <v>175300</v>
      </c>
      <c r="F42" s="3369" t="s">
        <v>4776</v>
      </c>
      <c r="G42" s="3363">
        <f t="shared" si="12"/>
        <v>0</v>
      </c>
      <c r="H42" s="3363">
        <f>$C$131</f>
        <v>0</v>
      </c>
      <c r="I42" s="3363" t="s">
        <v>3821</v>
      </c>
      <c r="J42" s="3363">
        <f t="shared" si="16"/>
        <v>0</v>
      </c>
      <c r="K42" s="3363" t="s">
        <v>1031</v>
      </c>
      <c r="L42" s="3363">
        <f t="shared" si="13"/>
        <v>0</v>
      </c>
      <c r="M42" s="3350" t="str">
        <f t="shared" si="14"/>
        <v/>
      </c>
      <c r="N42" s="3350" t="str">
        <f t="shared" si="15"/>
        <v/>
      </c>
      <c r="O42" s="3332">
        <v>175500</v>
      </c>
      <c r="P42" s="1711">
        <v>1755</v>
      </c>
      <c r="Q42" s="1711" t="s">
        <v>102</v>
      </c>
      <c r="R42" s="1711" t="s">
        <v>4737</v>
      </c>
      <c r="AE42" s="3349" t="s">
        <v>4744</v>
      </c>
      <c r="AF42" s="3350" t="s">
        <v>4744</v>
      </c>
      <c r="AG42" s="3464" t="e">
        <f>IF(AG7="Quote",IF(AG17&gt;0,'Quote template-1'!H32,""),"")</f>
        <v>#N/A</v>
      </c>
      <c r="AH42" s="1711">
        <v>36</v>
      </c>
      <c r="AI42" s="1711" t="s">
        <v>4778</v>
      </c>
      <c r="AJ42" s="3346" t="str">
        <f t="shared" si="5"/>
        <v/>
      </c>
      <c r="AL42" s="3474" t="str">
        <f t="shared" si="1"/>
        <v>Data coverage</v>
      </c>
    </row>
    <row r="43" spans="1:38">
      <c r="A43" s="423" t="s">
        <v>4762</v>
      </c>
      <c r="B43" s="3350" t="s">
        <v>4763</v>
      </c>
      <c r="C43" s="3352"/>
      <c r="D43" s="3383"/>
      <c r="E43" s="3369">
        <v>176200</v>
      </c>
      <c r="F43" s="3369" t="s">
        <v>4776</v>
      </c>
      <c r="G43" s="3363">
        <f t="shared" si="12"/>
        <v>0</v>
      </c>
      <c r="H43" s="3363">
        <f>$C$131</f>
        <v>0</v>
      </c>
      <c r="I43" s="3363" t="s">
        <v>3821</v>
      </c>
      <c r="J43" s="3363">
        <f t="shared" si="16"/>
        <v>0</v>
      </c>
      <c r="K43" s="3363" t="s">
        <v>1031</v>
      </c>
      <c r="L43" s="3363">
        <f t="shared" si="13"/>
        <v>0</v>
      </c>
      <c r="M43" s="3350" t="str">
        <f t="shared" si="14"/>
        <v/>
      </c>
      <c r="N43" s="3350" t="str">
        <f t="shared" si="15"/>
        <v/>
      </c>
      <c r="O43" s="3332">
        <v>175601</v>
      </c>
      <c r="P43" s="1711">
        <v>1756</v>
      </c>
      <c r="Q43" s="1711" t="s">
        <v>100</v>
      </c>
      <c r="R43" s="1711" t="s">
        <v>5146</v>
      </c>
      <c r="AE43" s="3349" t="s">
        <v>4761</v>
      </c>
      <c r="AF43" s="3350" t="s">
        <v>4761</v>
      </c>
      <c r="AG43" s="3353" t="e">
        <f>IF(AG7="Quote",IF(AG17&gt;0,75000,""),"")</f>
        <v>#N/A</v>
      </c>
      <c r="AH43" s="1711">
        <v>37</v>
      </c>
      <c r="AI43" s="1711" t="s">
        <v>4781</v>
      </c>
      <c r="AJ43" s="3346" t="str">
        <f t="shared" si="5"/>
        <v/>
      </c>
      <c r="AL43" s="3474" t="str">
        <f t="shared" si="1"/>
        <v/>
      </c>
    </row>
    <row r="44" spans="1:38">
      <c r="A44" s="423" t="s">
        <v>4766</v>
      </c>
      <c r="B44" s="3371" t="s">
        <v>4767</v>
      </c>
      <c r="C44" s="3372"/>
      <c r="D44" s="3383"/>
      <c r="E44" s="3369">
        <v>174300</v>
      </c>
      <c r="F44" s="3369" t="s">
        <v>4784</v>
      </c>
      <c r="G44" s="3363">
        <f t="shared" si="12"/>
        <v>0</v>
      </c>
      <c r="H44" s="3363">
        <f>C132</f>
        <v>0</v>
      </c>
      <c r="I44" s="3363" t="s">
        <v>3821</v>
      </c>
      <c r="J44" s="3363">
        <f t="shared" si="16"/>
        <v>0</v>
      </c>
      <c r="K44" s="3363" t="s">
        <v>1031</v>
      </c>
      <c r="L44" s="3363">
        <f t="shared" si="13"/>
        <v>0</v>
      </c>
      <c r="M44" s="3350" t="str">
        <f t="shared" si="14"/>
        <v/>
      </c>
      <c r="N44" s="3350" t="str">
        <f t="shared" si="15"/>
        <v/>
      </c>
      <c r="O44" s="3332">
        <v>175602</v>
      </c>
      <c r="P44" s="1711">
        <v>1756</v>
      </c>
      <c r="Q44" s="1711" t="s">
        <v>100</v>
      </c>
      <c r="R44" s="1711" t="s">
        <v>4649</v>
      </c>
      <c r="AE44" s="3349" t="s">
        <v>4781</v>
      </c>
      <c r="AF44" s="3350" t="s">
        <v>4781</v>
      </c>
      <c r="AG44" s="3353" t="e">
        <f>IF(AG7="Quote",IF($AG$24&gt;0,25000,0),"")</f>
        <v>#N/A</v>
      </c>
      <c r="AH44" s="1711">
        <v>38</v>
      </c>
      <c r="AI44" s="1711" t="s">
        <v>5308</v>
      </c>
      <c r="AJ44" s="3346" t="str">
        <f t="shared" si="5"/>
        <v/>
      </c>
      <c r="AL44" s="3474" t="str">
        <f t="shared" si="1"/>
        <v/>
      </c>
    </row>
    <row r="45" spans="1:38">
      <c r="A45" s="423" t="s">
        <v>4770</v>
      </c>
      <c r="B45" s="3371" t="s">
        <v>4771</v>
      </c>
      <c r="C45" s="3373"/>
      <c r="D45" s="3383"/>
      <c r="E45" s="3369">
        <v>181200</v>
      </c>
      <c r="F45" s="3369" t="s">
        <v>4787</v>
      </c>
      <c r="G45" s="3363">
        <f t="shared" si="12"/>
        <v>0</v>
      </c>
      <c r="H45" s="3363">
        <f>C133</f>
        <v>0</v>
      </c>
      <c r="I45" s="3363" t="s">
        <v>3821</v>
      </c>
      <c r="J45" s="3363">
        <f t="shared" si="16"/>
        <v>0</v>
      </c>
      <c r="K45" s="3363" t="s">
        <v>1031</v>
      </c>
      <c r="L45" s="3363">
        <f t="shared" si="13"/>
        <v>0</v>
      </c>
      <c r="M45" s="3350" t="str">
        <f t="shared" si="14"/>
        <v/>
      </c>
      <c r="N45" s="3350" t="str">
        <f t="shared" si="15"/>
        <v/>
      </c>
      <c r="O45" s="3332">
        <v>175603</v>
      </c>
      <c r="P45" s="1711">
        <v>1756</v>
      </c>
      <c r="Q45" s="1711" t="s">
        <v>100</v>
      </c>
      <c r="R45" s="1711" t="s">
        <v>4657</v>
      </c>
      <c r="AE45" s="3349" t="s">
        <v>4797</v>
      </c>
      <c r="AF45" s="3350" t="s">
        <v>4797</v>
      </c>
      <c r="AG45" s="3353" t="e">
        <f>IF(AG7="Quote",IF($AG$24&gt;0,10000,0),"")</f>
        <v>#N/A</v>
      </c>
      <c r="AH45" s="1711">
        <v>39</v>
      </c>
      <c r="AI45" s="1711" t="s">
        <v>4788</v>
      </c>
      <c r="AJ45" s="3346" t="str">
        <f t="shared" si="5"/>
        <v/>
      </c>
      <c r="AL45" s="3474" t="str">
        <f t="shared" si="1"/>
        <v>Earthquake</v>
      </c>
    </row>
    <row r="46" spans="1:38">
      <c r="A46" s="423" t="s">
        <v>4774</v>
      </c>
      <c r="B46" s="3371" t="s">
        <v>4775</v>
      </c>
      <c r="C46" s="3373"/>
      <c r="E46" s="3369">
        <v>173200</v>
      </c>
      <c r="F46" s="3369" t="s">
        <v>4791</v>
      </c>
      <c r="G46" s="3363">
        <f t="shared" si="12"/>
        <v>0</v>
      </c>
      <c r="H46" s="3363">
        <f>C134</f>
        <v>0</v>
      </c>
      <c r="I46" s="3363" t="s">
        <v>3821</v>
      </c>
      <c r="J46" s="3363">
        <f t="shared" si="16"/>
        <v>0</v>
      </c>
      <c r="K46" s="3363" t="s">
        <v>1031</v>
      </c>
      <c r="L46" s="3363">
        <f t="shared" si="13"/>
        <v>0</v>
      </c>
      <c r="M46" s="3350" t="str">
        <f t="shared" si="14"/>
        <v/>
      </c>
      <c r="N46" s="3350" t="str">
        <f t="shared" si="15"/>
        <v/>
      </c>
      <c r="O46" s="3332">
        <v>175604</v>
      </c>
      <c r="P46" s="1711">
        <v>1756</v>
      </c>
      <c r="Q46" s="1711" t="s">
        <v>100</v>
      </c>
      <c r="R46" s="1711" t="s">
        <v>5147</v>
      </c>
      <c r="AE46" s="3349" t="s">
        <v>4805</v>
      </c>
      <c r="AF46" s="3350" t="s">
        <v>4805</v>
      </c>
      <c r="AG46" s="3353" t="e">
        <f>IF(AG7="Quote",IF($AG$24&gt;0,100000,0),"")</f>
        <v>#N/A</v>
      </c>
      <c r="AH46" s="1711">
        <v>40</v>
      </c>
      <c r="AI46" s="1711" t="s">
        <v>4792</v>
      </c>
      <c r="AJ46" s="3346" t="str">
        <f t="shared" si="5"/>
        <v/>
      </c>
      <c r="AL46" s="3474" t="str">
        <f t="shared" si="1"/>
        <v>Eco-friendly coverage enhancement</v>
      </c>
    </row>
    <row r="47" spans="1:38">
      <c r="A47" s="423" t="s">
        <v>4779</v>
      </c>
      <c r="B47" s="3371" t="s">
        <v>4780</v>
      </c>
      <c r="C47" s="3373"/>
      <c r="E47" s="3369">
        <v>181200</v>
      </c>
      <c r="F47" s="3369" t="s">
        <v>4795</v>
      </c>
      <c r="G47" s="3363">
        <f t="shared" si="12"/>
        <v>0</v>
      </c>
      <c r="H47" s="3363">
        <f>C133</f>
        <v>0</v>
      </c>
      <c r="I47" s="3363" t="s">
        <v>3821</v>
      </c>
      <c r="J47" s="3363">
        <f t="shared" si="16"/>
        <v>0</v>
      </c>
      <c r="K47" s="3363" t="s">
        <v>1031</v>
      </c>
      <c r="L47" s="3363">
        <f t="shared" si="13"/>
        <v>0</v>
      </c>
      <c r="M47" s="3350" t="str">
        <f t="shared" si="14"/>
        <v/>
      </c>
      <c r="N47" s="3350" t="str">
        <f t="shared" si="15"/>
        <v/>
      </c>
      <c r="O47" s="3332">
        <v>175700</v>
      </c>
      <c r="P47" s="1711">
        <v>1757</v>
      </c>
      <c r="Q47" s="1711" t="s">
        <v>98</v>
      </c>
      <c r="R47" s="1711" t="s">
        <v>5148</v>
      </c>
      <c r="AE47" s="3349" t="s">
        <v>4810</v>
      </c>
      <c r="AF47" s="3350" t="s">
        <v>4810</v>
      </c>
      <c r="AG47" s="3353" t="e">
        <f>IF(AG7="Quote",IF($AG$24&gt;0,100000,0),"")</f>
        <v>#N/A</v>
      </c>
      <c r="AH47" s="1711">
        <v>41</v>
      </c>
      <c r="AI47" s="1711" t="s">
        <v>5249</v>
      </c>
      <c r="AJ47" s="3346" t="str">
        <f t="shared" si="5"/>
        <v/>
      </c>
      <c r="AL47" s="3474" t="str">
        <f t="shared" si="1"/>
        <v/>
      </c>
    </row>
    <row r="48" spans="1:38">
      <c r="A48" s="423" t="s">
        <v>4782</v>
      </c>
      <c r="B48" s="3371" t="s">
        <v>4783</v>
      </c>
      <c r="C48" s="3373"/>
      <c r="E48" s="3369">
        <v>739401</v>
      </c>
      <c r="F48" s="3369" t="s">
        <v>4800</v>
      </c>
      <c r="G48" s="3363">
        <f t="shared" si="12"/>
        <v>0</v>
      </c>
      <c r="H48" s="3363">
        <f>$C$135</f>
        <v>0</v>
      </c>
      <c r="I48" s="3363" t="s">
        <v>3821</v>
      </c>
      <c r="J48" s="3363">
        <f t="shared" si="16"/>
        <v>0</v>
      </c>
      <c r="K48" s="3363" t="s">
        <v>1031</v>
      </c>
      <c r="L48" s="3363">
        <f t="shared" si="13"/>
        <v>0</v>
      </c>
      <c r="M48" s="3350" t="str">
        <f t="shared" si="14"/>
        <v/>
      </c>
      <c r="N48" s="3350" t="str">
        <f t="shared" si="15"/>
        <v/>
      </c>
      <c r="O48" s="3332">
        <v>176100</v>
      </c>
      <c r="P48" s="1711">
        <v>1761</v>
      </c>
      <c r="Q48" s="1711" t="s">
        <v>96</v>
      </c>
      <c r="R48" s="1711" t="s">
        <v>4755</v>
      </c>
      <c r="AE48" s="3349" t="s">
        <v>4813</v>
      </c>
      <c r="AF48" s="3350" t="s">
        <v>4813</v>
      </c>
      <c r="AG48" s="3353" t="e">
        <f>IF(AG7="Quote",IF($AG$24&gt;0,100000,0),"")</f>
        <v>#N/A</v>
      </c>
      <c r="AH48" s="1711">
        <v>42</v>
      </c>
      <c r="AI48" s="1711" t="s">
        <v>5250</v>
      </c>
      <c r="AJ48" s="3346" t="str">
        <f t="shared" si="5"/>
        <v/>
      </c>
      <c r="AL48" s="3474" t="str">
        <f t="shared" si="1"/>
        <v>Computers and other Electronic Data Processing Equipment - away from your regular premises</v>
      </c>
    </row>
    <row r="49" spans="1:38">
      <c r="A49" s="423" t="s">
        <v>4785</v>
      </c>
      <c r="B49" s="3371" t="s">
        <v>4786</v>
      </c>
      <c r="C49" s="3352"/>
      <c r="E49" s="3369">
        <v>739402</v>
      </c>
      <c r="F49" s="3369" t="s">
        <v>4800</v>
      </c>
      <c r="G49" s="3363">
        <f t="shared" si="12"/>
        <v>0</v>
      </c>
      <c r="H49" s="3363">
        <f>$C$135</f>
        <v>0</v>
      </c>
      <c r="I49" s="3363" t="s">
        <v>3821</v>
      </c>
      <c r="J49" s="3363">
        <f t="shared" si="16"/>
        <v>0</v>
      </c>
      <c r="K49" s="3363" t="s">
        <v>1031</v>
      </c>
      <c r="L49" s="3363">
        <f t="shared" si="13"/>
        <v>0</v>
      </c>
      <c r="M49" s="3350" t="str">
        <f t="shared" si="14"/>
        <v/>
      </c>
      <c r="N49" s="3350" t="str">
        <f t="shared" si="15"/>
        <v/>
      </c>
      <c r="O49" s="3332">
        <v>176200</v>
      </c>
      <c r="P49" s="1711">
        <v>1762</v>
      </c>
      <c r="Q49" s="1711" t="s">
        <v>94</v>
      </c>
      <c r="R49" s="1711" t="s">
        <v>4748</v>
      </c>
      <c r="AE49" s="3349" t="s">
        <v>4818</v>
      </c>
      <c r="AF49" s="3350" t="s">
        <v>4818</v>
      </c>
      <c r="AG49" s="3353" t="e">
        <f>IF(AG7="Quote",IF($AG$24&gt;0,100000,0),"")</f>
        <v>#N/A</v>
      </c>
      <c r="AH49" s="1711">
        <v>43</v>
      </c>
      <c r="AI49" s="1711" t="s">
        <v>4806</v>
      </c>
      <c r="AJ49" s="3346" t="str">
        <f t="shared" si="5"/>
        <v/>
      </c>
      <c r="AL49" s="3474" t="str">
        <f t="shared" si="1"/>
        <v/>
      </c>
    </row>
    <row r="50" spans="1:38">
      <c r="A50" s="423" t="s">
        <v>4789</v>
      </c>
      <c r="B50" s="3350" t="s">
        <v>4790</v>
      </c>
      <c r="C50" s="3352"/>
      <c r="E50" s="3369">
        <v>152800</v>
      </c>
      <c r="F50" s="3369" t="s">
        <v>4809</v>
      </c>
      <c r="G50" s="3363">
        <f t="shared" si="12"/>
        <v>0</v>
      </c>
      <c r="H50" s="3363">
        <f>$C$136</f>
        <v>0</v>
      </c>
      <c r="I50" s="3363" t="s">
        <v>3821</v>
      </c>
      <c r="J50" s="3363">
        <f t="shared" si="16"/>
        <v>0</v>
      </c>
      <c r="K50" s="3363" t="s">
        <v>1031</v>
      </c>
      <c r="L50" s="3363">
        <f t="shared" si="13"/>
        <v>0</v>
      </c>
      <c r="M50" s="3350" t="str">
        <f t="shared" si="14"/>
        <v/>
      </c>
      <c r="N50" s="3350" t="str">
        <f t="shared" si="15"/>
        <v/>
      </c>
      <c r="O50" s="3332">
        <v>176300</v>
      </c>
      <c r="P50" s="1711">
        <v>1763</v>
      </c>
      <c r="Q50" s="1711" t="s">
        <v>92</v>
      </c>
      <c r="R50" s="1711" t="s">
        <v>92</v>
      </c>
      <c r="AE50" s="3349" t="s">
        <v>4822</v>
      </c>
      <c r="AF50" s="3350" t="s">
        <v>4822</v>
      </c>
      <c r="AG50" s="3353" t="e">
        <f>IF(AG7="Quote",IF($AG$24&gt;0,100000,0),"")</f>
        <v>#N/A</v>
      </c>
      <c r="AH50" s="1711">
        <v>44</v>
      </c>
      <c r="AI50" s="1711" t="s">
        <v>4797</v>
      </c>
      <c r="AJ50" s="3346" t="str">
        <f t="shared" si="5"/>
        <v/>
      </c>
      <c r="AL50" s="3474" t="str">
        <f t="shared" si="1"/>
        <v/>
      </c>
    </row>
    <row r="51" spans="1:38">
      <c r="A51" s="423" t="s">
        <v>4793</v>
      </c>
      <c r="B51" s="3371" t="s">
        <v>4794</v>
      </c>
      <c r="C51" s="3372"/>
      <c r="E51" s="3369">
        <v>73500</v>
      </c>
      <c r="F51" s="3369" t="s">
        <v>4809</v>
      </c>
      <c r="G51" s="3363">
        <f t="shared" si="12"/>
        <v>0</v>
      </c>
      <c r="H51" s="3363">
        <f>$C$136</f>
        <v>0</v>
      </c>
      <c r="I51" s="3363" t="s">
        <v>3821</v>
      </c>
      <c r="J51" s="3363">
        <f t="shared" si="16"/>
        <v>0</v>
      </c>
      <c r="K51" s="3363" t="s">
        <v>1031</v>
      </c>
      <c r="L51" s="3363">
        <f t="shared" si="13"/>
        <v>0</v>
      </c>
      <c r="M51" s="3350" t="str">
        <f t="shared" si="14"/>
        <v/>
      </c>
      <c r="N51" s="3350" t="str">
        <f t="shared" si="15"/>
        <v/>
      </c>
      <c r="O51" s="3332">
        <v>176600</v>
      </c>
      <c r="P51" s="1711">
        <v>1766</v>
      </c>
      <c r="Q51" s="1711" t="s">
        <v>86</v>
      </c>
      <c r="R51" s="1711" t="s">
        <v>4705</v>
      </c>
      <c r="AE51" s="3349" t="s">
        <v>4826</v>
      </c>
      <c r="AF51" s="3350" t="s">
        <v>4826</v>
      </c>
      <c r="AG51" s="3353" t="e">
        <f>IF(AG7="Quote",IF($AG$24&gt;0,100000,0),"")</f>
        <v>#N/A</v>
      </c>
      <c r="AH51" s="1711">
        <v>45</v>
      </c>
      <c r="AI51" s="1711" t="s">
        <v>4814</v>
      </c>
      <c r="AJ51" s="3346" t="str">
        <f t="shared" si="5"/>
        <v/>
      </c>
      <c r="AL51" s="3474" t="str">
        <f t="shared" si="1"/>
        <v>Expediting expenses</v>
      </c>
    </row>
    <row r="52" spans="1:38">
      <c r="A52" s="423" t="s">
        <v>4798</v>
      </c>
      <c r="B52" s="3371" t="s">
        <v>4799</v>
      </c>
      <c r="C52" s="3373"/>
      <c r="E52" s="3369">
        <v>152100</v>
      </c>
      <c r="F52" s="3369" t="s">
        <v>4817</v>
      </c>
      <c r="G52" s="3363">
        <f t="shared" si="12"/>
        <v>0</v>
      </c>
      <c r="H52" s="3363">
        <f>C137</f>
        <v>0</v>
      </c>
      <c r="I52" s="3363" t="s">
        <v>3821</v>
      </c>
      <c r="J52" s="3363">
        <f t="shared" si="16"/>
        <v>0</v>
      </c>
      <c r="K52" s="3363" t="s">
        <v>1031</v>
      </c>
      <c r="L52" s="3363">
        <f t="shared" si="13"/>
        <v>0</v>
      </c>
      <c r="M52" s="3350" t="str">
        <f t="shared" si="14"/>
        <v/>
      </c>
      <c r="N52" s="3350" t="str">
        <f t="shared" si="15"/>
        <v/>
      </c>
      <c r="O52" s="3332">
        <v>177000</v>
      </c>
      <c r="P52" s="1711">
        <v>1770</v>
      </c>
      <c r="Q52" s="1711" t="s">
        <v>84</v>
      </c>
      <c r="R52" s="1711" t="s">
        <v>84</v>
      </c>
      <c r="AE52" s="3349" t="s">
        <v>4831</v>
      </c>
      <c r="AF52" s="3350" t="s">
        <v>4831</v>
      </c>
      <c r="AG52" s="3353" t="e">
        <f>IF(AG7="Quote",IF($AG$24&gt;0,250000,0),"")</f>
        <v>#N/A</v>
      </c>
      <c r="AH52" s="1711">
        <v>46</v>
      </c>
      <c r="AI52" s="1711" t="s">
        <v>4802</v>
      </c>
      <c r="AJ52" s="3346" t="str">
        <f t="shared" si="5"/>
        <v/>
      </c>
      <c r="AL52" s="3474" t="str">
        <f t="shared" si="1"/>
        <v>Exterior glass</v>
      </c>
    </row>
    <row r="53" spans="1:38">
      <c r="A53" s="423" t="s">
        <v>4803</v>
      </c>
      <c r="B53" s="3371" t="s">
        <v>4804</v>
      </c>
      <c r="C53" s="3373"/>
      <c r="E53" s="3369">
        <v>152800</v>
      </c>
      <c r="F53" s="3369" t="s">
        <v>4821</v>
      </c>
      <c r="G53" s="3363">
        <f t="shared" si="12"/>
        <v>0</v>
      </c>
      <c r="H53" s="3363">
        <f>C138</f>
        <v>0</v>
      </c>
      <c r="I53" s="3363" t="s">
        <v>3821</v>
      </c>
      <c r="J53" s="3363">
        <f t="shared" si="16"/>
        <v>0</v>
      </c>
      <c r="K53" s="3363" t="s">
        <v>1031</v>
      </c>
      <c r="L53" s="3363">
        <f t="shared" si="13"/>
        <v>0</v>
      </c>
      <c r="M53" s="3350" t="str">
        <f t="shared" si="14"/>
        <v/>
      </c>
      <c r="N53" s="3350" t="str">
        <f t="shared" si="15"/>
        <v/>
      </c>
      <c r="O53" s="3332">
        <v>177400</v>
      </c>
      <c r="P53" s="1711">
        <v>1774</v>
      </c>
      <c r="Q53" s="1711" t="s">
        <v>83</v>
      </c>
      <c r="R53" s="1711" t="s">
        <v>83</v>
      </c>
      <c r="AE53" s="3349" t="s">
        <v>4834</v>
      </c>
      <c r="AF53" s="3350" t="s">
        <v>4834</v>
      </c>
      <c r="AG53" s="3353" t="e">
        <f>IF(AG7="Quote",IF($AG$24&gt;0,100000,0),"")</f>
        <v>#N/A</v>
      </c>
      <c r="AH53" s="1711">
        <v>47</v>
      </c>
      <c r="AI53" s="1711" t="s">
        <v>4805</v>
      </c>
      <c r="AJ53" s="3346" t="str">
        <f t="shared" si="5"/>
        <v/>
      </c>
      <c r="AL53" s="3474" t="str">
        <f t="shared" si="1"/>
        <v/>
      </c>
    </row>
    <row r="54" spans="1:38">
      <c r="A54" s="423" t="s">
        <v>4807</v>
      </c>
      <c r="B54" s="3371" t="s">
        <v>4808</v>
      </c>
      <c r="C54" s="3373"/>
      <c r="E54" s="3369">
        <v>153500</v>
      </c>
      <c r="F54" s="3369" t="s">
        <v>4825</v>
      </c>
      <c r="G54" s="3363">
        <f t="shared" si="12"/>
        <v>0</v>
      </c>
      <c r="H54" s="3363">
        <f t="shared" ref="H54:H62" si="17">$C$139</f>
        <v>0</v>
      </c>
      <c r="I54" s="3363">
        <v>3</v>
      </c>
      <c r="J54" s="3363">
        <f>IF(G54&lt;&gt;1,0,IF(H54&gt;I54,1,0))</f>
        <v>0</v>
      </c>
      <c r="K54" s="3363" t="s">
        <v>1031</v>
      </c>
      <c r="L54" s="3363">
        <f t="shared" si="13"/>
        <v>0</v>
      </c>
      <c r="M54" s="3350" t="str">
        <f t="shared" si="14"/>
        <v/>
      </c>
      <c r="N54" s="3350" t="str">
        <f t="shared" si="15"/>
        <v/>
      </c>
      <c r="O54" s="3332">
        <v>177700</v>
      </c>
      <c r="P54" s="1711">
        <v>1777</v>
      </c>
      <c r="Q54" s="1711" t="s">
        <v>81</v>
      </c>
      <c r="R54" s="1711" t="s">
        <v>81</v>
      </c>
      <c r="AE54" s="3349" t="s">
        <v>4837</v>
      </c>
      <c r="AF54" s="3350" t="s">
        <v>4837</v>
      </c>
      <c r="AG54" s="3353" t="e">
        <f>IF(AG7="Quote",IF($AG$24&gt;0,100000,0),"")</f>
        <v>#N/A</v>
      </c>
      <c r="AH54" s="1711">
        <v>48</v>
      </c>
      <c r="AI54" s="1711" t="s">
        <v>4827</v>
      </c>
      <c r="AJ54" s="3346" t="str">
        <f t="shared" si="5"/>
        <v/>
      </c>
      <c r="AL54" s="3474" t="str">
        <f t="shared" si="1"/>
        <v>Extinguishing System warranty</v>
      </c>
    </row>
    <row r="55" spans="1:38">
      <c r="A55" s="423" t="s">
        <v>4811</v>
      </c>
      <c r="B55" s="3371" t="s">
        <v>4812</v>
      </c>
      <c r="C55" s="3373"/>
      <c r="E55" s="3369">
        <v>175200</v>
      </c>
      <c r="F55" s="3369" t="s">
        <v>4830</v>
      </c>
      <c r="G55" s="3363">
        <f t="shared" si="12"/>
        <v>0</v>
      </c>
      <c r="H55" s="3363">
        <f t="shared" si="17"/>
        <v>0</v>
      </c>
      <c r="I55" s="3363">
        <v>4</v>
      </c>
      <c r="J55" s="3363">
        <f t="shared" ref="J55:J62" si="18">IF(G55&lt;&gt;1,0,IF(H55&gt;I55,1,0))</f>
        <v>0</v>
      </c>
      <c r="K55" s="3363" t="s">
        <v>1031</v>
      </c>
      <c r="L55" s="3363">
        <f t="shared" si="13"/>
        <v>0</v>
      </c>
      <c r="M55" s="3350" t="str">
        <f t="shared" si="14"/>
        <v/>
      </c>
      <c r="N55" s="3350" t="str">
        <f t="shared" si="15"/>
        <v/>
      </c>
      <c r="O55" s="3332">
        <v>177800</v>
      </c>
      <c r="P55" s="1711">
        <v>1778</v>
      </c>
      <c r="Q55" s="1711" t="s">
        <v>79</v>
      </c>
      <c r="R55" s="1711" t="s">
        <v>79</v>
      </c>
      <c r="AE55" s="3349" t="s">
        <v>4840</v>
      </c>
      <c r="AF55" s="3350" t="s">
        <v>4841</v>
      </c>
      <c r="AG55" s="3353" t="e">
        <f>IF(AG7="Quote",IF($AG$24&gt;0,100000,0),"")</f>
        <v>#N/A</v>
      </c>
      <c r="AH55" s="1711">
        <v>49</v>
      </c>
      <c r="AI55" s="1711" t="s">
        <v>4810</v>
      </c>
      <c r="AJ55" s="3346" t="str">
        <f t="shared" si="5"/>
        <v/>
      </c>
      <c r="AL55" s="3474" t="str">
        <f t="shared" si="1"/>
        <v/>
      </c>
    </row>
    <row r="56" spans="1:38">
      <c r="A56" s="423" t="s">
        <v>4815</v>
      </c>
      <c r="B56" s="3371" t="s">
        <v>4816</v>
      </c>
      <c r="C56" s="3352"/>
      <c r="E56" s="3369">
        <v>175300</v>
      </c>
      <c r="F56" s="3369" t="s">
        <v>4830</v>
      </c>
      <c r="G56" s="3363">
        <f t="shared" si="12"/>
        <v>0</v>
      </c>
      <c r="H56" s="3363">
        <f t="shared" si="17"/>
        <v>0</v>
      </c>
      <c r="I56" s="3363">
        <v>4</v>
      </c>
      <c r="J56" s="3363">
        <f t="shared" si="18"/>
        <v>0</v>
      </c>
      <c r="K56" s="3363" t="s">
        <v>1031</v>
      </c>
      <c r="L56" s="3363">
        <f t="shared" si="13"/>
        <v>0</v>
      </c>
      <c r="M56" s="3350" t="str">
        <f t="shared" si="14"/>
        <v/>
      </c>
      <c r="N56" s="3350" t="str">
        <f t="shared" si="15"/>
        <v/>
      </c>
      <c r="O56" s="3332">
        <v>178000</v>
      </c>
      <c r="P56" s="1711">
        <v>1780</v>
      </c>
      <c r="Q56" s="1711" t="s">
        <v>75</v>
      </c>
      <c r="R56" s="1711" t="s">
        <v>75</v>
      </c>
      <c r="AE56" s="3349" t="s">
        <v>4844</v>
      </c>
      <c r="AF56" s="3350" t="s">
        <v>4844</v>
      </c>
      <c r="AG56" s="3353" t="e">
        <f>IF(AG7="Quote",IF($AG$24&gt;0,10000,0),"")</f>
        <v>#N/A</v>
      </c>
      <c r="AH56" s="1711">
        <v>50</v>
      </c>
      <c r="AI56" s="1711" t="s">
        <v>4813</v>
      </c>
      <c r="AJ56" s="3346" t="str">
        <f t="shared" si="5"/>
        <v/>
      </c>
      <c r="AL56" s="3474" t="str">
        <f t="shared" si="1"/>
        <v/>
      </c>
    </row>
    <row r="57" spans="1:38">
      <c r="A57" s="423" t="s">
        <v>4819</v>
      </c>
      <c r="B57" s="3350" t="s">
        <v>4820</v>
      </c>
      <c r="C57" s="3352"/>
      <c r="E57" s="3369">
        <v>174300</v>
      </c>
      <c r="F57" s="3369" t="s">
        <v>4830</v>
      </c>
      <c r="G57" s="3363">
        <f t="shared" si="12"/>
        <v>0</v>
      </c>
      <c r="H57" s="3363">
        <f t="shared" si="17"/>
        <v>0</v>
      </c>
      <c r="I57" s="3363">
        <v>4</v>
      </c>
      <c r="J57" s="3363">
        <f t="shared" si="18"/>
        <v>0</v>
      </c>
      <c r="K57" s="3363" t="s">
        <v>1031</v>
      </c>
      <c r="L57" s="3363">
        <f t="shared" si="13"/>
        <v>0</v>
      </c>
      <c r="M57" s="3350" t="str">
        <f t="shared" si="14"/>
        <v/>
      </c>
      <c r="N57" s="3350" t="str">
        <f t="shared" si="15"/>
        <v/>
      </c>
      <c r="O57" s="3332">
        <v>181101</v>
      </c>
      <c r="P57" s="1711">
        <v>1811</v>
      </c>
      <c r="Q57" s="1711" t="s">
        <v>69</v>
      </c>
      <c r="R57" s="1711" t="s">
        <v>5149</v>
      </c>
      <c r="AE57" s="3349" t="s">
        <v>4848</v>
      </c>
      <c r="AF57" s="3350" t="s">
        <v>4848</v>
      </c>
      <c r="AG57" s="3353" t="e">
        <f>IF(AG7="Quote",IF($AG$24&gt;0,10000,0),"")</f>
        <v>#N/A</v>
      </c>
      <c r="AH57" s="1711">
        <v>51</v>
      </c>
      <c r="AI57" s="1711" t="s">
        <v>4818</v>
      </c>
      <c r="AJ57" s="3346" t="str">
        <f t="shared" si="5"/>
        <v/>
      </c>
      <c r="AL57" s="3474" t="str">
        <f t="shared" si="1"/>
        <v/>
      </c>
    </row>
    <row r="58" spans="1:38">
      <c r="A58" s="423" t="s">
        <v>4823</v>
      </c>
      <c r="B58" s="3371" t="s">
        <v>4824</v>
      </c>
      <c r="C58" s="3372"/>
      <c r="E58" s="3369">
        <v>176600</v>
      </c>
      <c r="F58" s="3369" t="s">
        <v>4830</v>
      </c>
      <c r="G58" s="3363">
        <f t="shared" si="12"/>
        <v>0</v>
      </c>
      <c r="H58" s="3363">
        <f t="shared" si="17"/>
        <v>0</v>
      </c>
      <c r="I58" s="3363">
        <v>4</v>
      </c>
      <c r="J58" s="3363">
        <f t="shared" si="18"/>
        <v>0</v>
      </c>
      <c r="K58" s="3363" t="s">
        <v>1031</v>
      </c>
      <c r="L58" s="3363">
        <f t="shared" si="13"/>
        <v>0</v>
      </c>
      <c r="M58" s="3350" t="str">
        <f t="shared" si="14"/>
        <v/>
      </c>
      <c r="N58" s="3350" t="str">
        <f t="shared" si="15"/>
        <v/>
      </c>
      <c r="O58" s="3332">
        <v>181102</v>
      </c>
      <c r="P58" s="1711">
        <v>1811</v>
      </c>
      <c r="Q58" s="1711" t="s">
        <v>69</v>
      </c>
      <c r="R58" s="1711" t="s">
        <v>5150</v>
      </c>
      <c r="AE58" s="3349" t="s">
        <v>4852</v>
      </c>
      <c r="AF58" s="3350" t="s">
        <v>4852</v>
      </c>
      <c r="AG58" s="3353" t="e">
        <f>IF(AG7="Quote",IF($AG$24&gt;0,100000,0),"")</f>
        <v>#N/A</v>
      </c>
      <c r="AH58" s="1711">
        <v>52</v>
      </c>
      <c r="AI58" s="1711" t="s">
        <v>3498</v>
      </c>
      <c r="AJ58" s="3346" t="str">
        <f t="shared" si="5"/>
        <v/>
      </c>
      <c r="AL58" s="3474" t="str">
        <f t="shared" si="1"/>
        <v>Flood</v>
      </c>
    </row>
    <row r="59" spans="1:38">
      <c r="A59" s="423" t="s">
        <v>4828</v>
      </c>
      <c r="B59" s="3371" t="s">
        <v>4829</v>
      </c>
      <c r="C59" s="3373"/>
      <c r="E59" s="3369">
        <v>175500</v>
      </c>
      <c r="F59" s="3369" t="s">
        <v>4830</v>
      </c>
      <c r="G59" s="3363">
        <f t="shared" si="12"/>
        <v>0</v>
      </c>
      <c r="H59" s="3363">
        <f t="shared" si="17"/>
        <v>0</v>
      </c>
      <c r="I59" s="3363">
        <v>4</v>
      </c>
      <c r="J59" s="3363">
        <f t="shared" si="18"/>
        <v>0</v>
      </c>
      <c r="K59" s="3363" t="s">
        <v>1031</v>
      </c>
      <c r="L59" s="3363">
        <f t="shared" si="13"/>
        <v>0</v>
      </c>
      <c r="M59" s="3350" t="str">
        <f t="shared" si="14"/>
        <v/>
      </c>
      <c r="N59" s="3350" t="str">
        <f t="shared" si="15"/>
        <v/>
      </c>
      <c r="O59" s="3332">
        <v>181200</v>
      </c>
      <c r="P59" s="1711">
        <v>1812</v>
      </c>
      <c r="Q59" s="1711" t="s">
        <v>68</v>
      </c>
      <c r="R59" s="1711" t="s">
        <v>5151</v>
      </c>
      <c r="AE59" s="3349" t="s">
        <v>4857</v>
      </c>
      <c r="AF59" s="3350" t="s">
        <v>4857</v>
      </c>
      <c r="AG59" s="3353" t="e">
        <f>IF(AG7="Quote",IF($AG$24&gt;0,20000,0),"")</f>
        <v>#N/A</v>
      </c>
      <c r="AH59" s="1711">
        <v>53</v>
      </c>
      <c r="AI59" s="1711" t="s">
        <v>4845</v>
      </c>
      <c r="AJ59" s="3346" t="str">
        <f t="shared" si="5"/>
        <v/>
      </c>
      <c r="AL59" s="3474" t="str">
        <f t="shared" si="1"/>
        <v>Flood deductible</v>
      </c>
    </row>
    <row r="60" spans="1:38">
      <c r="A60" s="423" t="s">
        <v>4832</v>
      </c>
      <c r="B60" s="3371" t="s">
        <v>4833</v>
      </c>
      <c r="C60" s="3373"/>
      <c r="E60" s="3369">
        <v>153200</v>
      </c>
      <c r="F60" s="3369" t="s">
        <v>4830</v>
      </c>
      <c r="G60" s="3363">
        <f t="shared" si="12"/>
        <v>0</v>
      </c>
      <c r="H60" s="3363">
        <f t="shared" si="17"/>
        <v>0</v>
      </c>
      <c r="I60" s="3363">
        <v>4</v>
      </c>
      <c r="J60" s="3363">
        <f t="shared" si="18"/>
        <v>0</v>
      </c>
      <c r="K60" s="3363" t="s">
        <v>1031</v>
      </c>
      <c r="L60" s="3363">
        <f t="shared" si="13"/>
        <v>0</v>
      </c>
      <c r="M60" s="3350" t="str">
        <f t="shared" si="14"/>
        <v/>
      </c>
      <c r="N60" s="3350" t="str">
        <f t="shared" si="15"/>
        <v/>
      </c>
      <c r="O60" s="3332">
        <v>181300</v>
      </c>
      <c r="P60" s="1711">
        <v>1813</v>
      </c>
      <c r="Q60" s="1711" t="s">
        <v>66</v>
      </c>
      <c r="R60" s="1711" t="s">
        <v>66</v>
      </c>
      <c r="AE60" s="3349" t="s">
        <v>4864</v>
      </c>
      <c r="AF60" s="3350" t="s">
        <v>4864</v>
      </c>
      <c r="AG60" s="3353" t="e">
        <f>IF(AG7="Quote",IF($AG$24&gt;0,10000,0),"")</f>
        <v>#N/A</v>
      </c>
      <c r="AH60" s="1711">
        <v>54</v>
      </c>
      <c r="AI60" s="1711" t="s">
        <v>4849</v>
      </c>
      <c r="AJ60" s="3346" t="str">
        <f t="shared" si="5"/>
        <v/>
      </c>
      <c r="AL60" s="3474" t="str">
        <f t="shared" si="1"/>
        <v>Growing plants, trees, shrubs (per item)</v>
      </c>
    </row>
    <row r="61" spans="1:38">
      <c r="A61" s="423" t="s">
        <v>4835</v>
      </c>
      <c r="B61" s="3371" t="s">
        <v>4836</v>
      </c>
      <c r="C61" s="3373"/>
      <c r="E61" s="3369">
        <v>739200</v>
      </c>
      <c r="F61" s="3369" t="s">
        <v>4830</v>
      </c>
      <c r="G61" s="3363">
        <f t="shared" si="12"/>
        <v>0</v>
      </c>
      <c r="H61" s="3363">
        <f t="shared" si="17"/>
        <v>0</v>
      </c>
      <c r="I61" s="3363">
        <v>4</v>
      </c>
      <c r="J61" s="3363">
        <f t="shared" si="18"/>
        <v>0</v>
      </c>
      <c r="K61" s="3363" t="s">
        <v>1031</v>
      </c>
      <c r="L61" s="3363">
        <f t="shared" si="13"/>
        <v>0</v>
      </c>
      <c r="M61" s="3350" t="str">
        <f t="shared" si="14"/>
        <v/>
      </c>
      <c r="N61" s="3350" t="str">
        <f t="shared" si="15"/>
        <v/>
      </c>
      <c r="O61" s="3332">
        <v>181400</v>
      </c>
      <c r="P61" s="1711">
        <v>1814</v>
      </c>
      <c r="Q61" s="1711" t="s">
        <v>64</v>
      </c>
      <c r="R61" s="1711" t="s">
        <v>64</v>
      </c>
      <c r="AE61" s="3349" t="s">
        <v>4869</v>
      </c>
      <c r="AF61" s="3350" t="s">
        <v>4869</v>
      </c>
      <c r="AG61" s="3353" t="e">
        <f>IF(AG7="Quote",IF($AG$24&gt;0,"25% of contents limit",0),"")</f>
        <v>#N/A</v>
      </c>
      <c r="AH61" s="1711">
        <v>55</v>
      </c>
      <c r="AI61" s="1711" t="s">
        <v>4853</v>
      </c>
      <c r="AJ61" s="3346" t="str">
        <f t="shared" si="5"/>
        <v/>
      </c>
      <c r="AL61" s="3474" t="str">
        <f t="shared" si="1"/>
        <v>Home office extension</v>
      </c>
    </row>
    <row r="62" spans="1:38">
      <c r="A62" s="423" t="s">
        <v>4838</v>
      </c>
      <c r="B62" s="3371" t="s">
        <v>4839</v>
      </c>
      <c r="C62" s="3373"/>
      <c r="E62" s="3369">
        <v>174400</v>
      </c>
      <c r="F62" s="3369" t="s">
        <v>4856</v>
      </c>
      <c r="G62" s="3363">
        <f t="shared" si="12"/>
        <v>0</v>
      </c>
      <c r="H62" s="3363">
        <f t="shared" si="17"/>
        <v>0</v>
      </c>
      <c r="I62" s="3363">
        <v>5</v>
      </c>
      <c r="J62" s="3363">
        <f t="shared" si="18"/>
        <v>0</v>
      </c>
      <c r="K62" s="3363" t="s">
        <v>1031</v>
      </c>
      <c r="L62" s="3363">
        <f t="shared" si="13"/>
        <v>0</v>
      </c>
      <c r="M62" s="3350" t="str">
        <f t="shared" si="14"/>
        <v/>
      </c>
      <c r="N62" s="3350" t="str">
        <f t="shared" si="15"/>
        <v/>
      </c>
      <c r="O62" s="3332">
        <v>183100</v>
      </c>
      <c r="P62" s="1711">
        <v>1831</v>
      </c>
      <c r="Q62" s="1711" t="s">
        <v>60</v>
      </c>
      <c r="R62" s="1711" t="s">
        <v>4768</v>
      </c>
      <c r="AE62" s="3349" t="s">
        <v>4878</v>
      </c>
      <c r="AF62" s="3350" t="s">
        <v>4878</v>
      </c>
      <c r="AG62" s="3353" t="e">
        <f>IF(AG7="Quote",IF(AG15&gt;0,1500,""),"")</f>
        <v>#N/A</v>
      </c>
      <c r="AH62" s="1711">
        <v>56</v>
      </c>
      <c r="AI62" s="1711" t="s">
        <v>4822</v>
      </c>
      <c r="AJ62" s="3346" t="str">
        <f t="shared" si="5"/>
        <v/>
      </c>
      <c r="AL62" s="3474" t="str">
        <f t="shared" si="1"/>
        <v/>
      </c>
    </row>
    <row r="63" spans="1:38">
      <c r="A63" s="423" t="s">
        <v>4842</v>
      </c>
      <c r="B63" s="3371" t="s">
        <v>4843</v>
      </c>
      <c r="C63" s="3352"/>
      <c r="E63" s="3369">
        <v>175400</v>
      </c>
      <c r="F63" s="3369" t="s">
        <v>4860</v>
      </c>
      <c r="G63" s="3363">
        <f t="shared" si="12"/>
        <v>0</v>
      </c>
      <c r="H63" s="3363">
        <f>$C$140</f>
        <v>0</v>
      </c>
      <c r="I63" s="3363" t="s">
        <v>3805</v>
      </c>
      <c r="J63" s="3363">
        <f>IF(G63&lt;&gt;1,0,IF(H63="No",1,0))</f>
        <v>0</v>
      </c>
      <c r="K63" s="3363" t="s">
        <v>1031</v>
      </c>
      <c r="L63" s="3363">
        <f t="shared" si="13"/>
        <v>0</v>
      </c>
      <c r="M63" s="3350" t="str">
        <f t="shared" si="14"/>
        <v/>
      </c>
      <c r="N63" s="3350" t="str">
        <f t="shared" si="15"/>
        <v/>
      </c>
      <c r="O63" s="3332">
        <v>235300</v>
      </c>
      <c r="P63" s="1711">
        <v>2353</v>
      </c>
      <c r="Q63" s="1711" t="s">
        <v>58</v>
      </c>
      <c r="R63" s="1711" t="s">
        <v>4777</v>
      </c>
      <c r="AE63" s="3349" t="s">
        <v>4882</v>
      </c>
      <c r="AF63" s="3350" t="s">
        <v>4882</v>
      </c>
      <c r="AG63" s="3464" t="e">
        <f>IF(AG7="Quote",IF(AG15&gt;0,'Quote template-1'!H31,""),"")</f>
        <v>#N/A</v>
      </c>
      <c r="AH63" s="1711">
        <v>57</v>
      </c>
      <c r="AI63" s="1711" t="s">
        <v>4643</v>
      </c>
      <c r="AJ63" s="3346" t="str">
        <f t="shared" si="5"/>
        <v/>
      </c>
      <c r="AL63" s="3474" t="str">
        <f t="shared" si="1"/>
        <v/>
      </c>
    </row>
    <row r="64" spans="1:38">
      <c r="A64" s="423" t="s">
        <v>4846</v>
      </c>
      <c r="B64" s="3350" t="s">
        <v>4847</v>
      </c>
      <c r="C64" s="3352"/>
      <c r="E64" s="3369">
        <v>175500</v>
      </c>
      <c r="F64" s="3369" t="s">
        <v>4860</v>
      </c>
      <c r="G64" s="3363">
        <f t="shared" si="12"/>
        <v>0</v>
      </c>
      <c r="H64" s="3363">
        <f>$C$140</f>
        <v>0</v>
      </c>
      <c r="I64" s="3363" t="s">
        <v>3805</v>
      </c>
      <c r="J64" s="3363">
        <f>IF(G64&lt;&gt;1,0,IF(H64="No",1,0))</f>
        <v>0</v>
      </c>
      <c r="K64" s="3363" t="s">
        <v>1031</v>
      </c>
      <c r="L64" s="3363">
        <f t="shared" si="13"/>
        <v>0</v>
      </c>
      <c r="M64" s="3350" t="str">
        <f t="shared" si="14"/>
        <v/>
      </c>
      <c r="N64" s="3350" t="str">
        <f t="shared" si="15"/>
        <v/>
      </c>
      <c r="O64" s="3332">
        <v>739100</v>
      </c>
      <c r="P64" s="1711">
        <v>7391</v>
      </c>
      <c r="Q64" s="1711" t="s">
        <v>790</v>
      </c>
      <c r="R64" s="1711" t="s">
        <v>4603</v>
      </c>
      <c r="AE64" s="3349" t="s">
        <v>4886</v>
      </c>
      <c r="AF64" s="3350" t="s">
        <v>4886</v>
      </c>
      <c r="AG64" s="3353" t="e">
        <f>IF(AG7="Quote",IF($AG$24&gt;0,100000,0),"")</f>
        <v>#N/A</v>
      </c>
      <c r="AH64" s="1711">
        <v>58</v>
      </c>
      <c r="AI64" s="1711" t="s">
        <v>4865</v>
      </c>
      <c r="AJ64" s="3346" t="str">
        <f t="shared" si="5"/>
        <v/>
      </c>
      <c r="AL64" s="3474" t="str">
        <f t="shared" si="1"/>
        <v>Leased, rented or borrowed equipment</v>
      </c>
    </row>
    <row r="65" spans="1:38">
      <c r="A65" s="423" t="s">
        <v>4850</v>
      </c>
      <c r="B65" s="3371" t="s">
        <v>4851</v>
      </c>
      <c r="C65" s="3372"/>
      <c r="E65" s="3369">
        <v>175500</v>
      </c>
      <c r="F65" s="3369" t="s">
        <v>4868</v>
      </c>
      <c r="G65" s="3363">
        <f t="shared" si="12"/>
        <v>0</v>
      </c>
      <c r="H65" s="3363">
        <f>C141</f>
        <v>0</v>
      </c>
      <c r="I65" s="3363">
        <v>30</v>
      </c>
      <c r="J65" s="3363">
        <f>IF(G65&lt;&gt;1,0,IF(H65&gt;I65,1,0))</f>
        <v>0</v>
      </c>
      <c r="K65" s="3363" t="s">
        <v>1031</v>
      </c>
      <c r="L65" s="3363">
        <f t="shared" si="13"/>
        <v>0</v>
      </c>
      <c r="M65" s="3350" t="str">
        <f t="shared" si="14"/>
        <v/>
      </c>
      <c r="N65" s="3350" t="str">
        <f t="shared" si="15"/>
        <v/>
      </c>
      <c r="O65" s="3332">
        <v>739401</v>
      </c>
      <c r="P65" s="1711">
        <v>7394</v>
      </c>
      <c r="Q65" s="1711" t="s">
        <v>793</v>
      </c>
      <c r="R65" s="1711" t="s">
        <v>793</v>
      </c>
      <c r="AE65" s="3349" t="s">
        <v>3474</v>
      </c>
      <c r="AF65" s="1711" t="s">
        <v>5251</v>
      </c>
      <c r="AG65" s="3353" t="e">
        <f>IF(AG7="Quote",'Quote template-1'!L113,"")</f>
        <v>#N/A</v>
      </c>
      <c r="AH65" s="1711">
        <v>59</v>
      </c>
      <c r="AI65" s="1711" t="s">
        <v>4870</v>
      </c>
      <c r="AJ65" s="3346" t="str">
        <f t="shared" si="5"/>
        <v/>
      </c>
      <c r="AL65" s="3474" t="str">
        <f t="shared" si="1"/>
        <v>Leasehold interest - rents</v>
      </c>
    </row>
    <row r="66" spans="1:38">
      <c r="A66" s="423" t="s">
        <v>4854</v>
      </c>
      <c r="B66" s="3371" t="s">
        <v>4855</v>
      </c>
      <c r="C66" s="3373"/>
      <c r="E66" s="3369">
        <v>235300</v>
      </c>
      <c r="F66" s="3369" t="s">
        <v>4873</v>
      </c>
      <c r="G66" s="3363">
        <f t="shared" si="12"/>
        <v>0</v>
      </c>
      <c r="H66" s="3363">
        <f>C143</f>
        <v>0</v>
      </c>
      <c r="I66" s="3363" t="s">
        <v>3821</v>
      </c>
      <c r="J66" s="3363">
        <f t="shared" si="16"/>
        <v>0</v>
      </c>
      <c r="K66" s="3363" t="s">
        <v>1031</v>
      </c>
      <c r="L66" s="3363">
        <f t="shared" si="13"/>
        <v>0</v>
      </c>
      <c r="M66" s="3350" t="str">
        <f t="shared" si="14"/>
        <v/>
      </c>
      <c r="N66" s="3350" t="str">
        <f t="shared" si="15"/>
        <v/>
      </c>
      <c r="O66" s="3332">
        <v>739402</v>
      </c>
      <c r="P66" s="1711">
        <v>7394</v>
      </c>
      <c r="Q66" s="1711" t="s">
        <v>793</v>
      </c>
      <c r="R66" s="1711" t="s">
        <v>4686</v>
      </c>
      <c r="AE66" s="3349" t="s">
        <v>3479</v>
      </c>
      <c r="AF66" s="3350" t="s">
        <v>4894</v>
      </c>
      <c r="AG66" s="3353" t="e">
        <f>IF(AG7="Quote",'Quote template-1'!L123,"")</f>
        <v>#N/A</v>
      </c>
      <c r="AH66" s="1711">
        <v>60</v>
      </c>
      <c r="AI66" s="1711" t="s">
        <v>4826</v>
      </c>
      <c r="AJ66" s="3346" t="str">
        <f t="shared" si="5"/>
        <v/>
      </c>
      <c r="AL66" s="3474" t="str">
        <f t="shared" si="1"/>
        <v/>
      </c>
    </row>
    <row r="67" spans="1:38">
      <c r="A67" s="423" t="s">
        <v>4858</v>
      </c>
      <c r="B67" s="3371" t="s">
        <v>4859</v>
      </c>
      <c r="C67" s="3373"/>
      <c r="E67" s="3369">
        <v>175400</v>
      </c>
      <c r="F67" s="3369" t="s">
        <v>4877</v>
      </c>
      <c r="G67" s="3363">
        <f t="shared" si="12"/>
        <v>0</v>
      </c>
      <c r="H67" s="3363">
        <f>$C$142</f>
        <v>0</v>
      </c>
      <c r="I67" s="3363">
        <v>30</v>
      </c>
      <c r="J67" s="3363">
        <f>IF(G67&lt;&gt;1,0,IF(H67&gt;I67,1,0))</f>
        <v>0</v>
      </c>
      <c r="K67" s="3363" t="s">
        <v>1031</v>
      </c>
      <c r="L67" s="3363">
        <f t="shared" si="13"/>
        <v>0</v>
      </c>
      <c r="M67" s="3350" t="str">
        <f t="shared" si="14"/>
        <v/>
      </c>
      <c r="N67" s="3350" t="str">
        <f t="shared" si="15"/>
        <v/>
      </c>
      <c r="O67" s="3332">
        <v>739500</v>
      </c>
      <c r="P67" s="1711">
        <v>7395</v>
      </c>
      <c r="Q67" s="1711" t="s">
        <v>794</v>
      </c>
      <c r="R67" s="1711" t="s">
        <v>794</v>
      </c>
      <c r="AE67" s="3349" t="s">
        <v>3478</v>
      </c>
      <c r="AF67" s="3350" t="s">
        <v>4897</v>
      </c>
      <c r="AG67" s="3353" t="e">
        <f>IF(AG7="Quote",'Quote template-1'!L122,"")</f>
        <v>#N/A</v>
      </c>
      <c r="AH67" s="1711">
        <v>61</v>
      </c>
      <c r="AI67" s="1711" t="s">
        <v>4879</v>
      </c>
      <c r="AJ67" s="3346" t="str">
        <f t="shared" si="5"/>
        <v/>
      </c>
      <c r="AL67" s="3474" t="str">
        <f t="shared" si="1"/>
        <v>Mortgage rate guarantee</v>
      </c>
    </row>
    <row r="68" spans="1:38">
      <c r="A68" s="423" t="s">
        <v>4862</v>
      </c>
      <c r="B68" s="3371" t="s">
        <v>4863</v>
      </c>
      <c r="C68" s="3373"/>
      <c r="E68" s="3369">
        <v>175500</v>
      </c>
      <c r="F68" s="3369" t="s">
        <v>4877</v>
      </c>
      <c r="G68" s="3363">
        <f t="shared" si="12"/>
        <v>0</v>
      </c>
      <c r="H68" s="3363">
        <f>$C$142</f>
        <v>0</v>
      </c>
      <c r="I68" s="3363">
        <v>30</v>
      </c>
      <c r="J68" s="3363">
        <f>IF(G68&lt;&gt;1,0,IF(H68&gt;I68,1,0))</f>
        <v>0</v>
      </c>
      <c r="K68" s="3363" t="s">
        <v>1031</v>
      </c>
      <c r="L68" s="3363">
        <f t="shared" si="13"/>
        <v>0</v>
      </c>
      <c r="M68" s="3350" t="str">
        <f t="shared" si="14"/>
        <v/>
      </c>
      <c r="N68" s="3350" t="str">
        <f t="shared" si="15"/>
        <v/>
      </c>
      <c r="O68" s="3332">
        <v>769300</v>
      </c>
      <c r="P68" s="1711">
        <v>7693</v>
      </c>
      <c r="Q68" s="1711" t="s">
        <v>816</v>
      </c>
      <c r="R68" s="1711" t="s">
        <v>4743</v>
      </c>
      <c r="AE68" s="3349" t="s">
        <v>3423</v>
      </c>
      <c r="AF68" s="3350" t="s">
        <v>3423</v>
      </c>
      <c r="AG68" s="3353" t="e">
        <f>IF(AG7="Quote",'Quote template-1'!L143,"")</f>
        <v>#N/A</v>
      </c>
      <c r="AH68" s="1711">
        <v>62</v>
      </c>
      <c r="AI68" s="1711" t="s">
        <v>4831</v>
      </c>
      <c r="AJ68" s="3346" t="str">
        <f t="shared" si="5"/>
        <v/>
      </c>
      <c r="AL68" s="3474" t="str">
        <f t="shared" si="1"/>
        <v/>
      </c>
    </row>
    <row r="69" spans="1:38">
      <c r="A69" s="423" t="s">
        <v>4866</v>
      </c>
      <c r="B69" s="3371" t="s">
        <v>4867</v>
      </c>
      <c r="C69" s="3373"/>
      <c r="E69" s="3369">
        <v>73500</v>
      </c>
      <c r="F69" s="3369" t="s">
        <v>4885</v>
      </c>
      <c r="G69" s="3363">
        <f t="shared" si="12"/>
        <v>0</v>
      </c>
      <c r="H69" s="3363" t="str">
        <f>IF($C$144="Yes","Yes",IF($C$145="Yes","Yes","No"))</f>
        <v>No</v>
      </c>
      <c r="I69" s="3363" t="s">
        <v>3821</v>
      </c>
      <c r="J69" s="3363">
        <f t="shared" si="16"/>
        <v>0</v>
      </c>
      <c r="K69" s="3363" t="s">
        <v>1031</v>
      </c>
      <c r="L69" s="3363">
        <f t="shared" si="13"/>
        <v>0</v>
      </c>
      <c r="M69" s="3350" t="str">
        <f t="shared" si="14"/>
        <v/>
      </c>
      <c r="N69" s="3350" t="str">
        <f t="shared" si="15"/>
        <v/>
      </c>
      <c r="O69" s="3332">
        <v>739200</v>
      </c>
      <c r="P69" s="1711">
        <v>7392</v>
      </c>
      <c r="Q69" s="1711" t="s">
        <v>3962</v>
      </c>
      <c r="R69" s="1711" t="s">
        <v>3962</v>
      </c>
      <c r="AE69" s="3349" t="s">
        <v>4909</v>
      </c>
      <c r="AF69" s="3350" t="s">
        <v>4909</v>
      </c>
      <c r="AG69" s="3353" t="e">
        <f>IF(AG7="Quote",'Quote template-1'!L109,"")</f>
        <v>#N/A</v>
      </c>
      <c r="AH69" s="1711">
        <v>63</v>
      </c>
      <c r="AI69" s="1711" t="s">
        <v>4834</v>
      </c>
      <c r="AJ69" s="3346" t="str">
        <f t="shared" si="5"/>
        <v/>
      </c>
      <c r="AL69" s="3474" t="str">
        <f t="shared" si="1"/>
        <v/>
      </c>
    </row>
    <row r="70" spans="1:38">
      <c r="A70" s="423" t="s">
        <v>4871</v>
      </c>
      <c r="B70" s="3371" t="s">
        <v>4872</v>
      </c>
      <c r="C70" s="3352"/>
      <c r="E70" s="3369">
        <v>73600</v>
      </c>
      <c r="F70" s="3369" t="s">
        <v>4885</v>
      </c>
      <c r="G70" s="3363">
        <f t="shared" si="12"/>
        <v>0</v>
      </c>
      <c r="H70" s="3363" t="str">
        <f>IF($C$144="Yes","Yes",IF($C$145="Yes","Yes","No"))</f>
        <v>No</v>
      </c>
      <c r="I70" s="3363" t="s">
        <v>3821</v>
      </c>
      <c r="J70" s="3363">
        <f t="shared" si="16"/>
        <v>0</v>
      </c>
      <c r="K70" s="3363" t="s">
        <v>1031</v>
      </c>
      <c r="L70" s="3363">
        <f t="shared" si="13"/>
        <v>0</v>
      </c>
      <c r="M70" s="3350" t="str">
        <f t="shared" si="14"/>
        <v/>
      </c>
      <c r="N70" s="3350" t="str">
        <f t="shared" si="15"/>
        <v/>
      </c>
      <c r="AE70" s="3349" t="s">
        <v>3473</v>
      </c>
      <c r="AF70" s="3350" t="s">
        <v>4914</v>
      </c>
      <c r="AG70" s="3353" t="e">
        <f>IF(AG7="Quote",'Quote template-1'!L115,"")</f>
        <v>#N/A</v>
      </c>
      <c r="AH70" s="1711">
        <v>64</v>
      </c>
      <c r="AI70" s="1711" t="s">
        <v>4837</v>
      </c>
      <c r="AJ70" s="3346" t="str">
        <f t="shared" si="5"/>
        <v/>
      </c>
      <c r="AL70" s="3474" t="str">
        <f t="shared" si="1"/>
        <v/>
      </c>
    </row>
    <row r="71" spans="1:38">
      <c r="A71" s="423" t="s">
        <v>4875</v>
      </c>
      <c r="B71" s="3350" t="s">
        <v>4876</v>
      </c>
      <c r="C71" s="3352"/>
      <c r="E71" s="3369"/>
      <c r="F71" s="3369"/>
      <c r="G71" s="3363"/>
      <c r="H71" s="3363"/>
      <c r="I71" s="3363"/>
      <c r="J71" s="3363">
        <f t="shared" si="16"/>
        <v>0</v>
      </c>
      <c r="K71" s="3363" t="s">
        <v>1031</v>
      </c>
      <c r="L71" s="3363">
        <f t="shared" si="13"/>
        <v>0</v>
      </c>
      <c r="M71" s="3350" t="str">
        <f t="shared" si="14"/>
        <v/>
      </c>
      <c r="N71" s="3350" t="str">
        <f t="shared" si="15"/>
        <v/>
      </c>
      <c r="AE71" s="3349" t="s">
        <v>3477</v>
      </c>
      <c r="AF71" s="1711" t="s">
        <v>5256</v>
      </c>
      <c r="AG71" s="3353" t="e">
        <f>IF(AG7="Quote",'Quote template-1'!L117,"")</f>
        <v>#N/A</v>
      </c>
      <c r="AH71" s="1711">
        <v>65</v>
      </c>
      <c r="AI71" s="1711" t="s">
        <v>4891</v>
      </c>
      <c r="AJ71" s="3346" t="str">
        <f t="shared" si="5"/>
        <v/>
      </c>
      <c r="AL71" s="3474" t="str">
        <f t="shared" ref="AL71:AL134" si="19">IF(ISERROR(VLOOKUP(AI71,$AF$6:$AF$971,1,FALSE))=TRUE,AI71,"")</f>
        <v>Newly acquired locations</v>
      </c>
    </row>
    <row r="72" spans="1:38">
      <c r="A72" s="423" t="s">
        <v>4880</v>
      </c>
      <c r="B72" s="3371" t="s">
        <v>4881</v>
      </c>
      <c r="C72" s="3372"/>
      <c r="E72" s="3369"/>
      <c r="F72" s="3369"/>
      <c r="G72" s="3369"/>
      <c r="H72" s="3363"/>
      <c r="I72" s="3363"/>
      <c r="J72" s="3363">
        <f t="shared" si="16"/>
        <v>0</v>
      </c>
      <c r="K72" s="3363" t="s">
        <v>1031</v>
      </c>
      <c r="L72" s="3363">
        <f t="shared" si="13"/>
        <v>0</v>
      </c>
      <c r="M72" s="3350" t="str">
        <f t="shared" si="14"/>
        <v/>
      </c>
      <c r="N72" s="3350" t="str">
        <f t="shared" si="15"/>
        <v/>
      </c>
      <c r="O72" s="3385" t="s">
        <v>4900</v>
      </c>
      <c r="AE72" s="3349" t="s">
        <v>3482</v>
      </c>
      <c r="AF72" s="1711" t="s">
        <v>4925</v>
      </c>
      <c r="AG72" s="3353" t="e">
        <f>IF(AG7="Quote",'Quote template-1'!L120,"")</f>
        <v>#N/A</v>
      </c>
      <c r="AH72" s="1711">
        <v>66</v>
      </c>
      <c r="AI72" s="1711" t="s">
        <v>4841</v>
      </c>
      <c r="AJ72" s="3346" t="str">
        <f t="shared" si="5"/>
        <v/>
      </c>
      <c r="AL72" s="3474" t="str">
        <f t="shared" si="19"/>
        <v/>
      </c>
    </row>
    <row r="73" spans="1:38">
      <c r="A73" s="423" t="s">
        <v>4883</v>
      </c>
      <c r="B73" s="3371" t="s">
        <v>4884</v>
      </c>
      <c r="C73" s="3373"/>
      <c r="E73" s="3369"/>
      <c r="F73" s="3369"/>
      <c r="G73" s="3369"/>
      <c r="H73" s="3363"/>
      <c r="I73" s="3363"/>
      <c r="J73" s="3363">
        <f t="shared" si="16"/>
        <v>0</v>
      </c>
      <c r="K73" s="3363" t="s">
        <v>1031</v>
      </c>
      <c r="L73" s="3363">
        <f t="shared" si="13"/>
        <v>0</v>
      </c>
      <c r="M73" s="3350" t="str">
        <f t="shared" si="14"/>
        <v/>
      </c>
      <c r="N73" s="3350" t="str">
        <f t="shared" si="15"/>
        <v/>
      </c>
      <c r="O73" s="3385"/>
      <c r="P73" s="581" t="s">
        <v>3330</v>
      </c>
      <c r="Q73" s="581" t="s">
        <v>4057</v>
      </c>
      <c r="R73" s="581" t="s">
        <v>4901</v>
      </c>
      <c r="S73" s="581" t="s">
        <v>4902</v>
      </c>
      <c r="T73" s="581" t="s">
        <v>4903</v>
      </c>
      <c r="U73" s="581" t="s">
        <v>4904</v>
      </c>
      <c r="V73" s="581" t="s">
        <v>5154</v>
      </c>
      <c r="W73" s="395" t="s">
        <v>5325</v>
      </c>
      <c r="AE73" s="3349" t="s">
        <v>3483</v>
      </c>
      <c r="AF73" s="3350" t="s">
        <v>4929</v>
      </c>
      <c r="AG73" s="3353" t="e">
        <f>IF(AG7="Quote",'Quote template-1'!L118,"")</f>
        <v>#N/A</v>
      </c>
      <c r="AH73" s="1711">
        <v>67</v>
      </c>
      <c r="AI73" s="1711" t="s">
        <v>4844</v>
      </c>
      <c r="AJ73" s="3346" t="str">
        <f t="shared" si="5"/>
        <v/>
      </c>
      <c r="AL73" s="3474" t="str">
        <f t="shared" si="19"/>
        <v/>
      </c>
    </row>
    <row r="74" spans="1:38">
      <c r="A74" s="423" t="s">
        <v>4887</v>
      </c>
      <c r="B74" s="3371" t="s">
        <v>4888</v>
      </c>
      <c r="C74" s="3373"/>
      <c r="E74" s="3369"/>
      <c r="F74" s="3369"/>
      <c r="G74" s="3369"/>
      <c r="H74" s="3363"/>
      <c r="I74" s="3363"/>
      <c r="J74" s="3363">
        <f t="shared" si="16"/>
        <v>0</v>
      </c>
      <c r="K74" s="3363" t="s">
        <v>1031</v>
      </c>
      <c r="L74" s="3363">
        <f t="shared" si="13"/>
        <v>0</v>
      </c>
      <c r="M74" s="3350" t="str">
        <f t="shared" si="14"/>
        <v/>
      </c>
      <c r="N74" s="3350" t="str">
        <f t="shared" si="15"/>
        <v/>
      </c>
      <c r="O74" s="3332" t="s">
        <v>4908</v>
      </c>
      <c r="P74" s="569">
        <f>C22</f>
        <v>0</v>
      </c>
      <c r="Q74" s="3346">
        <f>C23</f>
        <v>0</v>
      </c>
      <c r="R74" s="3413">
        <f>C24</f>
        <v>0</v>
      </c>
      <c r="S74" s="3413">
        <f>C25</f>
        <v>0</v>
      </c>
      <c r="T74" s="3413">
        <f>C26</f>
        <v>0</v>
      </c>
      <c r="U74" s="3413">
        <f>C27</f>
        <v>0</v>
      </c>
      <c r="V74" s="569">
        <f>C28</f>
        <v>0</v>
      </c>
      <c r="W74" s="3163">
        <f>IF(ISERROR(VLOOKUP(P74,$T$6:$T$18,1,FALSE)),0,P74)</f>
        <v>0</v>
      </c>
      <c r="AE74" s="3349" t="s">
        <v>3481</v>
      </c>
      <c r="AF74" s="3350" t="s">
        <v>4934</v>
      </c>
      <c r="AG74" s="3353" t="e">
        <f>IF(AG7="Quote",'Quote template-1'!L121,"")</f>
        <v>#N/A</v>
      </c>
      <c r="AH74" s="1711">
        <v>68</v>
      </c>
      <c r="AI74" s="1711" t="s">
        <v>4905</v>
      </c>
      <c r="AJ74" s="3346" t="str">
        <f t="shared" si="5"/>
        <v/>
      </c>
      <c r="AL74" s="3474" t="str">
        <f t="shared" si="19"/>
        <v>Pavement, Sidewalk and Driveways</v>
      </c>
    </row>
    <row r="75" spans="1:38">
      <c r="A75" s="423" t="s">
        <v>4889</v>
      </c>
      <c r="B75" s="3371" t="s">
        <v>4890</v>
      </c>
      <c r="C75" s="3373"/>
      <c r="E75" s="3369"/>
      <c r="F75" s="3369"/>
      <c r="G75" s="3369"/>
      <c r="H75" s="3363"/>
      <c r="I75" s="3363"/>
      <c r="J75" s="3363">
        <f t="shared" si="16"/>
        <v>0</v>
      </c>
      <c r="K75" s="3363" t="s">
        <v>1031</v>
      </c>
      <c r="L75" s="3363">
        <f t="shared" si="13"/>
        <v>0</v>
      </c>
      <c r="M75" s="3350" t="str">
        <f t="shared" si="14"/>
        <v/>
      </c>
      <c r="N75" s="3350" t="str">
        <f t="shared" si="15"/>
        <v/>
      </c>
      <c r="O75" s="3332" t="s">
        <v>4913</v>
      </c>
      <c r="P75" s="569">
        <f>C29</f>
        <v>0</v>
      </c>
      <c r="Q75" s="3346">
        <f>C30</f>
        <v>0</v>
      </c>
      <c r="R75" s="3413">
        <f>C31</f>
        <v>0</v>
      </c>
      <c r="S75" s="3413">
        <f>C32</f>
        <v>0</v>
      </c>
      <c r="T75" s="3413">
        <f>C33</f>
        <v>0</v>
      </c>
      <c r="U75" s="3413">
        <f>C34</f>
        <v>0</v>
      </c>
      <c r="V75" s="569">
        <f>C35</f>
        <v>0</v>
      </c>
      <c r="W75" s="3163">
        <f t="shared" ref="W75:W83" si="20">IF(ISERROR(VLOOKUP(P75,$T$6:$T$18,1,FALSE)),0,P75)</f>
        <v>0</v>
      </c>
      <c r="AE75" s="3349" t="s">
        <v>5223</v>
      </c>
      <c r="AF75" s="1711" t="s">
        <v>5255</v>
      </c>
      <c r="AG75" s="3353" t="e">
        <f>IF(AG7="Quote",'Quote template-1'!L119,"")</f>
        <v>#N/A</v>
      </c>
      <c r="AH75" s="1711">
        <v>69</v>
      </c>
      <c r="AI75" s="1711" t="s">
        <v>4910</v>
      </c>
      <c r="AJ75" s="3346" t="str">
        <f t="shared" si="5"/>
        <v/>
      </c>
      <c r="AL75" s="3474" t="str">
        <f t="shared" si="19"/>
        <v>Personal effects and property of employees and others</v>
      </c>
    </row>
    <row r="76" spans="1:38">
      <c r="A76" s="423" t="s">
        <v>4892</v>
      </c>
      <c r="B76" s="3371" t="s">
        <v>4893</v>
      </c>
      <c r="C76" s="3373"/>
      <c r="E76" s="3369"/>
      <c r="F76" s="3369"/>
      <c r="G76" s="3369"/>
      <c r="H76" s="3363"/>
      <c r="I76" s="3363"/>
      <c r="J76" s="3363">
        <f t="shared" si="16"/>
        <v>0</v>
      </c>
      <c r="K76" s="3363" t="s">
        <v>1031</v>
      </c>
      <c r="L76" s="3363">
        <f t="shared" si="13"/>
        <v>0</v>
      </c>
      <c r="M76" s="3350" t="str">
        <f t="shared" si="14"/>
        <v/>
      </c>
      <c r="N76" s="3350" t="str">
        <f t="shared" si="15"/>
        <v/>
      </c>
      <c r="O76" s="3332" t="s">
        <v>4917</v>
      </c>
      <c r="P76" s="569">
        <f>C36</f>
        <v>0</v>
      </c>
      <c r="Q76" s="3346">
        <f>C37</f>
        <v>0</v>
      </c>
      <c r="R76" s="3413">
        <f>C38</f>
        <v>0</v>
      </c>
      <c r="S76" s="3413">
        <f>C39</f>
        <v>0</v>
      </c>
      <c r="T76" s="3413">
        <f>C40</f>
        <v>0</v>
      </c>
      <c r="U76" s="3413">
        <f>C41</f>
        <v>0</v>
      </c>
      <c r="V76" s="569">
        <f>C42</f>
        <v>0</v>
      </c>
      <c r="W76" s="3163">
        <f t="shared" si="20"/>
        <v>0</v>
      </c>
      <c r="AE76" s="3349" t="s">
        <v>3475</v>
      </c>
      <c r="AF76" s="3350" t="s">
        <v>4939</v>
      </c>
      <c r="AG76" s="3353" t="e">
        <f>IF(AG7="Quote",'Quote template-1'!L114,"")</f>
        <v>#N/A</v>
      </c>
      <c r="AH76" s="1711">
        <v>70</v>
      </c>
      <c r="AI76" s="1711" t="s">
        <v>4848</v>
      </c>
      <c r="AJ76" s="3346" t="str">
        <f t="shared" si="5"/>
        <v/>
      </c>
      <c r="AL76" s="3474" t="str">
        <f t="shared" si="19"/>
        <v/>
      </c>
    </row>
    <row r="77" spans="1:38">
      <c r="A77" s="423" t="s">
        <v>4895</v>
      </c>
      <c r="B77" s="3371" t="s">
        <v>4896</v>
      </c>
      <c r="C77" s="3352"/>
      <c r="E77" s="3369"/>
      <c r="F77" s="3369"/>
      <c r="G77" s="3369"/>
      <c r="H77" s="3363"/>
      <c r="I77" s="3363"/>
      <c r="J77" s="3363">
        <f t="shared" si="16"/>
        <v>0</v>
      </c>
      <c r="K77" s="3363" t="s">
        <v>1031</v>
      </c>
      <c r="L77" s="3363">
        <f t="shared" si="13"/>
        <v>0</v>
      </c>
      <c r="M77" s="3350" t="str">
        <f t="shared" si="14"/>
        <v/>
      </c>
      <c r="N77" s="3350" t="str">
        <f t="shared" si="15"/>
        <v/>
      </c>
      <c r="O77" s="3332" t="s">
        <v>4921</v>
      </c>
      <c r="P77" s="569">
        <f>C43</f>
        <v>0</v>
      </c>
      <c r="Q77" s="3346">
        <f>C44</f>
        <v>0</v>
      </c>
      <c r="R77" s="3413">
        <f>C45</f>
        <v>0</v>
      </c>
      <c r="S77" s="3413">
        <f>C46</f>
        <v>0</v>
      </c>
      <c r="T77" s="3413">
        <f>C47</f>
        <v>0</v>
      </c>
      <c r="U77" s="3413">
        <f>C48</f>
        <v>0</v>
      </c>
      <c r="V77" s="569">
        <f>C49</f>
        <v>0</v>
      </c>
      <c r="W77" s="3163">
        <f t="shared" si="20"/>
        <v>0</v>
      </c>
      <c r="AE77" s="3349" t="s">
        <v>4943</v>
      </c>
      <c r="AF77" s="3350" t="s">
        <v>4943</v>
      </c>
      <c r="AG77" s="3353" t="e">
        <f>IF(AG7="Quote",IF($AG$24&gt;0,100000,0),"")</f>
        <v>#N/A</v>
      </c>
      <c r="AH77" s="1711">
        <v>71</v>
      </c>
      <c r="AI77" s="1711" t="s">
        <v>4918</v>
      </c>
      <c r="AJ77" s="3346" t="str">
        <f t="shared" ref="AJ77:AJ140" si="21">IFERROR(IF($AJ$7&lt;&gt;"Quote","",IF(VLOOKUP(AI77,$AF$7:$AG$169,2,FALSE)=0,"-",VLOOKUP(AI77,$AF$7:$AG$169,2,FALSE))),"-")</f>
        <v/>
      </c>
      <c r="AL77" s="3474" t="str">
        <f t="shared" si="19"/>
        <v>Preservation of property</v>
      </c>
    </row>
    <row r="78" spans="1:38">
      <c r="A78" s="423" t="s">
        <v>4898</v>
      </c>
      <c r="B78" s="3350" t="s">
        <v>4899</v>
      </c>
      <c r="C78" s="3352"/>
      <c r="E78" s="3369"/>
      <c r="F78" s="3369"/>
      <c r="G78" s="3369"/>
      <c r="H78" s="3363"/>
      <c r="I78" s="3363"/>
      <c r="J78" s="3363">
        <f t="shared" si="16"/>
        <v>0</v>
      </c>
      <c r="K78" s="3363" t="s">
        <v>1031</v>
      </c>
      <c r="L78" s="3363">
        <f t="shared" si="13"/>
        <v>0</v>
      </c>
      <c r="M78" s="3350" t="str">
        <f t="shared" si="14"/>
        <v/>
      </c>
      <c r="N78" s="3350" t="str">
        <f t="shared" si="15"/>
        <v/>
      </c>
      <c r="O78" s="3332" t="s">
        <v>4924</v>
      </c>
      <c r="P78" s="569">
        <f>C50</f>
        <v>0</v>
      </c>
      <c r="Q78" s="3346">
        <f>C51</f>
        <v>0</v>
      </c>
      <c r="R78" s="3414">
        <f>C52</f>
        <v>0</v>
      </c>
      <c r="S78" s="3413">
        <f>C53</f>
        <v>0</v>
      </c>
      <c r="T78" s="3413">
        <f>C54</f>
        <v>0</v>
      </c>
      <c r="U78" s="3413">
        <f>C55</f>
        <v>0</v>
      </c>
      <c r="V78" s="569">
        <f>C56</f>
        <v>0</v>
      </c>
      <c r="W78" s="3163">
        <f t="shared" si="20"/>
        <v>0</v>
      </c>
      <c r="AE78" s="3349" t="str">
        <f>B97</f>
        <v>EDP systems limit</v>
      </c>
      <c r="AF78" s="3350" t="s">
        <v>5249</v>
      </c>
      <c r="AG78" s="3353"/>
      <c r="AH78" s="1711">
        <v>72</v>
      </c>
      <c r="AI78" s="1711" t="s">
        <v>4852</v>
      </c>
      <c r="AJ78" s="3346" t="str">
        <f t="shared" si="21"/>
        <v/>
      </c>
      <c r="AL78" s="3474" t="str">
        <f t="shared" si="19"/>
        <v/>
      </c>
    </row>
    <row r="79" spans="1:38">
      <c r="A79" s="423" t="s">
        <v>4906</v>
      </c>
      <c r="B79" s="3386" t="s">
        <v>4907</v>
      </c>
      <c r="C79" s="3372"/>
      <c r="E79" s="3369"/>
      <c r="F79" s="3369"/>
      <c r="G79" s="3369"/>
      <c r="H79" s="3363"/>
      <c r="I79" s="3363"/>
      <c r="J79" s="3363">
        <f t="shared" si="16"/>
        <v>0</v>
      </c>
      <c r="K79" s="3363" t="s">
        <v>1031</v>
      </c>
      <c r="L79" s="3363">
        <f t="shared" si="13"/>
        <v>0</v>
      </c>
      <c r="M79" s="3350" t="str">
        <f t="shared" si="14"/>
        <v/>
      </c>
      <c r="N79" s="3350" t="str">
        <f t="shared" si="15"/>
        <v/>
      </c>
      <c r="O79" s="3332" t="s">
        <v>4928</v>
      </c>
      <c r="P79" s="569">
        <f>C57</f>
        <v>0</v>
      </c>
      <c r="Q79" s="3346">
        <f>C58</f>
        <v>0</v>
      </c>
      <c r="R79" s="3413">
        <f>C59</f>
        <v>0</v>
      </c>
      <c r="S79" s="3413">
        <f>C60</f>
        <v>0</v>
      </c>
      <c r="T79" s="3413">
        <f>C61</f>
        <v>0</v>
      </c>
      <c r="U79" s="3413">
        <f>C62</f>
        <v>0</v>
      </c>
      <c r="V79" s="569">
        <f>C63</f>
        <v>0</v>
      </c>
      <c r="W79" s="3163">
        <f t="shared" si="20"/>
        <v>0</v>
      </c>
      <c r="AE79" s="3349" t="str">
        <f>B98</f>
        <v>Stock limit</v>
      </c>
      <c r="AF79" s="3350" t="s">
        <v>3489</v>
      </c>
      <c r="AG79" s="3353" t="e">
        <f>IF(AG7="Quote",'Quote template-1'!L52,"")</f>
        <v>#N/A</v>
      </c>
      <c r="AH79" s="1711">
        <v>73</v>
      </c>
      <c r="AI79" s="1711" t="s">
        <v>4857</v>
      </c>
      <c r="AJ79" s="3346" t="str">
        <f t="shared" si="21"/>
        <v/>
      </c>
      <c r="AL79" s="3474" t="str">
        <f t="shared" si="19"/>
        <v/>
      </c>
    </row>
    <row r="80" spans="1:38">
      <c r="A80" s="423" t="s">
        <v>4911</v>
      </c>
      <c r="B80" s="3371" t="s">
        <v>4912</v>
      </c>
      <c r="C80" s="3373"/>
      <c r="E80" s="3369"/>
      <c r="F80" s="3369"/>
      <c r="G80" s="3369"/>
      <c r="H80" s="3363"/>
      <c r="I80" s="3363"/>
      <c r="J80" s="3363">
        <f t="shared" si="16"/>
        <v>0</v>
      </c>
      <c r="K80" s="3363" t="s">
        <v>1031</v>
      </c>
      <c r="L80" s="3363">
        <f t="shared" si="13"/>
        <v>0</v>
      </c>
      <c r="M80" s="3350" t="str">
        <f t="shared" si="14"/>
        <v/>
      </c>
      <c r="N80" s="3350" t="str">
        <f t="shared" si="15"/>
        <v/>
      </c>
      <c r="O80" s="3332" t="s">
        <v>4933</v>
      </c>
      <c r="P80" s="569">
        <f>C64</f>
        <v>0</v>
      </c>
      <c r="Q80" s="3346">
        <f>C65</f>
        <v>0</v>
      </c>
      <c r="R80" s="3413">
        <f>C66</f>
        <v>0</v>
      </c>
      <c r="S80" s="3413">
        <f>C67</f>
        <v>0</v>
      </c>
      <c r="T80" s="3413">
        <f>C68</f>
        <v>0</v>
      </c>
      <c r="U80" s="3413">
        <f>C69</f>
        <v>0</v>
      </c>
      <c r="V80" s="569">
        <f>C70</f>
        <v>0</v>
      </c>
      <c r="W80" s="3163">
        <f t="shared" si="20"/>
        <v>0</v>
      </c>
      <c r="AE80" s="3349" t="str">
        <f>B99</f>
        <v>Business equipment limit</v>
      </c>
      <c r="AF80" s="3350" t="s">
        <v>5274</v>
      </c>
      <c r="AG80" s="3353" t="e">
        <f>IF(AG7="Quote",'Quote template-1'!L58,"")</f>
        <v>#N/A</v>
      </c>
      <c r="AH80" s="1711">
        <v>74</v>
      </c>
      <c r="AI80" s="1711" t="s">
        <v>4930</v>
      </c>
      <c r="AJ80" s="3346" t="str">
        <f t="shared" si="21"/>
        <v/>
      </c>
      <c r="AL80" s="3474" t="str">
        <f t="shared" si="19"/>
        <v>Rental reimbursement</v>
      </c>
    </row>
    <row r="81" spans="1:38">
      <c r="A81" s="423" t="s">
        <v>4915</v>
      </c>
      <c r="B81" s="3371" t="s">
        <v>4916</v>
      </c>
      <c r="C81" s="3373"/>
      <c r="E81" s="3369"/>
      <c r="F81" s="3369"/>
      <c r="G81" s="3369"/>
      <c r="H81" s="3363"/>
      <c r="I81" s="3363"/>
      <c r="J81" s="3363">
        <f t="shared" si="16"/>
        <v>0</v>
      </c>
      <c r="K81" s="3363" t="s">
        <v>1031</v>
      </c>
      <c r="L81" s="3363">
        <f t="shared" si="13"/>
        <v>0</v>
      </c>
      <c r="M81" s="3350" t="str">
        <f t="shared" si="14"/>
        <v/>
      </c>
      <c r="N81" s="3350" t="str">
        <f t="shared" si="15"/>
        <v/>
      </c>
      <c r="O81" s="3332" t="s">
        <v>4938</v>
      </c>
      <c r="P81" s="569">
        <f>C71</f>
        <v>0</v>
      </c>
      <c r="Q81" s="3346">
        <f>C72</f>
        <v>0</v>
      </c>
      <c r="R81" s="3413">
        <f>C73</f>
        <v>0</v>
      </c>
      <c r="S81" s="3413">
        <f>C74</f>
        <v>0</v>
      </c>
      <c r="T81" s="3413">
        <f>C75</f>
        <v>0</v>
      </c>
      <c r="U81" s="3413">
        <f>C76</f>
        <v>0</v>
      </c>
      <c r="V81" s="569">
        <f>C77</f>
        <v>0</v>
      </c>
      <c r="W81" s="3163">
        <f t="shared" si="20"/>
        <v>0</v>
      </c>
      <c r="AE81" s="3349" t="s">
        <v>5226</v>
      </c>
      <c r="AF81" s="3350" t="s">
        <v>5047</v>
      </c>
      <c r="AG81" s="3353" t="e">
        <f>IF(AG7="Quote",'Quote template-1'!$L$149,"")</f>
        <v>#N/A</v>
      </c>
      <c r="AH81" s="1711">
        <v>75</v>
      </c>
      <c r="AI81" s="1711" t="s">
        <v>4935</v>
      </c>
      <c r="AJ81" s="3346" t="str">
        <f t="shared" si="21"/>
        <v/>
      </c>
      <c r="AL81" s="3474" t="str">
        <f t="shared" si="19"/>
        <v>Replacement cost - property of every description</v>
      </c>
    </row>
    <row r="82" spans="1:38">
      <c r="A82" s="423" t="s">
        <v>4919</v>
      </c>
      <c r="B82" s="3371" t="s">
        <v>4920</v>
      </c>
      <c r="C82" s="3373"/>
      <c r="E82" s="3369"/>
      <c r="F82" s="3369"/>
      <c r="G82" s="3369"/>
      <c r="H82" s="3363"/>
      <c r="I82" s="3363"/>
      <c r="J82" s="3363">
        <f t="shared" si="16"/>
        <v>0</v>
      </c>
      <c r="K82" s="3363" t="s">
        <v>1031</v>
      </c>
      <c r="L82" s="3363">
        <f t="shared" si="13"/>
        <v>0</v>
      </c>
      <c r="M82" s="3350" t="str">
        <f t="shared" si="14"/>
        <v/>
      </c>
      <c r="N82" s="3350" t="str">
        <f t="shared" si="15"/>
        <v/>
      </c>
      <c r="O82" s="3332" t="s">
        <v>4942</v>
      </c>
      <c r="P82" s="569">
        <f>C78</f>
        <v>0</v>
      </c>
      <c r="Q82" s="3346">
        <f>C79</f>
        <v>0</v>
      </c>
      <c r="R82" s="3413">
        <f>C80</f>
        <v>0</v>
      </c>
      <c r="S82" s="3413">
        <f>C81</f>
        <v>0</v>
      </c>
      <c r="T82" s="3413">
        <f>C82</f>
        <v>0</v>
      </c>
      <c r="U82" s="3413">
        <f>C83</f>
        <v>0</v>
      </c>
      <c r="V82" s="569">
        <f>C84</f>
        <v>0</v>
      </c>
      <c r="W82" s="3163">
        <f t="shared" si="20"/>
        <v>0</v>
      </c>
      <c r="AE82" s="3349" t="s">
        <v>5227</v>
      </c>
      <c r="AF82" s="3350" t="s">
        <v>5048</v>
      </c>
      <c r="AG82" s="3353" t="e">
        <f>IF(AG7="Quote",'Quote template-1'!$L$149,"")</f>
        <v>#N/A</v>
      </c>
      <c r="AH82" s="1711">
        <v>76</v>
      </c>
      <c r="AI82" s="1711" t="s">
        <v>4861</v>
      </c>
      <c r="AJ82" s="3346" t="str">
        <f t="shared" si="21"/>
        <v/>
      </c>
      <c r="AL82" s="3474" t="str">
        <f t="shared" si="19"/>
        <v>Replacement cost - tools</v>
      </c>
    </row>
    <row r="83" spans="1:38" ht="15.75" thickBot="1">
      <c r="A83" s="423" t="s">
        <v>4922</v>
      </c>
      <c r="B83" s="3371" t="s">
        <v>4923</v>
      </c>
      <c r="C83" s="3373"/>
      <c r="E83" s="3369"/>
      <c r="F83" s="3369"/>
      <c r="G83" s="3369"/>
      <c r="H83" s="3363"/>
      <c r="I83" s="3363"/>
      <c r="J83" s="3363">
        <f t="shared" si="16"/>
        <v>0</v>
      </c>
      <c r="K83" s="3363" t="s">
        <v>1031</v>
      </c>
      <c r="L83" s="3363">
        <f t="shared" si="13"/>
        <v>0</v>
      </c>
      <c r="M83" s="3350" t="str">
        <f t="shared" si="14"/>
        <v/>
      </c>
      <c r="N83" s="3350" t="str">
        <f t="shared" si="15"/>
        <v/>
      </c>
      <c r="O83" s="3332" t="s">
        <v>4947</v>
      </c>
      <c r="P83" s="569">
        <f>C85</f>
        <v>0</v>
      </c>
      <c r="Q83" s="3346">
        <f>C86</f>
        <v>0</v>
      </c>
      <c r="R83" s="3413">
        <f>C87</f>
        <v>0</v>
      </c>
      <c r="S83" s="3413">
        <f>C88</f>
        <v>0</v>
      </c>
      <c r="T83" s="3413">
        <f>C89</f>
        <v>0</v>
      </c>
      <c r="U83" s="3413">
        <f>C90</f>
        <v>0</v>
      </c>
      <c r="V83" s="569">
        <f>C91</f>
        <v>0</v>
      </c>
      <c r="W83" s="3163">
        <f t="shared" si="20"/>
        <v>0</v>
      </c>
      <c r="AE83" s="3349" t="s">
        <v>5228</v>
      </c>
      <c r="AF83" s="3350" t="s">
        <v>5054</v>
      </c>
      <c r="AG83" s="3353" t="e">
        <f>IF(AG7="Quote",'Quote template-1'!$L$149,"")</f>
        <v>#N/A</v>
      </c>
      <c r="AH83" s="1711">
        <v>77</v>
      </c>
      <c r="AI83" s="1711" t="s">
        <v>4944</v>
      </c>
      <c r="AJ83" s="3346" t="str">
        <f t="shared" si="21"/>
        <v/>
      </c>
      <c r="AL83" s="3474" t="str">
        <f t="shared" si="19"/>
        <v>Retailers product impairment</v>
      </c>
    </row>
    <row r="84" spans="1:38" ht="15.75" thickTop="1">
      <c r="A84" s="423" t="s">
        <v>4926</v>
      </c>
      <c r="B84" s="3371" t="s">
        <v>4927</v>
      </c>
      <c r="C84" s="3352"/>
      <c r="E84" s="3369"/>
      <c r="F84" s="3369"/>
      <c r="G84" s="3369"/>
      <c r="H84" s="3363"/>
      <c r="I84" s="3363"/>
      <c r="J84" s="3363">
        <f t="shared" si="16"/>
        <v>0</v>
      </c>
      <c r="K84" s="3363" t="s">
        <v>1031</v>
      </c>
      <c r="L84" s="3363">
        <f t="shared" si="13"/>
        <v>0</v>
      </c>
      <c r="M84" s="3350" t="str">
        <f t="shared" si="14"/>
        <v/>
      </c>
      <c r="N84" s="3350" t="str">
        <f t="shared" si="15"/>
        <v/>
      </c>
      <c r="O84" s="3387" t="s">
        <v>4950</v>
      </c>
      <c r="P84" s="3412"/>
      <c r="Q84" s="3388">
        <f>SUM(Q74:Q83)</f>
        <v>0</v>
      </c>
      <c r="R84" s="3415">
        <f>SUMPRODUCT($Q$74:$Q$83,R74:R83)/100</f>
        <v>0</v>
      </c>
      <c r="S84" s="3415">
        <f t="shared" ref="S84:U84" si="22">SUMPRODUCT($Q$74:$Q$83,S74:S83)/100</f>
        <v>0</v>
      </c>
      <c r="T84" s="3415">
        <f t="shared" si="22"/>
        <v>0</v>
      </c>
      <c r="U84" s="3415">
        <f t="shared" si="22"/>
        <v>0</v>
      </c>
      <c r="V84" s="3415" t="str">
        <f>IF(OR(V74="No",V75="No",V76="No",V77="No",V78="No",V79="No",V80="No",V81="No",V82="No",V83="No"),"No","Yes")</f>
        <v>Yes</v>
      </c>
      <c r="W84" s="3492">
        <f>MAX(W74:W83)</f>
        <v>0</v>
      </c>
      <c r="AE84" s="3349" t="s">
        <v>5229</v>
      </c>
      <c r="AF84" s="3350" t="s">
        <v>5056</v>
      </c>
      <c r="AG84" s="3353" t="e">
        <f>IF(AG7="Quote",'Quote template-1'!$L$149,"")</f>
        <v>#N/A</v>
      </c>
      <c r="AH84" s="1711">
        <v>78</v>
      </c>
      <c r="AI84" s="1711" t="s">
        <v>4864</v>
      </c>
      <c r="AJ84" s="3346" t="str">
        <f t="shared" si="21"/>
        <v/>
      </c>
      <c r="AL84" s="3474" t="str">
        <f t="shared" si="19"/>
        <v/>
      </c>
    </row>
    <row r="85" spans="1:38">
      <c r="A85" s="423" t="s">
        <v>4931</v>
      </c>
      <c r="B85" s="3350" t="s">
        <v>4932</v>
      </c>
      <c r="C85" s="3352"/>
      <c r="E85" s="3369"/>
      <c r="F85" s="3369"/>
      <c r="G85" s="3369"/>
      <c r="H85" s="3363"/>
      <c r="I85" s="3363"/>
      <c r="J85" s="3363">
        <f t="shared" si="16"/>
        <v>0</v>
      </c>
      <c r="K85" s="3363" t="s">
        <v>1031</v>
      </c>
      <c r="L85" s="3363">
        <f t="shared" si="13"/>
        <v>0</v>
      </c>
      <c r="M85" s="3350" t="str">
        <f t="shared" si="14"/>
        <v/>
      </c>
      <c r="N85" s="3350" t="str">
        <f t="shared" si="15"/>
        <v/>
      </c>
      <c r="O85" s="3332" t="s">
        <v>5155</v>
      </c>
      <c r="R85" s="3382" t="e">
        <f>R84/$Q$84</f>
        <v>#DIV/0!</v>
      </c>
      <c r="S85" s="3382" t="e">
        <f t="shared" ref="S85:U85" si="23">S84/$Q$84</f>
        <v>#DIV/0!</v>
      </c>
      <c r="T85" s="3382" t="e">
        <f t="shared" si="23"/>
        <v>#DIV/0!</v>
      </c>
      <c r="U85" s="3382" t="e">
        <f t="shared" si="23"/>
        <v>#DIV/0!</v>
      </c>
      <c r="AE85" s="3349" t="s">
        <v>5230</v>
      </c>
      <c r="AF85" s="3350" t="s">
        <v>5058</v>
      </c>
      <c r="AG85" s="3353"/>
      <c r="AH85" s="1711">
        <v>79</v>
      </c>
      <c r="AI85" s="1711" t="s">
        <v>4869</v>
      </c>
      <c r="AJ85" s="3346" t="str">
        <f t="shared" si="21"/>
        <v/>
      </c>
      <c r="AL85" s="3474" t="str">
        <f t="shared" si="19"/>
        <v/>
      </c>
    </row>
    <row r="86" spans="1:38">
      <c r="A86" s="423" t="s">
        <v>4936</v>
      </c>
      <c r="B86" s="3371" t="s">
        <v>4937</v>
      </c>
      <c r="C86" s="3372"/>
      <c r="O86" s="3332" t="s">
        <v>5157</v>
      </c>
      <c r="P86" s="569">
        <f>COUNTIF(P74:P83,"&gt;0")</f>
        <v>0</v>
      </c>
      <c r="AE86" s="3349" t="s">
        <v>5231</v>
      </c>
      <c r="AF86" s="3350" t="s">
        <v>5060</v>
      </c>
      <c r="AG86" s="3353" t="e">
        <f>IF(AG7="Quote",'Quote template-1'!$L$149,"")</f>
        <v>#N/A</v>
      </c>
      <c r="AH86" s="1711">
        <v>80</v>
      </c>
      <c r="AI86" s="1711" t="s">
        <v>4953</v>
      </c>
      <c r="AJ86" s="3346" t="str">
        <f t="shared" si="21"/>
        <v/>
      </c>
      <c r="AL86" s="3474" t="str">
        <f t="shared" si="19"/>
        <v>Sewer Backup</v>
      </c>
    </row>
    <row r="87" spans="1:38">
      <c r="A87" s="423" t="s">
        <v>4940</v>
      </c>
      <c r="B87" s="3371" t="s">
        <v>4941</v>
      </c>
      <c r="C87" s="3373"/>
      <c r="O87" s="3332" t="s">
        <v>5158</v>
      </c>
      <c r="P87" s="3413">
        <f>INDEX($P$74:$P$83,MATCH(MAX($Q$74:$Q$83),$Q$74:$Q$83,0))</f>
        <v>0</v>
      </c>
      <c r="AE87" s="3349" t="s">
        <v>5232</v>
      </c>
      <c r="AF87" s="3350" t="s">
        <v>5062</v>
      </c>
      <c r="AG87" s="3353" t="e">
        <f>IF($AG$7="Quote",'Quote template-1'!$L$149,"")</f>
        <v>#N/A</v>
      </c>
      <c r="AH87" s="1711">
        <v>81</v>
      </c>
      <c r="AI87" s="1711" t="s">
        <v>3489</v>
      </c>
      <c r="AJ87" s="3346" t="str">
        <f t="shared" si="21"/>
        <v/>
      </c>
      <c r="AL87" s="3474" t="str">
        <f t="shared" si="19"/>
        <v/>
      </c>
    </row>
    <row r="88" spans="1:38">
      <c r="A88" s="423" t="s">
        <v>4945</v>
      </c>
      <c r="B88" s="3371" t="s">
        <v>4946</v>
      </c>
      <c r="C88" s="3373"/>
      <c r="O88" s="3332" t="s">
        <v>5328</v>
      </c>
      <c r="P88" s="3413" t="str">
        <f>IF(OR(P74=$O$59,P75=$O$59,P76=$O$59,P77=$O$59,P78=$O$59,P79=$O$59,P80=$O$59,P81=$O$59,P82=$O$59,P83=$O$59,P86&gt;=3),"Yes","No")</f>
        <v>No</v>
      </c>
      <c r="AE88" s="3349" t="s">
        <v>5233</v>
      </c>
      <c r="AF88" s="3350" t="s">
        <v>5063</v>
      </c>
      <c r="AG88" s="3353"/>
      <c r="AH88" s="1711">
        <v>82</v>
      </c>
      <c r="AI88" s="1711" t="s">
        <v>4874</v>
      </c>
      <c r="AJ88" s="3346" t="str">
        <f t="shared" si="21"/>
        <v/>
      </c>
      <c r="AL88" s="3474" t="str">
        <f t="shared" si="19"/>
        <v>Stock spoilage</v>
      </c>
    </row>
    <row r="89" spans="1:38">
      <c r="A89" s="423" t="s">
        <v>4948</v>
      </c>
      <c r="B89" s="3371" t="s">
        <v>4949</v>
      </c>
      <c r="C89" s="3373"/>
      <c r="O89" s="3332" t="s">
        <v>5324</v>
      </c>
      <c r="P89" s="569" t="str">
        <f>IF(W84&gt;0,"Yes","No")</f>
        <v>No</v>
      </c>
      <c r="AE89" s="3349" t="s">
        <v>5234</v>
      </c>
      <c r="AF89" s="3350" t="s">
        <v>5064</v>
      </c>
      <c r="AG89" s="3353"/>
      <c r="AH89" s="1711">
        <v>83</v>
      </c>
      <c r="AI89" s="1711" t="s">
        <v>4967</v>
      </c>
      <c r="AJ89" s="3346" t="str">
        <f t="shared" si="21"/>
        <v/>
      </c>
      <c r="AL89" s="3474" t="str">
        <f t="shared" si="19"/>
        <v>Tenants damage by vandalism exclusion</v>
      </c>
    </row>
    <row r="90" spans="1:38">
      <c r="A90" s="423" t="s">
        <v>4951</v>
      </c>
      <c r="B90" s="3371" t="s">
        <v>4952</v>
      </c>
      <c r="C90" s="3373"/>
      <c r="O90" s="3332" t="s">
        <v>5342</v>
      </c>
      <c r="P90" s="3493">
        <f>IF(P88="Yes",181200,IF(P89="Yes",W84,P87))</f>
        <v>0</v>
      </c>
      <c r="Q90" s="3346">
        <f>MAX(Q74:Q83)</f>
        <v>0</v>
      </c>
      <c r="AE90" s="3349" t="s">
        <v>5298</v>
      </c>
      <c r="AF90" s="3350" t="s">
        <v>5085</v>
      </c>
      <c r="AG90" s="3353" t="e">
        <f>IF($AG$7="Quote",IF('Quote template-1'!$L$148&gt;0,100000,""))</f>
        <v>#N/A</v>
      </c>
      <c r="AH90" s="1711">
        <v>84</v>
      </c>
      <c r="AI90" s="1711" t="s">
        <v>4598</v>
      </c>
      <c r="AJ90" s="3346" t="str">
        <f t="shared" si="21"/>
        <v/>
      </c>
      <c r="AL90" s="3474" t="str">
        <f t="shared" si="19"/>
        <v/>
      </c>
    </row>
    <row r="91" spans="1:38">
      <c r="A91" s="423" t="s">
        <v>4954</v>
      </c>
      <c r="B91" s="3371" t="s">
        <v>4955</v>
      </c>
      <c r="C91" s="3352"/>
      <c r="O91" s="3332" t="s">
        <v>5159</v>
      </c>
      <c r="P91" s="569"/>
      <c r="Q91" s="3382" t="e">
        <f>Q90/Q84</f>
        <v>#DIV/0!</v>
      </c>
      <c r="AE91" s="3349" t="s">
        <v>5299</v>
      </c>
      <c r="AF91" s="3350" t="s">
        <v>5084</v>
      </c>
      <c r="AG91" s="3353" t="e">
        <f>IF($AG$7="Quote",IF('Quote template-1'!$L$148&gt;0,100000,""))</f>
        <v>#N/A</v>
      </c>
      <c r="AH91" s="1711">
        <v>85</v>
      </c>
      <c r="AI91" s="1711" t="s">
        <v>4878</v>
      </c>
      <c r="AJ91" s="3346" t="str">
        <f t="shared" si="21"/>
        <v/>
      </c>
      <c r="AL91" s="3474" t="str">
        <f t="shared" si="19"/>
        <v/>
      </c>
    </row>
    <row r="92" spans="1:38">
      <c r="A92" s="423" t="s">
        <v>4957</v>
      </c>
      <c r="B92" s="3371" t="s">
        <v>4958</v>
      </c>
      <c r="C92" s="3389"/>
      <c r="E92" s="395" t="s">
        <v>5363</v>
      </c>
      <c r="AE92" s="3349" t="s">
        <v>5300</v>
      </c>
      <c r="AF92" s="3350" t="s">
        <v>5065</v>
      </c>
      <c r="AG92" s="3353" t="e">
        <f>IF($AG$7="Quote",IF('Quote template-1'!$L$148&gt;0,100000,""))</f>
        <v>#N/A</v>
      </c>
      <c r="AH92" s="1711">
        <v>86</v>
      </c>
      <c r="AI92" s="1711" t="s">
        <v>4882</v>
      </c>
      <c r="AJ92" s="3382" t="str">
        <f t="shared" si="21"/>
        <v/>
      </c>
      <c r="AL92" s="3474" t="str">
        <f t="shared" si="19"/>
        <v/>
      </c>
    </row>
    <row r="93" spans="1:38">
      <c r="A93" s="3453" t="s">
        <v>5286</v>
      </c>
      <c r="B93" s="3371" t="s">
        <v>5287</v>
      </c>
      <c r="C93" s="3389"/>
      <c r="AE93" s="3349" t="s">
        <v>5300</v>
      </c>
      <c r="AF93" s="3350" t="s">
        <v>5068</v>
      </c>
      <c r="AG93" s="3353" t="e">
        <f>IF($AG$7="Quote",IF('Quote template-1'!$L$148&gt;0,100000,""))</f>
        <v>#N/A</v>
      </c>
      <c r="AH93" s="1711">
        <v>87</v>
      </c>
      <c r="AI93" s="1711" t="s">
        <v>4886</v>
      </c>
      <c r="AJ93" s="3346" t="str">
        <f t="shared" si="21"/>
        <v/>
      </c>
      <c r="AL93" s="3474" t="str">
        <f t="shared" si="19"/>
        <v/>
      </c>
    </row>
    <row r="94" spans="1:38">
      <c r="A94" s="3357">
        <v>1000130</v>
      </c>
      <c r="B94" s="3371" t="s">
        <v>4964</v>
      </c>
      <c r="C94" s="3389"/>
      <c r="AE94" s="3349" t="s">
        <v>5300</v>
      </c>
      <c r="AF94" s="3350" t="s">
        <v>5067</v>
      </c>
      <c r="AG94" s="3353" t="e">
        <f>IF($AG$7="Quote",IF('Quote template-1'!$L$148&gt;0,100000,""))</f>
        <v>#N/A</v>
      </c>
      <c r="AH94" s="1711">
        <v>88</v>
      </c>
      <c r="AI94" s="1711" t="s">
        <v>4980</v>
      </c>
      <c r="AJ94" s="3346" t="str">
        <f t="shared" si="21"/>
        <v/>
      </c>
      <c r="AL94" s="3474" t="str">
        <f t="shared" si="19"/>
        <v>Water damage deductible</v>
      </c>
    </row>
    <row r="95" spans="1:38" ht="15.75" thickBot="1">
      <c r="A95" s="3357">
        <v>1000140</v>
      </c>
      <c r="B95" s="3371" t="s">
        <v>4968</v>
      </c>
      <c r="C95" s="3389"/>
      <c r="E95" s="3337"/>
      <c r="F95" s="3338" t="s">
        <v>4547</v>
      </c>
      <c r="G95" s="3339" t="s">
        <v>4548</v>
      </c>
      <c r="O95" s="3385" t="s">
        <v>4956</v>
      </c>
      <c r="AE95" s="3349" t="s">
        <v>5300</v>
      </c>
      <c r="AF95" s="3350" t="s">
        <v>5066</v>
      </c>
      <c r="AG95" s="3353" t="e">
        <f>IF($AG$7="Quote",IF('Quote template-1'!$L$148&gt;0,100000,""))</f>
        <v>#N/A</v>
      </c>
      <c r="AH95" s="1711">
        <v>89</v>
      </c>
      <c r="AI95" s="1711" t="s">
        <v>4982</v>
      </c>
      <c r="AJ95" s="3346" t="str">
        <f t="shared" si="21"/>
        <v/>
      </c>
      <c r="AL95" s="3474" t="str">
        <f t="shared" si="19"/>
        <v>Work damage to stock</v>
      </c>
    </row>
    <row r="96" spans="1:38" ht="15.75" thickTop="1">
      <c r="A96" s="423" t="s">
        <v>4969</v>
      </c>
      <c r="B96" s="3371" t="s">
        <v>4970</v>
      </c>
      <c r="C96" s="3389"/>
      <c r="E96" s="3453" t="s">
        <v>4557</v>
      </c>
      <c r="F96" s="3347" t="s">
        <v>4558</v>
      </c>
      <c r="G96" s="3348" t="s">
        <v>4559</v>
      </c>
      <c r="O96" s="3390" t="s">
        <v>4959</v>
      </c>
      <c r="Q96" s="3391" t="s">
        <v>4960</v>
      </c>
      <c r="R96" s="3392" t="s">
        <v>5161</v>
      </c>
      <c r="S96" s="1483"/>
      <c r="T96" s="3392" t="s">
        <v>5160</v>
      </c>
      <c r="U96" s="1483" t="s">
        <v>4963</v>
      </c>
      <c r="AE96" s="3349" t="s">
        <v>5300</v>
      </c>
      <c r="AF96" s="3471" t="s">
        <v>5070</v>
      </c>
      <c r="AG96" s="3353" t="e">
        <f>IF($AG$7="Quote",IF('Quote template-1'!$L$148&gt;0,100000,""))</f>
        <v>#N/A</v>
      </c>
      <c r="AH96" s="1711">
        <v>90</v>
      </c>
      <c r="AI96" s="1711" t="s">
        <v>4984</v>
      </c>
      <c r="AJ96" s="3346" t="str">
        <f t="shared" si="21"/>
        <v/>
      </c>
      <c r="AL96" s="3474" t="str">
        <f t="shared" si="19"/>
        <v>Absolute pollution exclusion endorsement</v>
      </c>
    </row>
    <row r="97" spans="1:38">
      <c r="A97" s="423" t="s">
        <v>4971</v>
      </c>
      <c r="B97" s="3371" t="s">
        <v>4972</v>
      </c>
      <c r="C97" s="3389"/>
      <c r="E97" s="3453" t="s">
        <v>5354</v>
      </c>
      <c r="F97" s="3495" t="s">
        <v>5348</v>
      </c>
      <c r="G97" s="3496" t="s">
        <v>244</v>
      </c>
      <c r="O97" s="3332" t="s">
        <v>4965</v>
      </c>
      <c r="Q97" s="3393">
        <f>VALUE(C94)</f>
        <v>0</v>
      </c>
      <c r="R97" s="569">
        <v>0</v>
      </c>
      <c r="T97" s="569">
        <f>'Input '!J57</f>
        <v>125000</v>
      </c>
      <c r="U97" s="3431">
        <f>IF(ISNUMBER(Q97)=FALSE,R97,IF(Q97&lt;R97,R97,IF(Q97&gt;T97,T97,Q97)))</f>
        <v>0</v>
      </c>
      <c r="AE97" s="3349" t="s">
        <v>5301</v>
      </c>
      <c r="AF97" s="3350" t="s">
        <v>5077</v>
      </c>
      <c r="AG97" s="3353" t="e">
        <f>IF($AG$7="Quote",IF('Quote template-1'!$L$148&gt;0,25000,""))</f>
        <v>#N/A</v>
      </c>
      <c r="AH97" s="1711">
        <v>91</v>
      </c>
      <c r="AI97" s="1711" t="s">
        <v>5251</v>
      </c>
      <c r="AJ97" s="3346" t="str">
        <f t="shared" si="21"/>
        <v/>
      </c>
      <c r="AL97" s="3474" t="str">
        <f t="shared" si="19"/>
        <v/>
      </c>
    </row>
    <row r="98" spans="1:38">
      <c r="A98" s="423" t="s">
        <v>4974</v>
      </c>
      <c r="B98" s="3371" t="s">
        <v>4975</v>
      </c>
      <c r="C98" s="3389"/>
      <c r="E98" s="3453" t="s">
        <v>5355</v>
      </c>
      <c r="F98" s="3495" t="s">
        <v>5356</v>
      </c>
      <c r="G98" s="3496"/>
      <c r="R98" s="569"/>
      <c r="T98" s="569"/>
      <c r="AE98" s="3349" t="s">
        <v>5302</v>
      </c>
      <c r="AF98" s="3350" t="s">
        <v>5094</v>
      </c>
      <c r="AG98" s="3353" t="e">
        <f>IF($AG$7="Quote",IF('Quote template-1'!$L$148&gt;0,100000,""))</f>
        <v>#N/A</v>
      </c>
      <c r="AH98" s="1711">
        <v>92</v>
      </c>
      <c r="AI98" s="1711" t="s">
        <v>3422</v>
      </c>
      <c r="AJ98" s="3346" t="str">
        <f t="shared" si="21"/>
        <v/>
      </c>
      <c r="AL98" s="3474" t="str">
        <f t="shared" si="19"/>
        <v/>
      </c>
    </row>
    <row r="99" spans="1:38">
      <c r="A99" s="423" t="s">
        <v>4977</v>
      </c>
      <c r="B99" s="3371" t="s">
        <v>4978</v>
      </c>
      <c r="C99" s="3389"/>
      <c r="E99" s="3453" t="s">
        <v>5357</v>
      </c>
      <c r="F99" s="3495" t="s">
        <v>5358</v>
      </c>
      <c r="G99" s="3496"/>
      <c r="R99" s="569"/>
      <c r="T99" s="569"/>
      <c r="AE99" s="3349" t="s">
        <v>5303</v>
      </c>
      <c r="AF99" s="3350" t="s">
        <v>5095</v>
      </c>
      <c r="AG99" s="3353" t="e">
        <f>IF($AG$7="Quote",IF('Quote template-1'!$L$148&gt;0,100000,""))</f>
        <v>#N/A</v>
      </c>
      <c r="AH99" s="1711">
        <v>93</v>
      </c>
      <c r="AI99" s="1711" t="s">
        <v>5252</v>
      </c>
      <c r="AJ99" s="3346" t="str">
        <f t="shared" si="21"/>
        <v/>
      </c>
      <c r="AL99" s="3474" t="str">
        <f t="shared" si="19"/>
        <v/>
      </c>
    </row>
    <row r="100" spans="1:38">
      <c r="A100" s="3357">
        <v>1000160</v>
      </c>
      <c r="B100" s="3371" t="s">
        <v>4981</v>
      </c>
      <c r="C100" s="3389"/>
      <c r="E100" s="3453" t="s">
        <v>5359</v>
      </c>
      <c r="F100" s="3495" t="s">
        <v>5360</v>
      </c>
      <c r="G100" s="3496"/>
      <c r="O100" s="3385" t="s">
        <v>4991</v>
      </c>
      <c r="R100" s="569"/>
      <c r="T100" s="569"/>
      <c r="AE100" s="3349" t="s">
        <v>5304</v>
      </c>
      <c r="AF100" s="3350" t="s">
        <v>5225</v>
      </c>
      <c r="AG100" s="3353" t="e">
        <f>IF($AG$7="Quote",IF('Quote template-1'!$L$148&gt;0,100000,""))</f>
        <v>#N/A</v>
      </c>
      <c r="AH100" s="1711">
        <v>94</v>
      </c>
      <c r="AI100" s="1711" t="s">
        <v>4993</v>
      </c>
      <c r="AJ100" s="3346" t="str">
        <f t="shared" si="21"/>
        <v/>
      </c>
      <c r="AL100" s="3474" t="str">
        <f t="shared" si="19"/>
        <v>Condominium special assessment</v>
      </c>
    </row>
    <row r="101" spans="1:38">
      <c r="A101" s="3340" t="s">
        <v>5162</v>
      </c>
      <c r="B101" s="3371" t="s">
        <v>5163</v>
      </c>
      <c r="C101" s="3389"/>
      <c r="E101" s="3453">
        <v>650000</v>
      </c>
      <c r="F101" s="3350" t="s">
        <v>4564</v>
      </c>
      <c r="G101" s="3352" t="s">
        <v>3821</v>
      </c>
      <c r="O101" s="3390" t="s">
        <v>4959</v>
      </c>
      <c r="Q101" s="3391" t="s">
        <v>4960</v>
      </c>
      <c r="R101" s="3392" t="s">
        <v>5161</v>
      </c>
      <c r="S101" s="1483"/>
      <c r="T101" s="3392" t="s">
        <v>5160</v>
      </c>
      <c r="U101" s="1483" t="s">
        <v>4963</v>
      </c>
      <c r="AE101" s="3349" t="s">
        <v>5305</v>
      </c>
      <c r="AF101" s="3350" t="s">
        <v>5097</v>
      </c>
      <c r="AG101" s="3353" t="e">
        <f>IF($AG$7="Quote",IF('Quote template-1'!$L$148&gt;0,100000,""))</f>
        <v>#N/A</v>
      </c>
      <c r="AH101" s="1711">
        <v>95</v>
      </c>
      <c r="AI101" s="1711" t="s">
        <v>4997</v>
      </c>
      <c r="AJ101" s="3346" t="str">
        <f t="shared" si="21"/>
        <v/>
      </c>
      <c r="AL101" s="3474" t="str">
        <f t="shared" si="19"/>
        <v>Contingent wrap-up liability including diff in conditions</v>
      </c>
    </row>
    <row r="102" spans="1:38">
      <c r="A102" s="423" t="s">
        <v>4983</v>
      </c>
      <c r="B102" s="3371" t="s">
        <v>5165</v>
      </c>
      <c r="C102" s="3365"/>
      <c r="E102" s="3453">
        <v>650100</v>
      </c>
      <c r="F102" s="3350" t="s">
        <v>4566</v>
      </c>
      <c r="G102" s="3352" t="s">
        <v>3821</v>
      </c>
      <c r="O102" s="3332" t="s">
        <v>4996</v>
      </c>
      <c r="Q102" s="3393">
        <f>C95</f>
        <v>0</v>
      </c>
      <c r="R102" s="569">
        <v>0</v>
      </c>
      <c r="T102" s="569">
        <f>'Input '!J60</f>
        <v>150000</v>
      </c>
      <c r="U102" s="3431">
        <f>IF(ISNUMBER(Q102)=FALSE,R102,IF(Q102&lt;R102,R102,IF(Q102&gt;T102,T102,Q102)))</f>
        <v>0</v>
      </c>
      <c r="AE102" s="3349" t="s">
        <v>5306</v>
      </c>
      <c r="AF102" s="3350" t="s">
        <v>5306</v>
      </c>
      <c r="AG102" s="3353" t="e">
        <f>IF($AG$7="Quote",IF('Quote template-1'!$L$148&gt;0,'Quote template-1'!K148,""))</f>
        <v>#N/A</v>
      </c>
      <c r="AH102" s="1711">
        <v>96</v>
      </c>
      <c r="AI102" s="1711" t="s">
        <v>4999</v>
      </c>
      <c r="AJ102" s="3346" t="str">
        <f t="shared" si="21"/>
        <v/>
      </c>
      <c r="AL102" s="3474" t="str">
        <f t="shared" si="19"/>
        <v>Contingent wrap-up liability including diff in deductibles</v>
      </c>
    </row>
    <row r="103" spans="1:38">
      <c r="A103" s="3340" t="s">
        <v>5166</v>
      </c>
      <c r="B103" s="3371" t="s">
        <v>5167</v>
      </c>
      <c r="C103" s="3438"/>
      <c r="E103" s="3357">
        <v>510</v>
      </c>
      <c r="F103" s="3350" t="s">
        <v>4579</v>
      </c>
      <c r="G103" s="3358">
        <v>20</v>
      </c>
      <c r="R103" s="569"/>
      <c r="T103" s="569"/>
      <c r="AE103" s="3349" t="s">
        <v>5306</v>
      </c>
      <c r="AF103" s="3350" t="s">
        <v>5307</v>
      </c>
      <c r="AG103" s="3353" t="e">
        <f>IF($AG$7="Quote",IF('Quote template-1'!$L$148&gt;0,"24 hours",""))</f>
        <v>#N/A</v>
      </c>
      <c r="AH103" s="1711">
        <v>97</v>
      </c>
      <c r="AI103" s="1711" t="s">
        <v>5253</v>
      </c>
      <c r="AJ103" s="3346" t="str">
        <f t="shared" si="21"/>
        <v/>
      </c>
      <c r="AL103" s="3474" t="str">
        <f t="shared" si="19"/>
        <v/>
      </c>
    </row>
    <row r="104" spans="1:38">
      <c r="A104" s="3340" t="s">
        <v>5168</v>
      </c>
      <c r="B104" s="3371" t="s">
        <v>5169</v>
      </c>
      <c r="C104" s="3438"/>
      <c r="E104" s="3357">
        <v>513</v>
      </c>
      <c r="F104" s="3350" t="s">
        <v>4585</v>
      </c>
      <c r="G104" s="3352"/>
      <c r="O104" s="3385" t="s">
        <v>5018</v>
      </c>
      <c r="R104" s="569"/>
      <c r="T104" s="569"/>
      <c r="AE104" s="3349" t="s">
        <v>5235</v>
      </c>
      <c r="AF104" s="3350" t="s">
        <v>5101</v>
      </c>
      <c r="AG104" s="3353" t="e">
        <f>IF(AG7="Quote",'Quote template-1'!$L$147,"")</f>
        <v>#N/A</v>
      </c>
      <c r="AH104" s="1711">
        <v>98</v>
      </c>
      <c r="AI104" s="1711" t="s">
        <v>5003</v>
      </c>
      <c r="AJ104" s="3346" t="str">
        <f t="shared" si="21"/>
        <v/>
      </c>
      <c r="AL104" s="3474" t="str">
        <f t="shared" si="19"/>
        <v>Excess liability</v>
      </c>
    </row>
    <row r="105" spans="1:38">
      <c r="A105" s="3340" t="s">
        <v>5170</v>
      </c>
      <c r="B105" s="3371" t="s">
        <v>5171</v>
      </c>
      <c r="C105" s="3438"/>
      <c r="E105" s="3357">
        <v>10508</v>
      </c>
      <c r="F105" s="3350" t="s">
        <v>4589</v>
      </c>
      <c r="G105" s="3352">
        <v>1999</v>
      </c>
      <c r="O105" s="3390" t="s">
        <v>4959</v>
      </c>
      <c r="Q105" s="3391" t="s">
        <v>4960</v>
      </c>
      <c r="R105" s="3392" t="s">
        <v>5161</v>
      </c>
      <c r="S105" s="1483"/>
      <c r="T105" s="3392" t="s">
        <v>5160</v>
      </c>
      <c r="U105" s="1483" t="s">
        <v>4963</v>
      </c>
      <c r="AE105" s="3349" t="s">
        <v>5236</v>
      </c>
      <c r="AF105" s="3350" t="s">
        <v>5102</v>
      </c>
      <c r="AG105" s="3353" t="e">
        <f>IF(AG7="Quote",'Quote template-1'!$L$147,"")</f>
        <v>#N/A</v>
      </c>
      <c r="AH105" s="1711">
        <v>99</v>
      </c>
      <c r="AI105" s="1711" t="s">
        <v>5005</v>
      </c>
      <c r="AJ105" s="3346" t="str">
        <f t="shared" si="21"/>
        <v/>
      </c>
      <c r="AL105" s="3474" t="str">
        <f t="shared" si="19"/>
        <v>Damage from Blasting, Pile Driving, Removal or Weakening of Support</v>
      </c>
    </row>
    <row r="106" spans="1:38">
      <c r="A106" s="3340" t="s">
        <v>5172</v>
      </c>
      <c r="B106" s="3371" t="s">
        <v>5173</v>
      </c>
      <c r="C106" s="3438"/>
      <c r="E106" s="3357">
        <v>519</v>
      </c>
      <c r="F106" s="3350" t="s">
        <v>4595</v>
      </c>
      <c r="G106" s="3352">
        <v>5</v>
      </c>
      <c r="O106" s="3332" t="s">
        <v>4626</v>
      </c>
      <c r="Q106" s="3393">
        <v>0</v>
      </c>
      <c r="R106" s="569">
        <v>0</v>
      </c>
      <c r="T106" s="569">
        <f>'Input '!K61</f>
        <v>50000</v>
      </c>
      <c r="U106" s="3431">
        <f>IF(ISNUMBER(Q106)=FALSE,R106,IF(Q106&lt;R106,R106,IF(Q106&gt;T106,T106,Q106)))</f>
        <v>0</v>
      </c>
      <c r="AE106" s="3349" t="s">
        <v>5237</v>
      </c>
      <c r="AF106" s="3350" t="s">
        <v>5103</v>
      </c>
      <c r="AG106" s="3353" t="e">
        <f>IF(AG7="Quote",'Quote template-1'!$L$147,"")</f>
        <v>#N/A</v>
      </c>
      <c r="AH106" s="1711">
        <v>100</v>
      </c>
      <c r="AI106" s="1711" t="s">
        <v>5007</v>
      </c>
      <c r="AJ106" s="3346" t="str">
        <f t="shared" si="21"/>
        <v/>
      </c>
      <c r="AL106" s="3474" t="str">
        <f t="shared" si="19"/>
        <v>Elevator and Hoist collision</v>
      </c>
    </row>
    <row r="107" spans="1:38">
      <c r="A107" s="3340" t="s">
        <v>5174</v>
      </c>
      <c r="B107" s="3371" t="s">
        <v>5175</v>
      </c>
      <c r="C107" s="3438"/>
      <c r="E107" s="3357">
        <v>523</v>
      </c>
      <c r="F107" s="3350" t="s">
        <v>4600</v>
      </c>
      <c r="G107" s="3365" t="s">
        <v>3805</v>
      </c>
      <c r="R107" s="569"/>
      <c r="T107" s="569"/>
      <c r="AE107" s="3349" t="s">
        <v>5238</v>
      </c>
      <c r="AF107" s="3350" t="s">
        <v>5104</v>
      </c>
      <c r="AG107" s="3353" t="e">
        <f>IF(AG7="Quote",'Quote template-1'!$L$147,"")</f>
        <v>#N/A</v>
      </c>
      <c r="AH107" s="1711">
        <v>101</v>
      </c>
      <c r="AI107" s="1711" t="s">
        <v>4894</v>
      </c>
      <c r="AJ107" s="3346" t="str">
        <f t="shared" si="21"/>
        <v/>
      </c>
      <c r="AL107" s="3474" t="str">
        <f t="shared" si="19"/>
        <v/>
      </c>
    </row>
    <row r="108" spans="1:38">
      <c r="A108" s="3357">
        <v>1000100</v>
      </c>
      <c r="B108" s="3371" t="s">
        <v>4985</v>
      </c>
      <c r="C108" s="3396"/>
      <c r="E108" s="3357">
        <v>650500</v>
      </c>
      <c r="F108" s="3350" t="s">
        <v>4607</v>
      </c>
      <c r="G108" s="3352" t="s">
        <v>3821</v>
      </c>
      <c r="O108" s="3385" t="s">
        <v>5031</v>
      </c>
      <c r="R108" s="569"/>
      <c r="T108" s="569"/>
      <c r="AE108" s="3349" t="s">
        <v>5239</v>
      </c>
      <c r="AF108" s="3350" t="s">
        <v>5105</v>
      </c>
      <c r="AG108" s="3353" t="e">
        <f>IF(AG7="Quote",'Quote template-1'!$L$147,"")</f>
        <v>#N/A</v>
      </c>
      <c r="AH108" s="1711">
        <v>102</v>
      </c>
      <c r="AI108" s="1711" t="s">
        <v>4897</v>
      </c>
      <c r="AJ108" s="3346" t="str">
        <f t="shared" si="21"/>
        <v/>
      </c>
      <c r="AL108" s="3474" t="str">
        <f t="shared" si="19"/>
        <v/>
      </c>
    </row>
    <row r="109" spans="1:38">
      <c r="A109" s="3357" t="s">
        <v>4987</v>
      </c>
      <c r="B109" s="3371" t="s">
        <v>4988</v>
      </c>
      <c r="C109" s="3389"/>
      <c r="E109" s="3357">
        <v>527</v>
      </c>
      <c r="F109" s="3350" t="s">
        <v>4614</v>
      </c>
      <c r="G109" s="3352" t="s">
        <v>3821</v>
      </c>
      <c r="O109" s="3390" t="s">
        <v>4959</v>
      </c>
      <c r="Q109" s="3391" t="s">
        <v>4960</v>
      </c>
      <c r="R109" s="3392" t="s">
        <v>5161</v>
      </c>
      <c r="S109" s="1483"/>
      <c r="T109" s="3392" t="s">
        <v>5160</v>
      </c>
      <c r="U109" s="1483" t="s">
        <v>4963</v>
      </c>
      <c r="AE109" s="3349" t="s">
        <v>5240</v>
      </c>
      <c r="AF109" s="3350" t="s">
        <v>5106</v>
      </c>
      <c r="AG109" s="3353" t="e">
        <f>IF(AG7="Quote",'Quote template-1'!$L$147,"")</f>
        <v>#N/A</v>
      </c>
      <c r="AH109" s="1711">
        <v>103</v>
      </c>
      <c r="AI109" s="1711" t="s">
        <v>3423</v>
      </c>
      <c r="AJ109" s="3346" t="str">
        <f t="shared" si="21"/>
        <v/>
      </c>
      <c r="AL109" s="3474" t="str">
        <f t="shared" si="19"/>
        <v/>
      </c>
    </row>
    <row r="110" spans="1:38">
      <c r="A110" s="3357">
        <v>1000360</v>
      </c>
      <c r="B110" s="3371" t="s">
        <v>4990</v>
      </c>
      <c r="C110" s="3372"/>
      <c r="E110" s="3357">
        <v>529</v>
      </c>
      <c r="F110" s="3350" t="s">
        <v>4621</v>
      </c>
      <c r="G110" s="3352">
        <v>0</v>
      </c>
      <c r="O110" s="3332" t="s">
        <v>4633</v>
      </c>
      <c r="Q110" s="3393">
        <f>C96</f>
        <v>0</v>
      </c>
      <c r="R110" s="569">
        <v>0</v>
      </c>
      <c r="T110" s="569">
        <f>'Input '!$S$65</f>
        <v>50000</v>
      </c>
      <c r="U110" s="3431">
        <f>IF(ISNUMBER(Q110)=FALSE,R110,IF($Q$114&gt;$T$114,Q110/$Q$114*$T$114,Q110))</f>
        <v>0</v>
      </c>
      <c r="W110" s="3336"/>
      <c r="AE110" s="3349" t="s">
        <v>5241</v>
      </c>
      <c r="AF110" s="3350" t="s">
        <v>5107</v>
      </c>
      <c r="AG110" s="3353" t="e">
        <f>IF(AG7="Quote",'Quote template-1'!$L$147,"")</f>
        <v>#N/A</v>
      </c>
      <c r="AH110" s="1711">
        <v>104</v>
      </c>
      <c r="AI110" s="1711" t="s">
        <v>3419</v>
      </c>
      <c r="AJ110" s="3346" t="str">
        <f t="shared" si="21"/>
        <v/>
      </c>
      <c r="AL110" s="3474" t="str">
        <f t="shared" si="19"/>
        <v/>
      </c>
    </row>
    <row r="111" spans="1:38">
      <c r="A111" s="3357">
        <v>1000190</v>
      </c>
      <c r="B111" s="3371" t="s">
        <v>4992</v>
      </c>
      <c r="C111" s="3389"/>
      <c r="E111" s="3357">
        <v>538</v>
      </c>
      <c r="F111" s="3350" t="s">
        <v>4627</v>
      </c>
      <c r="G111" s="3352" t="s">
        <v>3821</v>
      </c>
      <c r="O111" s="3332" t="s">
        <v>3504</v>
      </c>
      <c r="Q111" s="3393">
        <f>C97</f>
        <v>0</v>
      </c>
      <c r="R111" s="569">
        <v>0</v>
      </c>
      <c r="T111" s="569">
        <f>'Input '!$S$65</f>
        <v>50000</v>
      </c>
      <c r="U111" s="3431">
        <f>IF(ISNUMBER(Q111)=FALSE,R111,IF($Q$114&gt;$T$114,Q111/$Q$114*$T$114,Q111))</f>
        <v>0</v>
      </c>
      <c r="AE111" s="3349" t="s">
        <v>5242</v>
      </c>
      <c r="AF111" s="3350" t="s">
        <v>5108</v>
      </c>
      <c r="AG111" s="3353" t="e">
        <f>IF(AG7="Quote",IF(OR('Quote template-1'!L146&gt;0,'Quote template-1'!L147&gt;0),"Included",""),"")</f>
        <v>#N/A</v>
      </c>
      <c r="AH111" s="1711">
        <v>105</v>
      </c>
      <c r="AI111" s="1711" t="s">
        <v>5014</v>
      </c>
      <c r="AJ111" s="3346" t="str">
        <f t="shared" si="21"/>
        <v/>
      </c>
      <c r="AL111" s="3474" t="str">
        <f t="shared" si="19"/>
        <v>Forest and Prairie Fire Fighting Expense</v>
      </c>
    </row>
    <row r="112" spans="1:38">
      <c r="A112" s="3357" t="s">
        <v>4994</v>
      </c>
      <c r="B112" s="3371" t="s">
        <v>4995</v>
      </c>
      <c r="C112" s="3389"/>
      <c r="E112" s="3453" t="s">
        <v>4636</v>
      </c>
      <c r="F112" s="3350" t="s">
        <v>4637</v>
      </c>
      <c r="G112" s="3352">
        <v>173101</v>
      </c>
      <c r="O112" s="3332" t="s">
        <v>3489</v>
      </c>
      <c r="Q112" s="3397">
        <f>C98</f>
        <v>0</v>
      </c>
      <c r="R112" s="569">
        <v>0</v>
      </c>
      <c r="T112" s="569">
        <f>'Input '!$S$65</f>
        <v>50000</v>
      </c>
      <c r="U112" s="3431">
        <f>IF(ISNUMBER(Q112)=FALSE,R112,IF($Q$114&gt;$T$114,Q112/$Q$114*$T$114,Q112))</f>
        <v>0</v>
      </c>
      <c r="AE112" s="3349" t="s">
        <v>4806</v>
      </c>
      <c r="AF112" s="3350" t="s">
        <v>4806</v>
      </c>
      <c r="AG112" s="3353" t="e">
        <f>IF(AG7="Quote",'Quote template-1'!L90,"")</f>
        <v>#N/A</v>
      </c>
      <c r="AH112" s="1711">
        <v>106</v>
      </c>
      <c r="AI112" s="1711" t="s">
        <v>3420</v>
      </c>
      <c r="AJ112" s="3346" t="str">
        <f t="shared" si="21"/>
        <v/>
      </c>
      <c r="AL112" s="3474" t="str">
        <f t="shared" si="19"/>
        <v/>
      </c>
    </row>
    <row r="113" spans="1:38">
      <c r="A113" s="3357">
        <v>1000220</v>
      </c>
      <c r="B113" s="3371" t="s">
        <v>4998</v>
      </c>
      <c r="C113" s="3389"/>
      <c r="E113" s="3453" t="s">
        <v>4644</v>
      </c>
      <c r="F113" s="3371" t="s">
        <v>4645</v>
      </c>
      <c r="G113" s="3372">
        <v>90000</v>
      </c>
      <c r="O113" s="3332" t="s">
        <v>5036</v>
      </c>
      <c r="Q113" s="3397">
        <f>C99</f>
        <v>0</v>
      </c>
      <c r="R113" s="569">
        <v>0</v>
      </c>
      <c r="T113" s="569">
        <f>'Input '!$S$65</f>
        <v>50000</v>
      </c>
      <c r="U113" s="3431">
        <f>IF(ISNUMBER(Q113)=FALSE,R113,IF($Q$114&gt;$T$114,Q113/$Q$114*$T$114,Q113))</f>
        <v>0</v>
      </c>
      <c r="AE113" s="3349" t="s">
        <v>5282</v>
      </c>
      <c r="AF113" s="3350" t="s">
        <v>5279</v>
      </c>
      <c r="AG113" s="3353" t="e">
        <f>IF(AG7="Quote",IF(AG17&gt;2500,"Included",""),"")</f>
        <v>#N/A</v>
      </c>
      <c r="AH113" s="1711">
        <v>107</v>
      </c>
      <c r="AI113" s="1711" t="s">
        <v>4909</v>
      </c>
      <c r="AJ113" s="3346" t="str">
        <f t="shared" si="21"/>
        <v/>
      </c>
      <c r="AL113" s="3474" t="str">
        <f t="shared" si="19"/>
        <v/>
      </c>
    </row>
    <row r="114" spans="1:38">
      <c r="A114" s="3357">
        <v>1000210</v>
      </c>
      <c r="B114" s="3371" t="s">
        <v>5000</v>
      </c>
      <c r="C114" s="3389"/>
      <c r="E114" s="3453" t="s">
        <v>4653</v>
      </c>
      <c r="F114" s="3371" t="s">
        <v>4654</v>
      </c>
      <c r="G114" s="3373">
        <v>100</v>
      </c>
      <c r="O114" s="3332" t="s">
        <v>4950</v>
      </c>
      <c r="P114" s="255"/>
      <c r="Q114" s="3432">
        <f>SUM(Q110:Q113)</f>
        <v>0</v>
      </c>
      <c r="R114" s="905"/>
      <c r="S114" s="255"/>
      <c r="T114" s="905">
        <f>'Input '!$S$65</f>
        <v>50000</v>
      </c>
      <c r="U114" s="255"/>
      <c r="V114" s="255"/>
      <c r="AE114" s="3349" t="s">
        <v>4283</v>
      </c>
      <c r="AF114" s="3350" t="s">
        <v>5329</v>
      </c>
      <c r="AG114" s="3353" t="e">
        <f>IF($AG$7="Quote",IF(ISERROR(VLOOKUP(AE114,'Quote template-1'!$F$180:$F$219,1,FALSE)),"","Included"),"")</f>
        <v>#N/A</v>
      </c>
      <c r="AH114" s="1711">
        <v>108</v>
      </c>
      <c r="AI114" s="1711" t="s">
        <v>5254</v>
      </c>
      <c r="AJ114" s="3346" t="str">
        <f t="shared" si="21"/>
        <v/>
      </c>
      <c r="AL114" s="3474" t="str">
        <f t="shared" si="19"/>
        <v>Umbrella liability</v>
      </c>
    </row>
    <row r="115" spans="1:38">
      <c r="A115" s="3357" t="s">
        <v>5001</v>
      </c>
      <c r="B115" s="3371" t="s">
        <v>5002</v>
      </c>
      <c r="C115" s="3389"/>
      <c r="E115" s="3453" t="s">
        <v>4660</v>
      </c>
      <c r="F115" s="3371" t="s">
        <v>4661</v>
      </c>
      <c r="G115" s="3373">
        <v>0</v>
      </c>
      <c r="P115" s="255"/>
      <c r="Q115" s="3433"/>
      <c r="R115" s="905"/>
      <c r="S115" s="255"/>
      <c r="T115" s="905"/>
      <c r="U115" s="255"/>
      <c r="V115" s="255"/>
      <c r="AE115" s="3349" t="s">
        <v>4512</v>
      </c>
      <c r="AF115" s="3350" t="s">
        <v>4989</v>
      </c>
      <c r="AG115" s="3353" t="e">
        <f>IF($AG$7="Quote",IF(ISERROR(VLOOKUP(AE115,'Quote template-1'!$F$180:$F$219,1,FALSE)),"","Included"),"")</f>
        <v>#N/A</v>
      </c>
      <c r="AH115" s="1711">
        <v>109</v>
      </c>
      <c r="AI115" s="1711" t="s">
        <v>5020</v>
      </c>
      <c r="AJ115" s="3346" t="str">
        <f t="shared" si="21"/>
        <v/>
      </c>
      <c r="AL115" s="3474" t="str">
        <f t="shared" si="19"/>
        <v>Wrap-up liability</v>
      </c>
    </row>
    <row r="116" spans="1:38">
      <c r="A116" s="3357">
        <v>1000380</v>
      </c>
      <c r="B116" s="3371" t="s">
        <v>5004</v>
      </c>
      <c r="C116" s="3372"/>
      <c r="E116" s="3453" t="s">
        <v>4664</v>
      </c>
      <c r="F116" s="3371" t="s">
        <v>4665</v>
      </c>
      <c r="G116" s="3373"/>
      <c r="O116" s="3385" t="s">
        <v>5042</v>
      </c>
      <c r="R116" s="569"/>
      <c r="T116" s="569"/>
      <c r="AE116" s="3349" t="s">
        <v>3684</v>
      </c>
      <c r="AF116" s="3350" t="s">
        <v>5330</v>
      </c>
      <c r="AG116" s="3353" t="e">
        <f>IF($AG$7="Quote",IF(ISERROR(VLOOKUP(AE116,'Quote template-1'!$F$180:$F$219,1,FALSE)),"","Included"),"")</f>
        <v>#N/A</v>
      </c>
      <c r="AH116" s="1711">
        <v>110</v>
      </c>
      <c r="AI116" s="1711" t="s">
        <v>5022</v>
      </c>
      <c r="AJ116" s="3346" t="str">
        <f t="shared" si="21"/>
        <v/>
      </c>
      <c r="AL116" s="3474" t="str">
        <f t="shared" si="19"/>
        <v>Limitation of coverages to designated premises</v>
      </c>
    </row>
    <row r="117" spans="1:38">
      <c r="A117" s="3357">
        <v>1000370</v>
      </c>
      <c r="B117" s="3371" t="s">
        <v>5199</v>
      </c>
      <c r="C117" s="3372"/>
      <c r="E117" s="3453" t="s">
        <v>4669</v>
      </c>
      <c r="F117" s="3371" t="s">
        <v>4670</v>
      </c>
      <c r="G117" s="3373"/>
      <c r="O117" s="3390" t="s">
        <v>4959</v>
      </c>
      <c r="Q117" s="3391" t="s">
        <v>4960</v>
      </c>
      <c r="R117" s="3392" t="s">
        <v>5161</v>
      </c>
      <c r="S117" s="1483"/>
      <c r="T117" s="3392" t="s">
        <v>5160</v>
      </c>
      <c r="U117" s="1483" t="s">
        <v>4963</v>
      </c>
      <c r="AE117" s="3349" t="s">
        <v>4022</v>
      </c>
      <c r="AF117" s="3350" t="s">
        <v>5331</v>
      </c>
      <c r="AG117" s="3353" t="e">
        <f>IF($AG$7="Quote",IF(ISERROR(VLOOKUP(AE117,'Quote template-1'!$F$180:$F$219,1,FALSE)),"","Included"),"")</f>
        <v>#N/A</v>
      </c>
      <c r="AH117" s="1711">
        <v>111</v>
      </c>
      <c r="AI117" s="1711" t="s">
        <v>4688</v>
      </c>
      <c r="AJ117" s="3346" t="str">
        <f t="shared" si="21"/>
        <v/>
      </c>
      <c r="AL117" s="3474" t="str">
        <f t="shared" si="19"/>
        <v/>
      </c>
    </row>
    <row r="118" spans="1:38">
      <c r="A118" s="3357">
        <v>1000180</v>
      </c>
      <c r="B118" s="3371" t="s">
        <v>5006</v>
      </c>
      <c r="C118" s="3389"/>
      <c r="E118" s="3453" t="s">
        <v>4675</v>
      </c>
      <c r="F118" s="3371" t="s">
        <v>4676</v>
      </c>
      <c r="G118" s="3352" t="s">
        <v>3805</v>
      </c>
      <c r="O118" s="3332" t="s">
        <v>4642</v>
      </c>
      <c r="Q118" s="3397">
        <f>C100</f>
        <v>0</v>
      </c>
      <c r="R118" s="569">
        <v>0</v>
      </c>
      <c r="T118" s="569">
        <f>'Input '!K58</f>
        <v>0</v>
      </c>
      <c r="U118" s="3431">
        <f>IF(ISNUMBER(Q118)=FALSE,R118,IF(Q118&lt;R118,R118,IF(Q118&gt;T118,T118,Q118)))</f>
        <v>0</v>
      </c>
      <c r="AE118" s="3349" t="s">
        <v>4153</v>
      </c>
      <c r="AF118" s="3350" t="s">
        <v>5285</v>
      </c>
      <c r="AG118" s="3353" t="e">
        <f>IF($AG$7="Quote",IF(ISERROR(VLOOKUP(AE118,'Quote template-1'!$F$180:$F$219,1,FALSE)),"","Included"),"")</f>
        <v>#N/A</v>
      </c>
      <c r="AH118" s="1711">
        <v>112</v>
      </c>
      <c r="AI118" s="1711" t="s">
        <v>4914</v>
      </c>
      <c r="AJ118" s="3346" t="str">
        <f t="shared" si="21"/>
        <v/>
      </c>
      <c r="AL118" s="3474" t="str">
        <f t="shared" si="19"/>
        <v/>
      </c>
    </row>
    <row r="119" spans="1:38">
      <c r="A119" s="3357" t="s">
        <v>5008</v>
      </c>
      <c r="B119" s="3371" t="s">
        <v>5009</v>
      </c>
      <c r="C119" s="3389"/>
      <c r="E119" s="3453" t="s">
        <v>4681</v>
      </c>
      <c r="F119" s="3350" t="s">
        <v>4682</v>
      </c>
      <c r="G119" s="3352">
        <v>73600</v>
      </c>
      <c r="R119" s="1736"/>
      <c r="T119" s="1736"/>
      <c r="AE119" s="3349" t="s">
        <v>4247</v>
      </c>
      <c r="AF119" s="3350" t="s">
        <v>5283</v>
      </c>
      <c r="AG119" s="3353" t="e">
        <f>IF($AG$7="Quote",IF(ISERROR(VLOOKUP(AE119,'Quote template-1'!$F$180:$F$219,1,FALSE)),"","Included"),"")</f>
        <v>#N/A</v>
      </c>
      <c r="AH119" s="1711">
        <v>113</v>
      </c>
      <c r="AI119" s="1711" t="s">
        <v>5255</v>
      </c>
      <c r="AJ119" s="3346" t="str">
        <f t="shared" si="21"/>
        <v/>
      </c>
      <c r="AL119" s="3474" t="str">
        <f t="shared" si="19"/>
        <v/>
      </c>
    </row>
    <row r="120" spans="1:38">
      <c r="A120" s="3357">
        <v>1000310</v>
      </c>
      <c r="B120" s="3371" t="s">
        <v>5010</v>
      </c>
      <c r="C120" s="3389"/>
      <c r="E120" s="3453" t="s">
        <v>4689</v>
      </c>
      <c r="F120" s="3371" t="s">
        <v>4690</v>
      </c>
      <c r="G120" s="3372">
        <v>100000</v>
      </c>
      <c r="O120" s="3385" t="s">
        <v>5164</v>
      </c>
      <c r="R120" s="569"/>
      <c r="T120" s="569"/>
      <c r="AE120" s="3349" t="s">
        <v>4303</v>
      </c>
      <c r="AF120" s="3350" t="s">
        <v>4989</v>
      </c>
      <c r="AG120" s="3353" t="e">
        <f>IF($AG$7="Quote",IF(ISERROR(VLOOKUP(AE120,'Quote template-1'!$F$180:$F$219,1,FALSE)),"","Included"),"")</f>
        <v>#N/A</v>
      </c>
      <c r="AH120" s="1711">
        <v>114</v>
      </c>
      <c r="AI120" s="1711" t="s">
        <v>5256</v>
      </c>
      <c r="AJ120" s="3346" t="str">
        <f t="shared" si="21"/>
        <v/>
      </c>
      <c r="AL120" s="3474" t="str">
        <f t="shared" si="19"/>
        <v/>
      </c>
    </row>
    <row r="121" spans="1:38">
      <c r="A121" s="3357" t="s">
        <v>5011</v>
      </c>
      <c r="B121" s="3371" t="s">
        <v>5012</v>
      </c>
      <c r="C121" s="3389"/>
      <c r="E121" s="3453" t="s">
        <v>4695</v>
      </c>
      <c r="F121" s="3371" t="s">
        <v>4696</v>
      </c>
      <c r="G121" s="3373">
        <v>100</v>
      </c>
      <c r="O121" s="3390" t="s">
        <v>4959</v>
      </c>
      <c r="Q121" s="3391" t="s">
        <v>4960</v>
      </c>
      <c r="R121" s="3392" t="s">
        <v>5161</v>
      </c>
      <c r="S121" s="1483"/>
      <c r="T121" s="3392" t="s">
        <v>5160</v>
      </c>
      <c r="U121" s="1483" t="s">
        <v>4963</v>
      </c>
      <c r="AE121" s="3349" t="s">
        <v>4309</v>
      </c>
      <c r="AF121" s="3350" t="s">
        <v>4989</v>
      </c>
      <c r="AG121" s="3353" t="e">
        <f>IF($AG$7="Quote",IF(ISERROR(VLOOKUP(AE121,'Quote template-1'!$F$180:$F$219,1,FALSE)),"","Included"),"")</f>
        <v>#N/A</v>
      </c>
      <c r="AH121" s="1711">
        <v>115</v>
      </c>
      <c r="AI121" s="1711" t="s">
        <v>4925</v>
      </c>
      <c r="AJ121" s="3346" t="str">
        <f t="shared" si="21"/>
        <v/>
      </c>
      <c r="AL121" s="3474" t="str">
        <f t="shared" si="19"/>
        <v/>
      </c>
    </row>
    <row r="122" spans="1:38">
      <c r="A122" s="3357">
        <v>1000300</v>
      </c>
      <c r="B122" s="3371" t="s">
        <v>5205</v>
      </c>
      <c r="C122" s="3372"/>
      <c r="E122" s="3453" t="s">
        <v>4703</v>
      </c>
      <c r="F122" s="3371" t="s">
        <v>4704</v>
      </c>
      <c r="G122" s="3373"/>
      <c r="O122" s="3332" t="s">
        <v>5291</v>
      </c>
      <c r="Q122" s="3397">
        <f>$C$101</f>
        <v>0</v>
      </c>
      <c r="R122" s="569"/>
      <c r="T122" s="569"/>
      <c r="U122" s="3431" t="b">
        <f>IF(Q122="Include",TRUE,FALSE)</f>
        <v>0</v>
      </c>
      <c r="AE122" s="3349" t="s">
        <v>4284</v>
      </c>
      <c r="AF122" s="3350" t="s">
        <v>5332</v>
      </c>
      <c r="AG122" s="3353" t="e">
        <f>IF($AG$7="Quote",IF(ISERROR(VLOOKUP(AE122,'Quote template-1'!$F$180:$F$219,1,FALSE)),"","Included"),"")</f>
        <v>#N/A</v>
      </c>
      <c r="AH122" s="1711">
        <v>116</v>
      </c>
      <c r="AI122" s="1711" t="s">
        <v>4929</v>
      </c>
      <c r="AJ122" s="3346" t="str">
        <f t="shared" si="21"/>
        <v/>
      </c>
      <c r="AL122" s="3474" t="str">
        <f t="shared" si="19"/>
        <v/>
      </c>
    </row>
    <row r="123" spans="1:38">
      <c r="A123" s="3357" t="s">
        <v>5206</v>
      </c>
      <c r="B123" s="3371" t="s">
        <v>5207</v>
      </c>
      <c r="C123" s="3372"/>
      <c r="E123" s="3453" t="s">
        <v>4707</v>
      </c>
      <c r="F123" s="3371" t="s">
        <v>4708</v>
      </c>
      <c r="G123" s="3373"/>
      <c r="R123" s="569"/>
      <c r="T123" s="569"/>
      <c r="AE123" s="3349" t="s">
        <v>3598</v>
      </c>
      <c r="AF123" s="3350" t="s">
        <v>5284</v>
      </c>
      <c r="AG123" s="3353" t="e">
        <f>IF($AG$7="Quote",IF(ISERROR(VLOOKUP(AE123,'Quote template-1'!$F$180:$F$219,1,FALSE)),"","Included"),"")</f>
        <v>#N/A</v>
      </c>
      <c r="AH123" s="1711">
        <v>117</v>
      </c>
      <c r="AI123" s="1711" t="s">
        <v>4934</v>
      </c>
      <c r="AJ123" s="3346" t="str">
        <f t="shared" si="21"/>
        <v/>
      </c>
      <c r="AL123" s="3474" t="str">
        <f t="shared" si="19"/>
        <v/>
      </c>
    </row>
    <row r="124" spans="1:38">
      <c r="A124" s="3357">
        <v>1000230</v>
      </c>
      <c r="B124" s="3371" t="s">
        <v>5218</v>
      </c>
      <c r="C124" s="3372"/>
      <c r="E124" s="3453" t="s">
        <v>4713</v>
      </c>
      <c r="F124" s="3371" t="s">
        <v>4714</v>
      </c>
      <c r="G124" s="3373"/>
      <c r="O124" s="3385" t="s">
        <v>5052</v>
      </c>
      <c r="R124" s="569"/>
      <c r="T124" s="569"/>
      <c r="AE124" s="3349" t="s">
        <v>3672</v>
      </c>
      <c r="AF124" s="3350" t="s">
        <v>5333</v>
      </c>
      <c r="AG124" s="3353" t="e">
        <f>IF($AG$7="Quote",IF(ISERROR(VLOOKUP(AE124,'Quote template-1'!$F$180:$F$219,1,FALSE)),"","Included"),"")</f>
        <v>#N/A</v>
      </c>
      <c r="AH124" s="1711">
        <v>118</v>
      </c>
      <c r="AI124" s="1711" t="s">
        <v>4989</v>
      </c>
      <c r="AJ124" s="3346" t="str">
        <f t="shared" si="21"/>
        <v/>
      </c>
      <c r="AL124" s="3474" t="str">
        <f t="shared" si="19"/>
        <v/>
      </c>
    </row>
    <row r="125" spans="1:38">
      <c r="A125" s="3357">
        <v>1000240</v>
      </c>
      <c r="B125" s="3371" t="s">
        <v>5213</v>
      </c>
      <c r="C125" s="3372"/>
      <c r="E125" s="3453" t="s">
        <v>4719</v>
      </c>
      <c r="F125" s="3371" t="s">
        <v>4720</v>
      </c>
      <c r="G125" s="3352" t="s">
        <v>3805</v>
      </c>
      <c r="O125" s="3390" t="s">
        <v>4959</v>
      </c>
      <c r="Q125" s="3391" t="s">
        <v>4960</v>
      </c>
      <c r="R125" s="3392" t="s">
        <v>4961</v>
      </c>
      <c r="S125" s="1483" t="s">
        <v>4962</v>
      </c>
      <c r="T125" s="3392" t="s">
        <v>4962</v>
      </c>
      <c r="U125" s="1483" t="s">
        <v>4963</v>
      </c>
      <c r="AE125" s="3349" t="s">
        <v>4235</v>
      </c>
      <c r="AF125" s="3350" t="s">
        <v>5334</v>
      </c>
      <c r="AG125" s="3353" t="e">
        <f>IF($AG$7="Quote",IF(ISERROR(VLOOKUP(AE125,'Quote template-1'!$F$180:$F$219,1,FALSE)),"","Included"),"")</f>
        <v>#N/A</v>
      </c>
      <c r="AH125" s="1711">
        <v>119</v>
      </c>
      <c r="AI125" s="1711" t="s">
        <v>4939</v>
      </c>
      <c r="AJ125" s="3346" t="str">
        <f t="shared" si="21"/>
        <v/>
      </c>
      <c r="AL125" s="3474" t="str">
        <f t="shared" si="19"/>
        <v/>
      </c>
    </row>
    <row r="126" spans="1:38">
      <c r="A126" s="3357">
        <v>1000250</v>
      </c>
      <c r="B126" s="3371" t="s">
        <v>5214</v>
      </c>
      <c r="C126" s="3372"/>
      <c r="E126" s="3453" t="s">
        <v>4724</v>
      </c>
      <c r="F126" s="3350" t="s">
        <v>4725</v>
      </c>
      <c r="G126" s="3352">
        <v>173102</v>
      </c>
      <c r="O126" s="3332" t="s">
        <v>5055</v>
      </c>
      <c r="Q126" s="3398">
        <f>C102</f>
        <v>0</v>
      </c>
      <c r="R126" s="569" t="s">
        <v>4966</v>
      </c>
      <c r="S126" s="1711" t="b">
        <v>0</v>
      </c>
      <c r="T126" s="569">
        <v>0</v>
      </c>
      <c r="U126" s="576" t="b">
        <f>IFERROR(VLOOKUP($Q$126,$R$126:$T$129,2,FALSE),FALSE)</f>
        <v>0</v>
      </c>
      <c r="AE126" s="3349" t="s">
        <v>4042</v>
      </c>
      <c r="AF126" s="3350" t="s">
        <v>5335</v>
      </c>
      <c r="AG126" s="3353" t="e">
        <f>IF($AG$7="Quote",IF(ISERROR(VLOOKUP(AE126,'Quote template-1'!$F$180:$F$219,1,FALSE)),"","Included"),"")</f>
        <v>#N/A</v>
      </c>
      <c r="AH126" s="1711">
        <v>120</v>
      </c>
      <c r="AI126" s="1711" t="s">
        <v>5257</v>
      </c>
      <c r="AJ126" s="3346" t="str">
        <f t="shared" si="21"/>
        <v/>
      </c>
      <c r="AL126" s="3474" t="str">
        <f t="shared" si="19"/>
        <v/>
      </c>
    </row>
    <row r="127" spans="1:38">
      <c r="A127" s="3357">
        <v>1000260</v>
      </c>
      <c r="B127" s="3371" t="s">
        <v>5215</v>
      </c>
      <c r="C127" s="3372"/>
      <c r="E127" s="3453" t="s">
        <v>4732</v>
      </c>
      <c r="F127" s="3371" t="s">
        <v>4733</v>
      </c>
      <c r="G127" s="3372">
        <v>50000</v>
      </c>
      <c r="Q127" s="1807"/>
      <c r="R127" s="569" t="s">
        <v>5057</v>
      </c>
      <c r="S127" s="1711" t="b">
        <v>0</v>
      </c>
      <c r="T127" s="569">
        <v>100000</v>
      </c>
      <c r="U127" s="576">
        <f>IFERROR(VLOOKUP($Q$126,$R$126:$T$148,3,FALSE),0)</f>
        <v>0</v>
      </c>
      <c r="AE127" s="3349" t="s">
        <v>4188</v>
      </c>
      <c r="AF127" s="3350" t="s">
        <v>5336</v>
      </c>
      <c r="AG127" s="3353" t="e">
        <f>IF($AG$7="Quote",IF(ISERROR(VLOOKUP(AE127,'Quote template-1'!$F$180:$F$219,1,FALSE)),"","Included"),"")</f>
        <v>#N/A</v>
      </c>
      <c r="AH127" s="1711">
        <v>121</v>
      </c>
      <c r="AI127" s="1711" t="s">
        <v>5258</v>
      </c>
      <c r="AJ127" s="3346" t="str">
        <f t="shared" si="21"/>
        <v/>
      </c>
      <c r="AL127" s="3474" t="str">
        <f t="shared" si="19"/>
        <v>Riggers Liability / Hook Coverage</v>
      </c>
    </row>
    <row r="128" spans="1:38">
      <c r="A128" s="3357">
        <v>1000270</v>
      </c>
      <c r="B128" s="3371" t="s">
        <v>5216</v>
      </c>
      <c r="C128" s="3372"/>
      <c r="E128" s="3453" t="s">
        <v>4739</v>
      </c>
      <c r="F128" s="3371" t="s">
        <v>4740</v>
      </c>
      <c r="G128" s="3373">
        <v>100</v>
      </c>
      <c r="R128" s="569" t="s">
        <v>5059</v>
      </c>
      <c r="S128" s="1711" t="b">
        <v>1</v>
      </c>
      <c r="T128" s="569">
        <v>100000</v>
      </c>
      <c r="AE128" s="3349" t="s">
        <v>4207</v>
      </c>
      <c r="AF128" s="3350" t="s">
        <v>5337</v>
      </c>
      <c r="AG128" s="3353" t="e">
        <f>IF($AG$7="Quote",IF(ISERROR(VLOOKUP(AE128,'Quote template-1'!$F$180:$F$219,1,FALSE)),"","Included"),"")</f>
        <v>#N/A</v>
      </c>
      <c r="AH128" s="1711">
        <v>122</v>
      </c>
      <c r="AI128" s="1711" t="s">
        <v>5035</v>
      </c>
      <c r="AJ128" s="3346" t="str">
        <f t="shared" si="21"/>
        <v/>
      </c>
      <c r="AL128" s="3474" t="str">
        <f t="shared" si="19"/>
        <v>Rip and Tear</v>
      </c>
    </row>
    <row r="129" spans="1:38">
      <c r="A129" s="3357">
        <v>10001</v>
      </c>
      <c r="B129" s="3371" t="s">
        <v>5013</v>
      </c>
      <c r="C129" s="3372"/>
      <c r="E129" s="3453" t="s">
        <v>4741</v>
      </c>
      <c r="F129" s="3371" t="s">
        <v>4742</v>
      </c>
      <c r="G129" s="3373"/>
      <c r="R129" s="569" t="s">
        <v>5061</v>
      </c>
      <c r="S129" s="1711" t="b">
        <v>1</v>
      </c>
      <c r="T129" s="569">
        <v>100000</v>
      </c>
      <c r="AE129" s="3349" t="s">
        <v>4500</v>
      </c>
      <c r="AF129" s="3350" t="s">
        <v>308</v>
      </c>
      <c r="AG129" s="3353" t="e">
        <f>IF($AG$7="Quote",IF(ISERROR(VLOOKUP(AE129,'Quote template-1'!$F$180:$F$219,1,FALSE)),"","Included"),"")</f>
        <v>#N/A</v>
      </c>
      <c r="AH129" s="1711">
        <v>123</v>
      </c>
      <c r="AI129" s="1711" t="s">
        <v>4701</v>
      </c>
      <c r="AJ129" s="3346" t="str">
        <f t="shared" si="21"/>
        <v/>
      </c>
      <c r="AL129" s="3474" t="str">
        <f t="shared" si="19"/>
        <v/>
      </c>
    </row>
    <row r="130" spans="1:38">
      <c r="A130" s="3357">
        <v>11001</v>
      </c>
      <c r="B130" s="3350" t="s">
        <v>5015</v>
      </c>
      <c r="C130" s="3372"/>
      <c r="E130" s="3453" t="s">
        <v>4745</v>
      </c>
      <c r="F130" s="3371" t="s">
        <v>4746</v>
      </c>
      <c r="G130" s="3373"/>
      <c r="R130" s="569"/>
      <c r="T130" s="569"/>
      <c r="AE130" s="3349" t="s">
        <v>3674</v>
      </c>
      <c r="AF130" s="3350" t="s">
        <v>5280</v>
      </c>
      <c r="AG130" s="3353" t="e">
        <f>IF($AG$7="Quote",IF(ISERROR(VLOOKUP(AE130,'Quote template-1'!$F$180:$F$219,1,FALSE)),"","Included"),"")</f>
        <v>#N/A</v>
      </c>
      <c r="AH130" s="1711">
        <v>124</v>
      </c>
      <c r="AI130" s="1711" t="s">
        <v>5037</v>
      </c>
      <c r="AJ130" s="3346" t="str">
        <f t="shared" si="21"/>
        <v/>
      </c>
      <c r="AL130" s="3474" t="str">
        <f t="shared" si="19"/>
        <v>Voluntary property damage</v>
      </c>
    </row>
    <row r="131" spans="1:38">
      <c r="A131" s="3357">
        <v>11045</v>
      </c>
      <c r="B131" s="3350" t="s">
        <v>5016</v>
      </c>
      <c r="C131" s="3372"/>
      <c r="E131" s="3453" t="s">
        <v>4750</v>
      </c>
      <c r="F131" s="3371" t="s">
        <v>4751</v>
      </c>
      <c r="G131" s="3373"/>
      <c r="O131" s="3385" t="s">
        <v>5177</v>
      </c>
      <c r="R131" s="569"/>
      <c r="T131" s="569"/>
      <c r="AE131" s="3349" t="s">
        <v>3675</v>
      </c>
      <c r="AF131" s="1711" t="s">
        <v>4769</v>
      </c>
      <c r="AG131" s="3353" t="e">
        <f>IF($AG$7="Quote",IF(ISERROR(VLOOKUP(AE131,'Quote template-1'!$F$180:$F$219,1,FALSE)),"","Included"),"")</f>
        <v>#N/A</v>
      </c>
      <c r="AH131" s="1711">
        <v>125</v>
      </c>
      <c r="AI131" s="1711" t="s">
        <v>5038</v>
      </c>
      <c r="AJ131" s="3346" t="str">
        <f t="shared" si="21"/>
        <v/>
      </c>
      <c r="AL131" s="3474" t="str">
        <f t="shared" si="19"/>
        <v>Additional property damage exclusion</v>
      </c>
    </row>
    <row r="132" spans="1:38">
      <c r="A132" s="3357">
        <v>14500</v>
      </c>
      <c r="B132" s="3350" t="s">
        <v>5017</v>
      </c>
      <c r="C132" s="3372"/>
      <c r="E132" s="3453" t="s">
        <v>4757</v>
      </c>
      <c r="F132" s="3371" t="s">
        <v>4758</v>
      </c>
      <c r="G132" s="3352" t="s">
        <v>3805</v>
      </c>
      <c r="O132" s="3390" t="s">
        <v>4959</v>
      </c>
      <c r="Q132" s="3391" t="s">
        <v>4960</v>
      </c>
      <c r="R132" s="3392" t="s">
        <v>4961</v>
      </c>
      <c r="S132" s="1483" t="s">
        <v>4962</v>
      </c>
      <c r="T132" s="3392"/>
      <c r="U132" s="1483" t="s">
        <v>4963</v>
      </c>
      <c r="AE132" s="3349" t="s">
        <v>5339</v>
      </c>
      <c r="AF132" s="3350" t="s">
        <v>5338</v>
      </c>
      <c r="AG132" s="3353" t="e">
        <f>IF(AG7="Quote","Included","")</f>
        <v>#N/A</v>
      </c>
      <c r="AH132" s="1711">
        <v>126</v>
      </c>
      <c r="AI132" s="1711" t="s">
        <v>4943</v>
      </c>
      <c r="AJ132" s="3346" t="str">
        <f t="shared" si="21"/>
        <v/>
      </c>
      <c r="AL132" s="3474" t="str">
        <f t="shared" si="19"/>
        <v/>
      </c>
    </row>
    <row r="133" spans="1:38">
      <c r="A133" s="3357">
        <v>13720</v>
      </c>
      <c r="B133" s="3350" t="s">
        <v>5019</v>
      </c>
      <c r="C133" s="3372"/>
      <c r="E133" s="3453" t="s">
        <v>4762</v>
      </c>
      <c r="F133" s="3350" t="s">
        <v>4763</v>
      </c>
      <c r="G133" s="3352"/>
      <c r="O133" s="3332" t="s">
        <v>5055</v>
      </c>
      <c r="Q133" s="3398">
        <f>C107</f>
        <v>0</v>
      </c>
      <c r="R133" s="569" t="s">
        <v>5176</v>
      </c>
      <c r="S133" s="1711" t="s">
        <v>1155</v>
      </c>
      <c r="T133" s="569"/>
      <c r="U133" s="3439" t="str">
        <f>IFERROR(VLOOKUP($Q$133,$R$133:$S$139,2,FALSE),"Frame")</f>
        <v>Frame</v>
      </c>
      <c r="AE133" s="3349" t="s">
        <v>5340</v>
      </c>
      <c r="AF133" s="3350" t="s">
        <v>5341</v>
      </c>
      <c r="AG133" s="3353" t="e">
        <f>IF(AG7="Quote",'Quote template-1'!K111,"")</f>
        <v>#N/A</v>
      </c>
      <c r="AH133" s="1711">
        <v>127</v>
      </c>
      <c r="AI133" s="1711" t="s">
        <v>5039</v>
      </c>
      <c r="AJ133" s="3346" t="str">
        <f t="shared" si="21"/>
        <v/>
      </c>
      <c r="AL133" s="3474" t="str">
        <f t="shared" si="19"/>
        <v>Contingent loss of income</v>
      </c>
    </row>
    <row r="134" spans="1:38">
      <c r="A134" s="3357">
        <v>12720</v>
      </c>
      <c r="B134" s="3350" t="s">
        <v>5021</v>
      </c>
      <c r="C134" s="3372"/>
      <c r="E134" s="3453" t="s">
        <v>4766</v>
      </c>
      <c r="F134" s="3371" t="s">
        <v>4767</v>
      </c>
      <c r="G134" s="3372"/>
      <c r="Q134" s="1807"/>
      <c r="R134" s="569" t="s">
        <v>5178</v>
      </c>
      <c r="S134" s="1711" t="s">
        <v>1155</v>
      </c>
      <c r="T134" s="569"/>
      <c r="U134" s="905"/>
      <c r="AE134" s="3349"/>
      <c r="AF134" s="3350"/>
      <c r="AG134" s="3353"/>
      <c r="AH134" s="1711">
        <v>128</v>
      </c>
      <c r="AI134" s="1711" t="s">
        <v>5040</v>
      </c>
      <c r="AJ134" s="3346" t="str">
        <f t="shared" si="21"/>
        <v/>
      </c>
      <c r="AL134" s="3474" t="str">
        <f t="shared" si="19"/>
        <v>Basic Rental income</v>
      </c>
    </row>
    <row r="135" spans="1:38">
      <c r="A135" s="3357">
        <v>11920</v>
      </c>
      <c r="B135" s="3350" t="s">
        <v>5023</v>
      </c>
      <c r="C135" s="3372"/>
      <c r="E135" s="3453" t="s">
        <v>4770</v>
      </c>
      <c r="F135" s="3371" t="s">
        <v>4771</v>
      </c>
      <c r="G135" s="3373"/>
      <c r="R135" s="569" t="s">
        <v>5179</v>
      </c>
      <c r="S135" s="1711" t="s">
        <v>1194</v>
      </c>
      <c r="T135" s="569"/>
      <c r="AE135" s="3349"/>
      <c r="AF135" s="3350"/>
      <c r="AG135" s="3353"/>
      <c r="AH135" s="1711">
        <v>129</v>
      </c>
      <c r="AI135" s="1711" t="s">
        <v>5041</v>
      </c>
      <c r="AJ135" s="3346" t="str">
        <f t="shared" si="21"/>
        <v/>
      </c>
      <c r="AL135" s="3474" t="str">
        <f t="shared" ref="AL135:AL198" si="24">IF(ISERROR(VLOOKUP(AI135,$AF$6:$AF$971,1,FALSE))=TRUE,AI135,"")</f>
        <v>Gross rents</v>
      </c>
    </row>
    <row r="136" spans="1:38">
      <c r="A136" s="3357">
        <v>12800</v>
      </c>
      <c r="B136" s="3350" t="s">
        <v>5024</v>
      </c>
      <c r="C136" s="3372"/>
      <c r="E136" s="3453" t="s">
        <v>4774</v>
      </c>
      <c r="F136" s="3371" t="s">
        <v>4775</v>
      </c>
      <c r="G136" s="3373"/>
      <c r="R136" s="569" t="s">
        <v>5180</v>
      </c>
      <c r="S136" s="1711" t="s">
        <v>1195</v>
      </c>
      <c r="T136" s="569"/>
      <c r="AE136" s="3349"/>
      <c r="AF136" s="3350"/>
      <c r="AG136" s="3353"/>
      <c r="AH136" s="1711">
        <v>130</v>
      </c>
      <c r="AI136" s="1711" t="s">
        <v>5043</v>
      </c>
      <c r="AJ136" s="3346" t="str">
        <f t="shared" si="21"/>
        <v/>
      </c>
      <c r="AL136" s="3474" t="str">
        <f t="shared" si="24"/>
        <v>Loss of earnings</v>
      </c>
    </row>
    <row r="137" spans="1:38">
      <c r="A137" s="3357">
        <v>13320</v>
      </c>
      <c r="B137" s="3350" t="s">
        <v>5025</v>
      </c>
      <c r="C137" s="3372"/>
      <c r="E137" s="3453" t="s">
        <v>4779</v>
      </c>
      <c r="F137" s="3371" t="s">
        <v>4780</v>
      </c>
      <c r="G137" s="3373"/>
      <c r="R137" s="569" t="s">
        <v>5181</v>
      </c>
      <c r="S137" s="1711" t="s">
        <v>1161</v>
      </c>
      <c r="T137" s="569"/>
      <c r="AE137" s="3349"/>
      <c r="AF137" s="3350"/>
      <c r="AG137" s="3353"/>
      <c r="AH137" s="1711">
        <v>131</v>
      </c>
      <c r="AI137" s="1711" t="s">
        <v>1207</v>
      </c>
      <c r="AJ137" s="3346" t="str">
        <f t="shared" si="21"/>
        <v/>
      </c>
      <c r="AL137" s="3474" t="str">
        <f t="shared" si="24"/>
        <v>Profits</v>
      </c>
    </row>
    <row r="138" spans="1:38">
      <c r="A138" s="3357">
        <v>14550</v>
      </c>
      <c r="B138" s="3350" t="s">
        <v>5026</v>
      </c>
      <c r="C138" s="3372"/>
      <c r="E138" s="3453" t="s">
        <v>4782</v>
      </c>
      <c r="F138" s="3371" t="s">
        <v>4783</v>
      </c>
      <c r="G138" s="3373"/>
      <c r="R138" s="569" t="s">
        <v>5182</v>
      </c>
      <c r="S138" s="1711" t="s">
        <v>1162</v>
      </c>
      <c r="T138" s="569"/>
      <c r="AE138" s="3349"/>
      <c r="AF138" s="3350"/>
      <c r="AG138" s="3353"/>
      <c r="AH138" s="1711">
        <v>132</v>
      </c>
      <c r="AI138" s="1711" t="s">
        <v>5044</v>
      </c>
      <c r="AJ138" s="3346" t="str">
        <f t="shared" si="21"/>
        <v/>
      </c>
      <c r="AL138" s="3474" t="str">
        <f t="shared" si="24"/>
        <v>Actual Loss Sustained</v>
      </c>
    </row>
    <row r="139" spans="1:38">
      <c r="A139" s="3357">
        <v>13000</v>
      </c>
      <c r="B139" s="3350" t="s">
        <v>5027</v>
      </c>
      <c r="C139" s="3372"/>
      <c r="E139" s="3453" t="s">
        <v>4785</v>
      </c>
      <c r="F139" s="3371" t="s">
        <v>4786</v>
      </c>
      <c r="G139" s="3352"/>
      <c r="R139" s="569" t="s">
        <v>5183</v>
      </c>
      <c r="S139" s="1711" t="s">
        <v>1150</v>
      </c>
      <c r="T139" s="569"/>
      <c r="AE139" s="3349"/>
      <c r="AF139" s="3350"/>
      <c r="AG139" s="3353"/>
      <c r="AH139" s="1711">
        <v>133</v>
      </c>
      <c r="AI139" s="1711" t="s">
        <v>5045</v>
      </c>
      <c r="AJ139" s="3346" t="str">
        <f t="shared" si="21"/>
        <v/>
      </c>
      <c r="AL139" s="3474" t="str">
        <f t="shared" si="24"/>
        <v>Computer fraud</v>
      </c>
    </row>
    <row r="140" spans="1:38">
      <c r="A140" s="3357">
        <v>11710</v>
      </c>
      <c r="B140" s="3350" t="s">
        <v>5028</v>
      </c>
      <c r="C140" s="3372"/>
      <c r="E140" s="3453" t="s">
        <v>4789</v>
      </c>
      <c r="F140" s="3350" t="s">
        <v>4790</v>
      </c>
      <c r="G140" s="3352"/>
      <c r="R140" s="569"/>
      <c r="T140" s="569"/>
      <c r="AE140" s="3349"/>
      <c r="AF140" s="3350"/>
      <c r="AG140" s="3353"/>
      <c r="AH140" s="1711">
        <v>134</v>
      </c>
      <c r="AI140" s="1711" t="s">
        <v>5046</v>
      </c>
      <c r="AJ140" s="3346" t="str">
        <f t="shared" si="21"/>
        <v/>
      </c>
      <c r="AL140" s="3474" t="str">
        <f t="shared" si="24"/>
        <v>Credit Card Forgery</v>
      </c>
    </row>
    <row r="141" spans="1:38">
      <c r="A141" s="3357">
        <v>11705</v>
      </c>
      <c r="B141" s="3350" t="s">
        <v>5029</v>
      </c>
      <c r="C141" s="3372"/>
      <c r="E141" s="3453" t="s">
        <v>4793</v>
      </c>
      <c r="F141" s="3371" t="s">
        <v>4794</v>
      </c>
      <c r="G141" s="3372"/>
      <c r="O141" s="3385" t="s">
        <v>5184</v>
      </c>
      <c r="R141" s="569"/>
      <c r="T141" s="569"/>
      <c r="AE141" s="3349"/>
      <c r="AF141" s="3350"/>
      <c r="AG141" s="3353"/>
      <c r="AH141" s="1711">
        <v>135</v>
      </c>
      <c r="AI141" s="1711" t="s">
        <v>5047</v>
      </c>
      <c r="AJ141" s="3346" t="str">
        <f t="shared" ref="AJ141:AJ204" si="25">IFERROR(IF($AJ$7&lt;&gt;"Quote","",IF(VLOOKUP(AI141,$AF$7:$AG$169,2,FALSE)=0,"-",VLOOKUP(AI141,$AF$7:$AG$169,2,FALSE))),"-")</f>
        <v/>
      </c>
      <c r="AL141" s="3474" t="str">
        <f t="shared" si="24"/>
        <v/>
      </c>
    </row>
    <row r="142" spans="1:38">
      <c r="A142" s="3357">
        <v>11715</v>
      </c>
      <c r="B142" s="3350" t="s">
        <v>5030</v>
      </c>
      <c r="C142" s="3372"/>
      <c r="E142" s="3453" t="s">
        <v>4798</v>
      </c>
      <c r="F142" s="3371" t="s">
        <v>4799</v>
      </c>
      <c r="G142" s="3373"/>
      <c r="O142" s="3390" t="s">
        <v>4959</v>
      </c>
      <c r="Q142" s="3391" t="s">
        <v>4960</v>
      </c>
      <c r="R142" s="3392" t="s">
        <v>4961</v>
      </c>
      <c r="S142" s="1483" t="s">
        <v>4962</v>
      </c>
      <c r="T142" s="3392"/>
      <c r="U142" s="1483" t="s">
        <v>4963</v>
      </c>
      <c r="AE142" s="3349"/>
      <c r="AF142" s="3350"/>
      <c r="AG142" s="3353"/>
      <c r="AH142" s="1711">
        <v>136</v>
      </c>
      <c r="AI142" s="1711" t="s">
        <v>5048</v>
      </c>
      <c r="AJ142" s="3346" t="str">
        <f t="shared" si="25"/>
        <v/>
      </c>
      <c r="AL142" s="3474" t="str">
        <f t="shared" si="24"/>
        <v/>
      </c>
    </row>
    <row r="143" spans="1:38">
      <c r="A143" s="3357">
        <v>14580</v>
      </c>
      <c r="B143" s="3350" t="s">
        <v>5032</v>
      </c>
      <c r="C143" s="3372"/>
      <c r="E143" s="3453" t="s">
        <v>4803</v>
      </c>
      <c r="F143" s="3371" t="s">
        <v>4804</v>
      </c>
      <c r="G143" s="3373"/>
      <c r="O143" s="3332" t="s">
        <v>5185</v>
      </c>
      <c r="Q143" s="3398">
        <f>C105</f>
        <v>0</v>
      </c>
      <c r="R143" s="569" t="s">
        <v>5187</v>
      </c>
      <c r="S143" s="1711" t="s">
        <v>1154</v>
      </c>
      <c r="T143" s="569"/>
      <c r="U143" s="3439" t="str">
        <f>IFERROR(VLOOKUP(Q145,$R$143:$S$146,2,FALSE),"Non Sprinklered and Non Alarmed")</f>
        <v>Non Sprinklered and Non Alarmed</v>
      </c>
      <c r="AE143" s="3349"/>
      <c r="AF143" s="3350"/>
      <c r="AG143" s="3353"/>
      <c r="AH143" s="1711">
        <v>137</v>
      </c>
      <c r="AI143" s="1711" t="s">
        <v>5224</v>
      </c>
      <c r="AJ143" s="3346" t="str">
        <f t="shared" si="25"/>
        <v/>
      </c>
      <c r="AL143" s="3474" t="str">
        <f t="shared" si="24"/>
        <v>Forgery or Alteration</v>
      </c>
    </row>
    <row r="144" spans="1:38">
      <c r="A144" s="3357">
        <v>13900</v>
      </c>
      <c r="B144" s="3350" t="s">
        <v>5033</v>
      </c>
      <c r="C144" s="3372"/>
      <c r="E144" s="3453" t="s">
        <v>4807</v>
      </c>
      <c r="F144" s="3371" t="s">
        <v>4808</v>
      </c>
      <c r="G144" s="3373"/>
      <c r="O144" s="3332" t="s">
        <v>5186</v>
      </c>
      <c r="Q144" s="3398">
        <f>C106</f>
        <v>0</v>
      </c>
      <c r="R144" s="569" t="s">
        <v>5188</v>
      </c>
      <c r="S144" s="1711" t="s">
        <v>1156</v>
      </c>
      <c r="T144" s="569"/>
      <c r="U144" s="905"/>
      <c r="AE144" s="3349"/>
      <c r="AF144" s="3350"/>
      <c r="AG144" s="3353"/>
      <c r="AH144" s="1711">
        <v>138</v>
      </c>
      <c r="AI144" s="1711" t="s">
        <v>5049</v>
      </c>
      <c r="AJ144" s="3346" t="str">
        <f t="shared" si="25"/>
        <v/>
      </c>
      <c r="AL144" s="3474" t="str">
        <f t="shared" si="24"/>
        <v>Funds Transfer Fraud</v>
      </c>
    </row>
    <row r="145" spans="1:38">
      <c r="A145" s="3357">
        <v>13910</v>
      </c>
      <c r="B145" s="3350" t="s">
        <v>5034</v>
      </c>
      <c r="C145" s="3372"/>
      <c r="E145" s="3453" t="s">
        <v>4811</v>
      </c>
      <c r="F145" s="3371" t="s">
        <v>4812</v>
      </c>
      <c r="G145" s="3373"/>
      <c r="O145" s="3332" t="s">
        <v>5191</v>
      </c>
      <c r="Q145" s="1711" t="str">
        <f>Q143&amp; " " &amp;Q144</f>
        <v>0 0</v>
      </c>
      <c r="R145" s="569" t="s">
        <v>5189</v>
      </c>
      <c r="S145" s="1711" t="s">
        <v>1158</v>
      </c>
      <c r="T145" s="569"/>
      <c r="AE145" s="3349"/>
      <c r="AF145" s="3350"/>
      <c r="AG145" s="3353"/>
      <c r="AH145" s="1711">
        <v>139</v>
      </c>
      <c r="AI145" s="1711" t="s">
        <v>5050</v>
      </c>
      <c r="AJ145" s="3346" t="str">
        <f t="shared" si="25"/>
        <v/>
      </c>
      <c r="AL145" s="3474" t="str">
        <f t="shared" si="24"/>
        <v>Identity Theft</v>
      </c>
    </row>
    <row r="146" spans="1:38">
      <c r="E146" s="3453" t="s">
        <v>4815</v>
      </c>
      <c r="F146" s="3371" t="s">
        <v>4816</v>
      </c>
      <c r="G146" s="3352"/>
      <c r="R146" s="569" t="s">
        <v>5190</v>
      </c>
      <c r="S146" s="1711" t="s">
        <v>1160</v>
      </c>
      <c r="T146" s="569"/>
      <c r="AE146" s="3349"/>
      <c r="AF146" s="3350"/>
      <c r="AG146" s="3353"/>
      <c r="AH146" s="1711">
        <v>140</v>
      </c>
      <c r="AI146" s="1711" t="s">
        <v>5051</v>
      </c>
      <c r="AJ146" s="3346" t="str">
        <f t="shared" si="25"/>
        <v/>
      </c>
      <c r="AL146" s="3474" t="str">
        <f t="shared" si="24"/>
        <v>Incoming cheque forgery</v>
      </c>
    </row>
    <row r="147" spans="1:38">
      <c r="E147" s="3453" t="s">
        <v>4819</v>
      </c>
      <c r="F147" s="3350" t="s">
        <v>4820</v>
      </c>
      <c r="G147" s="3352"/>
      <c r="R147" s="569"/>
      <c r="T147" s="569"/>
      <c r="AH147" s="1711">
        <v>141</v>
      </c>
      <c r="AI147" s="1711" t="s">
        <v>5053</v>
      </c>
      <c r="AJ147" s="3346" t="str">
        <f t="shared" si="25"/>
        <v/>
      </c>
      <c r="AL147" s="3474" t="str">
        <f t="shared" si="24"/>
        <v>Kidnap and ransom</v>
      </c>
    </row>
    <row r="148" spans="1:38">
      <c r="E148" s="3453" t="s">
        <v>4823</v>
      </c>
      <c r="F148" s="3371" t="s">
        <v>4824</v>
      </c>
      <c r="G148" s="3372"/>
      <c r="R148" s="569"/>
      <c r="T148" s="569"/>
      <c r="AH148" s="1711">
        <v>142</v>
      </c>
      <c r="AI148" s="1711" t="s">
        <v>5054</v>
      </c>
      <c r="AJ148" s="3346" t="str">
        <f t="shared" si="25"/>
        <v/>
      </c>
      <c r="AL148" s="3474" t="str">
        <f t="shared" si="24"/>
        <v/>
      </c>
    </row>
    <row r="149" spans="1:38">
      <c r="E149" s="3453" t="s">
        <v>4828</v>
      </c>
      <c r="F149" s="3371" t="s">
        <v>4829</v>
      </c>
      <c r="G149" s="3373"/>
      <c r="O149" s="3385" t="s">
        <v>5069</v>
      </c>
      <c r="R149" s="569"/>
      <c r="T149" s="569"/>
      <c r="AH149" s="1711">
        <v>143</v>
      </c>
      <c r="AI149" s="1711" t="s">
        <v>5056</v>
      </c>
      <c r="AJ149" s="3346" t="str">
        <f t="shared" si="25"/>
        <v/>
      </c>
      <c r="AL149" s="3474" t="str">
        <f t="shared" si="24"/>
        <v/>
      </c>
    </row>
    <row r="150" spans="1:38">
      <c r="E150" s="3453" t="s">
        <v>4832</v>
      </c>
      <c r="F150" s="3371" t="s">
        <v>4833</v>
      </c>
      <c r="G150" s="3373"/>
      <c r="O150" s="3390" t="s">
        <v>4959</v>
      </c>
      <c r="Q150" s="3391" t="s">
        <v>4960</v>
      </c>
      <c r="R150" s="3392" t="s">
        <v>4961</v>
      </c>
      <c r="S150" s="1483" t="s">
        <v>4962</v>
      </c>
      <c r="T150" s="3392" t="s">
        <v>4962</v>
      </c>
      <c r="U150" s="1483" t="s">
        <v>4963</v>
      </c>
      <c r="AH150" s="1711">
        <v>144</v>
      </c>
      <c r="AI150" s="1711" t="s">
        <v>5058</v>
      </c>
      <c r="AJ150" s="3346" t="str">
        <f t="shared" si="25"/>
        <v/>
      </c>
      <c r="AL150" s="3474" t="str">
        <f t="shared" si="24"/>
        <v/>
      </c>
    </row>
    <row r="151" spans="1:38">
      <c r="E151" s="3453" t="s">
        <v>4835</v>
      </c>
      <c r="F151" s="3371" t="s">
        <v>4836</v>
      </c>
      <c r="G151" s="3373"/>
      <c r="O151" s="3332" t="s">
        <v>3406</v>
      </c>
      <c r="Q151" s="3393">
        <f>C108</f>
        <v>0</v>
      </c>
      <c r="R151" s="3346" t="s">
        <v>4966</v>
      </c>
      <c r="S151" s="1711" t="b">
        <v>1</v>
      </c>
      <c r="T151" s="3346">
        <v>1000000</v>
      </c>
      <c r="U151" s="576" t="b">
        <f>VLOOKUP($Q$158,$R$151:$T$159,2,FALSE)</f>
        <v>1</v>
      </c>
      <c r="AH151" s="1711">
        <v>145</v>
      </c>
      <c r="AI151" s="1711" t="s">
        <v>5060</v>
      </c>
      <c r="AJ151" s="3346" t="str">
        <f t="shared" si="25"/>
        <v/>
      </c>
      <c r="AL151" s="3474" t="str">
        <f t="shared" si="24"/>
        <v/>
      </c>
    </row>
    <row r="152" spans="1:38">
      <c r="E152" s="3453" t="s">
        <v>4838</v>
      </c>
      <c r="F152" s="3371" t="s">
        <v>4839</v>
      </c>
      <c r="G152" s="3373"/>
      <c r="O152" s="3332" t="s">
        <v>5073</v>
      </c>
      <c r="Q152" s="3393">
        <f>C109</f>
        <v>0</v>
      </c>
      <c r="R152" s="3346">
        <v>0</v>
      </c>
      <c r="S152" s="1711" t="b">
        <v>1</v>
      </c>
      <c r="T152" s="3346">
        <v>1000000</v>
      </c>
      <c r="U152" s="576">
        <f>VLOOKUP($Q$158,$R$151:$T$159,3,FALSE)</f>
        <v>1000000</v>
      </c>
      <c r="AH152" s="1711">
        <v>146</v>
      </c>
      <c r="AI152" s="1711" t="s">
        <v>5062</v>
      </c>
      <c r="AJ152" s="3346" t="str">
        <f t="shared" si="25"/>
        <v/>
      </c>
      <c r="AL152" s="3474" t="str">
        <f t="shared" si="24"/>
        <v/>
      </c>
    </row>
    <row r="153" spans="1:38">
      <c r="E153" s="3453" t="s">
        <v>4842</v>
      </c>
      <c r="F153" s="3371" t="s">
        <v>4843</v>
      </c>
      <c r="G153" s="3352"/>
      <c r="O153" s="3332" t="s">
        <v>5192</v>
      </c>
      <c r="Q153" s="1711">
        <f>IF(Q151="Other",Q152,Q151)</f>
        <v>0</v>
      </c>
      <c r="R153" s="3346">
        <v>1000000</v>
      </c>
      <c r="S153" s="1711" t="b">
        <v>1</v>
      </c>
      <c r="T153" s="3346">
        <v>1000000</v>
      </c>
      <c r="AH153" s="1711">
        <v>147</v>
      </c>
      <c r="AI153" s="1711" t="s">
        <v>5063</v>
      </c>
      <c r="AJ153" s="3346" t="str">
        <f t="shared" si="25"/>
        <v/>
      </c>
      <c r="AL153" s="3474" t="str">
        <f t="shared" si="24"/>
        <v/>
      </c>
    </row>
    <row r="154" spans="1:38">
      <c r="E154" s="3453" t="s">
        <v>4846</v>
      </c>
      <c r="F154" s="3350" t="s">
        <v>4847</v>
      </c>
      <c r="G154" s="3352"/>
      <c r="Q154" s="1807"/>
      <c r="R154" s="3346">
        <v>2000000</v>
      </c>
      <c r="S154" s="1711" t="b">
        <v>1</v>
      </c>
      <c r="T154" s="3346">
        <v>2000000</v>
      </c>
      <c r="AH154" s="1711">
        <v>148</v>
      </c>
      <c r="AI154" s="1711" t="s">
        <v>5064</v>
      </c>
      <c r="AJ154" s="3346" t="str">
        <f t="shared" si="25"/>
        <v/>
      </c>
      <c r="AL154" s="3474" t="str">
        <f t="shared" si="24"/>
        <v/>
      </c>
    </row>
    <row r="155" spans="1:38">
      <c r="E155" s="3453" t="s">
        <v>4850</v>
      </c>
      <c r="F155" s="3371" t="s">
        <v>4851</v>
      </c>
      <c r="G155" s="3372"/>
      <c r="O155" s="3332" t="s">
        <v>5193</v>
      </c>
      <c r="Q155" s="3394">
        <f>IF(ISNUMBER(Q153)=FALSE,IFERROR(VLOOKUP(Q153,R151:R159,1,FALSE),"Not required"),IF(Q153&gt;R157,R157,IFERROR(VLOOKUP(Q153,R151:R159,1,FALSE),"No match")))</f>
        <v>0</v>
      </c>
      <c r="R155" s="3346">
        <v>3000000</v>
      </c>
      <c r="S155" s="1711" t="b">
        <v>1</v>
      </c>
      <c r="T155" s="3346">
        <v>5000000</v>
      </c>
      <c r="AH155" s="1711">
        <v>149</v>
      </c>
      <c r="AI155" s="1711" t="s">
        <v>5065</v>
      </c>
      <c r="AJ155" s="3346" t="str">
        <f t="shared" si="25"/>
        <v/>
      </c>
      <c r="AL155" s="3474" t="str">
        <f t="shared" si="24"/>
        <v/>
      </c>
    </row>
    <row r="156" spans="1:38">
      <c r="E156" s="3453" t="s">
        <v>4854</v>
      </c>
      <c r="F156" s="3371" t="s">
        <v>4855</v>
      </c>
      <c r="G156" s="3373"/>
      <c r="O156" s="3332" t="s">
        <v>4973</v>
      </c>
      <c r="Q156" s="3395">
        <f>MATCH(VLOOKUP(Q153,R151:R159,1,TRUE),R151:R159,0)</f>
        <v>2</v>
      </c>
      <c r="R156" s="3346">
        <v>4000000</v>
      </c>
      <c r="S156" s="1711" t="b">
        <v>1</v>
      </c>
      <c r="T156" s="3346">
        <v>5000000</v>
      </c>
      <c r="AH156" s="1711">
        <v>150</v>
      </c>
      <c r="AI156" s="1711" t="s">
        <v>5066</v>
      </c>
      <c r="AJ156" s="3346" t="str">
        <f t="shared" si="25"/>
        <v/>
      </c>
      <c r="AL156" s="3474" t="str">
        <f t="shared" si="24"/>
        <v/>
      </c>
    </row>
    <row r="157" spans="1:38">
      <c r="E157" s="3453" t="s">
        <v>4858</v>
      </c>
      <c r="F157" s="3371" t="s">
        <v>4859</v>
      </c>
      <c r="G157" s="3373"/>
      <c r="O157" s="3332" t="s">
        <v>4976</v>
      </c>
      <c r="Q157" s="3395" cm="1">
        <f t="array" ref="Q157">INDEX(R151:R158,Q156+1)</f>
        <v>1000000</v>
      </c>
      <c r="R157" s="3346">
        <v>5000000</v>
      </c>
      <c r="S157" s="1711" t="b">
        <v>1</v>
      </c>
      <c r="T157" s="3346">
        <v>5000000</v>
      </c>
      <c r="AH157" s="1711">
        <v>151</v>
      </c>
      <c r="AI157" s="1711" t="s">
        <v>5067</v>
      </c>
      <c r="AJ157" s="3346" t="str">
        <f t="shared" si="25"/>
        <v/>
      </c>
      <c r="AL157" s="3474" t="str">
        <f t="shared" si="24"/>
        <v/>
      </c>
    </row>
    <row r="158" spans="1:38">
      <c r="E158" s="3453" t="s">
        <v>4862</v>
      </c>
      <c r="F158" s="3371" t="s">
        <v>4863</v>
      </c>
      <c r="G158" s="3373"/>
      <c r="O158" s="3332" t="s">
        <v>4979</v>
      </c>
      <c r="Q158" s="3395">
        <f>IF(Q155="No match",Q157,Q155)</f>
        <v>0</v>
      </c>
      <c r="R158" s="3346" t="s">
        <v>5079</v>
      </c>
      <c r="S158" s="1711" t="b">
        <v>1</v>
      </c>
      <c r="T158" s="3346">
        <v>5000000</v>
      </c>
      <c r="AH158" s="1711">
        <v>152</v>
      </c>
      <c r="AI158" s="1711" t="s">
        <v>5068</v>
      </c>
      <c r="AJ158" s="3346" t="str">
        <f t="shared" si="25"/>
        <v/>
      </c>
      <c r="AL158" s="3474" t="str">
        <f t="shared" si="24"/>
        <v/>
      </c>
    </row>
    <row r="159" spans="1:38">
      <c r="E159" s="3453" t="s">
        <v>4866</v>
      </c>
      <c r="F159" s="3371" t="s">
        <v>4867</v>
      </c>
      <c r="G159" s="3373"/>
      <c r="Q159" s="3395"/>
      <c r="R159" s="3346" t="s">
        <v>4986</v>
      </c>
      <c r="S159" s="1711" t="b">
        <v>1</v>
      </c>
      <c r="T159" s="3346">
        <v>1000000</v>
      </c>
      <c r="AH159" s="1711">
        <v>153</v>
      </c>
      <c r="AI159" s="1711" t="s">
        <v>5070</v>
      </c>
      <c r="AJ159" s="3346" t="str">
        <f t="shared" si="25"/>
        <v/>
      </c>
      <c r="AL159" s="3474" t="str">
        <f t="shared" si="24"/>
        <v/>
      </c>
    </row>
    <row r="160" spans="1:38">
      <c r="E160" s="3453" t="s">
        <v>4871</v>
      </c>
      <c r="F160" s="3371" t="s">
        <v>4872</v>
      </c>
      <c r="G160" s="3352"/>
      <c r="Q160" s="3395"/>
      <c r="R160" s="3346"/>
      <c r="T160" s="3346"/>
      <c r="AH160" s="1711">
        <v>154</v>
      </c>
      <c r="AI160" s="1711" t="s">
        <v>5071</v>
      </c>
      <c r="AJ160" s="3346" t="str">
        <f t="shared" si="25"/>
        <v/>
      </c>
      <c r="AL160" s="3474" t="str">
        <f t="shared" si="24"/>
        <v>Third party privacy breach management costs</v>
      </c>
    </row>
    <row r="161" spans="5:38">
      <c r="E161" s="3453" t="s">
        <v>4875</v>
      </c>
      <c r="F161" s="3350" t="s">
        <v>4876</v>
      </c>
      <c r="G161" s="3352"/>
      <c r="O161" s="3385" t="s">
        <v>5082</v>
      </c>
      <c r="R161" s="3346"/>
      <c r="T161" s="3346"/>
      <c r="AH161" s="1711">
        <v>155</v>
      </c>
      <c r="AI161" s="1711" t="s">
        <v>5072</v>
      </c>
      <c r="AJ161" s="3346" t="str">
        <f t="shared" si="25"/>
        <v/>
      </c>
      <c r="AL161" s="3474" t="str">
        <f t="shared" si="24"/>
        <v>Post breach remediation costs</v>
      </c>
    </row>
    <row r="162" spans="5:38">
      <c r="E162" s="3453" t="s">
        <v>4880</v>
      </c>
      <c r="F162" s="3371" t="s">
        <v>4881</v>
      </c>
      <c r="G162" s="3372"/>
      <c r="O162" s="3390" t="s">
        <v>4959</v>
      </c>
      <c r="Q162" s="3391" t="s">
        <v>4960</v>
      </c>
      <c r="R162" s="3448" t="s">
        <v>4961</v>
      </c>
      <c r="S162" s="1483" t="s">
        <v>4962</v>
      </c>
      <c r="T162" s="3448" t="s">
        <v>4962</v>
      </c>
      <c r="U162" s="1483" t="s">
        <v>4963</v>
      </c>
      <c r="AH162" s="1711">
        <v>156</v>
      </c>
      <c r="AI162" s="1711" t="s">
        <v>5074</v>
      </c>
      <c r="AJ162" s="3346" t="str">
        <f t="shared" si="25"/>
        <v/>
      </c>
      <c r="AL162" s="3474" t="str">
        <f t="shared" si="24"/>
        <v>Funds transfer fraud &amp; Social Engineering</v>
      </c>
    </row>
    <row r="163" spans="5:38">
      <c r="E163" s="3453" t="s">
        <v>4883</v>
      </c>
      <c r="F163" s="3371" t="s">
        <v>4884</v>
      </c>
      <c r="G163" s="3373"/>
      <c r="O163" s="3332" t="s">
        <v>5196</v>
      </c>
      <c r="Q163" s="3399">
        <f>C110</f>
        <v>0</v>
      </c>
      <c r="R163" s="3346" t="s">
        <v>4966</v>
      </c>
      <c r="S163" s="1711" t="b">
        <v>0</v>
      </c>
      <c r="T163" s="3346">
        <v>0</v>
      </c>
      <c r="U163" s="576" t="b">
        <f>IFERROR(VLOOKUP($Q$163,$R$163:$T$174,2,FALSE),FALSE)</f>
        <v>0</v>
      </c>
      <c r="AH163" s="1711">
        <v>157</v>
      </c>
      <c r="AI163" s="1711" t="s">
        <v>5075</v>
      </c>
      <c r="AJ163" s="3346" t="str">
        <f t="shared" si="25"/>
        <v/>
      </c>
      <c r="AL163" s="3474" t="str">
        <f t="shared" si="24"/>
        <v>Theft of funds held in escrow</v>
      </c>
    </row>
    <row r="164" spans="5:38">
      <c r="E164" s="3453" t="s">
        <v>4887</v>
      </c>
      <c r="F164" s="3371" t="s">
        <v>4888</v>
      </c>
      <c r="G164" s="3373"/>
      <c r="O164" s="3449"/>
      <c r="P164" s="255"/>
      <c r="Q164" s="3433"/>
      <c r="R164" s="3346">
        <v>5000</v>
      </c>
      <c r="S164" s="1711" t="b">
        <v>1</v>
      </c>
      <c r="T164" s="3346">
        <v>5000</v>
      </c>
      <c r="U164" s="576">
        <f>IFERROR(VLOOKUP($Q$163,$R$163:$T$174,3,FALSE),0)</f>
        <v>0</v>
      </c>
      <c r="AH164" s="1711">
        <v>158</v>
      </c>
      <c r="AI164" s="1711" t="s">
        <v>5076</v>
      </c>
      <c r="AJ164" s="3346" t="str">
        <f t="shared" si="25"/>
        <v/>
      </c>
      <c r="AL164" s="3474" t="str">
        <f t="shared" si="24"/>
        <v>Theft of personal funds</v>
      </c>
    </row>
    <row r="165" spans="5:38">
      <c r="E165" s="3453" t="s">
        <v>4889</v>
      </c>
      <c r="F165" s="3371" t="s">
        <v>4890</v>
      </c>
      <c r="G165" s="3373"/>
      <c r="R165" s="3346">
        <v>10000</v>
      </c>
      <c r="S165" s="1711" t="b">
        <v>1</v>
      </c>
      <c r="T165" s="3346">
        <v>10000</v>
      </c>
      <c r="AH165" s="1711">
        <v>159</v>
      </c>
      <c r="AI165" s="1711" t="s">
        <v>5077</v>
      </c>
      <c r="AJ165" s="3346" t="str">
        <f t="shared" si="25"/>
        <v/>
      </c>
      <c r="AL165" s="3474" t="str">
        <f t="shared" si="24"/>
        <v/>
      </c>
    </row>
    <row r="166" spans="5:38">
      <c r="E166" s="3453" t="s">
        <v>4892</v>
      </c>
      <c r="F166" s="3371" t="s">
        <v>4893</v>
      </c>
      <c r="G166" s="3373"/>
      <c r="R166" s="3346">
        <v>25000</v>
      </c>
      <c r="S166" s="1711" t="b">
        <v>1</v>
      </c>
      <c r="T166" s="3346">
        <v>25000</v>
      </c>
      <c r="AH166" s="1711">
        <v>160</v>
      </c>
      <c r="AI166" s="1711" t="s">
        <v>5078</v>
      </c>
      <c r="AJ166" s="3346" t="str">
        <f t="shared" si="25"/>
        <v/>
      </c>
      <c r="AL166" s="3474" t="str">
        <f t="shared" si="24"/>
        <v>Corporate Identity theft</v>
      </c>
    </row>
    <row r="167" spans="5:38">
      <c r="E167" s="3453" t="s">
        <v>4895</v>
      </c>
      <c r="F167" s="3371" t="s">
        <v>4896</v>
      </c>
      <c r="G167" s="3352"/>
      <c r="R167" s="3346">
        <v>50000</v>
      </c>
      <c r="S167" s="1711" t="b">
        <v>1</v>
      </c>
      <c r="T167" s="3346">
        <v>50000</v>
      </c>
      <c r="AH167" s="1711">
        <v>161</v>
      </c>
      <c r="AI167" s="1711" t="s">
        <v>5080</v>
      </c>
      <c r="AJ167" s="3346" t="str">
        <f t="shared" si="25"/>
        <v/>
      </c>
      <c r="AL167" s="3474" t="str">
        <f t="shared" si="24"/>
        <v>Telephone hacking</v>
      </c>
    </row>
    <row r="168" spans="5:38">
      <c r="E168" s="3453" t="s">
        <v>4898</v>
      </c>
      <c r="F168" s="3350" t="s">
        <v>4899</v>
      </c>
      <c r="G168" s="3352"/>
      <c r="R168" s="3346">
        <v>100000</v>
      </c>
      <c r="S168" s="1711" t="b">
        <v>1</v>
      </c>
      <c r="T168" s="3346">
        <v>10000</v>
      </c>
      <c r="AH168" s="1711">
        <v>162</v>
      </c>
      <c r="AI168" s="1711" t="s">
        <v>5081</v>
      </c>
      <c r="AJ168" s="3346" t="str">
        <f t="shared" si="25"/>
        <v/>
      </c>
      <c r="AL168" s="3474" t="str">
        <f t="shared" si="24"/>
        <v>Push payment fraud</v>
      </c>
    </row>
    <row r="169" spans="5:38">
      <c r="E169" s="3453" t="s">
        <v>4906</v>
      </c>
      <c r="F169" s="3386" t="s">
        <v>4907</v>
      </c>
      <c r="G169" s="3372"/>
      <c r="R169" s="3346">
        <v>250000</v>
      </c>
      <c r="S169" s="1711" t="b">
        <v>1</v>
      </c>
      <c r="T169" s="3346">
        <v>10000</v>
      </c>
      <c r="AH169" s="1711">
        <v>163</v>
      </c>
      <c r="AI169" s="1711" t="s">
        <v>5083</v>
      </c>
      <c r="AJ169" s="3346" t="str">
        <f t="shared" si="25"/>
        <v/>
      </c>
      <c r="AL169" s="3474" t="str">
        <f t="shared" si="24"/>
        <v>Unauthorized use of computer resources</v>
      </c>
    </row>
    <row r="170" spans="5:38">
      <c r="E170" s="3453" t="s">
        <v>4911</v>
      </c>
      <c r="F170" s="3371" t="s">
        <v>4912</v>
      </c>
      <c r="G170" s="3373"/>
      <c r="R170" s="3346">
        <v>500000</v>
      </c>
      <c r="S170" s="1711" t="b">
        <v>1</v>
      </c>
      <c r="T170" s="3346">
        <v>10000</v>
      </c>
      <c r="AH170" s="1711">
        <v>164</v>
      </c>
      <c r="AI170" s="1711" t="s">
        <v>5084</v>
      </c>
      <c r="AJ170" s="3346" t="str">
        <f t="shared" si="25"/>
        <v/>
      </c>
      <c r="AL170" s="3474" t="str">
        <f t="shared" si="24"/>
        <v/>
      </c>
    </row>
    <row r="171" spans="5:38">
      <c r="E171" s="3453" t="s">
        <v>4915</v>
      </c>
      <c r="F171" s="3371" t="s">
        <v>4916</v>
      </c>
      <c r="G171" s="3373"/>
      <c r="R171" s="3346">
        <v>1000000</v>
      </c>
      <c r="S171" s="1711" t="b">
        <v>1</v>
      </c>
      <c r="T171" s="3346">
        <v>10000</v>
      </c>
      <c r="AH171" s="1711">
        <v>165</v>
      </c>
      <c r="AI171" s="1711" t="s">
        <v>5085</v>
      </c>
      <c r="AJ171" s="3346" t="str">
        <f t="shared" si="25"/>
        <v/>
      </c>
      <c r="AL171" s="3474" t="str">
        <f t="shared" si="24"/>
        <v/>
      </c>
    </row>
    <row r="172" spans="5:38">
      <c r="E172" s="3453" t="s">
        <v>4919</v>
      </c>
      <c r="F172" s="3371" t="s">
        <v>4920</v>
      </c>
      <c r="G172" s="3373"/>
      <c r="R172" s="3346">
        <v>2000000</v>
      </c>
      <c r="S172" s="1711" t="b">
        <v>1</v>
      </c>
      <c r="T172" s="3346">
        <v>10000</v>
      </c>
      <c r="AH172" s="1711">
        <v>166</v>
      </c>
      <c r="AI172" s="1711" t="s">
        <v>5086</v>
      </c>
      <c r="AJ172" s="3346" t="str">
        <f t="shared" si="25"/>
        <v/>
      </c>
      <c r="AL172" s="3474" t="str">
        <f t="shared" si="24"/>
        <v>Additional extra expense</v>
      </c>
    </row>
    <row r="173" spans="5:38">
      <c r="E173" s="3453" t="s">
        <v>4922</v>
      </c>
      <c r="F173" s="3371" t="s">
        <v>4923</v>
      </c>
      <c r="G173" s="3373"/>
      <c r="R173" s="3346">
        <v>5000000</v>
      </c>
      <c r="S173" s="1711" t="b">
        <v>1</v>
      </c>
      <c r="T173" s="3346">
        <v>10000</v>
      </c>
      <c r="AH173" s="1711">
        <v>167</v>
      </c>
      <c r="AI173" s="1711" t="s">
        <v>5087</v>
      </c>
      <c r="AJ173" s="3346" t="str">
        <f t="shared" si="25"/>
        <v/>
      </c>
      <c r="AL173" s="3474" t="str">
        <f t="shared" si="24"/>
        <v>Dependent business interruption</v>
      </c>
    </row>
    <row r="174" spans="5:38">
      <c r="E174" s="3453" t="s">
        <v>4926</v>
      </c>
      <c r="F174" s="3371" t="s">
        <v>4927</v>
      </c>
      <c r="G174" s="3352"/>
      <c r="R174" s="3346" t="s">
        <v>4986</v>
      </c>
      <c r="S174" s="1711" t="b">
        <v>0</v>
      </c>
      <c r="T174" s="3346">
        <v>0</v>
      </c>
      <c r="AH174" s="1711">
        <v>168</v>
      </c>
      <c r="AI174" s="1711" t="s">
        <v>5088</v>
      </c>
      <c r="AJ174" s="3346" t="str">
        <f t="shared" si="25"/>
        <v/>
      </c>
      <c r="AL174" s="3474" t="str">
        <f t="shared" si="24"/>
        <v>Consequential reputation harm</v>
      </c>
    </row>
    <row r="175" spans="5:38">
      <c r="E175" s="3453" t="s">
        <v>4931</v>
      </c>
      <c r="F175" s="3350" t="s">
        <v>4932</v>
      </c>
      <c r="G175" s="3352"/>
      <c r="R175" s="3346"/>
      <c r="T175" s="3346"/>
      <c r="AH175" s="1711">
        <v>169</v>
      </c>
      <c r="AI175" s="1711" t="s">
        <v>5089</v>
      </c>
      <c r="AJ175" s="3346" t="str">
        <f t="shared" si="25"/>
        <v/>
      </c>
      <c r="AL175" s="3474" t="str">
        <f t="shared" si="24"/>
        <v>Claim preparation costs</v>
      </c>
    </row>
    <row r="176" spans="5:38">
      <c r="E176" s="3453" t="s">
        <v>4936</v>
      </c>
      <c r="F176" s="3371" t="s">
        <v>4937</v>
      </c>
      <c r="G176" s="3372"/>
      <c r="R176" s="3346"/>
      <c r="T176" s="3346"/>
      <c r="AH176" s="1711">
        <v>170</v>
      </c>
      <c r="AI176" s="1711" t="s">
        <v>5090</v>
      </c>
      <c r="AJ176" s="3346" t="str">
        <f t="shared" si="25"/>
        <v/>
      </c>
      <c r="AL176" s="3474" t="str">
        <f t="shared" si="24"/>
        <v>Hardware replacement costs</v>
      </c>
    </row>
    <row r="177" spans="5:38">
      <c r="E177" s="3453" t="s">
        <v>4940</v>
      </c>
      <c r="F177" s="3371" t="s">
        <v>4941</v>
      </c>
      <c r="G177" s="3373"/>
      <c r="O177" s="3385" t="s">
        <v>5093</v>
      </c>
      <c r="R177" s="3346"/>
      <c r="T177" s="3346"/>
      <c r="AH177" s="1711">
        <v>171</v>
      </c>
      <c r="AI177" s="1711" t="s">
        <v>5091</v>
      </c>
      <c r="AJ177" s="3346" t="str">
        <f t="shared" si="25"/>
        <v/>
      </c>
      <c r="AL177" s="3474" t="str">
        <f t="shared" si="24"/>
        <v>Network security liability</v>
      </c>
    </row>
    <row r="178" spans="5:38">
      <c r="E178" s="3453" t="s">
        <v>4945</v>
      </c>
      <c r="F178" s="3371" t="s">
        <v>4946</v>
      </c>
      <c r="G178" s="3373"/>
      <c r="O178" s="3390" t="s">
        <v>4959</v>
      </c>
      <c r="Q178" s="3391" t="s">
        <v>4960</v>
      </c>
      <c r="R178" s="3448" t="s">
        <v>4961</v>
      </c>
      <c r="S178" s="1483" t="s">
        <v>4962</v>
      </c>
      <c r="T178" s="3448" t="s">
        <v>4962</v>
      </c>
      <c r="U178" s="1483" t="s">
        <v>4963</v>
      </c>
      <c r="AH178" s="1711">
        <v>172</v>
      </c>
      <c r="AI178" s="1711" t="s">
        <v>5225</v>
      </c>
      <c r="AJ178" s="3346" t="str">
        <f t="shared" si="25"/>
        <v/>
      </c>
      <c r="AL178" s="3474" t="str">
        <f t="shared" si="24"/>
        <v/>
      </c>
    </row>
    <row r="179" spans="5:38">
      <c r="E179" s="3453" t="s">
        <v>4948</v>
      </c>
      <c r="F179" s="3371" t="s">
        <v>4949</v>
      </c>
      <c r="G179" s="3373"/>
      <c r="O179" s="3332" t="s">
        <v>5096</v>
      </c>
      <c r="Q179" s="3393">
        <f>C111</f>
        <v>0</v>
      </c>
      <c r="R179" s="3346" t="s">
        <v>4966</v>
      </c>
      <c r="S179" s="1711" t="b">
        <v>0</v>
      </c>
      <c r="T179" s="3346">
        <v>0</v>
      </c>
      <c r="U179" s="576" t="b">
        <f>IFERROR(VLOOKUP($Q$186,$R$179:$T$189,2,FALSE),FALSE)</f>
        <v>0</v>
      </c>
      <c r="AH179" s="1711">
        <v>173</v>
      </c>
      <c r="AI179" s="1711" t="s">
        <v>5092</v>
      </c>
      <c r="AJ179" s="3346" t="str">
        <f t="shared" si="25"/>
        <v/>
      </c>
      <c r="AL179" s="3474" t="str">
        <f t="shared" si="24"/>
        <v>Management liability</v>
      </c>
    </row>
    <row r="180" spans="5:38">
      <c r="E180" s="3453" t="s">
        <v>4951</v>
      </c>
      <c r="F180" s="3371" t="s">
        <v>4952</v>
      </c>
      <c r="G180" s="3373"/>
      <c r="O180" s="3332" t="s">
        <v>5098</v>
      </c>
      <c r="Q180" s="3393">
        <f>C112</f>
        <v>0</v>
      </c>
      <c r="R180" s="3346">
        <v>0</v>
      </c>
      <c r="S180" s="1711" t="b">
        <v>0</v>
      </c>
      <c r="T180" s="3346">
        <v>0</v>
      </c>
      <c r="U180" s="576">
        <f>IFERROR(VLOOKUP($Q$186,$R$179:$T$189,3,FALSE),0)</f>
        <v>0</v>
      </c>
      <c r="AH180" s="1711">
        <v>174</v>
      </c>
      <c r="AI180" s="1711" t="s">
        <v>5309</v>
      </c>
      <c r="AJ180" s="3346" t="str">
        <f t="shared" si="25"/>
        <v/>
      </c>
      <c r="AL180" s="3474" t="str">
        <f t="shared" si="24"/>
        <v>Regulatory fines &amp; penalties</v>
      </c>
    </row>
    <row r="181" spans="5:38">
      <c r="E181" s="3453" t="s">
        <v>4954</v>
      </c>
      <c r="F181" s="3371" t="s">
        <v>4955</v>
      </c>
      <c r="G181" s="3352"/>
      <c r="O181" s="3332" t="s">
        <v>5197</v>
      </c>
      <c r="Q181" s="1711">
        <f>IF(Q179="Other",Q180,Q179)</f>
        <v>0</v>
      </c>
      <c r="R181" s="3346">
        <v>25000</v>
      </c>
      <c r="S181" s="1711" t="b">
        <v>1</v>
      </c>
      <c r="T181" s="3346">
        <v>25000</v>
      </c>
      <c r="AH181" s="1711">
        <v>175</v>
      </c>
      <c r="AI181" s="1711" t="s">
        <v>5095</v>
      </c>
      <c r="AJ181" s="3346" t="str">
        <f t="shared" si="25"/>
        <v/>
      </c>
      <c r="AL181" s="3474" t="str">
        <f t="shared" si="24"/>
        <v/>
      </c>
    </row>
    <row r="182" spans="5:38">
      <c r="E182" s="3453" t="s">
        <v>4957</v>
      </c>
      <c r="F182" s="3371" t="s">
        <v>4958</v>
      </c>
      <c r="G182" s="3389">
        <v>0</v>
      </c>
      <c r="Q182" s="1807"/>
      <c r="R182" s="3346">
        <v>50000</v>
      </c>
      <c r="S182" s="1711" t="b">
        <v>1</v>
      </c>
      <c r="T182" s="3346">
        <v>50000</v>
      </c>
      <c r="AH182" s="1711">
        <v>176</v>
      </c>
      <c r="AI182" s="1711" t="s">
        <v>5097</v>
      </c>
      <c r="AJ182" s="3346" t="str">
        <f t="shared" si="25"/>
        <v/>
      </c>
      <c r="AL182" s="3474" t="str">
        <f t="shared" si="24"/>
        <v/>
      </c>
    </row>
    <row r="183" spans="5:38">
      <c r="E183" s="3453" t="s">
        <v>5286</v>
      </c>
      <c r="F183" s="3371" t="s">
        <v>5287</v>
      </c>
      <c r="G183" s="3389"/>
      <c r="O183" s="3332" t="s">
        <v>5193</v>
      </c>
      <c r="Q183" s="3394">
        <f>IF(ISNUMBER(Q181)=FALSE,IFERROR(VLOOKUP(Q181,R179:R189,1,FALSE),"Not required"),IF(Q181&gt;R188,R188,IFERROR(VLOOKUP(Q181,R179:R189,1,FALSE),"No match")))</f>
        <v>0</v>
      </c>
      <c r="R183" s="3346">
        <v>100000</v>
      </c>
      <c r="S183" s="1711" t="b">
        <v>1</v>
      </c>
      <c r="T183" s="3346">
        <v>100000</v>
      </c>
      <c r="AH183" s="1711">
        <v>177</v>
      </c>
      <c r="AI183" s="1711" t="s">
        <v>5099</v>
      </c>
      <c r="AJ183" s="3346" t="str">
        <f t="shared" si="25"/>
        <v/>
      </c>
      <c r="AL183" s="3474" t="str">
        <f t="shared" si="24"/>
        <v>Intellectual property rights infringement</v>
      </c>
    </row>
    <row r="184" spans="5:38">
      <c r="E184" s="3357">
        <v>1000130</v>
      </c>
      <c r="F184" s="3371" t="s">
        <v>4964</v>
      </c>
      <c r="G184" s="3389">
        <v>10000</v>
      </c>
      <c r="O184" s="3332" t="s">
        <v>4973</v>
      </c>
      <c r="Q184" s="3395">
        <f>MATCH(VLOOKUP(Q181,R179:R189,1,TRUE),R179:R189,0)</f>
        <v>2</v>
      </c>
      <c r="R184" s="3346">
        <v>250000</v>
      </c>
      <c r="S184" s="1711" t="b">
        <v>1</v>
      </c>
      <c r="T184" s="3346">
        <v>250000</v>
      </c>
      <c r="AH184" s="1711">
        <v>178</v>
      </c>
      <c r="AI184" s="1711" t="s">
        <v>5100</v>
      </c>
      <c r="AJ184" s="3346" t="str">
        <f t="shared" si="25"/>
        <v/>
      </c>
      <c r="AL184" s="3474" t="str">
        <f t="shared" si="24"/>
        <v>Court attendance costs</v>
      </c>
    </row>
    <row r="185" spans="5:38">
      <c r="E185" s="3357">
        <v>1000140</v>
      </c>
      <c r="F185" s="3371" t="s">
        <v>4968</v>
      </c>
      <c r="G185" s="3389">
        <v>15000</v>
      </c>
      <c r="O185" s="3332" t="s">
        <v>4976</v>
      </c>
      <c r="Q185" s="3395" cm="1">
        <f t="array" ref="Q185">INDEX(R179:R189,Q184+1)</f>
        <v>25000</v>
      </c>
      <c r="R185" s="3346">
        <v>500000</v>
      </c>
      <c r="S185" s="1711" t="b">
        <v>1</v>
      </c>
      <c r="T185" s="3346">
        <v>250000</v>
      </c>
      <c r="AH185" s="1711">
        <v>179</v>
      </c>
      <c r="AI185" s="1711" t="s">
        <v>5101</v>
      </c>
      <c r="AJ185" s="3346" t="str">
        <f t="shared" si="25"/>
        <v/>
      </c>
      <c r="AL185" s="3474" t="str">
        <f t="shared" si="24"/>
        <v/>
      </c>
    </row>
    <row r="186" spans="5:38">
      <c r="E186" s="3453" t="s">
        <v>4969</v>
      </c>
      <c r="F186" s="3371" t="s">
        <v>4970</v>
      </c>
      <c r="G186" s="3389">
        <v>5000</v>
      </c>
      <c r="O186" s="3332" t="s">
        <v>4979</v>
      </c>
      <c r="Q186" s="3395">
        <f>IF(Q183="No match",Q185,Q183)</f>
        <v>0</v>
      </c>
      <c r="R186" s="3346">
        <v>1000000</v>
      </c>
      <c r="S186" s="1711" t="b">
        <v>1</v>
      </c>
      <c r="T186" s="3346">
        <v>250000</v>
      </c>
      <c r="AH186" s="1711">
        <v>180</v>
      </c>
      <c r="AI186" s="1711" t="s">
        <v>5102</v>
      </c>
      <c r="AJ186" s="3346" t="str">
        <f t="shared" si="25"/>
        <v/>
      </c>
      <c r="AL186" s="3474" t="str">
        <f t="shared" si="24"/>
        <v/>
      </c>
    </row>
    <row r="187" spans="5:38">
      <c r="E187" s="3453" t="s">
        <v>4971</v>
      </c>
      <c r="F187" s="3371" t="s">
        <v>4972</v>
      </c>
      <c r="G187" s="3389">
        <v>2000</v>
      </c>
      <c r="R187" s="3346">
        <v>2000000</v>
      </c>
      <c r="S187" s="1711" t="b">
        <v>1</v>
      </c>
      <c r="T187" s="3346">
        <v>250000</v>
      </c>
      <c r="AH187" s="1711">
        <v>181</v>
      </c>
      <c r="AI187" s="1711" t="s">
        <v>5103</v>
      </c>
      <c r="AJ187" s="3346" t="str">
        <f t="shared" si="25"/>
        <v/>
      </c>
      <c r="AL187" s="3474" t="str">
        <f t="shared" si="24"/>
        <v/>
      </c>
    </row>
    <row r="188" spans="5:38">
      <c r="E188" s="3453" t="s">
        <v>4974</v>
      </c>
      <c r="F188" s="3371" t="s">
        <v>4975</v>
      </c>
      <c r="G188" s="3389">
        <v>1000</v>
      </c>
      <c r="R188" s="3346">
        <v>5000000</v>
      </c>
      <c r="S188" s="1711" t="b">
        <v>1</v>
      </c>
      <c r="T188" s="3346">
        <v>250000</v>
      </c>
      <c r="AH188" s="1711">
        <v>182</v>
      </c>
      <c r="AI188" s="1711" t="s">
        <v>5104</v>
      </c>
      <c r="AJ188" s="3346" t="str">
        <f t="shared" si="25"/>
        <v/>
      </c>
      <c r="AL188" s="3474" t="str">
        <f t="shared" si="24"/>
        <v/>
      </c>
    </row>
    <row r="189" spans="5:38">
      <c r="E189" s="3453" t="s">
        <v>4977</v>
      </c>
      <c r="F189" s="3371" t="s">
        <v>4978</v>
      </c>
      <c r="G189" s="3389">
        <v>1500</v>
      </c>
      <c r="R189" s="3346" t="s">
        <v>4986</v>
      </c>
      <c r="S189" s="1711" t="b">
        <v>0</v>
      </c>
      <c r="T189" s="3346">
        <v>0</v>
      </c>
      <c r="AH189" s="1711">
        <v>183</v>
      </c>
      <c r="AI189" s="1711" t="s">
        <v>5105</v>
      </c>
      <c r="AJ189" s="3346" t="str">
        <f t="shared" si="25"/>
        <v/>
      </c>
      <c r="AL189" s="3474" t="str">
        <f t="shared" si="24"/>
        <v/>
      </c>
    </row>
    <row r="190" spans="5:38">
      <c r="E190" s="3357">
        <v>1000160</v>
      </c>
      <c r="F190" s="3371" t="s">
        <v>4981</v>
      </c>
      <c r="G190" s="3389"/>
      <c r="R190" s="3346"/>
      <c r="T190" s="569"/>
      <c r="AH190" s="1711">
        <v>184</v>
      </c>
      <c r="AI190" s="1711" t="s">
        <v>5106</v>
      </c>
      <c r="AJ190" s="3346" t="str">
        <f t="shared" si="25"/>
        <v/>
      </c>
      <c r="AL190" s="3474" t="str">
        <f t="shared" si="24"/>
        <v/>
      </c>
    </row>
    <row r="191" spans="5:38">
      <c r="E191" s="3453" t="s">
        <v>5162</v>
      </c>
      <c r="F191" s="3371" t="s">
        <v>5163</v>
      </c>
      <c r="G191" s="3389" t="s">
        <v>5281</v>
      </c>
      <c r="O191" s="3385" t="s">
        <v>5110</v>
      </c>
      <c r="R191" s="3346"/>
      <c r="T191" s="569"/>
      <c r="AH191" s="1711">
        <v>185</v>
      </c>
      <c r="AI191" s="1711" t="s">
        <v>5107</v>
      </c>
      <c r="AJ191" s="3346" t="str">
        <f t="shared" si="25"/>
        <v/>
      </c>
      <c r="AL191" s="3474" t="str">
        <f t="shared" si="24"/>
        <v/>
      </c>
    </row>
    <row r="192" spans="5:38">
      <c r="E192" s="3453" t="s">
        <v>4983</v>
      </c>
      <c r="F192" s="3371" t="s">
        <v>5165</v>
      </c>
      <c r="G192" s="3365" t="s">
        <v>5059</v>
      </c>
      <c r="O192" s="3390" t="s">
        <v>4959</v>
      </c>
      <c r="Q192" s="3391" t="s">
        <v>4960</v>
      </c>
      <c r="R192" s="3448" t="s">
        <v>4961</v>
      </c>
      <c r="S192" s="1483" t="s">
        <v>4962</v>
      </c>
      <c r="T192" s="3392" t="s">
        <v>4962</v>
      </c>
      <c r="U192" s="1483" t="s">
        <v>4963</v>
      </c>
      <c r="AH192" s="1711">
        <v>186</v>
      </c>
      <c r="AI192" s="1711" t="s">
        <v>5108</v>
      </c>
      <c r="AJ192" s="3346" t="str">
        <f t="shared" si="25"/>
        <v/>
      </c>
      <c r="AL192" s="3474" t="str">
        <f t="shared" si="24"/>
        <v/>
      </c>
    </row>
    <row r="193" spans="5:38">
      <c r="E193" s="3453" t="s">
        <v>5166</v>
      </c>
      <c r="F193" s="3371" t="s">
        <v>5167</v>
      </c>
      <c r="G193" s="3438" t="s">
        <v>3805</v>
      </c>
      <c r="O193" s="3332" t="s">
        <v>5112</v>
      </c>
      <c r="Q193" s="3393">
        <f>C113</f>
        <v>0</v>
      </c>
      <c r="R193" s="3346" t="s">
        <v>4966</v>
      </c>
      <c r="S193" s="1711" t="b">
        <v>0</v>
      </c>
      <c r="T193" s="569">
        <v>0</v>
      </c>
      <c r="U193" s="576" t="b">
        <f>IFERROR(VLOOKUP($Q$193,$R$193:$T$203,2,FALSE),FALSE)</f>
        <v>0</v>
      </c>
      <c r="AH193" s="1711">
        <v>187</v>
      </c>
      <c r="AI193" s="1711" t="s">
        <v>5109</v>
      </c>
      <c r="AJ193" s="3346" t="str">
        <f t="shared" si="25"/>
        <v/>
      </c>
      <c r="AL193" s="3474" t="str">
        <f t="shared" si="24"/>
        <v>Free antivirus software</v>
      </c>
    </row>
    <row r="194" spans="5:38">
      <c r="E194" s="3453" t="s">
        <v>5168</v>
      </c>
      <c r="F194" s="3371" t="s">
        <v>5169</v>
      </c>
      <c r="G194" s="3438">
        <v>4</v>
      </c>
      <c r="O194" s="3449"/>
      <c r="P194" s="255"/>
      <c r="Q194" s="3452"/>
      <c r="R194" s="3346">
        <v>0</v>
      </c>
      <c r="S194" s="1711" t="b">
        <v>0</v>
      </c>
      <c r="T194" s="569">
        <v>0</v>
      </c>
      <c r="U194" s="576">
        <f>IFERROR(VLOOKUP($Q$193,$R$193:$T$203,3,FALSE),0)</f>
        <v>0</v>
      </c>
      <c r="AH194" s="1711">
        <v>188</v>
      </c>
      <c r="AI194" s="1711" t="s">
        <v>5259</v>
      </c>
      <c r="AJ194" s="3346" t="str">
        <f t="shared" si="25"/>
        <v/>
      </c>
      <c r="AL194" s="3474" t="str">
        <f t="shared" si="24"/>
        <v>Errors &amp; Omissions (E&amp;O)</v>
      </c>
    </row>
    <row r="195" spans="5:38">
      <c r="E195" s="3453" t="s">
        <v>5170</v>
      </c>
      <c r="F195" s="3371" t="s">
        <v>5171</v>
      </c>
      <c r="G195" s="3438" t="s">
        <v>3805</v>
      </c>
      <c r="O195" s="3449"/>
      <c r="P195" s="255"/>
      <c r="Q195" s="255"/>
      <c r="R195" s="3346">
        <v>25000</v>
      </c>
      <c r="S195" s="1711" t="b">
        <v>1</v>
      </c>
      <c r="T195" s="569">
        <v>25000</v>
      </c>
      <c r="AH195" s="1711">
        <v>189</v>
      </c>
      <c r="AI195" s="1711" t="s">
        <v>5260</v>
      </c>
      <c r="AJ195" s="3346" t="str">
        <f t="shared" si="25"/>
        <v/>
      </c>
      <c r="AL195" s="3474" t="str">
        <f t="shared" si="24"/>
        <v>Errors &amp; Omissions - Aggregate Limit</v>
      </c>
    </row>
    <row r="196" spans="5:38">
      <c r="E196" s="3453" t="s">
        <v>5172</v>
      </c>
      <c r="F196" s="3371" t="s">
        <v>5173</v>
      </c>
      <c r="G196" s="3438" t="s">
        <v>3805</v>
      </c>
      <c r="O196" s="3449"/>
      <c r="P196" s="255"/>
      <c r="Q196" s="3433"/>
      <c r="R196" s="3346">
        <v>50000</v>
      </c>
      <c r="S196" s="1711" t="b">
        <v>1</v>
      </c>
      <c r="T196" s="569">
        <v>50000</v>
      </c>
      <c r="AH196" s="1711">
        <v>190</v>
      </c>
      <c r="AI196" s="1711" t="s">
        <v>5261</v>
      </c>
      <c r="AJ196" s="3346" t="str">
        <f t="shared" si="25"/>
        <v/>
      </c>
      <c r="AL196" s="3474" t="str">
        <f t="shared" si="24"/>
        <v>E&amp;O - Basis of coverage</v>
      </c>
    </row>
    <row r="197" spans="5:38">
      <c r="E197" s="3453" t="s">
        <v>5174</v>
      </c>
      <c r="F197" s="3371" t="s">
        <v>5175</v>
      </c>
      <c r="G197" s="3438" t="s">
        <v>5176</v>
      </c>
      <c r="R197" s="3346">
        <v>100000</v>
      </c>
      <c r="S197" s="1711" t="b">
        <v>1</v>
      </c>
      <c r="T197" s="569">
        <v>100000</v>
      </c>
      <c r="AH197" s="1711">
        <v>191</v>
      </c>
      <c r="AI197" s="1711" t="s">
        <v>5262</v>
      </c>
      <c r="AJ197" s="3346" t="str">
        <f t="shared" si="25"/>
        <v/>
      </c>
      <c r="AL197" s="3474" t="str">
        <f t="shared" si="24"/>
        <v>E&amp;O deductible</v>
      </c>
    </row>
    <row r="198" spans="5:38">
      <c r="E198" s="3357">
        <v>1000100</v>
      </c>
      <c r="F198" s="3371" t="s">
        <v>4985</v>
      </c>
      <c r="G198" s="3396">
        <v>2000000</v>
      </c>
      <c r="R198" s="3346">
        <v>250000</v>
      </c>
      <c r="S198" s="1711" t="b">
        <v>1</v>
      </c>
      <c r="T198" s="569">
        <v>250000</v>
      </c>
      <c r="AH198" s="1711">
        <v>192</v>
      </c>
      <c r="AI198" s="1711" t="s">
        <v>5111</v>
      </c>
      <c r="AJ198" s="3346" t="str">
        <f t="shared" si="25"/>
        <v/>
      </c>
      <c r="AL198" s="3474" t="str">
        <f t="shared" si="24"/>
        <v>Defence costs in addition to limit</v>
      </c>
    </row>
    <row r="199" spans="5:38">
      <c r="E199" s="3357" t="s">
        <v>4987</v>
      </c>
      <c r="F199" s="3371" t="s">
        <v>4988</v>
      </c>
      <c r="G199" s="3389"/>
      <c r="R199" s="3346">
        <v>500000</v>
      </c>
      <c r="S199" s="1711" t="b">
        <v>1</v>
      </c>
      <c r="T199" s="569">
        <v>250000</v>
      </c>
      <c r="AH199" s="1711">
        <v>193</v>
      </c>
      <c r="AI199" s="1711" t="s">
        <v>5263</v>
      </c>
      <c r="AJ199" s="3346" t="str">
        <f t="shared" si="25"/>
        <v/>
      </c>
      <c r="AL199" s="3474" t="str">
        <f t="shared" ref="AL199:AL232" si="26">IF(ISERROR(VLOOKUP(AI199,$AF$6:$AF$971,1,FALSE))=TRUE,AI199,"")</f>
        <v>First dollar defence coverage</v>
      </c>
    </row>
    <row r="200" spans="5:38">
      <c r="E200" s="3357">
        <v>1000360</v>
      </c>
      <c r="F200" s="3371" t="s">
        <v>4990</v>
      </c>
      <c r="G200" s="3372"/>
      <c r="R200" s="3346">
        <v>1000000</v>
      </c>
      <c r="S200" s="1711" t="b">
        <v>1</v>
      </c>
      <c r="T200" s="569">
        <v>250000</v>
      </c>
      <c r="AH200" s="1711">
        <v>194</v>
      </c>
      <c r="AI200" s="1711" t="s">
        <v>5264</v>
      </c>
      <c r="AJ200" s="3346" t="str">
        <f t="shared" si="25"/>
        <v/>
      </c>
      <c r="AL200" s="3474" t="str">
        <f t="shared" si="26"/>
        <v>E&amp;O Retroactive date</v>
      </c>
    </row>
    <row r="201" spans="5:38">
      <c r="E201" s="3357">
        <v>1000190</v>
      </c>
      <c r="F201" s="3371" t="s">
        <v>4992</v>
      </c>
      <c r="G201" s="3389"/>
      <c r="R201" s="3346">
        <v>2000000</v>
      </c>
      <c r="S201" s="1711" t="b">
        <v>1</v>
      </c>
      <c r="T201" s="569">
        <v>250000</v>
      </c>
      <c r="AH201" s="1711">
        <v>195</v>
      </c>
      <c r="AI201" s="1711" t="s">
        <v>5113</v>
      </c>
      <c r="AJ201" s="3346" t="str">
        <f t="shared" si="25"/>
        <v/>
      </c>
      <c r="AL201" s="3474" t="str">
        <f t="shared" si="26"/>
        <v>Tenant's Improvements</v>
      </c>
    </row>
    <row r="202" spans="5:38">
      <c r="E202" s="3357" t="s">
        <v>4994</v>
      </c>
      <c r="F202" s="3371" t="s">
        <v>4995</v>
      </c>
      <c r="G202" s="3389"/>
      <c r="R202" s="3346">
        <v>5000000</v>
      </c>
      <c r="S202" s="1711" t="b">
        <v>1</v>
      </c>
      <c r="T202" s="569">
        <v>250000</v>
      </c>
      <c r="AH202" s="1711">
        <v>196</v>
      </c>
      <c r="AI202" s="1711" t="s">
        <v>5265</v>
      </c>
      <c r="AJ202" s="3346" t="str">
        <f t="shared" si="25"/>
        <v/>
      </c>
      <c r="AL202" s="3474" t="str">
        <f t="shared" si="26"/>
        <v>Territory of coverage</v>
      </c>
    </row>
    <row r="203" spans="5:38">
      <c r="E203" s="3357">
        <v>1000220</v>
      </c>
      <c r="F203" s="3371" t="s">
        <v>4998</v>
      </c>
      <c r="G203" s="3389"/>
      <c r="R203" s="3346" t="s">
        <v>4986</v>
      </c>
      <c r="S203" s="1711" t="b">
        <v>0</v>
      </c>
      <c r="T203" s="569">
        <v>0</v>
      </c>
      <c r="AH203" s="1711">
        <v>197</v>
      </c>
      <c r="AI203" s="1711" t="s">
        <v>5266</v>
      </c>
      <c r="AJ203" s="3346" t="str">
        <f t="shared" si="25"/>
        <v/>
      </c>
      <c r="AL203" s="3474" t="str">
        <f t="shared" si="26"/>
        <v>Territory of suit</v>
      </c>
    </row>
    <row r="204" spans="5:38">
      <c r="E204" s="3357">
        <v>1000210</v>
      </c>
      <c r="F204" s="3371" t="s">
        <v>5000</v>
      </c>
      <c r="G204" s="3389"/>
      <c r="R204" s="3346"/>
      <c r="T204" s="569"/>
      <c r="AH204" s="1711">
        <v>198</v>
      </c>
      <c r="AI204" s="1711" t="s">
        <v>5267</v>
      </c>
      <c r="AJ204" s="3346" t="str">
        <f t="shared" si="25"/>
        <v/>
      </c>
      <c r="AL204" s="3474" t="str">
        <f t="shared" si="26"/>
        <v>Loss of documents</v>
      </c>
    </row>
    <row r="205" spans="5:38">
      <c r="E205" s="3357" t="s">
        <v>5001</v>
      </c>
      <c r="F205" s="3371" t="s">
        <v>5002</v>
      </c>
      <c r="G205" s="3389"/>
      <c r="R205" s="3346"/>
      <c r="T205" s="569"/>
      <c r="AH205" s="1711">
        <v>199</v>
      </c>
      <c r="AI205" s="1711" t="s">
        <v>5268</v>
      </c>
      <c r="AJ205" s="3346" t="str">
        <f t="shared" ref="AJ205:AJ232" si="27">IFERROR(IF($AJ$7&lt;&gt;"Quote","",IF(VLOOKUP(AI205,$AF$7:$AG$169,2,FALSE)=0,"-",VLOOKUP(AI205,$AF$7:$AG$169,2,FALSE))),"-")</f>
        <v/>
      </c>
      <c r="AL205" s="3474" t="str">
        <f t="shared" si="26"/>
        <v>Libel &amp; slander</v>
      </c>
    </row>
    <row r="206" spans="5:38">
      <c r="E206" s="3357">
        <v>1000380</v>
      </c>
      <c r="F206" s="3371" t="s">
        <v>5004</v>
      </c>
      <c r="G206" s="3372"/>
      <c r="O206" s="3385" t="s">
        <v>5114</v>
      </c>
      <c r="R206" s="3346"/>
      <c r="T206" s="569"/>
      <c r="AH206" s="1711">
        <v>200</v>
      </c>
      <c r="AI206" s="1711" t="s">
        <v>5269</v>
      </c>
      <c r="AJ206" s="3346" t="str">
        <f t="shared" si="27"/>
        <v/>
      </c>
      <c r="AL206" s="3474" t="str">
        <f t="shared" si="26"/>
        <v>Breach of copyright</v>
      </c>
    </row>
    <row r="207" spans="5:38">
      <c r="E207" s="3357">
        <v>1000370</v>
      </c>
      <c r="F207" s="3371" t="s">
        <v>5199</v>
      </c>
      <c r="G207" s="3372"/>
      <c r="O207" s="3390" t="s">
        <v>4959</v>
      </c>
      <c r="Q207" s="3391" t="s">
        <v>4960</v>
      </c>
      <c r="R207" s="3448" t="s">
        <v>4961</v>
      </c>
      <c r="S207" s="1483" t="s">
        <v>4962</v>
      </c>
      <c r="T207" s="3392" t="s">
        <v>4962</v>
      </c>
      <c r="U207" s="1483" t="s">
        <v>4963</v>
      </c>
      <c r="AH207" s="1711">
        <v>201</v>
      </c>
      <c r="AI207" s="1711" t="s">
        <v>5270</v>
      </c>
      <c r="AJ207" s="3346" t="str">
        <f t="shared" si="27"/>
        <v/>
      </c>
      <c r="AL207" s="3474" t="str">
        <f t="shared" si="26"/>
        <v>Breach of confidence</v>
      </c>
    </row>
    <row r="208" spans="5:38">
      <c r="E208" s="3357">
        <v>1000180</v>
      </c>
      <c r="F208" s="3371" t="s">
        <v>5006</v>
      </c>
      <c r="G208" s="3389"/>
      <c r="O208" s="3332" t="s">
        <v>5115</v>
      </c>
      <c r="Q208" s="3393">
        <f>C114</f>
        <v>0</v>
      </c>
      <c r="R208" s="3346" t="s">
        <v>4966</v>
      </c>
      <c r="S208" s="1711" t="b">
        <v>0</v>
      </c>
      <c r="T208" s="569">
        <v>0</v>
      </c>
      <c r="U208" s="576" t="b">
        <f>IFERROR(VLOOKUP($Q$215,$R$208:$T$218,2,FALSE),FALSE)</f>
        <v>0</v>
      </c>
      <c r="AH208" s="1711">
        <v>202</v>
      </c>
      <c r="AI208" s="1711" t="s">
        <v>5271</v>
      </c>
      <c r="AJ208" s="3346" t="str">
        <f t="shared" si="27"/>
        <v/>
      </c>
      <c r="AL208" s="3474" t="str">
        <f t="shared" si="26"/>
        <v>Medical expenses - each occurrence</v>
      </c>
    </row>
    <row r="209" spans="5:38">
      <c r="E209" s="3357" t="s">
        <v>5008</v>
      </c>
      <c r="F209" s="3371" t="s">
        <v>5009</v>
      </c>
      <c r="G209" s="3389"/>
      <c r="O209" s="3332" t="s">
        <v>5116</v>
      </c>
      <c r="Q209" s="53">
        <f>C115</f>
        <v>0</v>
      </c>
      <c r="R209" s="3346">
        <v>0</v>
      </c>
      <c r="S209" s="1711" t="b">
        <v>0</v>
      </c>
      <c r="T209" s="569">
        <v>0</v>
      </c>
      <c r="U209" s="576">
        <f>IFERROR(VLOOKUP($Q$215,$R$208:$T$218,3,FALSE),0)</f>
        <v>0</v>
      </c>
      <c r="AH209" s="1711">
        <v>203</v>
      </c>
      <c r="AI209" s="1711" t="s">
        <v>5272</v>
      </c>
      <c r="AJ209" s="3346" t="str">
        <f t="shared" si="27"/>
        <v/>
      </c>
      <c r="AL209" s="3474" t="str">
        <f t="shared" si="26"/>
        <v>Interruption by Civil Authority</v>
      </c>
    </row>
    <row r="210" spans="5:38">
      <c r="E210" s="3357">
        <v>1000310</v>
      </c>
      <c r="F210" s="3371" t="s">
        <v>5010</v>
      </c>
      <c r="G210" s="3389">
        <v>50000</v>
      </c>
      <c r="O210" s="3332" t="s">
        <v>5198</v>
      </c>
      <c r="Q210" s="1711">
        <f>IF(Q208="Other",Q209,Q208)</f>
        <v>0</v>
      </c>
      <c r="R210" s="3346">
        <v>25000</v>
      </c>
      <c r="S210" s="1711" t="b">
        <v>1</v>
      </c>
      <c r="T210" s="569">
        <v>25000</v>
      </c>
      <c r="AH210" s="1711">
        <v>204</v>
      </c>
      <c r="AI210" s="1711" t="s">
        <v>5273</v>
      </c>
      <c r="AJ210" s="3346" t="str">
        <f t="shared" si="27"/>
        <v/>
      </c>
      <c r="AL210" s="3474" t="str">
        <f t="shared" si="26"/>
        <v>Earthquake Deductible</v>
      </c>
    </row>
    <row r="211" spans="5:38">
      <c r="E211" s="3357" t="s">
        <v>5011</v>
      </c>
      <c r="F211" s="3371" t="s">
        <v>5012</v>
      </c>
      <c r="G211" s="3389"/>
      <c r="Q211" s="1807"/>
      <c r="R211" s="3346">
        <v>50000</v>
      </c>
      <c r="S211" s="1711" t="b">
        <v>1</v>
      </c>
      <c r="T211" s="569">
        <v>50000</v>
      </c>
      <c r="AH211" s="1711">
        <v>205</v>
      </c>
      <c r="AI211" s="1711" t="s">
        <v>5274</v>
      </c>
      <c r="AJ211" s="3346" t="str">
        <f t="shared" si="27"/>
        <v/>
      </c>
      <c r="AL211" s="3474" t="str">
        <f t="shared" si="26"/>
        <v/>
      </c>
    </row>
    <row r="212" spans="5:38">
      <c r="E212" s="3357">
        <v>1000300</v>
      </c>
      <c r="F212" s="3371" t="s">
        <v>5205</v>
      </c>
      <c r="G212" s="3372">
        <v>50000</v>
      </c>
      <c r="O212" s="3332" t="s">
        <v>5193</v>
      </c>
      <c r="Q212" s="3394">
        <f>IF(ISNUMBER(Q210)=FALSE,IFERROR(VLOOKUP(Q210,R208:R218,1,FALSE),"Not required"),IF(Q210&gt;R217,R217,IFERROR(VLOOKUP(Q210,R208:R218,1,FALSE),"No match")))</f>
        <v>0</v>
      </c>
      <c r="R212" s="3346">
        <v>100000</v>
      </c>
      <c r="S212" s="1711" t="b">
        <v>1</v>
      </c>
      <c r="T212" s="569">
        <v>100000</v>
      </c>
      <c r="AH212" s="1711">
        <v>206</v>
      </c>
      <c r="AI212" s="1711" t="s">
        <v>3521</v>
      </c>
      <c r="AJ212" s="3346" t="str">
        <f t="shared" si="27"/>
        <v/>
      </c>
      <c r="AL212" s="3474" t="str">
        <f t="shared" si="26"/>
        <v/>
      </c>
    </row>
    <row r="213" spans="5:38">
      <c r="E213" s="3357" t="s">
        <v>5206</v>
      </c>
      <c r="F213" s="3371" t="s">
        <v>5207</v>
      </c>
      <c r="G213" s="3372"/>
      <c r="O213" s="3332" t="s">
        <v>4973</v>
      </c>
      <c r="Q213" s="3395">
        <f>MATCH(VLOOKUP(Q210,R208:R218,1,TRUE),R208:R218,0)</f>
        <v>2</v>
      </c>
      <c r="R213" s="3346">
        <v>250000</v>
      </c>
      <c r="S213" s="1711" t="b">
        <v>1</v>
      </c>
      <c r="T213" s="569">
        <v>250000</v>
      </c>
      <c r="AH213" s="1711">
        <v>207</v>
      </c>
      <c r="AI213" s="1711" t="s">
        <v>5275</v>
      </c>
      <c r="AJ213" s="3346" t="str">
        <f t="shared" si="27"/>
        <v/>
      </c>
      <c r="AL213" s="3474" t="str">
        <f t="shared" si="26"/>
        <v>Broker fees</v>
      </c>
    </row>
    <row r="214" spans="5:38">
      <c r="E214" s="3357">
        <v>1000230</v>
      </c>
      <c r="F214" s="3371" t="s">
        <v>5218</v>
      </c>
      <c r="G214" s="3372" t="s">
        <v>5321</v>
      </c>
      <c r="O214" s="3332" t="s">
        <v>4976</v>
      </c>
      <c r="Q214" s="3395" cm="1">
        <f t="array" ref="Q214">INDEX(R208:R218,Q213+1)</f>
        <v>25000</v>
      </c>
      <c r="R214" s="3346">
        <v>500000</v>
      </c>
      <c r="S214" s="1711" t="b">
        <v>1</v>
      </c>
      <c r="T214" s="569">
        <v>500000</v>
      </c>
      <c r="AH214" s="1711">
        <v>208</v>
      </c>
      <c r="AI214" s="1711" t="s">
        <v>5220</v>
      </c>
      <c r="AJ214" s="3486" t="str">
        <f t="shared" si="27"/>
        <v/>
      </c>
      <c r="AL214" s="3474" t="str">
        <f t="shared" si="26"/>
        <v/>
      </c>
    </row>
    <row r="215" spans="5:38">
      <c r="E215" s="3357">
        <v>1000240</v>
      </c>
      <c r="F215" s="3371" t="s">
        <v>5213</v>
      </c>
      <c r="G215" s="3372"/>
      <c r="O215" s="3332" t="s">
        <v>4979</v>
      </c>
      <c r="Q215" s="3395">
        <f>IF(Q212="No match",Q214,Q212)</f>
        <v>0</v>
      </c>
      <c r="R215" s="3346">
        <v>1000000</v>
      </c>
      <c r="S215" s="1711" t="b">
        <v>1</v>
      </c>
      <c r="T215" s="569">
        <v>1000000</v>
      </c>
      <c r="AH215" s="1711">
        <v>209</v>
      </c>
      <c r="AI215" s="1711" t="s">
        <v>5276</v>
      </c>
      <c r="AJ215" s="3346" t="str">
        <f t="shared" si="27"/>
        <v/>
      </c>
      <c r="AL215" s="3474" t="str">
        <f t="shared" si="26"/>
        <v/>
      </c>
    </row>
    <row r="216" spans="5:38">
      <c r="E216" s="3357">
        <v>1000250</v>
      </c>
      <c r="F216" s="3371" t="s">
        <v>5214</v>
      </c>
      <c r="G216" s="3372"/>
      <c r="R216" s="3346">
        <v>2000000</v>
      </c>
      <c r="S216" s="1711" t="b">
        <v>1</v>
      </c>
      <c r="T216" s="569">
        <v>1000000</v>
      </c>
      <c r="AH216" s="1711">
        <v>210</v>
      </c>
      <c r="AI216" s="1711" t="s">
        <v>5222</v>
      </c>
      <c r="AJ216" s="3472" t="str">
        <f t="shared" si="27"/>
        <v/>
      </c>
      <c r="AL216" s="3474" t="str">
        <f t="shared" si="26"/>
        <v/>
      </c>
    </row>
    <row r="217" spans="5:38">
      <c r="E217" s="3357">
        <v>1000260</v>
      </c>
      <c r="F217" s="3371" t="s">
        <v>5215</v>
      </c>
      <c r="G217" s="3372">
        <v>10000</v>
      </c>
      <c r="R217" s="3346">
        <v>5000000</v>
      </c>
      <c r="S217" s="1711" t="b">
        <v>1</v>
      </c>
      <c r="T217" s="569">
        <v>1000000</v>
      </c>
      <c r="AH217" s="1711">
        <v>211</v>
      </c>
      <c r="AI217" s="1711" t="s">
        <v>5277</v>
      </c>
      <c r="AJ217" s="3346" t="str">
        <f t="shared" si="27"/>
        <v/>
      </c>
      <c r="AL217" s="3474" t="str">
        <f t="shared" si="26"/>
        <v>Quote reference</v>
      </c>
    </row>
    <row r="218" spans="5:38">
      <c r="E218" s="3357">
        <v>1000270</v>
      </c>
      <c r="F218" s="3371" t="s">
        <v>5216</v>
      </c>
      <c r="G218" s="3372"/>
      <c r="R218" s="3346" t="s">
        <v>4986</v>
      </c>
      <c r="S218" s="1711" t="b">
        <v>0</v>
      </c>
      <c r="T218" s="569">
        <v>0</v>
      </c>
      <c r="AH218" s="1711">
        <v>212</v>
      </c>
      <c r="AI218" s="1711" t="s">
        <v>5278</v>
      </c>
      <c r="AJ218" s="3346" t="str">
        <f t="shared" si="27"/>
        <v/>
      </c>
      <c r="AL218" s="3474" t="str">
        <f t="shared" si="26"/>
        <v/>
      </c>
    </row>
    <row r="219" spans="5:38">
      <c r="E219" s="3357">
        <v>10001</v>
      </c>
      <c r="F219" s="3371" t="s">
        <v>5013</v>
      </c>
      <c r="G219" s="3372"/>
      <c r="R219" s="3346"/>
      <c r="T219" s="569"/>
      <c r="AH219" s="1711">
        <v>213</v>
      </c>
      <c r="AI219" s="1711" t="s">
        <v>5279</v>
      </c>
      <c r="AJ219" s="3346" t="str">
        <f t="shared" si="27"/>
        <v/>
      </c>
      <c r="AL219" s="3474" t="str">
        <f t="shared" si="26"/>
        <v/>
      </c>
    </row>
    <row r="220" spans="5:38">
      <c r="E220" s="3357">
        <v>11001</v>
      </c>
      <c r="F220" s="3350" t="s">
        <v>5015</v>
      </c>
      <c r="G220" s="3372"/>
      <c r="O220" s="3385" t="s">
        <v>5117</v>
      </c>
      <c r="R220" s="3346"/>
      <c r="T220" s="569"/>
      <c r="AH220" s="1711">
        <v>214</v>
      </c>
      <c r="AI220" s="1711" t="s">
        <v>5280</v>
      </c>
      <c r="AJ220" s="3346" t="str">
        <f t="shared" si="27"/>
        <v/>
      </c>
      <c r="AL220" s="3474" t="str">
        <f t="shared" si="26"/>
        <v/>
      </c>
    </row>
    <row r="221" spans="5:38">
      <c r="E221" s="3357">
        <v>11045</v>
      </c>
      <c r="F221" s="3350" t="s">
        <v>5016</v>
      </c>
      <c r="G221" s="3372"/>
      <c r="O221" s="3390" t="s">
        <v>4959</v>
      </c>
      <c r="Q221" s="3391" t="s">
        <v>4960</v>
      </c>
      <c r="R221" s="3448" t="s">
        <v>4961</v>
      </c>
      <c r="S221" s="1483" t="s">
        <v>4962</v>
      </c>
      <c r="T221" s="3392" t="s">
        <v>4962</v>
      </c>
      <c r="U221" s="1483" t="s">
        <v>4963</v>
      </c>
      <c r="AH221" s="1711">
        <v>215</v>
      </c>
      <c r="AI221" s="1711" t="s">
        <v>308</v>
      </c>
      <c r="AJ221" s="3346" t="str">
        <f t="shared" si="27"/>
        <v/>
      </c>
      <c r="AL221" s="3474" t="str">
        <f t="shared" si="26"/>
        <v/>
      </c>
    </row>
    <row r="222" spans="5:38">
      <c r="E222" s="3357">
        <v>14500</v>
      </c>
      <c r="F222" s="3350" t="s">
        <v>5017</v>
      </c>
      <c r="G222" s="3372"/>
      <c r="O222" s="3332" t="s">
        <v>5118</v>
      </c>
      <c r="Q222" s="3399">
        <f>C116</f>
        <v>0</v>
      </c>
      <c r="R222" s="3346" t="s">
        <v>4966</v>
      </c>
      <c r="S222" s="1711" t="b">
        <v>0</v>
      </c>
      <c r="T222" s="569">
        <v>0</v>
      </c>
      <c r="U222" s="576" t="b">
        <f>IFERROR(VLOOKUP($Q$222,$R$222:$T$231,2,FALSE),FALSE)</f>
        <v>0</v>
      </c>
      <c r="AH222" s="1711">
        <v>216</v>
      </c>
      <c r="AI222" s="3471" t="s">
        <v>5283</v>
      </c>
      <c r="AJ222" s="3346" t="str">
        <f t="shared" si="27"/>
        <v/>
      </c>
      <c r="AL222" s="3474" t="str">
        <f t="shared" si="26"/>
        <v/>
      </c>
    </row>
    <row r="223" spans="5:38">
      <c r="E223" s="3357">
        <v>13720</v>
      </c>
      <c r="F223" s="3350" t="s">
        <v>5019</v>
      </c>
      <c r="G223" s="3372"/>
      <c r="Q223" s="3433"/>
      <c r="R223" s="3346">
        <v>25000</v>
      </c>
      <c r="S223" s="1711" t="b">
        <v>1</v>
      </c>
      <c r="T223" s="569">
        <v>25000</v>
      </c>
      <c r="U223" s="576">
        <f>IFERROR(VLOOKUP($Q$222,$R$222:$T$231,3,FALSE),0)</f>
        <v>0</v>
      </c>
      <c r="AH223" s="1711">
        <v>217</v>
      </c>
      <c r="AI223" s="3471" t="s">
        <v>5284</v>
      </c>
      <c r="AJ223" s="3346" t="str">
        <f t="shared" si="27"/>
        <v/>
      </c>
      <c r="AL223" s="3474" t="str">
        <f t="shared" si="26"/>
        <v/>
      </c>
    </row>
    <row r="224" spans="5:38">
      <c r="E224" s="3357">
        <v>12720</v>
      </c>
      <c r="F224" s="3350" t="s">
        <v>5021</v>
      </c>
      <c r="G224" s="3372"/>
      <c r="R224" s="3346">
        <v>50000</v>
      </c>
      <c r="S224" s="1711" t="b">
        <v>1</v>
      </c>
      <c r="T224" s="569">
        <v>50000</v>
      </c>
      <c r="AH224" s="1711">
        <v>218</v>
      </c>
      <c r="AI224" s="3471" t="s">
        <v>5285</v>
      </c>
      <c r="AJ224" s="3346" t="str">
        <f t="shared" si="27"/>
        <v/>
      </c>
      <c r="AL224" s="3474" t="str">
        <f t="shared" si="26"/>
        <v/>
      </c>
    </row>
    <row r="225" spans="5:38">
      <c r="E225" s="3357">
        <v>11920</v>
      </c>
      <c r="F225" s="3350" t="s">
        <v>5023</v>
      </c>
      <c r="G225" s="3372"/>
      <c r="R225" s="3346">
        <v>100000</v>
      </c>
      <c r="S225" s="1711" t="b">
        <v>1</v>
      </c>
      <c r="T225" s="569">
        <v>50000</v>
      </c>
      <c r="AH225" s="1711">
        <v>219</v>
      </c>
      <c r="AI225" s="1711" t="s">
        <v>5310</v>
      </c>
      <c r="AJ225" s="3346" t="str">
        <f t="shared" si="27"/>
        <v/>
      </c>
      <c r="AL225" s="3474" t="str">
        <f t="shared" si="26"/>
        <v>Water damage</v>
      </c>
    </row>
    <row r="226" spans="5:38">
      <c r="E226" s="3357">
        <v>12800</v>
      </c>
      <c r="F226" s="3350" t="s">
        <v>5024</v>
      </c>
      <c r="G226" s="3372"/>
      <c r="R226" s="3346">
        <v>250000</v>
      </c>
      <c r="S226" s="1711" t="b">
        <v>1</v>
      </c>
      <c r="T226" s="569">
        <v>50000</v>
      </c>
      <c r="AH226" s="1711">
        <v>220</v>
      </c>
      <c r="AI226" s="1711" t="s">
        <v>5311</v>
      </c>
      <c r="AJ226" s="3346" t="str">
        <f t="shared" si="27"/>
        <v/>
      </c>
      <c r="AL226" s="3474" t="str">
        <f t="shared" si="26"/>
        <v>Sewer Backup Deductible</v>
      </c>
    </row>
    <row r="227" spans="5:38">
      <c r="E227" s="3357">
        <v>13320</v>
      </c>
      <c r="F227" s="3350" t="s">
        <v>5025</v>
      </c>
      <c r="G227" s="3372"/>
      <c r="R227" s="3346">
        <v>500000</v>
      </c>
      <c r="S227" s="1711" t="b">
        <v>1</v>
      </c>
      <c r="T227" s="569">
        <v>50000</v>
      </c>
      <c r="AH227" s="1711">
        <v>221</v>
      </c>
      <c r="AI227" s="1711" t="s">
        <v>5312</v>
      </c>
      <c r="AJ227" s="3346" t="str">
        <f t="shared" si="27"/>
        <v/>
      </c>
      <c r="AL227" s="3474" t="str">
        <f t="shared" si="26"/>
        <v>Vandalism by Tenants</v>
      </c>
    </row>
    <row r="228" spans="5:38">
      <c r="E228" s="3357">
        <v>14550</v>
      </c>
      <c r="F228" s="3350" t="s">
        <v>5026</v>
      </c>
      <c r="G228" s="3372"/>
      <c r="R228" s="3346">
        <v>1000000</v>
      </c>
      <c r="S228" s="1711" t="b">
        <v>1</v>
      </c>
      <c r="T228" s="569">
        <v>50000</v>
      </c>
      <c r="AH228" s="1711">
        <v>222</v>
      </c>
      <c r="AI228" s="1711" t="s">
        <v>5313</v>
      </c>
      <c r="AJ228" s="3346" t="str">
        <f t="shared" si="27"/>
        <v/>
      </c>
      <c r="AL228" s="3474" t="str">
        <f t="shared" si="26"/>
        <v>Vandalism by Tenants Deductible</v>
      </c>
    </row>
    <row r="229" spans="5:38">
      <c r="E229" s="3357">
        <v>13000</v>
      </c>
      <c r="F229" s="3350" t="s">
        <v>5027</v>
      </c>
      <c r="G229" s="3372"/>
      <c r="R229" s="3346">
        <v>2000000</v>
      </c>
      <c r="S229" s="1711" t="b">
        <v>1</v>
      </c>
      <c r="T229" s="569">
        <v>50000</v>
      </c>
      <c r="AH229" s="1711">
        <v>223</v>
      </c>
      <c r="AI229" s="1711" t="s">
        <v>5314</v>
      </c>
      <c r="AJ229" s="3346" t="str">
        <f t="shared" si="27"/>
        <v/>
      </c>
      <c r="AL229" s="3474" t="str">
        <f t="shared" si="26"/>
        <v>Cooking in rooms exclusion</v>
      </c>
    </row>
    <row r="230" spans="5:38">
      <c r="E230" s="3357">
        <v>11710</v>
      </c>
      <c r="F230" s="3350" t="s">
        <v>5028</v>
      </c>
      <c r="G230" s="3372"/>
      <c r="R230" s="3346">
        <v>5000000</v>
      </c>
      <c r="S230" s="1711" t="b">
        <v>1</v>
      </c>
      <c r="T230" s="569">
        <v>50000</v>
      </c>
      <c r="AH230" s="1711">
        <v>224</v>
      </c>
      <c r="AI230" s="1711" t="s">
        <v>5315</v>
      </c>
      <c r="AJ230" s="3346" t="str">
        <f t="shared" si="27"/>
        <v/>
      </c>
      <c r="AL230" s="3474" t="str">
        <f t="shared" si="26"/>
        <v>Smoke Detector Warranty</v>
      </c>
    </row>
    <row r="231" spans="5:38">
      <c r="E231" s="3357">
        <v>11705</v>
      </c>
      <c r="F231" s="3350" t="s">
        <v>5029</v>
      </c>
      <c r="G231" s="3372"/>
      <c r="R231" s="3346" t="s">
        <v>4986</v>
      </c>
      <c r="S231" s="1711" t="b">
        <v>0</v>
      </c>
      <c r="T231" s="569">
        <v>0</v>
      </c>
      <c r="AH231" s="1711">
        <v>225</v>
      </c>
      <c r="AI231" s="1711" t="s">
        <v>5306</v>
      </c>
      <c r="AJ231" s="3346" t="str">
        <f t="shared" si="27"/>
        <v/>
      </c>
      <c r="AL231" s="3474" t="str">
        <f t="shared" si="26"/>
        <v/>
      </c>
    </row>
    <row r="232" spans="5:38">
      <c r="E232" s="3357">
        <v>11715</v>
      </c>
      <c r="F232" s="3350" t="s">
        <v>5030</v>
      </c>
      <c r="G232" s="3372"/>
      <c r="R232" s="3346"/>
      <c r="T232" s="569"/>
      <c r="AH232" s="1711">
        <v>226</v>
      </c>
      <c r="AI232" s="1711" t="s">
        <v>5307</v>
      </c>
      <c r="AJ232" s="3346" t="str">
        <f t="shared" si="27"/>
        <v/>
      </c>
      <c r="AL232" s="3474" t="str">
        <f t="shared" si="26"/>
        <v/>
      </c>
    </row>
    <row r="233" spans="5:38">
      <c r="E233" s="3357">
        <v>14580</v>
      </c>
      <c r="F233" s="3350" t="s">
        <v>5032</v>
      </c>
      <c r="G233" s="3372"/>
      <c r="O233" s="3385" t="s">
        <v>5194</v>
      </c>
      <c r="R233" s="3346"/>
      <c r="T233" s="569"/>
      <c r="AH233" s="1711">
        <v>227</v>
      </c>
      <c r="AI233" s="1711" t="s">
        <v>5338</v>
      </c>
      <c r="AJ233" s="3346" t="str">
        <f t="shared" ref="AJ233:AJ243" si="28">IFERROR(IF($AJ$7&lt;&gt;"Quote","",IF(VLOOKUP(AI233,$AF$7:$AG$169,2,FALSE)=0,"-",VLOOKUP(AI233,$AF$7:$AG$169,2,FALSE))),"-")</f>
        <v/>
      </c>
      <c r="AL233" s="3474" t="str">
        <f t="shared" ref="AL233:AL241" si="29">IF(ISERROR(VLOOKUP(AI233,$AF$6:$AF$971,1,FALSE))=TRUE,AI233,"")</f>
        <v/>
      </c>
    </row>
    <row r="234" spans="5:38">
      <c r="E234" s="3357">
        <v>13900</v>
      </c>
      <c r="F234" s="3350" t="s">
        <v>5033</v>
      </c>
      <c r="G234" s="3372"/>
      <c r="O234" s="3390" t="s">
        <v>4959</v>
      </c>
      <c r="Q234" s="3391" t="s">
        <v>4960</v>
      </c>
      <c r="R234" s="3448" t="s">
        <v>4961</v>
      </c>
      <c r="S234" s="1483" t="s">
        <v>4962</v>
      </c>
      <c r="T234" s="3392" t="s">
        <v>4962</v>
      </c>
      <c r="U234" s="1483" t="s">
        <v>4963</v>
      </c>
      <c r="AH234" s="1711">
        <v>228</v>
      </c>
      <c r="AI234" s="1711" t="s">
        <v>5329</v>
      </c>
      <c r="AJ234" s="3346" t="str">
        <f t="shared" si="28"/>
        <v/>
      </c>
      <c r="AL234" s="3474" t="str">
        <f t="shared" si="29"/>
        <v/>
      </c>
    </row>
    <row r="235" spans="5:38">
      <c r="E235" s="3357">
        <v>13910</v>
      </c>
      <c r="F235" s="3350" t="s">
        <v>5034</v>
      </c>
      <c r="G235" s="3372"/>
      <c r="O235" s="3332" t="s">
        <v>5195</v>
      </c>
      <c r="Q235" s="3399">
        <f>$C$117</f>
        <v>0</v>
      </c>
      <c r="R235" s="3346" t="s">
        <v>4966</v>
      </c>
      <c r="S235" s="1711" t="b">
        <v>0</v>
      </c>
      <c r="T235" s="569">
        <v>0</v>
      </c>
      <c r="U235" s="576" t="b">
        <f>IFERROR(VLOOKUP($Q$235,$R$235:$T$244,2,FALSE),FALSE)</f>
        <v>0</v>
      </c>
      <c r="AH235" s="1711">
        <v>229</v>
      </c>
      <c r="AI235" s="1711" t="s">
        <v>5330</v>
      </c>
      <c r="AJ235" s="3346" t="str">
        <f t="shared" si="28"/>
        <v/>
      </c>
      <c r="AL235" s="3474" t="str">
        <f t="shared" si="29"/>
        <v/>
      </c>
    </row>
    <row r="236" spans="5:38">
      <c r="O236" s="3449"/>
      <c r="P236" s="255"/>
      <c r="Q236" s="3433"/>
      <c r="R236" s="3346">
        <v>25000</v>
      </c>
      <c r="S236" s="1711" t="b">
        <v>1</v>
      </c>
      <c r="T236" s="569">
        <v>25000</v>
      </c>
      <c r="U236" s="576">
        <f>IFERROR(VLOOKUP($Q$235,$R$235:$T$244,3,FALSE),0)</f>
        <v>0</v>
      </c>
      <c r="AH236" s="1711">
        <v>230</v>
      </c>
      <c r="AI236" s="1711" t="s">
        <v>5331</v>
      </c>
      <c r="AJ236" s="3346" t="str">
        <f t="shared" si="28"/>
        <v/>
      </c>
      <c r="AL236" s="3474" t="str">
        <f t="shared" si="29"/>
        <v/>
      </c>
    </row>
    <row r="237" spans="5:38">
      <c r="O237" s="3449"/>
      <c r="P237" s="255"/>
      <c r="Q237" s="255"/>
      <c r="R237" s="3346">
        <v>50000</v>
      </c>
      <c r="S237" s="1711" t="b">
        <v>1</v>
      </c>
      <c r="T237" s="569">
        <v>50000</v>
      </c>
      <c r="AH237" s="1711">
        <v>231</v>
      </c>
      <c r="AI237" s="1711" t="s">
        <v>5332</v>
      </c>
      <c r="AJ237" s="3346" t="str">
        <f t="shared" si="28"/>
        <v/>
      </c>
      <c r="AL237" s="3474" t="str">
        <f t="shared" si="29"/>
        <v/>
      </c>
    </row>
    <row r="238" spans="5:38">
      <c r="R238" s="3346">
        <v>100000</v>
      </c>
      <c r="S238" s="1711" t="b">
        <v>1</v>
      </c>
      <c r="T238" s="569">
        <v>100000</v>
      </c>
      <c r="AH238" s="1711">
        <v>232</v>
      </c>
      <c r="AI238" s="1711" t="s">
        <v>5333</v>
      </c>
      <c r="AJ238" s="3346" t="str">
        <f t="shared" si="28"/>
        <v/>
      </c>
      <c r="AL238" s="3474" t="str">
        <f t="shared" si="29"/>
        <v/>
      </c>
    </row>
    <row r="239" spans="5:38">
      <c r="R239" s="3346">
        <v>250000</v>
      </c>
      <c r="S239" s="1711" t="b">
        <v>1</v>
      </c>
      <c r="T239" s="569">
        <v>250000</v>
      </c>
      <c r="AH239" s="1711">
        <v>233</v>
      </c>
      <c r="AI239" s="1711" t="s">
        <v>5334</v>
      </c>
      <c r="AJ239" s="3346" t="str">
        <f t="shared" si="28"/>
        <v/>
      </c>
      <c r="AL239" s="3474" t="str">
        <f t="shared" si="29"/>
        <v/>
      </c>
    </row>
    <row r="240" spans="5:38">
      <c r="R240" s="3346">
        <v>500000</v>
      </c>
      <c r="S240" s="1711" t="b">
        <v>1</v>
      </c>
      <c r="T240" s="569">
        <v>500000</v>
      </c>
      <c r="AH240" s="1711">
        <v>234</v>
      </c>
      <c r="AI240" s="1711" t="s">
        <v>5335</v>
      </c>
      <c r="AJ240" s="3346" t="str">
        <f t="shared" si="28"/>
        <v/>
      </c>
      <c r="AL240" s="3474" t="str">
        <f t="shared" si="29"/>
        <v/>
      </c>
    </row>
    <row r="241" spans="15:38">
      <c r="R241" s="3346">
        <v>1000000</v>
      </c>
      <c r="S241" s="1711" t="b">
        <v>1</v>
      </c>
      <c r="T241" s="569">
        <v>500000</v>
      </c>
      <c r="AH241" s="1711">
        <v>235</v>
      </c>
      <c r="AI241" s="1711" t="s">
        <v>5336</v>
      </c>
      <c r="AJ241" s="3346" t="str">
        <f t="shared" si="28"/>
        <v/>
      </c>
      <c r="AL241" s="3474" t="str">
        <f t="shared" si="29"/>
        <v/>
      </c>
    </row>
    <row r="242" spans="15:38">
      <c r="R242" s="3346">
        <v>2000000</v>
      </c>
      <c r="S242" s="1711" t="b">
        <v>1</v>
      </c>
      <c r="T242" s="569">
        <v>500000</v>
      </c>
      <c r="AH242" s="1711">
        <v>236</v>
      </c>
      <c r="AI242" s="1711" t="s">
        <v>5337</v>
      </c>
      <c r="AJ242" s="3346" t="str">
        <f t="shared" si="28"/>
        <v/>
      </c>
      <c r="AL242" s="3474" t="str">
        <f t="shared" ref="AL242:AL243" si="30">IF(ISERROR(VLOOKUP(AI242,$AF$6:$AF$971,1,FALSE))=TRUE,AI242,"")</f>
        <v/>
      </c>
    </row>
    <row r="243" spans="15:38">
      <c r="R243" s="3346">
        <v>5000000</v>
      </c>
      <c r="S243" s="1711" t="b">
        <v>1</v>
      </c>
      <c r="T243" s="569">
        <v>500000</v>
      </c>
      <c r="AH243" s="1711">
        <v>237</v>
      </c>
      <c r="AI243" s="1711" t="s">
        <v>5341</v>
      </c>
      <c r="AJ243" s="3346" t="str">
        <f t="shared" si="28"/>
        <v/>
      </c>
      <c r="AL243" s="3474" t="str">
        <f t="shared" si="30"/>
        <v/>
      </c>
    </row>
    <row r="244" spans="15:38">
      <c r="R244" s="3346" t="s">
        <v>4986</v>
      </c>
      <c r="S244" s="1711" t="b">
        <v>0</v>
      </c>
      <c r="T244" s="569">
        <v>0</v>
      </c>
    </row>
    <row r="245" spans="15:38">
      <c r="R245" s="3346"/>
      <c r="T245" s="569"/>
    </row>
    <row r="246" spans="15:38">
      <c r="O246" s="3385" t="s">
        <v>5119</v>
      </c>
      <c r="R246" s="3346"/>
      <c r="T246" s="569"/>
    </row>
    <row r="247" spans="15:38">
      <c r="O247" s="3390" t="s">
        <v>4959</v>
      </c>
      <c r="Q247" s="3391" t="s">
        <v>4960</v>
      </c>
      <c r="R247" s="3448" t="s">
        <v>4961</v>
      </c>
      <c r="S247" s="1483" t="s">
        <v>4962</v>
      </c>
      <c r="T247" s="3392" t="s">
        <v>4962</v>
      </c>
      <c r="U247" s="1483" t="s">
        <v>4963</v>
      </c>
    </row>
    <row r="248" spans="15:38">
      <c r="O248" s="3332" t="s">
        <v>5120</v>
      </c>
      <c r="Q248" s="3393">
        <f>C118</f>
        <v>0</v>
      </c>
      <c r="R248" s="3346" t="s">
        <v>4966</v>
      </c>
      <c r="S248" s="1711" t="b">
        <v>0</v>
      </c>
      <c r="T248" s="569">
        <v>0</v>
      </c>
      <c r="U248" s="576" t="b">
        <f>IFERROR(VLOOKUP($Q$255,$R$248:$T$258,2,FALSE),FALSE)</f>
        <v>0</v>
      </c>
    </row>
    <row r="249" spans="15:38">
      <c r="O249" s="3332" t="s">
        <v>5121</v>
      </c>
      <c r="Q249" s="3393">
        <f>C119</f>
        <v>0</v>
      </c>
      <c r="R249" s="1711">
        <v>0</v>
      </c>
      <c r="S249" s="1711" t="b">
        <v>0</v>
      </c>
      <c r="T249" s="569">
        <v>0</v>
      </c>
      <c r="U249" s="576">
        <f>IFERROR(VLOOKUP($Q$255,$R$248:$T$258,3,FALSE),0)</f>
        <v>0</v>
      </c>
    </row>
    <row r="250" spans="15:38">
      <c r="O250" s="3332" t="s">
        <v>5200</v>
      </c>
      <c r="Q250" s="1711">
        <f>IF(Q248="Other",Q249,Q248)</f>
        <v>0</v>
      </c>
      <c r="R250" s="3346">
        <v>25000</v>
      </c>
      <c r="S250" s="1711" t="b">
        <v>1</v>
      </c>
      <c r="T250" s="569">
        <v>250000</v>
      </c>
    </row>
    <row r="251" spans="15:38">
      <c r="Q251" s="1807"/>
      <c r="R251" s="3346">
        <v>50000</v>
      </c>
      <c r="S251" s="1711" t="b">
        <v>1</v>
      </c>
      <c r="T251" s="569">
        <v>250000</v>
      </c>
    </row>
    <row r="252" spans="15:38">
      <c r="O252" s="3332" t="s">
        <v>5193</v>
      </c>
      <c r="Q252" s="3394">
        <f>IF(ISNUMBER(Q250)=FALSE,IFERROR(VLOOKUP(Q250,R248:R258,1,FALSE),"Not required"),IF(Q250&gt;R257,R257,IFERROR(VLOOKUP(Q250,R248:R258,1,FALSE),"No match")))</f>
        <v>0</v>
      </c>
      <c r="R252" s="3346">
        <v>100000</v>
      </c>
      <c r="S252" s="1711" t="b">
        <v>1</v>
      </c>
      <c r="T252" s="569">
        <v>250000</v>
      </c>
    </row>
    <row r="253" spans="15:38">
      <c r="O253" s="3332" t="s">
        <v>4973</v>
      </c>
      <c r="Q253" s="3395">
        <f>MATCH(VLOOKUP(Q250,R248:R258,1,TRUE),R248:R258,0)</f>
        <v>2</v>
      </c>
      <c r="R253" s="3346">
        <v>250000</v>
      </c>
      <c r="S253" s="1711" t="b">
        <v>1</v>
      </c>
      <c r="T253" s="569">
        <v>250000</v>
      </c>
    </row>
    <row r="254" spans="15:38">
      <c r="O254" s="3332" t="s">
        <v>4976</v>
      </c>
      <c r="Q254" s="3395" cm="1">
        <f t="array" ref="Q254">INDEX(R248:R258,Q253+1)</f>
        <v>25000</v>
      </c>
      <c r="R254" s="3346">
        <v>500000</v>
      </c>
      <c r="S254" s="1711" t="b">
        <v>1</v>
      </c>
      <c r="T254" s="569">
        <v>250000</v>
      </c>
    </row>
    <row r="255" spans="15:38">
      <c r="O255" s="3332" t="s">
        <v>4979</v>
      </c>
      <c r="Q255" s="3395">
        <f>IF(Q252="No match",Q254,Q252)</f>
        <v>0</v>
      </c>
      <c r="R255" s="3346">
        <v>1000000</v>
      </c>
      <c r="S255" s="1711" t="b">
        <v>1</v>
      </c>
      <c r="T255" s="569">
        <v>250000</v>
      </c>
    </row>
    <row r="256" spans="15:38">
      <c r="R256" s="3346">
        <v>2000000</v>
      </c>
      <c r="S256" s="1711" t="b">
        <v>1</v>
      </c>
      <c r="T256" s="569">
        <v>250000</v>
      </c>
    </row>
    <row r="257" spans="15:21">
      <c r="R257" s="3346">
        <v>5000000</v>
      </c>
      <c r="S257" s="1711" t="b">
        <v>1</v>
      </c>
      <c r="T257" s="569">
        <v>250000</v>
      </c>
    </row>
    <row r="258" spans="15:21">
      <c r="R258" s="3346" t="s">
        <v>4986</v>
      </c>
      <c r="S258" s="1711" t="b">
        <v>0</v>
      </c>
      <c r="T258" s="569">
        <v>0</v>
      </c>
    </row>
    <row r="259" spans="15:21">
      <c r="R259" s="3346"/>
      <c r="T259" s="569"/>
    </row>
    <row r="260" spans="15:21">
      <c r="O260" s="3385" t="s">
        <v>5122</v>
      </c>
      <c r="R260" s="3346"/>
      <c r="T260" s="569"/>
    </row>
    <row r="261" spans="15:21">
      <c r="O261" s="3390" t="s">
        <v>4959</v>
      </c>
      <c r="Q261" s="3391" t="s">
        <v>4960</v>
      </c>
      <c r="R261" s="3448" t="s">
        <v>4961</v>
      </c>
      <c r="S261" s="1483" t="s">
        <v>4962</v>
      </c>
      <c r="T261" s="3392" t="s">
        <v>4962</v>
      </c>
      <c r="U261" s="1483" t="s">
        <v>5203</v>
      </c>
    </row>
    <row r="262" spans="15:21">
      <c r="O262" s="3332" t="s">
        <v>5123</v>
      </c>
      <c r="Q262" s="3393">
        <f>C120</f>
        <v>0</v>
      </c>
      <c r="R262" s="3346" t="s">
        <v>4966</v>
      </c>
      <c r="S262" s="1711" t="b">
        <v>0</v>
      </c>
      <c r="T262" s="569">
        <v>0</v>
      </c>
      <c r="U262" s="576" t="b">
        <f>IF(Q262="Helpline only",TRUE,FALSE)</f>
        <v>0</v>
      </c>
    </row>
    <row r="263" spans="15:21">
      <c r="O263" s="3332" t="s">
        <v>5124</v>
      </c>
      <c r="Q263" s="53">
        <f>C121</f>
        <v>0</v>
      </c>
      <c r="R263" s="3346" t="s">
        <v>5201</v>
      </c>
      <c r="S263" s="1711" t="b">
        <v>0</v>
      </c>
      <c r="T263" s="569">
        <v>0</v>
      </c>
      <c r="U263" s="576">
        <f>IF(U262=TRUE,25000,0)</f>
        <v>0</v>
      </c>
    </row>
    <row r="264" spans="15:21">
      <c r="O264" s="3332" t="s">
        <v>5202</v>
      </c>
      <c r="Q264" s="1711">
        <f>IF(Q262="Other",Q263,Q262)</f>
        <v>0</v>
      </c>
      <c r="R264" s="3346">
        <v>0</v>
      </c>
      <c r="S264" s="1711" t="b">
        <v>0</v>
      </c>
      <c r="T264" s="569">
        <v>0</v>
      </c>
    </row>
    <row r="265" spans="15:21">
      <c r="Q265" s="1807"/>
      <c r="R265" s="3346">
        <v>50000</v>
      </c>
      <c r="S265" s="1711" t="b">
        <v>1</v>
      </c>
      <c r="T265" s="569">
        <v>50000</v>
      </c>
      <c r="U265" s="1483" t="s">
        <v>5204</v>
      </c>
    </row>
    <row r="266" spans="15:21">
      <c r="O266" s="3332" t="s">
        <v>5193</v>
      </c>
      <c r="Q266" s="3394">
        <f>IF(ISNUMBER(Q264)=FALSE,IFERROR(VLOOKUP(Q264,R262:R269,1,FALSE),"Not required"),IF(Q264&gt;R268,R268,IFERROR(VLOOKUP(Q264,R262:R269,1,FALSE),"No match")))</f>
        <v>0</v>
      </c>
      <c r="R266" s="3346">
        <v>100000</v>
      </c>
      <c r="S266" s="1711" t="b">
        <v>1</v>
      </c>
      <c r="T266" s="569">
        <v>50000</v>
      </c>
      <c r="U266" s="576" t="b">
        <f>VLOOKUP(Q269,$R$262:$T$269,2,FALSE)</f>
        <v>0</v>
      </c>
    </row>
    <row r="267" spans="15:21">
      <c r="O267" s="3332" t="s">
        <v>4973</v>
      </c>
      <c r="Q267" s="3395">
        <f>MATCH(VLOOKUP(Q264,R262:R269,1,TRUE),R262:R269,0)</f>
        <v>3</v>
      </c>
      <c r="R267" s="3346">
        <v>250000</v>
      </c>
      <c r="S267" s="1711" t="b">
        <v>1</v>
      </c>
      <c r="T267" s="569">
        <v>50000</v>
      </c>
      <c r="U267" s="576">
        <f>VLOOKUP(Q269,R262:T269,3,FALSE)</f>
        <v>0</v>
      </c>
    </row>
    <row r="268" spans="15:21">
      <c r="O268" s="3332" t="s">
        <v>4976</v>
      </c>
      <c r="Q268" s="3395" cm="1">
        <f t="array" ref="Q268">INDEX(R262:R269,Q267+1)</f>
        <v>50000</v>
      </c>
      <c r="R268" s="3346">
        <v>500000</v>
      </c>
      <c r="S268" s="1711" t="b">
        <v>1</v>
      </c>
      <c r="T268" s="569">
        <v>50000</v>
      </c>
    </row>
    <row r="269" spans="15:21">
      <c r="O269" s="3332" t="s">
        <v>4979</v>
      </c>
      <c r="Q269" s="3395">
        <f>IF(Q266="No match",Q268,Q266)</f>
        <v>0</v>
      </c>
      <c r="R269" s="3346" t="s">
        <v>4986</v>
      </c>
      <c r="S269" s="1711" t="b">
        <v>0</v>
      </c>
      <c r="T269" s="569">
        <v>0</v>
      </c>
    </row>
    <row r="270" spans="15:21">
      <c r="R270" s="3346"/>
      <c r="T270" s="569"/>
    </row>
    <row r="271" spans="15:21">
      <c r="O271" s="3385" t="s">
        <v>5125</v>
      </c>
      <c r="R271" s="3346"/>
      <c r="T271" s="569"/>
    </row>
    <row r="272" spans="15:21">
      <c r="O272" s="3390" t="s">
        <v>4959</v>
      </c>
      <c r="Q272" s="3391" t="s">
        <v>4960</v>
      </c>
      <c r="R272" s="3448" t="s">
        <v>4961</v>
      </c>
      <c r="S272" s="1483" t="s">
        <v>4962</v>
      </c>
      <c r="T272" s="3392" t="s">
        <v>4962</v>
      </c>
      <c r="U272" s="1483" t="s">
        <v>4963</v>
      </c>
    </row>
    <row r="273" spans="15:21">
      <c r="O273" s="3332" t="s">
        <v>5208</v>
      </c>
      <c r="Q273" s="3393">
        <f>C122</f>
        <v>0</v>
      </c>
      <c r="R273" s="3346" t="s">
        <v>4966</v>
      </c>
      <c r="S273" s="1711" t="b">
        <v>0</v>
      </c>
      <c r="T273" s="569">
        <v>0</v>
      </c>
      <c r="U273" s="576" t="b">
        <f>IFERROR(VLOOKUP($Q$280,$R$273:$T$283,2,FALSE),FALSE)</f>
        <v>0</v>
      </c>
    </row>
    <row r="274" spans="15:21">
      <c r="O274" s="3332" t="s">
        <v>5209</v>
      </c>
      <c r="Q274" s="3336">
        <f>C123</f>
        <v>0</v>
      </c>
      <c r="R274" s="3346">
        <v>0</v>
      </c>
      <c r="S274" s="1711" t="b">
        <v>0</v>
      </c>
      <c r="T274" s="569">
        <v>0</v>
      </c>
      <c r="U274" s="576">
        <f>IFERROR(VLOOKUP($Q$280,$R$273:$T$283,3,FALSE),FALSE)</f>
        <v>0</v>
      </c>
    </row>
    <row r="275" spans="15:21">
      <c r="O275" s="3332" t="s">
        <v>5210</v>
      </c>
      <c r="Q275" s="1711">
        <f>IF(Q273="Other",Q274,Q273)</f>
        <v>0</v>
      </c>
      <c r="R275" s="3346">
        <v>25000</v>
      </c>
      <c r="S275" s="1711" t="b">
        <v>1</v>
      </c>
      <c r="T275" s="569">
        <v>25000</v>
      </c>
    </row>
    <row r="276" spans="15:21">
      <c r="Q276" s="1807"/>
      <c r="R276" s="3346">
        <v>50000</v>
      </c>
      <c r="S276" s="1711" t="b">
        <v>1</v>
      </c>
      <c r="T276" s="569">
        <v>50000</v>
      </c>
    </row>
    <row r="277" spans="15:21">
      <c r="O277" s="3332" t="s">
        <v>5193</v>
      </c>
      <c r="Q277" s="3394">
        <f>IF(ISNUMBER(Q275)=FALSE,IFERROR(VLOOKUP(Q275,R273:R283,1,FALSE),"Not required"),IF(Q275&gt;R282,R282,IFERROR(VLOOKUP(Q275,R273:R283,1,FALSE),"No match")))</f>
        <v>0</v>
      </c>
      <c r="R277" s="3346">
        <v>100000</v>
      </c>
      <c r="S277" s="1711" t="b">
        <v>1</v>
      </c>
      <c r="T277" s="569">
        <v>100000</v>
      </c>
    </row>
    <row r="278" spans="15:21">
      <c r="O278" s="3332" t="s">
        <v>4973</v>
      </c>
      <c r="Q278" s="3395">
        <f>MATCH(VLOOKUP(Q275,R273:R283,1,TRUE),R273:R283,0)</f>
        <v>2</v>
      </c>
      <c r="R278" s="3346">
        <v>250000</v>
      </c>
      <c r="S278" s="1711" t="b">
        <v>1</v>
      </c>
      <c r="T278" s="569">
        <v>250000</v>
      </c>
    </row>
    <row r="279" spans="15:21">
      <c r="O279" s="3332" t="s">
        <v>4976</v>
      </c>
      <c r="Q279" s="3395" cm="1">
        <f t="array" ref="Q279">INDEX(R273:R283,Q278+1)</f>
        <v>25000</v>
      </c>
      <c r="R279" s="3346">
        <v>500000</v>
      </c>
      <c r="S279" s="1711" t="b">
        <v>1</v>
      </c>
      <c r="T279" s="569">
        <v>500000</v>
      </c>
    </row>
    <row r="280" spans="15:21">
      <c r="O280" s="3332" t="s">
        <v>4979</v>
      </c>
      <c r="Q280" s="3395">
        <f>IF(Q277="No match",Q279,Q277)</f>
        <v>0</v>
      </c>
      <c r="R280" s="3346">
        <v>1000000</v>
      </c>
      <c r="S280" s="1711" t="b">
        <v>1</v>
      </c>
      <c r="T280" s="569">
        <v>500000</v>
      </c>
    </row>
    <row r="281" spans="15:21">
      <c r="R281" s="3346">
        <v>2000000</v>
      </c>
      <c r="S281" s="1711" t="b">
        <v>1</v>
      </c>
      <c r="T281" s="569">
        <v>500000</v>
      </c>
    </row>
    <row r="282" spans="15:21">
      <c r="R282" s="3346">
        <v>5000000</v>
      </c>
      <c r="S282" s="1711" t="b">
        <v>1</v>
      </c>
      <c r="T282" s="569">
        <v>500000</v>
      </c>
    </row>
    <row r="283" spans="15:21">
      <c r="R283" s="3346" t="s">
        <v>4986</v>
      </c>
      <c r="S283" s="1711" t="b">
        <v>0</v>
      </c>
      <c r="T283" s="569">
        <v>0</v>
      </c>
    </row>
    <row r="284" spans="15:21">
      <c r="T284" s="569"/>
    </row>
    <row r="285" spans="15:21">
      <c r="T285" s="569"/>
    </row>
    <row r="286" spans="15:21">
      <c r="O286" s="3385" t="s">
        <v>5211</v>
      </c>
      <c r="R286" s="569"/>
      <c r="T286" s="569"/>
    </row>
    <row r="287" spans="15:21">
      <c r="O287" s="3390" t="s">
        <v>4959</v>
      </c>
      <c r="Q287" s="3391" t="s">
        <v>4960</v>
      </c>
      <c r="R287" s="3392" t="s">
        <v>4961</v>
      </c>
      <c r="S287" s="1483" t="s">
        <v>4962</v>
      </c>
      <c r="T287" s="3392" t="s">
        <v>4962</v>
      </c>
      <c r="U287" s="1483" t="s">
        <v>4963</v>
      </c>
    </row>
    <row r="288" spans="15:21">
      <c r="O288" s="3332" t="s">
        <v>5212</v>
      </c>
      <c r="Q288" s="3458">
        <f>C124</f>
        <v>0</v>
      </c>
      <c r="R288" s="569" t="s">
        <v>4966</v>
      </c>
      <c r="S288" s="1711" t="b">
        <v>0</v>
      </c>
      <c r="T288" s="569">
        <v>0</v>
      </c>
      <c r="U288" s="3439" t="b">
        <f>IFERROR(VLOOKUP(Q299,$R$288:$T$296,2,FALSE),FALSE)</f>
        <v>0</v>
      </c>
    </row>
    <row r="289" spans="15:28">
      <c r="O289" s="3332" t="s">
        <v>5213</v>
      </c>
      <c r="Q289" s="3458">
        <f t="shared" ref="Q289:Q292" si="31">C125</f>
        <v>0</v>
      </c>
      <c r="R289" s="569" t="s">
        <v>4986</v>
      </c>
      <c r="S289" s="1711" t="b">
        <v>0</v>
      </c>
      <c r="T289" s="569">
        <v>0</v>
      </c>
      <c r="U289" s="3439">
        <f>IFERROR(VLOOKUP(Q299,$R$288:$T$296,3,FALSE),FALSE)</f>
        <v>0</v>
      </c>
    </row>
    <row r="290" spans="15:28">
      <c r="O290" s="3332" t="s">
        <v>5214</v>
      </c>
      <c r="Q290" s="3458">
        <f t="shared" si="31"/>
        <v>0</v>
      </c>
      <c r="R290" s="569">
        <v>0</v>
      </c>
      <c r="S290" s="1711" t="b">
        <v>0</v>
      </c>
      <c r="T290" s="569">
        <v>0</v>
      </c>
      <c r="U290" s="53"/>
    </row>
    <row r="291" spans="15:28">
      <c r="O291" s="3332" t="s">
        <v>5215</v>
      </c>
      <c r="Q291" s="3458">
        <f t="shared" si="31"/>
        <v>0</v>
      </c>
      <c r="R291" s="3346">
        <v>2500</v>
      </c>
      <c r="S291" s="1711" t="b">
        <v>1</v>
      </c>
      <c r="T291" s="569">
        <v>5000</v>
      </c>
    </row>
    <row r="292" spans="15:28">
      <c r="O292" s="3332" t="s">
        <v>5216</v>
      </c>
      <c r="Q292" s="3458">
        <f t="shared" si="31"/>
        <v>0</v>
      </c>
      <c r="R292" s="3346">
        <v>5000</v>
      </c>
      <c r="S292" s="1711" t="b">
        <v>1</v>
      </c>
      <c r="T292" s="569">
        <v>5000</v>
      </c>
    </row>
    <row r="293" spans="15:28">
      <c r="R293" s="3346">
        <v>10000</v>
      </c>
      <c r="S293" s="1711" t="b">
        <v>1</v>
      </c>
      <c r="T293" s="569">
        <v>10000</v>
      </c>
      <c r="U293" s="3459"/>
      <c r="V293" s="3459"/>
    </row>
    <row r="294" spans="15:28">
      <c r="O294" s="3332" t="s">
        <v>5217</v>
      </c>
      <c r="Q294" s="53">
        <f>SUM(Q289:Q292)</f>
        <v>0</v>
      </c>
      <c r="R294" s="3346">
        <v>50000</v>
      </c>
      <c r="S294" s="1711" t="b">
        <v>1</v>
      </c>
      <c r="T294" s="569">
        <v>10000</v>
      </c>
    </row>
    <row r="295" spans="15:28">
      <c r="R295" s="3346">
        <v>100000</v>
      </c>
      <c r="S295" s="1711" t="b">
        <v>1</v>
      </c>
      <c r="T295" s="569">
        <v>10000</v>
      </c>
    </row>
    <row r="296" spans="15:28">
      <c r="O296" s="3332" t="s">
        <v>5193</v>
      </c>
      <c r="Q296" s="3394">
        <f>IF(Q294&gt;R296,R296,IFERROR(VLOOKUP(Q294,R288:R296,1,FALSE),"No match"))</f>
        <v>0</v>
      </c>
      <c r="R296" s="3346">
        <v>250000</v>
      </c>
      <c r="S296" s="1711" t="b">
        <v>1</v>
      </c>
      <c r="T296" s="569">
        <v>10000</v>
      </c>
    </row>
    <row r="297" spans="15:28">
      <c r="O297" s="3332" t="s">
        <v>4973</v>
      </c>
      <c r="Q297" s="3395">
        <f>MATCH(VLOOKUP(Q294,R288:R296,1,TRUE),R288:R296,0)</f>
        <v>3</v>
      </c>
    </row>
    <row r="298" spans="15:28">
      <c r="O298" s="3332" t="s">
        <v>4976</v>
      </c>
      <c r="Q298" s="3395" cm="1">
        <f t="array" ref="Q298">INDEX(R288:R296,Q297+1)</f>
        <v>2500</v>
      </c>
      <c r="T298" s="3346"/>
      <c r="U298" s="569"/>
    </row>
    <row r="299" spans="15:28">
      <c r="O299" s="3332" t="s">
        <v>4979</v>
      </c>
      <c r="Q299" s="3395">
        <f>IF(Q296="No match",Q298,Q296)</f>
        <v>0</v>
      </c>
      <c r="T299" s="3346"/>
    </row>
    <row r="302" spans="15:28">
      <c r="O302" s="3473" t="s">
        <v>1153</v>
      </c>
      <c r="P302" s="3474"/>
      <c r="Q302" s="3474"/>
      <c r="R302" s="3474"/>
      <c r="S302" s="3474"/>
      <c r="T302" s="3474"/>
      <c r="U302" s="3474"/>
      <c r="V302" s="3474"/>
      <c r="W302" s="3474"/>
      <c r="X302" s="3474"/>
      <c r="Y302" s="3474"/>
      <c r="Z302" s="3474"/>
      <c r="AA302" s="3474"/>
      <c r="AB302" s="3474"/>
    </row>
    <row r="303" spans="15:28">
      <c r="O303" s="3475" t="s">
        <v>4959</v>
      </c>
      <c r="P303" s="3474"/>
      <c r="Q303" s="3476" t="s">
        <v>4960</v>
      </c>
      <c r="R303" s="3477" t="s">
        <v>4961</v>
      </c>
      <c r="S303" s="3477" t="s">
        <v>4962</v>
      </c>
      <c r="T303" s="3478"/>
      <c r="U303" s="3479" t="s">
        <v>4963</v>
      </c>
      <c r="V303" s="3474"/>
      <c r="W303" s="3474"/>
      <c r="X303" s="3474"/>
      <c r="Y303" s="3474"/>
      <c r="Z303" s="3474"/>
      <c r="AA303" s="3474"/>
      <c r="AB303" s="3474"/>
    </row>
    <row r="304" spans="15:28">
      <c r="O304" s="3480" t="s">
        <v>5292</v>
      </c>
      <c r="P304" s="3474"/>
      <c r="Q304" s="3481">
        <f>C103</f>
        <v>0</v>
      </c>
      <c r="R304" s="3478" t="s">
        <v>5293</v>
      </c>
      <c r="S304" s="3478">
        <v>1</v>
      </c>
      <c r="T304" s="3478"/>
      <c r="U304" s="3482">
        <f>IFERROR(VLOOKUP(Q307,R304:S309,2,FALSE),10)</f>
        <v>10</v>
      </c>
      <c r="V304" s="3474"/>
      <c r="W304" s="3474"/>
      <c r="X304" s="3474"/>
      <c r="Y304" s="3474"/>
      <c r="Z304" s="3474"/>
      <c r="AA304" s="3474"/>
      <c r="AB304" s="3474"/>
    </row>
    <row r="305" spans="15:28">
      <c r="O305" s="3480" t="s">
        <v>5294</v>
      </c>
      <c r="P305" s="3474"/>
      <c r="Q305" s="3483">
        <f>C104</f>
        <v>0</v>
      </c>
      <c r="R305" s="3478" t="s">
        <v>5317</v>
      </c>
      <c r="S305" s="3478">
        <v>5</v>
      </c>
      <c r="T305" s="3478"/>
      <c r="U305" s="3474"/>
      <c r="V305" s="3474"/>
      <c r="W305" s="3474"/>
      <c r="X305" s="3474"/>
      <c r="Y305" s="3474"/>
      <c r="Z305" s="3474"/>
      <c r="AA305" s="3474"/>
      <c r="AB305" s="3474"/>
    </row>
    <row r="306" spans="15:28">
      <c r="O306" s="3480" t="s">
        <v>5295</v>
      </c>
      <c r="P306" s="3474"/>
      <c r="Q306" s="3474" t="str">
        <f>IF(Q305&lt;=5,"1-5",IF(Q305&lt;=8,"6-8","9+"))</f>
        <v>1-5</v>
      </c>
      <c r="R306" s="3478" t="s">
        <v>5318</v>
      </c>
      <c r="S306" s="3478">
        <v>10</v>
      </c>
      <c r="T306" s="3478"/>
      <c r="U306" s="3474"/>
      <c r="V306" s="3474"/>
      <c r="W306" s="3474"/>
      <c r="X306" s="3474"/>
      <c r="Y306" s="3474"/>
      <c r="Z306" s="3474"/>
      <c r="AA306" s="3474"/>
      <c r="AB306" s="3474"/>
    </row>
    <row r="307" spans="15:28">
      <c r="O307" s="3480" t="s">
        <v>5296</v>
      </c>
      <c r="P307" s="3474"/>
      <c r="Q307" s="3474" t="str">
        <f>Q304&amp; " " &amp;Q306</f>
        <v>0 1-5</v>
      </c>
      <c r="R307" s="3478" t="s">
        <v>5297</v>
      </c>
      <c r="S307" s="3478">
        <v>5</v>
      </c>
      <c r="T307" s="3478"/>
      <c r="U307" s="3474"/>
      <c r="V307" s="3474"/>
      <c r="W307" s="3474"/>
      <c r="X307" s="3474"/>
      <c r="Y307" s="3474"/>
      <c r="Z307" s="3474"/>
      <c r="AA307" s="3474"/>
      <c r="AB307" s="3474"/>
    </row>
    <row r="308" spans="15:28">
      <c r="O308" s="3480"/>
      <c r="P308" s="3474"/>
      <c r="Q308" s="3474"/>
      <c r="R308" s="3478" t="s">
        <v>5319</v>
      </c>
      <c r="S308" s="3478">
        <v>10</v>
      </c>
      <c r="T308" s="3478"/>
      <c r="U308" s="3474"/>
      <c r="V308" s="3474"/>
      <c r="W308" s="3474"/>
      <c r="X308" s="3474"/>
      <c r="Y308" s="3474"/>
      <c r="Z308" s="3474"/>
      <c r="AA308" s="3474"/>
      <c r="AB308" s="3474"/>
    </row>
    <row r="309" spans="15:28">
      <c r="O309" s="3480"/>
      <c r="P309" s="3474"/>
      <c r="Q309" s="3474"/>
      <c r="R309" s="3478" t="s">
        <v>5320</v>
      </c>
      <c r="S309" s="3478">
        <v>10</v>
      </c>
      <c r="T309" s="3478"/>
      <c r="U309" s="3474"/>
      <c r="V309" s="3474"/>
      <c r="W309" s="3474"/>
      <c r="X309" s="3474"/>
      <c r="Y309" s="3474"/>
      <c r="Z309" s="3474"/>
      <c r="AA309" s="3474"/>
      <c r="AB309" s="3474"/>
    </row>
    <row r="312" spans="15:28">
      <c r="O312" s="3473" t="s">
        <v>5343</v>
      </c>
      <c r="P312" s="3474"/>
      <c r="Q312" s="3474"/>
      <c r="R312" s="3474"/>
      <c r="S312" s="3474"/>
      <c r="T312" s="3474"/>
      <c r="U312" s="3474"/>
      <c r="V312" s="3474"/>
      <c r="W312" s="3474"/>
      <c r="X312" s="3474"/>
      <c r="Y312" s="3474"/>
      <c r="Z312" s="3474"/>
      <c r="AA312" s="3474"/>
      <c r="AB312" s="3474"/>
    </row>
    <row r="313" spans="15:28">
      <c r="O313" s="3475" t="s">
        <v>4959</v>
      </c>
      <c r="P313" s="3474"/>
      <c r="Q313" s="3476" t="s">
        <v>4960</v>
      </c>
      <c r="R313" s="3474" t="s">
        <v>5344</v>
      </c>
      <c r="S313" s="3474" t="s">
        <v>1237</v>
      </c>
      <c r="T313" s="3474"/>
      <c r="U313" s="3479" t="s">
        <v>4963</v>
      </c>
      <c r="V313" s="3474"/>
      <c r="W313" s="3474"/>
      <c r="X313" s="3474"/>
      <c r="Y313" s="3474"/>
      <c r="Z313" s="3474"/>
      <c r="AA313" s="3474"/>
      <c r="AB313" s="3474"/>
    </row>
    <row r="314" spans="15:28">
      <c r="O314" s="3480" t="s">
        <v>5345</v>
      </c>
      <c r="P314" s="3474"/>
      <c r="Q314" s="3494">
        <f>C6</f>
        <v>0</v>
      </c>
      <c r="R314" s="3474" t="s">
        <v>244</v>
      </c>
      <c r="S314" s="3474" t="s">
        <v>5346</v>
      </c>
      <c r="T314" s="3474"/>
      <c r="U314" s="3482">
        <f>IF(OR(Q318="Yes",Q318=0),Q314,Q316)</f>
        <v>0</v>
      </c>
      <c r="V314" s="3474" t="s">
        <v>5347</v>
      </c>
      <c r="W314" s="3474"/>
      <c r="X314" s="3474"/>
      <c r="Y314" s="3474"/>
      <c r="Z314" s="3474"/>
      <c r="AA314" s="3474"/>
      <c r="AB314" s="3474"/>
    </row>
    <row r="315" spans="15:28">
      <c r="O315" s="3480" t="s">
        <v>5348</v>
      </c>
      <c r="P315" s="3474"/>
      <c r="Q315" s="3494">
        <f t="shared" ref="Q315:Q318" si="32">C7</f>
        <v>0</v>
      </c>
      <c r="R315" s="3474" t="s">
        <v>955</v>
      </c>
      <c r="S315" s="3474" t="s">
        <v>5346</v>
      </c>
      <c r="T315" s="3474"/>
      <c r="U315" s="3482">
        <f>IF(OR(Q318="Yes",Q318=0),Q315,Q317)</f>
        <v>0</v>
      </c>
      <c r="V315" s="3474" t="s">
        <v>259</v>
      </c>
      <c r="W315" s="3474"/>
      <c r="X315" s="3474"/>
      <c r="Y315" s="3474"/>
      <c r="Z315" s="3474"/>
      <c r="AA315" s="3474"/>
      <c r="AB315" s="3474"/>
    </row>
    <row r="316" spans="15:28">
      <c r="O316" s="3480" t="s">
        <v>5349</v>
      </c>
      <c r="P316" s="3474"/>
      <c r="Q316" s="3494">
        <f t="shared" si="32"/>
        <v>0</v>
      </c>
      <c r="R316" s="3474" t="s">
        <v>954</v>
      </c>
      <c r="S316" s="3474" t="s">
        <v>5346</v>
      </c>
      <c r="T316" s="3474"/>
      <c r="U316" s="3482" t="str">
        <f>IFERROR(VLOOKUP(U315,R314:S333,2,FALSE),"Decline")</f>
        <v>Decline</v>
      </c>
      <c r="V316" s="3474" t="s">
        <v>1237</v>
      </c>
      <c r="W316" s="3474"/>
      <c r="X316" s="3474"/>
      <c r="Y316" s="3474"/>
      <c r="Z316" s="3474"/>
      <c r="AA316" s="3474"/>
      <c r="AB316" s="3474"/>
    </row>
    <row r="317" spans="15:28">
      <c r="O317" s="3480" t="s">
        <v>5350</v>
      </c>
      <c r="P317" s="3474"/>
      <c r="Q317" s="3494">
        <f t="shared" si="32"/>
        <v>0</v>
      </c>
      <c r="R317" s="3474" t="s">
        <v>957</v>
      </c>
      <c r="S317" s="3474" t="s">
        <v>258</v>
      </c>
      <c r="T317" s="3474"/>
      <c r="U317" s="3474"/>
      <c r="V317" s="3474"/>
      <c r="W317" s="3474"/>
      <c r="X317" s="3474"/>
      <c r="Y317" s="3474"/>
      <c r="Z317" s="3474"/>
      <c r="AA317" s="3474"/>
      <c r="AB317" s="3474"/>
    </row>
    <row r="318" spans="15:28">
      <c r="O318" s="3480" t="s">
        <v>5351</v>
      </c>
      <c r="P318" s="3474"/>
      <c r="Q318" s="3494">
        <f t="shared" si="32"/>
        <v>0</v>
      </c>
      <c r="R318" s="3474" t="s">
        <v>956</v>
      </c>
      <c r="S318" s="3474" t="s">
        <v>258</v>
      </c>
      <c r="T318" s="3474"/>
      <c r="U318" s="3474"/>
      <c r="V318" s="3474"/>
      <c r="W318" s="3474"/>
      <c r="X318" s="3474"/>
      <c r="Y318" s="3474"/>
      <c r="Z318" s="3474"/>
      <c r="AA318" s="3474"/>
      <c r="AB318" s="3474"/>
    </row>
    <row r="319" spans="15:28">
      <c r="O319" s="3480"/>
      <c r="P319" s="3474"/>
      <c r="Q319" s="3474"/>
      <c r="R319" s="3474" t="s">
        <v>246</v>
      </c>
      <c r="S319" s="3474" t="s">
        <v>258</v>
      </c>
      <c r="T319" s="3474"/>
      <c r="U319" s="3474"/>
      <c r="V319" s="3474"/>
      <c r="W319" s="3474"/>
      <c r="X319" s="3474"/>
      <c r="Y319" s="3474"/>
      <c r="Z319" s="3474"/>
      <c r="AA319" s="3474"/>
      <c r="AB319" s="3474"/>
    </row>
    <row r="320" spans="15:28">
      <c r="O320" s="3480"/>
      <c r="P320" s="3474"/>
      <c r="Q320" s="3474"/>
      <c r="R320" s="3474" t="s">
        <v>962</v>
      </c>
      <c r="S320" s="3474" t="s">
        <v>258</v>
      </c>
      <c r="T320" s="3474"/>
      <c r="U320" s="3474"/>
      <c r="V320" s="3474"/>
      <c r="W320" s="3474"/>
      <c r="X320" s="3474"/>
      <c r="Y320" s="3474"/>
      <c r="Z320" s="3474"/>
      <c r="AA320" s="3474"/>
      <c r="AB320" s="3474"/>
    </row>
    <row r="321" spans="15:28">
      <c r="O321" s="3480"/>
      <c r="P321" s="3474"/>
      <c r="Q321" s="3474"/>
      <c r="R321" s="3474" t="s">
        <v>960</v>
      </c>
      <c r="S321" s="3474" t="s">
        <v>258</v>
      </c>
      <c r="T321" s="3474"/>
      <c r="U321" s="3474"/>
      <c r="V321" s="3474"/>
      <c r="W321" s="3474"/>
      <c r="X321" s="3474"/>
      <c r="Y321" s="3474"/>
      <c r="Z321" s="3474"/>
      <c r="AA321" s="3474"/>
      <c r="AB321" s="3474"/>
    </row>
    <row r="322" spans="15:28">
      <c r="O322" s="3480"/>
      <c r="P322" s="3474"/>
      <c r="Q322" s="3474"/>
      <c r="R322" s="3474" t="s">
        <v>961</v>
      </c>
      <c r="S322" s="3474" t="s">
        <v>258</v>
      </c>
      <c r="T322" s="3474"/>
      <c r="U322" s="3474"/>
      <c r="V322" s="3474"/>
      <c r="W322" s="3474"/>
      <c r="X322" s="3474"/>
      <c r="Y322" s="3474"/>
      <c r="Z322" s="3474"/>
      <c r="AA322" s="3474"/>
      <c r="AB322" s="3474"/>
    </row>
    <row r="323" spans="15:28">
      <c r="O323" s="3480"/>
      <c r="P323" s="3474"/>
      <c r="Q323" s="3474"/>
      <c r="R323" s="3474" t="s">
        <v>5352</v>
      </c>
      <c r="S323" s="3474" t="s">
        <v>258</v>
      </c>
      <c r="T323" s="3474"/>
      <c r="U323" s="3474"/>
      <c r="V323" s="3474"/>
      <c r="W323" s="3474"/>
      <c r="X323" s="3474"/>
      <c r="Y323" s="3474"/>
      <c r="Z323" s="3474"/>
      <c r="AA323" s="3474"/>
      <c r="AB323" s="3474"/>
    </row>
    <row r="324" spans="15:28">
      <c r="O324" s="3480"/>
      <c r="P324" s="3474"/>
      <c r="Q324" s="3474"/>
      <c r="R324" s="3474" t="s">
        <v>1191</v>
      </c>
      <c r="S324" s="3474" t="s">
        <v>5346</v>
      </c>
      <c r="T324" s="3474"/>
      <c r="U324" s="3474"/>
      <c r="V324" s="3474"/>
      <c r="W324" s="3474"/>
      <c r="X324" s="3474"/>
      <c r="Y324" s="3474"/>
      <c r="Z324" s="3474"/>
      <c r="AA324" s="3474"/>
      <c r="AB324" s="3474"/>
    </row>
    <row r="325" spans="15:28">
      <c r="O325" s="3480"/>
      <c r="P325" s="3474"/>
      <c r="Q325" s="3474"/>
      <c r="R325" s="3474" t="s">
        <v>241</v>
      </c>
      <c r="S325" s="3474" t="s">
        <v>5346</v>
      </c>
      <c r="T325" s="3474"/>
      <c r="U325" s="3474"/>
      <c r="V325" s="3474"/>
      <c r="W325" s="3474"/>
      <c r="X325" s="3474"/>
      <c r="Y325" s="3474"/>
      <c r="Z325" s="3474"/>
      <c r="AA325" s="3474"/>
      <c r="AB325" s="3474"/>
    </row>
    <row r="326" spans="15:28">
      <c r="O326" s="3480"/>
      <c r="P326" s="3474"/>
      <c r="Q326" s="3474"/>
      <c r="R326" s="3474" t="s">
        <v>239</v>
      </c>
      <c r="S326" s="3474" t="s">
        <v>5346</v>
      </c>
      <c r="T326" s="3474"/>
      <c r="U326" s="3474"/>
      <c r="V326" s="3474"/>
      <c r="W326" s="3474"/>
      <c r="X326" s="3474"/>
      <c r="Y326" s="3474"/>
      <c r="Z326" s="3474"/>
      <c r="AA326" s="3474"/>
      <c r="AB326" s="3474"/>
    </row>
    <row r="327" spans="15:28">
      <c r="O327" s="3480"/>
      <c r="P327" s="3474"/>
      <c r="Q327" s="3474"/>
      <c r="R327" s="3474" t="s">
        <v>242</v>
      </c>
      <c r="S327" s="3474" t="s">
        <v>258</v>
      </c>
      <c r="T327" s="3474"/>
      <c r="U327" s="3474"/>
      <c r="V327" s="3474"/>
      <c r="W327" s="3474"/>
      <c r="X327" s="3474"/>
      <c r="Y327" s="3474"/>
      <c r="Z327" s="3474"/>
      <c r="AA327" s="3474"/>
      <c r="AB327" s="3474"/>
    </row>
    <row r="328" spans="15:28">
      <c r="O328" s="3480"/>
      <c r="P328" s="3474"/>
      <c r="Q328" s="3474"/>
      <c r="R328" s="3474" t="s">
        <v>243</v>
      </c>
      <c r="S328" s="3474" t="s">
        <v>258</v>
      </c>
      <c r="T328" s="3474"/>
      <c r="U328" s="3474"/>
      <c r="V328" s="3474"/>
      <c r="W328" s="3474"/>
      <c r="X328" s="3474"/>
      <c r="Y328" s="3474"/>
      <c r="Z328" s="3474"/>
      <c r="AA328" s="3474"/>
      <c r="AB328" s="3474"/>
    </row>
    <row r="329" spans="15:28">
      <c r="O329" s="3480"/>
      <c r="P329" s="3474"/>
      <c r="Q329" s="3474"/>
      <c r="R329" s="3474" t="s">
        <v>247</v>
      </c>
      <c r="S329" s="3474" t="s">
        <v>258</v>
      </c>
      <c r="T329" s="3474"/>
      <c r="U329" s="3474"/>
      <c r="V329" s="3474"/>
      <c r="W329" s="3474"/>
      <c r="X329" s="3474"/>
      <c r="Y329" s="3474"/>
      <c r="Z329" s="3474"/>
      <c r="AA329" s="3474"/>
      <c r="AB329" s="3474"/>
    </row>
    <row r="330" spans="15:28">
      <c r="O330" s="3480"/>
      <c r="P330" s="3474"/>
      <c r="Q330" s="3474"/>
      <c r="R330" s="3474" t="s">
        <v>1241</v>
      </c>
      <c r="S330" s="3474" t="s">
        <v>258</v>
      </c>
      <c r="T330" s="3474"/>
      <c r="U330" s="3474"/>
      <c r="V330" s="3474"/>
      <c r="W330" s="3474"/>
      <c r="X330" s="3474"/>
      <c r="Y330" s="3474"/>
      <c r="Z330" s="3474"/>
      <c r="AA330" s="3474"/>
      <c r="AB330" s="3474"/>
    </row>
    <row r="331" spans="15:28">
      <c r="O331" s="3480"/>
      <c r="P331" s="3474"/>
      <c r="Q331" s="3474"/>
      <c r="R331" s="3474" t="s">
        <v>1240</v>
      </c>
      <c r="S331" s="3474" t="s">
        <v>258</v>
      </c>
      <c r="T331" s="3474"/>
      <c r="U331" s="3474"/>
      <c r="V331" s="3474"/>
      <c r="W331" s="3474"/>
      <c r="X331" s="3474"/>
      <c r="Y331" s="3474"/>
      <c r="Z331" s="3474"/>
      <c r="AA331" s="3474"/>
      <c r="AB331" s="3474"/>
    </row>
    <row r="332" spans="15:28">
      <c r="O332" s="3480"/>
      <c r="P332" s="3474"/>
      <c r="Q332" s="3474"/>
      <c r="R332" s="3474" t="s">
        <v>5353</v>
      </c>
      <c r="S332" s="3474" t="s">
        <v>258</v>
      </c>
      <c r="T332" s="3474"/>
      <c r="U332" s="3474"/>
      <c r="V332" s="3474"/>
      <c r="W332" s="3474"/>
      <c r="X332" s="3474"/>
      <c r="Y332" s="3474"/>
      <c r="Z332" s="3474"/>
      <c r="AA332" s="3474"/>
      <c r="AB332" s="3474"/>
    </row>
    <row r="333" spans="15:28">
      <c r="O333" s="3480"/>
      <c r="P333" s="3474"/>
      <c r="Q333" s="3474"/>
      <c r="R333" s="3474" t="s">
        <v>963</v>
      </c>
      <c r="S333" s="3474" t="s">
        <v>258</v>
      </c>
      <c r="T333" s="3474"/>
      <c r="U333" s="3474"/>
      <c r="V333" s="3474"/>
      <c r="W333" s="3474"/>
      <c r="X333" s="3474"/>
      <c r="Y333" s="3474"/>
      <c r="Z333" s="3474"/>
      <c r="AA333" s="3474"/>
      <c r="AB333" s="3474"/>
    </row>
  </sheetData>
  <mergeCells count="8">
    <mergeCell ref="AH2:AK2"/>
    <mergeCell ref="I5:N5"/>
    <mergeCell ref="I6:N6"/>
    <mergeCell ref="D8:E8"/>
    <mergeCell ref="B2:C2"/>
    <mergeCell ref="D2:N2"/>
    <mergeCell ref="AC2:AD2"/>
    <mergeCell ref="AE2:AG2"/>
  </mergeCells>
  <conditionalFormatting sqref="J38:J191 J9:J36">
    <cfRule type="containsBlanks" dxfId="102" priority="1">
      <formula>LEN(TRIM(J9))=0</formula>
    </cfRule>
    <cfRule type="cellIs" dxfId="101" priority="2" operator="equal">
      <formula>1</formula>
    </cfRule>
    <cfRule type="cellIs" dxfId="100" priority="3"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CCCC00"/>
  </sheetPr>
  <dimension ref="A1:AK97"/>
  <sheetViews>
    <sheetView showGridLines="0" topLeftCell="C1" zoomScale="115" zoomScaleNormal="115" zoomScaleSheetLayoutView="80" workbookViewId="0">
      <selection activeCell="I34" sqref="I34"/>
    </sheetView>
  </sheetViews>
  <sheetFormatPr defaultColWidth="9.140625" defaultRowHeight="16.5" outlineLevelCol="1"/>
  <cols>
    <col min="1" max="1" width="37.42578125" style="36" customWidth="1" outlineLevel="1"/>
    <col min="2" max="2" width="40.28515625" style="36" customWidth="1" outlineLevel="1"/>
    <col min="3" max="3" width="1.28515625" style="31" customWidth="1"/>
    <col min="4" max="4" width="2.140625" style="31" customWidth="1"/>
    <col min="5" max="5" width="7.28515625" style="185" customWidth="1"/>
    <col min="6" max="6" width="74.85546875" style="36" customWidth="1"/>
    <col min="7" max="7" width="19.85546875" style="2056" customWidth="1"/>
    <col min="8" max="8" width="24.140625" style="2056" customWidth="1"/>
    <col min="9" max="9" width="22" style="2056" customWidth="1"/>
    <col min="10" max="10" width="15" style="2056" bestFit="1" customWidth="1"/>
    <col min="11" max="11" width="16.7109375" style="2056" customWidth="1"/>
    <col min="12" max="12" width="15.85546875" style="31" customWidth="1"/>
    <col min="13" max="13" width="16.7109375" style="31" customWidth="1"/>
    <col min="14" max="14" width="19.7109375" style="31" hidden="1" customWidth="1" outlineLevel="1"/>
    <col min="15" max="15" width="11.5703125" style="31" hidden="1" customWidth="1" outlineLevel="1" collapsed="1"/>
    <col min="16" max="16" width="11.28515625" style="31" hidden="1" customWidth="1" outlineLevel="1" collapsed="1"/>
    <col min="17" max="17" width="11.28515625" style="31" hidden="1" customWidth="1" outlineLevel="1"/>
    <col min="18" max="18" width="20.28515625" style="31" customWidth="1" collapsed="1"/>
    <col min="19" max="19" width="13.42578125" style="31" customWidth="1"/>
    <col min="20" max="20" width="15.28515625" style="31" customWidth="1"/>
    <col min="21" max="21" width="3.42578125" style="31" customWidth="1"/>
    <col min="22" max="22" width="18.85546875" style="31" hidden="1" customWidth="1" outlineLevel="1"/>
    <col min="23" max="23" width="9.42578125" style="2056" hidden="1" customWidth="1" outlineLevel="1"/>
    <col min="24" max="24" width="12.5703125" style="2056" hidden="1" customWidth="1" outlineLevel="1"/>
    <col min="25" max="25" width="13.140625" style="2056" hidden="1" customWidth="1" outlineLevel="1"/>
    <col min="26" max="26" width="11" style="2056" hidden="1" customWidth="1" outlineLevel="1"/>
    <col min="27" max="32" width="9.140625" style="31" hidden="1" customWidth="1" outlineLevel="1"/>
    <col min="33" max="33" width="21.85546875" style="31" bestFit="1" customWidth="1" collapsed="1"/>
    <col min="34" max="34" width="17" style="31" bestFit="1" customWidth="1"/>
    <col min="35" max="35" width="9.140625" style="31"/>
    <col min="36" max="36" width="17" style="31" bestFit="1" customWidth="1"/>
    <col min="37" max="37" width="41.28515625" style="31" bestFit="1" customWidth="1"/>
    <col min="38" max="16384" width="9.140625" style="31"/>
  </cols>
  <sheetData>
    <row r="1" spans="1:26" ht="28.5">
      <c r="A1" s="36" t="s">
        <v>3394</v>
      </c>
      <c r="B1" s="36" t="s">
        <v>3393</v>
      </c>
      <c r="E1" s="2018" t="s">
        <v>3393</v>
      </c>
      <c r="H1" s="1496"/>
      <c r="W1" s="2072"/>
    </row>
    <row r="2" spans="1:26" ht="25.5" customHeight="1">
      <c r="A2" s="1" t="s">
        <v>8</v>
      </c>
      <c r="B2" s="1" t="s">
        <v>3400</v>
      </c>
      <c r="F2" s="494" t="str">
        <f>IF($E$1="EN",B2,A2)</f>
        <v>Name Insured:</v>
      </c>
      <c r="G2" s="2116">
        <f>'Quote template-1'!G20</f>
        <v>0</v>
      </c>
      <c r="H2" s="2117"/>
      <c r="I2" s="1038"/>
      <c r="J2" s="1038"/>
      <c r="K2" s="1038"/>
      <c r="L2" s="2100"/>
      <c r="M2" s="2100"/>
      <c r="N2" s="2100"/>
      <c r="O2" s="2100"/>
      <c r="P2" s="2100"/>
      <c r="Q2" s="2100"/>
      <c r="R2" s="2100"/>
      <c r="S2" s="2100"/>
      <c r="T2" s="2100"/>
      <c r="U2" s="2100"/>
      <c r="W2" s="2074"/>
      <c r="Z2" s="2075"/>
    </row>
    <row r="3" spans="1:26" ht="26.25" customHeight="1">
      <c r="A3" s="1" t="s">
        <v>953</v>
      </c>
      <c r="B3" s="1" t="s">
        <v>11</v>
      </c>
      <c r="F3" s="494" t="str">
        <f>IF($E$1="EN",B3,A3)</f>
        <v>Province:</v>
      </c>
      <c r="G3" s="3497">
        <f>Map!U315</f>
        <v>0</v>
      </c>
      <c r="H3" s="2117"/>
      <c r="I3" s="1038"/>
      <c r="J3" s="1038"/>
      <c r="K3" s="1038"/>
      <c r="L3" s="494" t="str">
        <f>IF(G3="Quebec","Activité exercée","")</f>
        <v/>
      </c>
      <c r="M3" s="2100"/>
      <c r="N3" s="2100"/>
      <c r="O3" s="2100"/>
      <c r="P3" s="2100"/>
      <c r="Q3" s="2100"/>
      <c r="R3" s="2118"/>
      <c r="S3" s="2118"/>
      <c r="T3" s="2100"/>
      <c r="U3" s="2100"/>
      <c r="W3" s="2074"/>
      <c r="Z3" s="1407"/>
    </row>
    <row r="4" spans="1:26" s="33" customFormat="1" ht="36.75" customHeight="1">
      <c r="A4" s="179" t="s">
        <v>1093</v>
      </c>
      <c r="B4" s="179" t="s">
        <v>3412</v>
      </c>
      <c r="E4" s="186"/>
      <c r="F4" s="476" t="str">
        <f>IF($E$1="EN",B4,A4)</f>
        <v>Insured's Business activity:</v>
      </c>
      <c r="G4" s="3513"/>
      <c r="H4" s="3514"/>
      <c r="I4" s="3513"/>
      <c r="J4" s="3513"/>
      <c r="K4" s="3513"/>
      <c r="L4" s="3513"/>
      <c r="M4" s="3513"/>
      <c r="N4" s="3513"/>
      <c r="O4" s="3513"/>
      <c r="P4" s="3513"/>
      <c r="Q4" s="3513"/>
      <c r="R4" s="3513"/>
      <c r="S4" s="3513"/>
      <c r="T4" s="3513"/>
      <c r="U4" s="3515"/>
      <c r="W4" s="2060"/>
      <c r="X4" s="2061"/>
      <c r="Y4" s="2061"/>
      <c r="Z4" s="242"/>
    </row>
    <row r="5" spans="1:26" ht="22.5" customHeight="1">
      <c r="A5" s="36" t="s">
        <v>4045</v>
      </c>
      <c r="B5" s="36" t="s">
        <v>4044</v>
      </c>
      <c r="F5" s="494" t="str">
        <f>IF($E$1="EN",B5,A5)</f>
        <v>Building operations:</v>
      </c>
      <c r="G5" s="3516"/>
      <c r="H5" s="3516"/>
      <c r="I5" s="3516"/>
      <c r="J5" s="3516"/>
      <c r="K5" s="3516"/>
      <c r="L5" s="3516"/>
      <c r="M5" s="3516"/>
      <c r="N5" s="3516"/>
      <c r="O5" s="3516"/>
      <c r="P5" s="3516"/>
      <c r="Q5" s="3516"/>
      <c r="R5" s="3516"/>
      <c r="S5" s="3516"/>
      <c r="T5" s="3516"/>
      <c r="U5" s="3516"/>
      <c r="W5" s="2076"/>
      <c r="X5" s="2071"/>
      <c r="Y5" s="2071"/>
      <c r="Z5" s="2071"/>
    </row>
    <row r="6" spans="1:26" ht="12.75" customHeight="1">
      <c r="A6" s="19" t="s">
        <v>1008</v>
      </c>
      <c r="B6" s="19" t="s">
        <v>3395</v>
      </c>
      <c r="F6" s="494"/>
      <c r="G6" s="1038"/>
      <c r="H6" s="1038"/>
      <c r="I6" s="1038"/>
      <c r="J6" s="1038"/>
      <c r="K6" s="1038"/>
      <c r="L6" s="2100"/>
      <c r="M6" s="2100"/>
      <c r="N6" s="2100"/>
      <c r="O6" s="2100"/>
      <c r="P6" s="2100"/>
      <c r="Q6" s="2100"/>
      <c r="R6" s="2100"/>
      <c r="S6" s="2100"/>
      <c r="T6" s="2100"/>
      <c r="U6" s="2100"/>
      <c r="W6" s="2074"/>
      <c r="Z6" s="2077"/>
    </row>
    <row r="7" spans="1:26" ht="18.75" hidden="1">
      <c r="F7" s="2119"/>
      <c r="G7" s="1038"/>
      <c r="H7" s="1038"/>
      <c r="I7" s="1038"/>
      <c r="J7" s="1038"/>
      <c r="K7" s="1038"/>
      <c r="L7" s="2120"/>
      <c r="M7" s="2121"/>
      <c r="N7" s="2121"/>
      <c r="O7" s="2121"/>
      <c r="P7" s="2121"/>
      <c r="Q7" s="2121"/>
      <c r="R7" s="2121"/>
      <c r="S7" s="2121"/>
      <c r="T7" s="2121"/>
      <c r="U7" s="2121"/>
      <c r="V7" s="239"/>
      <c r="Z7" s="2059"/>
    </row>
    <row r="8" spans="1:26" ht="18.75" hidden="1">
      <c r="A8" s="19"/>
      <c r="B8" s="19"/>
      <c r="C8" s="33"/>
      <c r="D8" s="33"/>
      <c r="E8" s="186"/>
      <c r="F8" s="2122"/>
      <c r="G8" s="1038"/>
      <c r="H8" s="1038"/>
      <c r="I8" s="1038"/>
      <c r="J8" s="1038"/>
      <c r="K8" s="1038"/>
      <c r="L8" s="2123"/>
      <c r="M8" s="2100"/>
      <c r="N8" s="2100"/>
      <c r="O8" s="2100"/>
      <c r="P8" s="2100"/>
      <c r="Q8" s="2100"/>
      <c r="R8" s="2100"/>
      <c r="S8" s="2100"/>
      <c r="T8" s="2100"/>
      <c r="U8" s="2100"/>
      <c r="Z8" s="2059"/>
    </row>
    <row r="9" spans="1:26" s="200" customFormat="1" ht="30" customHeight="1">
      <c r="A9" s="283" t="s">
        <v>1094</v>
      </c>
      <c r="B9" s="283" t="s">
        <v>3403</v>
      </c>
      <c r="E9" s="2056" t="str">
        <f>IF(G9=TRUE,"Y","N")</f>
        <v>Y</v>
      </c>
      <c r="F9" s="2124" t="str">
        <f>IF($E$1="EN",B9,A9)</f>
        <v>Display the premium by coverage</v>
      </c>
      <c r="G9" s="2125" t="b">
        <v>1</v>
      </c>
      <c r="H9" s="2126"/>
      <c r="I9" s="2127"/>
      <c r="J9" s="2127"/>
      <c r="K9" s="2127"/>
      <c r="L9" s="2128"/>
      <c r="M9" s="2128"/>
      <c r="N9" s="2128"/>
      <c r="O9" s="2128"/>
      <c r="P9" s="2128"/>
      <c r="Q9" s="2128"/>
      <c r="R9" s="2128"/>
      <c r="S9" s="2128"/>
      <c r="T9" s="2128"/>
      <c r="U9" s="2128"/>
      <c r="W9" s="202"/>
      <c r="X9" s="202"/>
      <c r="Y9" s="202"/>
      <c r="Z9" s="203"/>
    </row>
    <row r="10" spans="1:26" s="200" customFormat="1" ht="12.75" customHeight="1">
      <c r="A10" s="283" t="s">
        <v>3386</v>
      </c>
      <c r="B10" s="283" t="s">
        <v>3414</v>
      </c>
      <c r="H10" s="1502"/>
      <c r="I10" s="201"/>
      <c r="J10" s="201"/>
      <c r="K10" s="201"/>
      <c r="V10" s="2056"/>
      <c r="W10" s="202"/>
      <c r="X10" s="202"/>
      <c r="Y10" s="202"/>
      <c r="Z10" s="203"/>
    </row>
    <row r="11" spans="1:26" s="200" customFormat="1" ht="30" customHeight="1">
      <c r="A11" s="1049" t="s">
        <v>3375</v>
      </c>
      <c r="B11" s="1049" t="s">
        <v>3404</v>
      </c>
      <c r="F11" s="1481" t="str">
        <f>IF($E$1="EN",B11,A11)</f>
        <v>Submission tab for printing</v>
      </c>
      <c r="G11" s="3521" t="str">
        <f>IF($I$45="Y","Quote template-1","Quote template-2")</f>
        <v>Quote template-2</v>
      </c>
      <c r="H11" s="3521"/>
      <c r="I11" s="201"/>
      <c r="J11" s="201"/>
      <c r="K11" s="201"/>
      <c r="V11" s="2056"/>
      <c r="W11" s="202"/>
      <c r="X11" s="202"/>
      <c r="Y11" s="202"/>
      <c r="Z11" s="203"/>
    </row>
    <row r="12" spans="1:26">
      <c r="A12" s="19"/>
      <c r="B12" s="19"/>
      <c r="C12" s="33"/>
      <c r="D12" s="33"/>
      <c r="E12" s="186"/>
      <c r="F12" s="19"/>
      <c r="Z12" s="2059"/>
    </row>
    <row r="13" spans="1:26" s="34" customFormat="1" ht="18.75" customHeight="1">
      <c r="A13" s="240"/>
      <c r="B13" s="240"/>
      <c r="C13" s="37"/>
      <c r="E13" s="2113" t="str">
        <f>IF($E$1="EN",B14,A14)</f>
        <v>Comments to the file</v>
      </c>
      <c r="F13" s="2114"/>
      <c r="G13" s="37"/>
      <c r="H13" s="37"/>
      <c r="I13" s="57"/>
      <c r="J13" s="57"/>
      <c r="K13" s="57"/>
      <c r="Y13" s="202"/>
      <c r="Z13" s="57"/>
    </row>
    <row r="14" spans="1:26" s="34" customFormat="1" ht="90.75" customHeight="1">
      <c r="A14" s="33" t="s">
        <v>1128</v>
      </c>
      <c r="B14" s="33" t="s">
        <v>3405</v>
      </c>
      <c r="C14" s="37"/>
      <c r="E14" s="3518"/>
      <c r="F14" s="3519"/>
      <c r="G14" s="3519"/>
      <c r="H14" s="3519"/>
      <c r="I14" s="3519"/>
      <c r="J14" s="3519"/>
      <c r="K14" s="3519"/>
      <c r="L14" s="3519"/>
      <c r="M14" s="3519"/>
      <c r="N14" s="3519"/>
      <c r="O14" s="3519"/>
      <c r="P14" s="3519"/>
      <c r="Q14" s="3519"/>
      <c r="R14" s="3519"/>
      <c r="S14" s="3519"/>
      <c r="T14" s="3520"/>
      <c r="V14" s="2115"/>
      <c r="W14" s="2115"/>
      <c r="X14" s="2083"/>
      <c r="Y14" s="2083"/>
    </row>
    <row r="15" spans="1:26">
      <c r="A15" s="19"/>
      <c r="B15" s="19"/>
      <c r="C15" s="33"/>
      <c r="D15" s="33"/>
      <c r="E15" s="186"/>
      <c r="F15" s="19"/>
      <c r="Z15" s="2059"/>
    </row>
    <row r="16" spans="1:26">
      <c r="A16" s="19"/>
      <c r="B16" s="19"/>
      <c r="C16" s="33"/>
      <c r="D16" s="33"/>
      <c r="E16" s="186"/>
      <c r="F16" s="19"/>
      <c r="Z16" s="2059"/>
    </row>
    <row r="17" spans="1:36" ht="28.5">
      <c r="A17" s="19" t="s">
        <v>4049</v>
      </c>
      <c r="B17" s="19" t="s">
        <v>4048</v>
      </c>
      <c r="C17" s="37"/>
      <c r="D17" s="2254"/>
      <c r="E17" s="2147"/>
      <c r="F17" s="2148" t="str">
        <f>IF($E$1="EN",B17,A17)</f>
        <v>1 . Preselection CGL</v>
      </c>
      <c r="G17" s="2149" t="str">
        <f>IF($E$1="EN",B18,A18)</f>
        <v>Input answer here below:</v>
      </c>
      <c r="H17" s="2150"/>
      <c r="I17" s="2151"/>
      <c r="J17" s="2151"/>
      <c r="K17" s="2149" t="s">
        <v>4064</v>
      </c>
      <c r="L17" s="2137"/>
      <c r="M17" s="2137"/>
      <c r="N17" s="2137"/>
      <c r="O17" s="2137"/>
      <c r="P17" s="2137"/>
      <c r="Q17" s="2137"/>
      <c r="R17" s="2137"/>
      <c r="S17" s="2137"/>
      <c r="T17" s="2146"/>
      <c r="V17" s="1651"/>
      <c r="W17" s="2074"/>
      <c r="Z17" s="2078"/>
    </row>
    <row r="18" spans="1:36" hidden="1">
      <c r="A18" s="19" t="s">
        <v>965</v>
      </c>
      <c r="B18" s="19" t="s">
        <v>3413</v>
      </c>
      <c r="C18" s="37"/>
      <c r="D18" s="2255"/>
      <c r="E18" s="2152"/>
      <c r="F18" s="19"/>
      <c r="G18" s="19"/>
      <c r="H18" s="1498"/>
      <c r="I18" s="81"/>
      <c r="J18" s="81"/>
      <c r="T18" s="2153"/>
      <c r="V18" s="1652"/>
      <c r="Z18" s="2078"/>
    </row>
    <row r="19" spans="1:36" hidden="1">
      <c r="A19" s="19"/>
      <c r="B19" s="19"/>
      <c r="C19" s="37"/>
      <c r="D19" s="2255"/>
      <c r="E19" s="2152"/>
      <c r="F19" s="19"/>
      <c r="G19" s="31"/>
      <c r="H19" s="31"/>
      <c r="I19" s="1712" t="s">
        <v>3794</v>
      </c>
      <c r="J19" s="1712"/>
      <c r="K19" s="1712" t="s">
        <v>1242</v>
      </c>
      <c r="L19" s="1712" t="s">
        <v>3796</v>
      </c>
      <c r="M19" s="1712" t="s">
        <v>3802</v>
      </c>
      <c r="N19" s="1553"/>
      <c r="O19" s="1553"/>
      <c r="P19" s="1553"/>
      <c r="Q19" s="1553"/>
      <c r="R19" s="1712" t="s">
        <v>3795</v>
      </c>
      <c r="T19" s="2153"/>
      <c r="V19" s="1652"/>
      <c r="Z19" s="2078"/>
    </row>
    <row r="20" spans="1:36" hidden="1">
      <c r="A20" s="19"/>
      <c r="B20" s="19"/>
      <c r="C20" s="37"/>
      <c r="D20" s="2255"/>
      <c r="E20" s="2152"/>
      <c r="F20" s="19"/>
      <c r="G20" s="31"/>
      <c r="H20" s="31"/>
      <c r="I20" s="1712" t="s">
        <v>3799</v>
      </c>
      <c r="J20" s="1712"/>
      <c r="K20" s="1712" t="s">
        <v>1242</v>
      </c>
      <c r="L20" s="1712" t="s">
        <v>3800</v>
      </c>
      <c r="M20" s="1712" t="s">
        <v>3802</v>
      </c>
      <c r="N20" s="1553"/>
      <c r="O20" s="1553"/>
      <c r="P20" s="1553"/>
      <c r="Q20" s="1553"/>
      <c r="R20" s="1712" t="s">
        <v>3801</v>
      </c>
      <c r="T20" s="2153"/>
      <c r="V20" s="1652"/>
      <c r="Z20" s="2078"/>
    </row>
    <row r="21" spans="1:36" ht="27" customHeight="1">
      <c r="A21" s="19"/>
      <c r="B21" s="19"/>
      <c r="C21" s="37"/>
      <c r="D21" s="2255"/>
      <c r="E21" s="2152"/>
      <c r="F21" s="19"/>
      <c r="G21" s="31"/>
      <c r="H21" s="31"/>
      <c r="I21" s="31"/>
      <c r="J21" s="31"/>
      <c r="K21" s="31"/>
      <c r="T21" s="2153"/>
      <c r="V21" s="1651"/>
      <c r="W21" s="2074"/>
      <c r="X21" s="31"/>
      <c r="Y21" s="31"/>
      <c r="Z21" s="31"/>
    </row>
    <row r="22" spans="1:36" ht="25.5" customHeight="1">
      <c r="A22" s="18" t="s">
        <v>3797</v>
      </c>
      <c r="B22" s="18" t="s">
        <v>3798</v>
      </c>
      <c r="D22" s="2256"/>
      <c r="E22" s="2154">
        <v>1</v>
      </c>
      <c r="F22" s="2129" t="str">
        <f>IF($E$1="EN",B22,A22)</f>
        <v>Input activity %</v>
      </c>
      <c r="G22" s="2133" t="e">
        <f>IF((G24+H24+I24+J24+K24)=0,"input %=&gt;",IF((G24+H24+I24+J24+K24)&lt;100%,"&lt;100%",(G24+H24+I24+J24+K24)))</f>
        <v>#DIV/0!</v>
      </c>
      <c r="H22" s="2793" t="e">
        <f>IF(K24&gt;K$25,"REFER",IF(OR(G37=1536,G37=1763),"",IF(OR(AND((G24+H24)&lt;75%,(I24+J24)&gt;I$25)),IF($E$1="FR",VLOOKUP($G$29,Settings!$C$220:$E$223,2,TRUE),VLOOKUP($G$29,Settings!$C$220:$E$223,3,TRUE)),"")))</f>
        <v>#DIV/0!</v>
      </c>
      <c r="I22" s="31"/>
      <c r="J22" s="31"/>
      <c r="K22" s="31"/>
      <c r="T22" s="2141"/>
      <c r="V22" s="1651"/>
      <c r="W22" s="2079"/>
      <c r="X22" s="31"/>
      <c r="Y22" s="1603"/>
      <c r="Z22" s="2080"/>
    </row>
    <row r="23" spans="1:36" ht="27" customHeight="1">
      <c r="A23" s="1554" t="e">
        <f>IF($K$24&gt;5%,"A Referer car risque Agricole","Referer")</f>
        <v>#DIV/0!</v>
      </c>
      <c r="B23" s="1554" t="e">
        <f>IF($K$24&gt;5%,"Refer due to Agriculture activity","Refer")</f>
        <v>#DIV/0!</v>
      </c>
      <c r="D23" s="2256"/>
      <c r="E23" s="2154"/>
      <c r="F23" s="31"/>
      <c r="G23" s="2163" t="str">
        <f>IF($E$1="FR",I19,I20)</f>
        <v>Residential</v>
      </c>
      <c r="H23" s="2163" t="str">
        <f>IF($E$1="FR",K19,K20)</f>
        <v>Commercial</v>
      </c>
      <c r="I23" s="2163" t="str">
        <f>IF($E$1="FR",L19,L20)</f>
        <v>Industrial</v>
      </c>
      <c r="J23" s="2163" t="str">
        <f>IF($E$1="FR",M19,M20)</f>
        <v>Institut.</v>
      </c>
      <c r="K23" s="2163" t="str">
        <f>IF($E$1="FR",R19,R20)</f>
        <v>Agricul.</v>
      </c>
      <c r="M23" s="2160"/>
      <c r="N23" s="2160"/>
      <c r="Q23" s="2138"/>
      <c r="R23" s="2103"/>
      <c r="S23" s="2103"/>
      <c r="T23" s="2155"/>
      <c r="V23" s="1598"/>
      <c r="W23" s="1212"/>
      <c r="X23" s="2073"/>
      <c r="Y23" s="1681"/>
      <c r="Z23" s="1682"/>
    </row>
    <row r="24" spans="1:36" ht="33" customHeight="1">
      <c r="A24" s="1554" t="s">
        <v>4399</v>
      </c>
      <c r="B24" s="1554" t="s">
        <v>4401</v>
      </c>
      <c r="D24" s="2256"/>
      <c r="E24" s="2154"/>
      <c r="F24" s="31"/>
      <c r="G24" s="3416" t="e">
        <f>Map!R85</f>
        <v>#DIV/0!</v>
      </c>
      <c r="H24" s="3417" t="e">
        <f>Map!S85</f>
        <v>#DIV/0!</v>
      </c>
      <c r="I24" s="3417" t="e">
        <f>Map!T85</f>
        <v>#DIV/0!</v>
      </c>
      <c r="J24" s="3417">
        <v>0</v>
      </c>
      <c r="K24" s="3417" t="e">
        <f>Map!U85</f>
        <v>#DIV/0!</v>
      </c>
      <c r="M24" s="2161"/>
      <c r="N24" s="2161"/>
      <c r="Q24" s="2099"/>
      <c r="R24" s="2103"/>
      <c r="S24" s="2103"/>
      <c r="T24" s="2155"/>
      <c r="V24" s="1598"/>
      <c r="W24" s="1212"/>
      <c r="X24" s="2159"/>
      <c r="Y24" s="1681"/>
      <c r="Z24" s="1682"/>
    </row>
    <row r="25" spans="1:36" s="2866" customFormat="1" ht="33" customHeight="1">
      <c r="A25" s="2865" t="s">
        <v>4277</v>
      </c>
      <c r="B25" s="2865" t="s">
        <v>4276</v>
      </c>
      <c r="D25" s="2867"/>
      <c r="E25" s="2868"/>
      <c r="F25" s="2878" t="str">
        <f t="shared" ref="F25:F38" si="0">IF($E$1="EN",B25,A25)</f>
        <v>UW guidelines Max Authorized % activity</v>
      </c>
      <c r="G25" s="2879"/>
      <c r="H25" s="2879"/>
      <c r="I25" s="3522" t="e">
        <f ca="1">IF(G29&lt;=3,VLOOKUP($G$37,'Conditions (sept 2020)'!B:M,12,FALSE),MAX(50%,VLOOKUP($G$37,'Conditions (sept 2020)'!B:M,12,FALSE)))</f>
        <v>#N/A</v>
      </c>
      <c r="J25" s="3522"/>
      <c r="K25" s="2880" t="e">
        <f>VLOOKUP($G$37,'Conditions (sept 2020)'!B:Z,16,FALSE)</f>
        <v>#N/A</v>
      </c>
      <c r="L25" s="2869"/>
      <c r="M25" s="2869"/>
      <c r="N25" s="2869"/>
      <c r="Q25" s="2870"/>
      <c r="R25" s="2871"/>
      <c r="S25" s="2871"/>
      <c r="T25" s="2872" t="str">
        <f>IF($E$1="EN","Condition respected","Remplie")</f>
        <v>Condition respected</v>
      </c>
      <c r="V25" s="2873"/>
      <c r="W25" s="2874"/>
      <c r="X25" s="2875"/>
      <c r="Y25" s="2876"/>
      <c r="Z25" s="2877"/>
    </row>
    <row r="26" spans="1:36" ht="33">
      <c r="A26" s="2162" t="s">
        <v>1130</v>
      </c>
      <c r="B26" s="2162" t="s">
        <v>3396</v>
      </c>
      <c r="D26" s="2256"/>
      <c r="E26" s="2154">
        <v>2</v>
      </c>
      <c r="F26" s="2130" t="str">
        <f t="shared" si="0"/>
        <v>What is the% of exposure in the USA?</v>
      </c>
      <c r="G26" s="3418">
        <f>IF(Map!V84="Yes",0,100%)</f>
        <v>0</v>
      </c>
      <c r="H26" s="1469"/>
      <c r="I26" s="81"/>
      <c r="J26" s="81"/>
      <c r="K26" s="2111" t="s">
        <v>1131</v>
      </c>
      <c r="M26" s="2099"/>
      <c r="N26" s="1036"/>
      <c r="O26" s="1036"/>
      <c r="P26" s="1036"/>
      <c r="Q26" s="1036"/>
      <c r="R26" s="1036"/>
      <c r="S26" s="33"/>
      <c r="T26" s="2139" t="str">
        <f>IF(G26&gt;10%,"N","Y")</f>
        <v>Y</v>
      </c>
      <c r="V26" s="1598"/>
      <c r="W26" s="2060"/>
      <c r="X26" s="2061"/>
      <c r="Y26" s="2061"/>
      <c r="Z26" s="2059"/>
    </row>
    <row r="27" spans="1:36" ht="21" customHeight="1">
      <c r="A27" s="18" t="s">
        <v>1266</v>
      </c>
      <c r="B27" s="18" t="s">
        <v>3401</v>
      </c>
      <c r="D27" s="2256"/>
      <c r="E27" s="2154">
        <v>3</v>
      </c>
      <c r="F27" s="2129" t="str">
        <f t="shared" si="0"/>
        <v>What is the% of  work subcontracted</v>
      </c>
      <c r="G27" s="3416">
        <f>Map!AD8/100</f>
        <v>0</v>
      </c>
      <c r="H27" s="3251" t="s">
        <v>4486</v>
      </c>
      <c r="I27" s="3254" t="e">
        <f>VLOOKUP($G$37,'Conditions (sept 2020)'!B:H,7,FALSE)</f>
        <v>#N/A</v>
      </c>
      <c r="J27" s="81"/>
      <c r="K27" s="2063"/>
      <c r="M27" s="1300"/>
      <c r="N27" s="1036"/>
      <c r="O27" s="1036"/>
      <c r="P27" s="1036"/>
      <c r="Q27" s="1036"/>
      <c r="R27" s="1036"/>
      <c r="S27" s="1599"/>
      <c r="T27" s="2139"/>
      <c r="V27" s="1598"/>
      <c r="W27" s="2060"/>
      <c r="X27" s="2061"/>
      <c r="Y27" s="2061"/>
      <c r="Z27" s="2062"/>
    </row>
    <row r="28" spans="1:36" ht="33.75" customHeight="1">
      <c r="A28" s="18" t="s">
        <v>3815</v>
      </c>
      <c r="B28" s="18" t="s">
        <v>3814</v>
      </c>
      <c r="D28" s="2256"/>
      <c r="E28" s="2154">
        <v>4</v>
      </c>
      <c r="F28" s="2129" t="str">
        <f t="shared" si="0"/>
        <v>Caution- select here (crimital record / bankruptcy):</v>
      </c>
      <c r="G28" s="3422" t="s">
        <v>3821</v>
      </c>
      <c r="H28" s="3443"/>
      <c r="I28" s="3444"/>
      <c r="J28" s="81"/>
      <c r="K28" s="2063"/>
      <c r="M28" s="2063"/>
      <c r="N28" s="1036"/>
      <c r="O28" s="1036"/>
      <c r="P28" s="1036"/>
      <c r="Q28" s="1036"/>
      <c r="R28" s="1036"/>
      <c r="S28" s="33"/>
      <c r="T28" s="2140"/>
      <c r="V28" s="1598"/>
      <c r="W28" s="1604"/>
      <c r="X28" s="2061"/>
      <c r="Y28" s="2061"/>
      <c r="Z28" s="2059"/>
      <c r="AJ28" s="3411"/>
    </row>
    <row r="29" spans="1:36" ht="31.5" customHeight="1">
      <c r="A29" s="18" t="s">
        <v>1265</v>
      </c>
      <c r="B29" s="18" t="s">
        <v>3397</v>
      </c>
      <c r="D29" s="2256"/>
      <c r="E29" s="2154">
        <v>5</v>
      </c>
      <c r="F29" s="2129" t="str">
        <f t="shared" si="0"/>
        <v>What is the number of years in business?</v>
      </c>
      <c r="G29" s="3424">
        <f ca="1">Map!AD9</f>
        <v>2022</v>
      </c>
      <c r="H29" s="1469"/>
      <c r="I29" s="81"/>
      <c r="J29" s="81"/>
      <c r="K29" s="2063"/>
      <c r="M29" s="1300"/>
      <c r="N29" s="1036"/>
      <c r="O29" s="1036"/>
      <c r="P29" s="1036"/>
      <c r="Q29" s="1036"/>
      <c r="R29" s="1036"/>
      <c r="S29" s="1599"/>
      <c r="T29" s="2140"/>
      <c r="V29" s="1598"/>
      <c r="W29" s="1605"/>
      <c r="X29" s="2061"/>
      <c r="Y29" s="2061"/>
      <c r="Z29" s="2059"/>
    </row>
    <row r="30" spans="1:36" ht="33" customHeight="1">
      <c r="A30" s="18" t="s">
        <v>966</v>
      </c>
      <c r="B30" s="236" t="s">
        <v>3398</v>
      </c>
      <c r="D30" s="2256"/>
      <c r="E30" s="2154">
        <v>6</v>
      </c>
      <c r="F30" s="2129" t="str">
        <f t="shared" si="0"/>
        <v>What is the number of years of experience?</v>
      </c>
      <c r="G30" s="3424">
        <f>Map!AD10</f>
        <v>0</v>
      </c>
      <c r="H30" s="104"/>
      <c r="K30" s="2112" t="s">
        <v>1016</v>
      </c>
      <c r="M30" s="2099"/>
      <c r="N30" s="1036"/>
      <c r="O30" s="1036"/>
      <c r="P30" s="1036"/>
      <c r="Q30" s="1036"/>
      <c r="R30" s="1036"/>
      <c r="S30" s="33"/>
      <c r="T30" s="2139" t="str">
        <f>IF(G30&gt;2,"Y","N")</f>
        <v>N</v>
      </c>
      <c r="V30" s="1598"/>
      <c r="W30" s="1605"/>
      <c r="X30" s="2060"/>
      <c r="Y30" s="2061"/>
      <c r="Z30" s="2059"/>
    </row>
    <row r="31" spans="1:36" ht="38.25" customHeight="1">
      <c r="A31" s="236" t="s">
        <v>38</v>
      </c>
      <c r="B31" s="236" t="s">
        <v>3402</v>
      </c>
      <c r="C31" s="33"/>
      <c r="D31" s="2255"/>
      <c r="E31" s="2154">
        <v>7</v>
      </c>
      <c r="F31" s="2131" t="str">
        <f t="shared" si="0"/>
        <v>Nb of years without claims</v>
      </c>
      <c r="G31" s="3424">
        <f>IF(Map!AD11=0,5,0)</f>
        <v>0</v>
      </c>
      <c r="H31" s="104"/>
      <c r="K31" s="2111" t="s">
        <v>3515</v>
      </c>
      <c r="M31" s="2099"/>
      <c r="N31" s="1036"/>
      <c r="O31" s="1036"/>
      <c r="P31" s="1036"/>
      <c r="Q31" s="1036"/>
      <c r="R31" s="1036"/>
      <c r="S31" s="1599"/>
      <c r="T31" s="2139"/>
      <c r="V31" s="1598"/>
      <c r="W31" s="1605"/>
      <c r="X31" s="3517"/>
      <c r="Y31" s="3517"/>
      <c r="Z31" s="2064"/>
    </row>
    <row r="32" spans="1:36" s="33" customFormat="1" ht="24" customHeight="1">
      <c r="A32" s="180" t="s">
        <v>1120</v>
      </c>
      <c r="B32" s="18" t="s">
        <v>3399</v>
      </c>
      <c r="C32" s="31"/>
      <c r="D32" s="2256"/>
      <c r="E32" s="2154">
        <v>8</v>
      </c>
      <c r="F32" s="2131" t="str">
        <f t="shared" si="0"/>
        <v>Loss ratio%</v>
      </c>
      <c r="G32" s="3425">
        <f>IF(Map!AD11=0,0,100%)</f>
        <v>1</v>
      </c>
      <c r="H32" s="104"/>
      <c r="I32" s="2056"/>
      <c r="J32" s="2056"/>
      <c r="K32" s="2111" t="s">
        <v>3661</v>
      </c>
      <c r="M32" s="2063"/>
      <c r="N32" s="1036"/>
      <c r="O32" s="1036"/>
      <c r="P32" s="1036"/>
      <c r="Q32" s="1036"/>
      <c r="R32" s="1036"/>
      <c r="S32" s="1599"/>
      <c r="T32" s="2139" t="str">
        <f>IF(G32&lt;55%,"Y","N")</f>
        <v>N</v>
      </c>
      <c r="V32" s="1598"/>
      <c r="W32" s="1605"/>
      <c r="X32" s="2060"/>
      <c r="Y32" s="2061"/>
      <c r="Z32" s="2059"/>
    </row>
    <row r="33" spans="1:37" ht="33" customHeight="1">
      <c r="A33" s="180" t="s">
        <v>3742</v>
      </c>
      <c r="B33" s="18" t="s">
        <v>3743</v>
      </c>
      <c r="D33" s="2256"/>
      <c r="E33" s="2154">
        <v>9</v>
      </c>
      <c r="F33" s="2132" t="str">
        <f t="shared" si="0"/>
        <v>Any single equipment  of 60K$  and over?</v>
      </c>
      <c r="G33" s="3400" t="b">
        <v>0</v>
      </c>
      <c r="H33" s="1500"/>
      <c r="K33" s="2063"/>
      <c r="M33" s="2063"/>
      <c r="N33" s="1036"/>
      <c r="O33" s="1036"/>
      <c r="P33" s="1036"/>
      <c r="Q33" s="1036"/>
      <c r="R33" s="1036"/>
      <c r="S33" s="33"/>
      <c r="T33" s="2140"/>
      <c r="V33" s="1598"/>
      <c r="W33" s="1605"/>
      <c r="X33" s="2061"/>
      <c r="Y33" s="2061"/>
      <c r="Z33" s="2059"/>
    </row>
    <row r="34" spans="1:37" ht="30.75" customHeight="1">
      <c r="A34" s="1312" t="s">
        <v>39</v>
      </c>
      <c r="B34" s="1312" t="s">
        <v>3677</v>
      </c>
      <c r="C34" s="1313"/>
      <c r="D34" s="2257"/>
      <c r="E34" s="2154">
        <v>10</v>
      </c>
      <c r="F34" s="2132" t="str">
        <f t="shared" si="0"/>
        <v>Is there a valid Licence when required</v>
      </c>
      <c r="G34" s="3426" t="b">
        <f>IF(Map!AD12="Yes",TRUE,FALSE)</f>
        <v>1</v>
      </c>
      <c r="H34" s="1501"/>
      <c r="I34" s="2102" t="s">
        <v>3741</v>
      </c>
      <c r="J34" s="2102"/>
      <c r="K34" s="2111" t="s">
        <v>3516</v>
      </c>
      <c r="M34" s="2099"/>
      <c r="N34" s="2101"/>
      <c r="O34" s="2101"/>
      <c r="P34" s="2101"/>
      <c r="Q34" s="2101"/>
      <c r="R34" s="2101"/>
      <c r="S34" s="1600"/>
      <c r="T34" s="2141" t="str">
        <f>IF(G34=TRUE,"Y","N")</f>
        <v>Y</v>
      </c>
      <c r="V34" s="1598"/>
      <c r="W34" s="2060"/>
      <c r="X34" s="2061"/>
      <c r="Y34" s="2061"/>
      <c r="Z34" s="2065"/>
    </row>
    <row r="35" spans="1:37" s="1313" customFormat="1" ht="33" customHeight="1">
      <c r="A35" s="1312" t="s">
        <v>3804</v>
      </c>
      <c r="B35" s="1312" t="s">
        <v>3803</v>
      </c>
      <c r="D35" s="2257"/>
      <c r="E35" s="2154">
        <v>11</v>
      </c>
      <c r="F35" s="2089" t="str">
        <f t="shared" si="0"/>
        <v>If welder ,confirm the insured has a welder training / certification</v>
      </c>
      <c r="G35" s="3401" t="b">
        <v>0</v>
      </c>
      <c r="H35" s="1499"/>
      <c r="K35" s="2101"/>
      <c r="M35" s="2101"/>
      <c r="N35" s="2101"/>
      <c r="O35" s="2101"/>
      <c r="P35" s="2101"/>
      <c r="Q35" s="2101"/>
      <c r="R35" s="2101"/>
      <c r="T35" s="2142"/>
      <c r="V35" s="1598"/>
      <c r="W35" s="2060"/>
      <c r="X35" s="2061"/>
      <c r="Y35" s="2061"/>
      <c r="Z35" s="2066"/>
    </row>
    <row r="36" spans="1:37" s="1313" customFormat="1" ht="33" customHeight="1">
      <c r="A36" s="1485" t="s">
        <v>3762</v>
      </c>
      <c r="B36" s="1485" t="s">
        <v>3761</v>
      </c>
      <c r="D36" s="2257"/>
      <c r="E36" s="2154">
        <v>12</v>
      </c>
      <c r="F36" s="2089" t="str">
        <f t="shared" si="0"/>
        <v>NB / Renewal / Endorsement</v>
      </c>
      <c r="G36" s="3427" t="s">
        <v>3764</v>
      </c>
      <c r="H36" s="1499"/>
      <c r="K36" s="1036"/>
      <c r="M36" s="2101"/>
      <c r="N36" s="2101"/>
      <c r="O36" s="2101"/>
      <c r="P36" s="2101"/>
      <c r="Q36" s="2101"/>
      <c r="R36" s="2101"/>
      <c r="T36" s="2142"/>
      <c r="V36" s="1598"/>
      <c r="W36" s="450"/>
      <c r="X36" s="2061"/>
      <c r="Y36" s="2061"/>
      <c r="Z36" s="242"/>
    </row>
    <row r="37" spans="1:37" s="1313" customFormat="1" ht="33" customHeight="1">
      <c r="A37" s="1485" t="s">
        <v>4189</v>
      </c>
      <c r="B37" s="1485" t="s">
        <v>4190</v>
      </c>
      <c r="D37" s="2257"/>
      <c r="E37" s="2154">
        <v>13</v>
      </c>
      <c r="F37" s="2089" t="str">
        <f t="shared" si="0"/>
        <v>Code used for rating</v>
      </c>
      <c r="G37" s="2614" t="str">
        <f>G38</f>
        <v/>
      </c>
      <c r="H37" s="2638" t="e">
        <f>IF(H22="",VLOOKUP($G$37,'Conditions (sept 2020)'!B:F,5,FALSE),"input %=&gt;")</f>
        <v>#DIV/0!</v>
      </c>
      <c r="I37" s="2053" t="str">
        <f>IF(OR(G37=1811,G37=1830),"USE COC RATER/ 1812 if Contractor",IFERROR(IF(VLOOKUP($G$37,'Additional condition CGL Amlin'!$A$6:$A$38,1,FALSE)=G37,"Low risk",""),""))</f>
        <v/>
      </c>
      <c r="J37" s="2053"/>
      <c r="K37" s="3527" t="str">
        <f>IF($G$37=0,"",IF($E$1="EN",IFERROR(VLOOKUP($G$37,'Aide-Help IBC codes'!A:D,2,FALSE),""),IFERROR(VLOOKUP($G$37,'Aide-Help IBC codes'!A:D,3,FALSE),"")))</f>
        <v/>
      </c>
      <c r="L37" s="3527"/>
      <c r="M37" s="3527"/>
      <c r="N37" s="2105"/>
      <c r="O37" s="2105"/>
      <c r="P37" s="2105"/>
      <c r="Q37" s="2105"/>
      <c r="R37" s="1935" t="s">
        <v>3887</v>
      </c>
      <c r="S37" s="34">
        <f>IF($G$45&lt;1%,3,IF(IFERROR(VLOOKUP($G$37,'CGL coverage'!$F$32:$F$35,1,FALSE),2)=$G$37,2,1))</f>
        <v>1</v>
      </c>
      <c r="T37" s="2141" t="e">
        <f>IF(H37="OK","Y","N")</f>
        <v>#DIV/0!</v>
      </c>
      <c r="V37" s="1598"/>
      <c r="W37" s="2060"/>
      <c r="X37" s="2067"/>
      <c r="Y37" s="2067"/>
      <c r="Z37" s="2068"/>
    </row>
    <row r="38" spans="1:37" s="1313" customFormat="1" ht="21.75" customHeight="1">
      <c r="A38" s="1485" t="s">
        <v>4191</v>
      </c>
      <c r="B38" s="1485" t="s">
        <v>4192</v>
      </c>
      <c r="D38" s="2257"/>
      <c r="E38" s="2154"/>
      <c r="F38" s="1312" t="str">
        <f t="shared" si="0"/>
        <v>Main code IBC in Nova</v>
      </c>
      <c r="G38" s="3428" t="str">
        <f>IFERROR(VLOOKUP(Map!P90,Map!$O$6:$P$69,2,FALSE),"")</f>
        <v/>
      </c>
      <c r="H38" s="3071" t="str">
        <f>IF(G38=1536,IF(E1="FR",A24,B24),"")</f>
        <v/>
      </c>
      <c r="I38" s="2053"/>
      <c r="J38" s="2053"/>
      <c r="K38" s="2779"/>
      <c r="L38" s="3528" t="str">
        <f>IF(AND(OR(G37=1774,G37=1526,G37=1631),OR(G36="Nouvelle Affaire",G36="New Business")),IF(E$1="FR",A45,B45),"OK")</f>
        <v>OK</v>
      </c>
      <c r="M38" s="3528"/>
      <c r="N38" s="3528"/>
      <c r="O38" s="3528"/>
      <c r="P38" s="3528"/>
      <c r="Q38" s="3528"/>
      <c r="R38" s="3528"/>
      <c r="S38" s="3528"/>
      <c r="T38" s="2141"/>
      <c r="V38" s="1598"/>
      <c r="W38" s="450"/>
      <c r="X38" s="2068"/>
      <c r="Y38" s="2068"/>
      <c r="Z38" s="2068"/>
    </row>
    <row r="39" spans="1:37" s="1313" customFormat="1" ht="33" customHeight="1">
      <c r="A39" s="1485" t="s">
        <v>3997</v>
      </c>
      <c r="B39" s="1485" t="s">
        <v>3998</v>
      </c>
      <c r="D39" s="2257"/>
      <c r="E39" s="2154">
        <v>14</v>
      </c>
      <c r="F39" s="2089" t="str">
        <f>IF($E$1="EN",B42,A42)</f>
        <v>Total Revenues</v>
      </c>
      <c r="G39" s="3429">
        <f>Map!$Q$84</f>
        <v>0</v>
      </c>
      <c r="K39" s="1036" t="s">
        <v>4299</v>
      </c>
      <c r="M39" s="2896">
        <v>5000000</v>
      </c>
      <c r="N39" s="1599"/>
      <c r="O39" s="1599"/>
      <c r="P39" s="1599"/>
      <c r="Q39" s="1599"/>
      <c r="R39" s="1599"/>
      <c r="S39" s="1599"/>
      <c r="T39" s="2139" t="str">
        <f>IF(G39&lt;=M39,"Y","N")</f>
        <v>Y</v>
      </c>
      <c r="V39" s="1598"/>
      <c r="W39" s="2060"/>
      <c r="X39" s="2069"/>
      <c r="Y39" s="2069"/>
      <c r="Z39" s="2070"/>
    </row>
    <row r="40" spans="1:37" s="1313" customFormat="1" ht="39.75" customHeight="1">
      <c r="A40" s="1313" t="s">
        <v>4128</v>
      </c>
      <c r="B40" s="1711" t="s">
        <v>4127</v>
      </c>
      <c r="D40" s="2257"/>
      <c r="E40" s="2156">
        <v>15</v>
      </c>
      <c r="F40" s="2666" t="str">
        <f>IF(G37=1777,IF($E$1="EN",B40,A40),"")</f>
        <v/>
      </c>
      <c r="G40" s="2665"/>
      <c r="H40" s="2680" t="str">
        <f>IF(G40="Y", "Decline risk due to exposure","")</f>
        <v/>
      </c>
      <c r="I40" s="2667" t="str">
        <f>IF(F40="","","&lt; Important")</f>
        <v/>
      </c>
      <c r="J40" s="2157"/>
      <c r="K40" s="2158"/>
      <c r="L40" s="2157"/>
      <c r="M40" s="2143"/>
      <c r="N40" s="2144"/>
      <c r="O40" s="2144"/>
      <c r="P40" s="2144"/>
      <c r="Q40" s="2144"/>
      <c r="R40" s="2144"/>
      <c r="S40" s="2144"/>
      <c r="T40" s="2145"/>
      <c r="V40" s="1598"/>
      <c r="W40" s="2060"/>
      <c r="X40" s="2069"/>
      <c r="Y40" s="2069"/>
      <c r="Z40" s="2070"/>
    </row>
    <row r="41" spans="1:37" s="1313" customFormat="1" ht="39.75" customHeight="1">
      <c r="A41" s="1313" t="s">
        <v>4494</v>
      </c>
      <c r="B41" s="3266" t="s">
        <v>4495</v>
      </c>
      <c r="D41" s="2257"/>
      <c r="E41" s="3260">
        <v>16</v>
      </c>
      <c r="F41" s="2666" t="str">
        <f>IF(G38=1831,IF($E$1="EN",B41,A41),"")</f>
        <v/>
      </c>
      <c r="G41" s="2665"/>
      <c r="H41" s="3261"/>
      <c r="I41" s="3262"/>
      <c r="K41" s="3263"/>
      <c r="M41" s="3264"/>
      <c r="N41" s="3265"/>
      <c r="O41" s="3265"/>
      <c r="P41" s="3265"/>
      <c r="Q41" s="3265"/>
      <c r="R41" s="3265"/>
      <c r="S41" s="3265"/>
      <c r="T41" s="40"/>
      <c r="V41" s="1598"/>
      <c r="W41" s="2060"/>
      <c r="X41" s="2069"/>
      <c r="Y41" s="2069"/>
      <c r="Z41" s="2070"/>
    </row>
    <row r="42" spans="1:37" ht="20.25">
      <c r="A42" s="1485" t="s">
        <v>4058</v>
      </c>
      <c r="B42" s="1485" t="s">
        <v>4057</v>
      </c>
      <c r="D42" s="185"/>
      <c r="F42" s="3248" t="e">
        <f>IF(VLOOKUP(G38,'Conditions (sept 2020)'!B:I,8)="Welders",IF('Input '!$E$1="EN",'Input '!B47,'Input '!A47),0)</f>
        <v>#N/A</v>
      </c>
      <c r="H42" s="3247"/>
      <c r="I42" s="3247"/>
      <c r="J42" s="3247"/>
      <c r="K42" s="3247"/>
      <c r="AG42" s="3529" t="s">
        <v>4126</v>
      </c>
      <c r="AH42" s="3529"/>
      <c r="AI42" s="3529"/>
      <c r="AJ42" s="3529"/>
      <c r="AK42" s="3529"/>
    </row>
    <row r="43" spans="1:37" ht="70.5" customHeight="1">
      <c r="A43" s="1485" t="s">
        <v>3988</v>
      </c>
      <c r="B43" s="1485" t="s">
        <v>3987</v>
      </c>
      <c r="D43" s="2256"/>
      <c r="E43" s="2164"/>
      <c r="F43" s="2165" t="s">
        <v>4050</v>
      </c>
      <c r="G43" s="2166" t="s">
        <v>4056</v>
      </c>
      <c r="H43" s="2166" t="s">
        <v>4052</v>
      </c>
      <c r="I43" s="2166" t="s">
        <v>4059</v>
      </c>
      <c r="J43" s="2166" t="s">
        <v>4288</v>
      </c>
      <c r="K43" s="2166" t="s">
        <v>4055</v>
      </c>
      <c r="L43" s="2166" t="s">
        <v>4060</v>
      </c>
      <c r="M43" s="3533" t="str">
        <f>IF($E$1="EN",B43,A43)</f>
        <v>Uncheck to remove free Amlin package frils</v>
      </c>
      <c r="N43" s="3533"/>
      <c r="O43" s="2167"/>
      <c r="P43" s="2167"/>
      <c r="Q43" s="2167"/>
      <c r="R43" s="2168" t="str">
        <f>IF($E$1="EN",B10,A10)</f>
        <v>Uncheck if Amlin Pakage not offered</v>
      </c>
      <c r="S43" s="2168" t="s">
        <v>4219</v>
      </c>
      <c r="T43" s="2798" t="s">
        <v>4227</v>
      </c>
      <c r="AG43" s="3530" t="str">
        <f>IF($E$1="EN",$B$46,$A$46)</f>
        <v>Check the Liability market selected :</v>
      </c>
      <c r="AH43" s="3531"/>
      <c r="AI43" s="2681"/>
      <c r="AJ43" s="2682" t="s">
        <v>262</v>
      </c>
      <c r="AK43" s="2683"/>
    </row>
    <row r="44" spans="1:37" ht="28.5" customHeight="1">
      <c r="B44" s="36" t="s">
        <v>4063</v>
      </c>
      <c r="D44" s="2256"/>
      <c r="E44" s="2169"/>
      <c r="G44" s="2096"/>
      <c r="H44" s="2096"/>
      <c r="I44" s="2096"/>
      <c r="K44" s="2097"/>
      <c r="L44" s="2097"/>
      <c r="N44" s="2097"/>
      <c r="R44" s="2097"/>
      <c r="T44" s="2155"/>
      <c r="AG44" s="2684" t="b">
        <v>1</v>
      </c>
      <c r="AH44" s="730" t="s">
        <v>4131</v>
      </c>
      <c r="AI44" s="6"/>
      <c r="AJ44" s="2685" t="str">
        <f>AH44</f>
        <v>Amlin (2049)  /BC)</v>
      </c>
      <c r="AK44" s="2686">
        <f>IF(G55=FALSE,100%,0)</f>
        <v>1</v>
      </c>
    </row>
    <row r="45" spans="1:37" s="200" customFormat="1" ht="33.75" customHeight="1">
      <c r="A45" s="419" t="s">
        <v>4308</v>
      </c>
      <c r="B45" s="419" t="s">
        <v>4482</v>
      </c>
      <c r="D45" s="2258"/>
      <c r="E45" s="2170"/>
      <c r="F45" s="2089" t="s">
        <v>4101</v>
      </c>
      <c r="G45" s="2106">
        <v>1</v>
      </c>
      <c r="H45" s="2651" t="s">
        <v>4051</v>
      </c>
      <c r="I45" s="2110" t="str">
        <f>IF(COUNTIF(T26:T39,"Y")=6,"Y","N")</f>
        <v>N</v>
      </c>
      <c r="J45" s="2096" t="s">
        <v>3805</v>
      </c>
      <c r="K45" s="2095"/>
      <c r="L45" s="2095" t="str">
        <f ca="1">IF(AND(G29&gt;=3,G30&gt;=3),"Eligible","Not Eligible")</f>
        <v>Not Eligible</v>
      </c>
      <c r="M45" s="2098" t="b">
        <v>1</v>
      </c>
      <c r="N45" s="2094"/>
      <c r="O45" s="2090"/>
      <c r="P45" s="2090"/>
      <c r="Q45" s="2090"/>
      <c r="R45" s="2098" t="b">
        <v>1</v>
      </c>
      <c r="S45" s="2794" t="e">
        <f>IF(AND($G39&lt;=2000000,('Input '!I24+'Input '!J24)&lt;30%,I37="Low risk",LEFT('Input '!$G$36,1)="N"),"Y","N")</f>
        <v>#DIV/0!</v>
      </c>
      <c r="T45" s="2098" t="b">
        <v>1</v>
      </c>
      <c r="V45" s="2056"/>
      <c r="W45" s="202"/>
      <c r="X45" s="202"/>
      <c r="Y45" s="202"/>
      <c r="Z45" s="203"/>
      <c r="AG45" s="2684" t="b">
        <v>0</v>
      </c>
      <c r="AH45" s="730">
        <v>2363</v>
      </c>
      <c r="AI45" s="6"/>
      <c r="AJ45" s="2687"/>
      <c r="AK45" s="2688"/>
    </row>
    <row r="46" spans="1:37" s="34" customFormat="1" ht="22.5" customHeight="1">
      <c r="A46" s="19" t="s">
        <v>3367</v>
      </c>
      <c r="B46" s="19" t="s">
        <v>3685</v>
      </c>
      <c r="C46" s="37"/>
      <c r="D46" s="2259"/>
      <c r="E46" s="2171"/>
      <c r="F46" s="2089" t="s">
        <v>4102</v>
      </c>
      <c r="G46" s="2107"/>
      <c r="H46" s="2652">
        <v>589</v>
      </c>
      <c r="I46" s="2650"/>
      <c r="J46" s="2056"/>
      <c r="K46" s="2091"/>
      <c r="L46" s="2092"/>
      <c r="N46" s="2090"/>
      <c r="O46" s="2090"/>
      <c r="P46" s="2090"/>
      <c r="Q46" s="2093"/>
      <c r="R46" s="2092"/>
      <c r="T46" s="2172"/>
      <c r="Y46" s="202"/>
      <c r="Z46" s="57"/>
      <c r="AG46" s="2689" t="b">
        <v>0</v>
      </c>
      <c r="AH46" s="730" t="s">
        <v>4132</v>
      </c>
      <c r="AJ46" s="2687"/>
      <c r="AK46" s="2688"/>
    </row>
    <row r="47" spans="1:37" s="34" customFormat="1" ht="24" customHeight="1">
      <c r="A47" s="240" t="s">
        <v>4481</v>
      </c>
      <c r="B47" s="240" t="s">
        <v>4480</v>
      </c>
      <c r="C47" s="37"/>
      <c r="D47" s="2259"/>
      <c r="E47" s="2171"/>
      <c r="F47" s="2622" t="s">
        <v>4103</v>
      </c>
      <c r="G47" s="2107"/>
      <c r="H47" s="2647" t="str">
        <f>F47</f>
        <v xml:space="preserve">589 Prior submit </v>
      </c>
      <c r="I47" s="2091"/>
      <c r="J47" s="2056"/>
      <c r="K47" s="2108"/>
      <c r="L47" s="2092"/>
      <c r="N47" s="2090"/>
      <c r="O47" s="2090"/>
      <c r="P47" s="2090"/>
      <c r="Q47" s="2093"/>
      <c r="R47" s="2092"/>
      <c r="T47" s="2172"/>
      <c r="Y47" s="202"/>
      <c r="Z47" s="57"/>
      <c r="AG47" s="2689" t="b">
        <v>0</v>
      </c>
      <c r="AH47" s="730" t="s">
        <v>4133</v>
      </c>
      <c r="AJ47" s="2687"/>
      <c r="AK47" s="2688"/>
    </row>
    <row r="48" spans="1:37" s="34" customFormat="1" ht="24" customHeight="1">
      <c r="A48" s="33"/>
      <c r="B48" s="33"/>
      <c r="C48" s="37"/>
      <c r="D48" s="2259"/>
      <c r="E48" s="2171"/>
      <c r="F48" s="2622" t="s">
        <v>4097</v>
      </c>
      <c r="G48" s="2107"/>
      <c r="H48" s="2648" t="str">
        <f>F48</f>
        <v>Amlin Prior submit</v>
      </c>
      <c r="I48" s="2092"/>
      <c r="J48" s="2056"/>
      <c r="K48" s="2109"/>
      <c r="L48" s="2092"/>
      <c r="N48" s="2090"/>
      <c r="O48" s="2090"/>
      <c r="P48" s="2090"/>
      <c r="Q48" s="2093"/>
      <c r="R48" s="2092"/>
      <c r="S48" s="57"/>
      <c r="T48" s="2173"/>
      <c r="U48" s="57"/>
      <c r="V48" s="57"/>
      <c r="Z48" s="57"/>
      <c r="AG48" s="2689" t="b">
        <v>0</v>
      </c>
      <c r="AH48" s="2687">
        <v>2189</v>
      </c>
      <c r="AJ48" s="2687" t="e">
        <f>Property!$G$114</f>
        <v>#REF!</v>
      </c>
      <c r="AK48" s="2690" t="str">
        <f>IF($G$55=FALSE,"Aucune capacité en bien avec Intact",Property!$T$114)</f>
        <v>Aucune capacité en bien avec Intact</v>
      </c>
    </row>
    <row r="49" spans="1:37" ht="24" customHeight="1">
      <c r="D49" s="2256"/>
      <c r="E49" s="2169"/>
      <c r="F49" s="2622" t="s">
        <v>4053</v>
      </c>
      <c r="G49" s="2107"/>
      <c r="H49" s="2648" t="str">
        <f>F49</f>
        <v>CFC/ Open maket</v>
      </c>
      <c r="I49" s="2092"/>
      <c r="K49" s="2109"/>
      <c r="L49" s="2092"/>
      <c r="N49" s="2090"/>
      <c r="O49" s="2090"/>
      <c r="P49" s="2090"/>
      <c r="Q49" s="2093"/>
      <c r="R49" s="2092"/>
      <c r="T49" s="2155"/>
      <c r="AG49" s="2689" t="b">
        <v>0</v>
      </c>
      <c r="AH49" s="3532" t="s">
        <v>3722</v>
      </c>
      <c r="AI49" s="3532"/>
      <c r="AJ49" s="2687" t="e">
        <f>Property!$G$115</f>
        <v>#REF!</v>
      </c>
      <c r="AK49" s="2688">
        <f>Property!$T$115</f>
        <v>0</v>
      </c>
    </row>
    <row r="50" spans="1:37" ht="24" customHeight="1">
      <c r="D50" s="2256"/>
      <c r="E50" s="2174"/>
      <c r="F50" s="2623" t="s">
        <v>4054</v>
      </c>
      <c r="G50" s="2175"/>
      <c r="H50" s="2649" t="str">
        <f>F50</f>
        <v>Endudance</v>
      </c>
      <c r="I50" s="2653"/>
      <c r="J50" s="2178"/>
      <c r="K50" s="2177"/>
      <c r="L50" s="2178"/>
      <c r="M50" s="2179"/>
      <c r="N50" s="2176"/>
      <c r="O50" s="2176"/>
      <c r="P50" s="2176"/>
      <c r="Q50" s="2180"/>
      <c r="R50" s="2178"/>
      <c r="S50" s="2179"/>
      <c r="T50" s="2181"/>
      <c r="AG50" s="2691" t="str">
        <f>IF(E1="FR",B51,A51)</f>
        <v>Approval date:</v>
      </c>
      <c r="AH50" s="2692"/>
      <c r="AI50" s="2693"/>
      <c r="AJ50" s="2707" t="e">
        <f>Property!$G$116</f>
        <v>#REF!</v>
      </c>
      <c r="AK50" s="2694">
        <f>Property!$T$116</f>
        <v>0</v>
      </c>
    </row>
    <row r="51" spans="1:37" ht="18">
      <c r="A51" s="2691" t="s">
        <v>4134</v>
      </c>
      <c r="B51" s="36" t="s">
        <v>4139</v>
      </c>
      <c r="F51" s="2091"/>
      <c r="G51" s="2092"/>
      <c r="H51" s="2092"/>
    </row>
    <row r="52" spans="1:37" ht="28.5">
      <c r="A52" s="36" t="s">
        <v>4062</v>
      </c>
      <c r="B52" s="36" t="s">
        <v>4061</v>
      </c>
      <c r="D52" s="2251"/>
      <c r="E52" s="2223"/>
      <c r="F52" s="2224" t="str">
        <f>IF($E$1="EN",B52,A52)</f>
        <v>2 .Property Preselection</v>
      </c>
      <c r="G52" s="2225"/>
      <c r="H52" s="2224"/>
      <c r="I52" s="2224"/>
      <c r="J52" s="2654" t="s">
        <v>4122</v>
      </c>
      <c r="K52" s="2654" t="s">
        <v>4106</v>
      </c>
      <c r="L52" s="2226"/>
      <c r="M52" s="2226"/>
      <c r="N52" s="2226"/>
      <c r="O52" s="2226"/>
      <c r="P52" s="2226"/>
      <c r="Q52" s="2226"/>
      <c r="R52" s="2226"/>
      <c r="S52" s="2226"/>
      <c r="T52" s="2227"/>
      <c r="V52" s="31" t="b">
        <v>0</v>
      </c>
      <c r="AH52" s="31" t="s">
        <v>4140</v>
      </c>
    </row>
    <row r="53" spans="1:37" ht="22.5">
      <c r="D53" s="2252"/>
      <c r="E53" s="2228"/>
      <c r="F53" s="2081"/>
      <c r="H53" s="2376"/>
      <c r="I53" s="2376"/>
      <c r="J53" s="2376"/>
      <c r="T53" s="2229"/>
      <c r="V53" s="31" t="b">
        <v>0</v>
      </c>
    </row>
    <row r="54" spans="1:37" ht="25.5" customHeight="1">
      <c r="A54" s="36" t="s">
        <v>4046</v>
      </c>
      <c r="B54" s="36" t="s">
        <v>4047</v>
      </c>
      <c r="D54" s="2252"/>
      <c r="E54" s="2228"/>
      <c r="F54" s="2093" t="str">
        <f>IF($E$1="EN",B54,A54)</f>
        <v>Nb of locations</v>
      </c>
      <c r="G54" s="3402">
        <v>1</v>
      </c>
      <c r="H54" s="2376"/>
      <c r="I54" s="2376"/>
      <c r="J54" s="2376"/>
      <c r="L54" s="2100"/>
      <c r="M54" s="2100"/>
      <c r="T54" s="2229"/>
      <c r="V54" s="31" t="b">
        <v>0</v>
      </c>
    </row>
    <row r="55" spans="1:37" ht="32.25" customHeight="1">
      <c r="A55" s="36" t="s">
        <v>3780</v>
      </c>
      <c r="B55" s="36" t="s">
        <v>3994</v>
      </c>
      <c r="D55" s="2252"/>
      <c r="E55" s="2228"/>
      <c r="F55" s="2645" t="str">
        <f>IF($E$1="EN",B55,A55)</f>
        <v>Confirm Intact is not on the exiring policy</v>
      </c>
      <c r="G55" s="2134" t="b">
        <v>0</v>
      </c>
      <c r="H55" s="2376"/>
      <c r="I55" s="2376"/>
      <c r="J55" s="2376"/>
      <c r="L55" s="2100"/>
      <c r="M55" s="2100"/>
      <c r="T55" s="2229"/>
      <c r="V55" s="31" t="b">
        <v>0</v>
      </c>
    </row>
    <row r="56" spans="1:37" ht="25.5" customHeight="1">
      <c r="A56" s="36" t="s">
        <v>4079</v>
      </c>
      <c r="B56" s="36" t="s">
        <v>4071</v>
      </c>
      <c r="D56" s="2252"/>
      <c r="E56" s="2228"/>
      <c r="F56" s="2627" t="str">
        <f t="shared" ref="F56:F69" si="1">IF($E$1="EN",B56,A56)</f>
        <v>Input TIV by coverage (location 1) :</v>
      </c>
      <c r="G56" s="2628"/>
      <c r="H56" s="2376"/>
      <c r="I56" s="2376"/>
      <c r="J56" s="2376"/>
      <c r="L56" s="2100"/>
      <c r="M56" s="2100"/>
      <c r="T56" s="2229"/>
    </row>
    <row r="57" spans="1:37" ht="35.25" customHeight="1">
      <c r="A57" s="36" t="s">
        <v>4072</v>
      </c>
      <c r="B57" s="2093" t="s">
        <v>4017</v>
      </c>
      <c r="D57" s="2252"/>
      <c r="E57" s="2228"/>
      <c r="F57" s="2131" t="str">
        <f>IF($E$1="EN",B57,A57)</f>
        <v>Tools</v>
      </c>
      <c r="G57" s="3430">
        <f>Map!U97</f>
        <v>0</v>
      </c>
      <c r="H57" s="3069" t="s">
        <v>4394</v>
      </c>
      <c r="I57" s="3069" t="s">
        <v>4393</v>
      </c>
      <c r="J57" s="2056">
        <v>125000</v>
      </c>
      <c r="L57" s="3525" t="str">
        <f>IF($E$1="FR",Property!$A$6,Property!B6)</f>
        <v>Tools</v>
      </c>
      <c r="M57" s="3525"/>
      <c r="N57" s="3525"/>
      <c r="O57" s="3525"/>
      <c r="P57" s="3525"/>
      <c r="Q57" s="3525"/>
      <c r="R57" s="3525"/>
      <c r="S57" s="3525"/>
      <c r="T57" s="3526"/>
    </row>
    <row r="58" spans="1:37" ht="25.5" customHeight="1">
      <c r="A58" s="36" t="s">
        <v>3390</v>
      </c>
      <c r="B58" s="2093" t="s">
        <v>3486</v>
      </c>
      <c r="D58" s="2252"/>
      <c r="E58" s="2228"/>
      <c r="F58" s="2131" t="str">
        <f>IF($E$1="EN",B58,A58)</f>
        <v>Installation Floater</v>
      </c>
      <c r="G58" s="3430">
        <f>Map!$U$118</f>
        <v>0</v>
      </c>
      <c r="H58" s="2894">
        <f>IF(I58=0,0,10000)</f>
        <v>10000</v>
      </c>
      <c r="I58" s="2893" t="str">
        <f>Property!H9</f>
        <v/>
      </c>
      <c r="K58" s="2629">
        <f>IF(G39=0,0,IF(30%*$G$39&gt;250000,250000,30%*$G$39))</f>
        <v>0</v>
      </c>
      <c r="L58" s="2376" t="s">
        <v>4107</v>
      </c>
      <c r="M58" s="2376"/>
      <c r="T58" s="2229"/>
    </row>
    <row r="59" spans="1:37" ht="15.75" customHeight="1">
      <c r="B59" s="2093"/>
      <c r="D59" s="2252"/>
      <c r="E59" s="2228"/>
      <c r="F59" s="2131"/>
      <c r="G59" s="2625"/>
      <c r="H59" s="2626" t="s">
        <v>4104</v>
      </c>
      <c r="I59" s="2619" t="s">
        <v>4105</v>
      </c>
      <c r="J59" s="2056" t="s">
        <v>4151</v>
      </c>
      <c r="K59" s="2056" t="s">
        <v>4108</v>
      </c>
      <c r="L59" s="3525" t="str">
        <f>IF($E$1="FR",Property!$A$7,Property!B6)</f>
        <v>Tools</v>
      </c>
      <c r="M59" s="3525"/>
      <c r="N59" s="3525"/>
      <c r="O59" s="3525"/>
      <c r="P59" s="3525"/>
      <c r="Q59" s="3525"/>
      <c r="R59" s="3525"/>
      <c r="S59" s="3525"/>
      <c r="T59" s="3526"/>
    </row>
    <row r="60" spans="1:37" ht="34.5" customHeight="1">
      <c r="A60" s="36" t="s">
        <v>4077</v>
      </c>
      <c r="B60" s="2093" t="s">
        <v>4515</v>
      </c>
      <c r="D60" s="2252"/>
      <c r="E60" s="2228"/>
      <c r="F60" s="2131" t="str">
        <f>IF($E$1="EN",B60,A60)</f>
        <v>Contractor Equipment</v>
      </c>
      <c r="G60" s="3430">
        <f>Map!U102</f>
        <v>0</v>
      </c>
      <c r="H60" s="3405">
        <v>5</v>
      </c>
      <c r="I60" s="3404">
        <v>5000</v>
      </c>
      <c r="J60" s="2629">
        <f>INDEX('Rates- Limits UW settings'!$C$47:$H$50,MATCH(Property!$B$2,'Rates- Limits UW settings'!$C$47:$C$50,0),6)</f>
        <v>150000</v>
      </c>
      <c r="K60" s="2629">
        <f>IF(G38=1774,INDEX('Rates- Limits UW settings'!$C$41:$H$44,MATCH(Property!$B$2,'Rates- Limits UW settings'!$C$41:$C$44,0),6),INDEX('Rates- Limits UW settings'!$C$36:$H$39,MATCH(Property!$B$2,'Rates- Limits UW settings'!$C$36:$C$39,0),6))</f>
        <v>75000</v>
      </c>
      <c r="L60" s="3525"/>
      <c r="M60" s="3525"/>
      <c r="N60" s="3525"/>
      <c r="O60" s="3525"/>
      <c r="P60" s="3525"/>
      <c r="Q60" s="3525"/>
      <c r="R60" s="3525"/>
      <c r="S60" s="3525"/>
      <c r="T60" s="3526"/>
    </row>
    <row r="61" spans="1:37" ht="34.5" customHeight="1">
      <c r="A61" s="36" t="s">
        <v>4185</v>
      </c>
      <c r="B61" s="2093" t="s">
        <v>4186</v>
      </c>
      <c r="D61" s="2252"/>
      <c r="E61" s="2228"/>
      <c r="F61" s="2630" t="str">
        <f>IF($E$1="EN",B61,A61)</f>
        <v>Rented Equipment</v>
      </c>
      <c r="G61" s="3403">
        <v>0</v>
      </c>
      <c r="H61" s="3405">
        <v>1</v>
      </c>
      <c r="I61" s="3404">
        <v>0</v>
      </c>
      <c r="J61" s="2629"/>
      <c r="K61" s="2629">
        <v>50000</v>
      </c>
      <c r="L61" s="2743"/>
      <c r="M61" s="2743"/>
      <c r="N61" s="2743"/>
      <c r="O61" s="2743"/>
      <c r="P61" s="2743"/>
      <c r="Q61" s="2743"/>
      <c r="R61" s="2743"/>
      <c r="S61" s="2743"/>
      <c r="T61" s="2744"/>
    </row>
    <row r="62" spans="1:37" ht="33.75" customHeight="1">
      <c r="A62" s="36" t="s">
        <v>1027</v>
      </c>
      <c r="B62" s="2093" t="s">
        <v>4068</v>
      </c>
      <c r="D62" s="2252"/>
      <c r="E62" s="2228"/>
      <c r="F62" s="2630" t="str">
        <f>IF($E$1="EN",B62,A62)</f>
        <v>Extention of coverage</v>
      </c>
      <c r="G62" s="3435" t="b">
        <f>Map!$U$126</f>
        <v>0</v>
      </c>
      <c r="H62" s="1038"/>
      <c r="I62" s="1038"/>
      <c r="J62" s="1038"/>
      <c r="K62" s="2629">
        <v>100000</v>
      </c>
      <c r="L62" s="2624" t="s">
        <v>4109</v>
      </c>
      <c r="M62" s="2100"/>
      <c r="T62" s="2229"/>
    </row>
    <row r="63" spans="1:37" ht="9.75" customHeight="1">
      <c r="B63" s="2093"/>
      <c r="D63" s="2631"/>
      <c r="E63" s="2228"/>
      <c r="F63" s="2632"/>
      <c r="G63" s="2633"/>
      <c r="H63" s="1038"/>
      <c r="I63" s="1038"/>
      <c r="J63" s="1038"/>
      <c r="K63" s="2629"/>
      <c r="L63" s="2624"/>
      <c r="M63" s="2100"/>
      <c r="T63" s="2229"/>
    </row>
    <row r="64" spans="1:37" ht="25.5" customHeight="1">
      <c r="A64" s="36" t="s">
        <v>1227</v>
      </c>
      <c r="B64" s="2093" t="s">
        <v>4070</v>
      </c>
      <c r="D64" s="2252"/>
      <c r="E64" s="2228"/>
      <c r="F64" s="2131" t="str">
        <f t="shared" si="1"/>
        <v xml:space="preserve">Building </v>
      </c>
      <c r="G64" s="3406">
        <v>0</v>
      </c>
      <c r="K64" s="2629">
        <f>IFERROR(IF(AND($G$55=FALSE,$G$3="Quebec"),0,#REF!),0)</f>
        <v>0</v>
      </c>
      <c r="L64" s="2656" t="s">
        <v>4093</v>
      </c>
      <c r="M64" s="2657">
        <v>0.9</v>
      </c>
      <c r="T64" s="2229"/>
    </row>
    <row r="65" spans="1:31" ht="25.5" customHeight="1">
      <c r="A65" s="36" t="s">
        <v>1147</v>
      </c>
      <c r="B65" s="2093" t="s">
        <v>3488</v>
      </c>
      <c r="D65" s="2252"/>
      <c r="E65" s="2228"/>
      <c r="F65" s="2131" t="str">
        <f t="shared" si="1"/>
        <v>Contents</v>
      </c>
      <c r="G65" s="3434">
        <f>Map!U110+Map!U111</f>
        <v>0</v>
      </c>
      <c r="H65" s="3069" t="s">
        <v>4398</v>
      </c>
      <c r="I65" s="3070">
        <v>50000</v>
      </c>
      <c r="J65" s="3069" t="s">
        <v>4397</v>
      </c>
      <c r="K65" s="3070">
        <f>IF(AND(G55=TRUE,'Quote template-1'!N24="Quebec"),700000,0)</f>
        <v>0</v>
      </c>
      <c r="L65" s="2656" t="s">
        <v>4093</v>
      </c>
      <c r="M65" s="2657">
        <v>0.9</v>
      </c>
      <c r="R65" s="31" t="s">
        <v>4299</v>
      </c>
      <c r="S65" s="3070">
        <f>MAX(K65,I65)</f>
        <v>50000</v>
      </c>
      <c r="T65" s="2229"/>
    </row>
    <row r="66" spans="1:31" ht="25.5" customHeight="1">
      <c r="A66" s="36" t="s">
        <v>3376</v>
      </c>
      <c r="B66" s="2093" t="s">
        <v>3489</v>
      </c>
      <c r="D66" s="2252"/>
      <c r="E66" s="2228"/>
      <c r="F66" s="2131" t="str">
        <f t="shared" si="1"/>
        <v>Stock</v>
      </c>
      <c r="G66" s="3434">
        <f>Map!U112</f>
        <v>0</v>
      </c>
      <c r="K66" s="2629"/>
      <c r="L66" s="2656" t="s">
        <v>4093</v>
      </c>
      <c r="M66" s="2657">
        <v>0.9</v>
      </c>
      <c r="T66" s="2229"/>
    </row>
    <row r="67" spans="1:31" ht="25.5" customHeight="1">
      <c r="A67" s="36" t="s">
        <v>3377</v>
      </c>
      <c r="B67" s="2276" t="s">
        <v>3490</v>
      </c>
      <c r="D67" s="2252"/>
      <c r="E67" s="2228"/>
      <c r="F67" s="2131" t="str">
        <f t="shared" si="1"/>
        <v>Equipment</v>
      </c>
      <c r="G67" s="3434">
        <f>Map!U113</f>
        <v>0</v>
      </c>
      <c r="K67" s="2629"/>
      <c r="L67" s="2656" t="s">
        <v>4093</v>
      </c>
      <c r="M67" s="2657">
        <v>0.9</v>
      </c>
      <c r="T67" s="2229"/>
    </row>
    <row r="68" spans="1:31" ht="34.5" customHeight="1">
      <c r="A68" s="36" t="s">
        <v>3368</v>
      </c>
      <c r="B68" s="2093" t="s">
        <v>3497</v>
      </c>
      <c r="D68" s="2252"/>
      <c r="E68" s="2228"/>
      <c r="F68" s="2131" t="str">
        <f t="shared" si="1"/>
        <v>Boiler</v>
      </c>
      <c r="G68" s="3435" t="b">
        <f>Map!U122</f>
        <v>0</v>
      </c>
      <c r="H68" s="1038"/>
      <c r="I68" s="1038"/>
      <c r="J68" s="1038"/>
      <c r="K68" s="2629"/>
      <c r="L68" s="2100"/>
      <c r="M68" s="2100"/>
      <c r="T68" s="2229"/>
    </row>
    <row r="69" spans="1:31" ht="38.25" customHeight="1">
      <c r="A69" s="36" t="s">
        <v>4078</v>
      </c>
      <c r="B69" s="2093" t="s">
        <v>4069</v>
      </c>
      <c r="D69" s="2252"/>
      <c r="E69" s="2228"/>
      <c r="F69" s="2131" t="str">
        <f t="shared" si="1"/>
        <v>Other property coverage</v>
      </c>
      <c r="G69" s="3400" t="b">
        <v>0</v>
      </c>
      <c r="H69" s="1038"/>
      <c r="I69" s="1038"/>
      <c r="J69" s="1038"/>
      <c r="K69" s="1038"/>
      <c r="L69" s="2100"/>
      <c r="M69" s="2100"/>
      <c r="T69" s="2229"/>
    </row>
    <row r="70" spans="1:31" ht="18.75">
      <c r="D70" s="2252"/>
      <c r="E70" s="2228"/>
      <c r="F70" s="2119"/>
      <c r="G70" s="1038"/>
      <c r="H70" s="1038"/>
      <c r="I70" s="1038"/>
      <c r="J70" s="1038"/>
      <c r="K70" s="2182"/>
      <c r="L70" s="2183"/>
      <c r="M70" s="2183"/>
      <c r="T70" s="2229"/>
    </row>
    <row r="71" spans="1:31" ht="18.75">
      <c r="D71" s="2252"/>
      <c r="E71" s="2228"/>
      <c r="F71" s="2122" t="s">
        <v>3816</v>
      </c>
      <c r="G71" s="1038"/>
      <c r="H71" s="1038"/>
      <c r="I71" s="1038"/>
      <c r="J71" s="1038"/>
      <c r="K71" s="2184"/>
      <c r="L71" s="2184"/>
      <c r="M71" s="2184"/>
      <c r="N71" s="40"/>
      <c r="T71" s="2229"/>
    </row>
    <row r="72" spans="1:31" ht="40.5" customHeight="1">
      <c r="D72" s="2252"/>
      <c r="E72" s="2228"/>
      <c r="F72" s="2093" t="str">
        <f>'Input Property info '!T9</f>
        <v>Type of construction</v>
      </c>
      <c r="G72" s="3440" t="s">
        <v>1155</v>
      </c>
      <c r="H72" s="3441"/>
      <c r="I72" s="3442"/>
      <c r="J72" s="3442"/>
      <c r="K72" s="2184"/>
      <c r="L72" s="2184"/>
      <c r="M72" s="2184"/>
      <c r="N72" s="2020"/>
      <c r="T72" s="2229"/>
    </row>
    <row r="73" spans="1:31" ht="36.75" customHeight="1">
      <c r="D73" s="2252"/>
      <c r="E73" s="2228"/>
      <c r="F73" s="2093" t="str">
        <f>'Input Property info '!U9</f>
        <v>Town grade</v>
      </c>
      <c r="G73" s="3484" t="s">
        <v>3948</v>
      </c>
      <c r="H73" s="1038"/>
      <c r="I73" s="2100"/>
      <c r="J73" s="2100"/>
      <c r="K73" s="2184"/>
      <c r="L73" s="2184"/>
      <c r="M73" s="2184"/>
      <c r="N73" s="40"/>
      <c r="T73" s="2229"/>
    </row>
    <row r="74" spans="1:31" ht="36.75" customHeight="1">
      <c r="D74" s="2252"/>
      <c r="E74" s="2228"/>
      <c r="F74" s="2192" t="str">
        <f>'Input Property info '!V9</f>
        <v>Sprinkelered / Alarmed</v>
      </c>
      <c r="G74" s="3445" t="s">
        <v>1154</v>
      </c>
      <c r="H74" s="3441"/>
      <c r="I74" s="3442"/>
      <c r="J74" s="3442"/>
      <c r="K74" s="2184"/>
      <c r="L74" s="2184"/>
      <c r="M74" s="2184"/>
      <c r="N74" s="2021"/>
      <c r="T74" s="2229"/>
    </row>
    <row r="75" spans="1:31" ht="17.25" customHeight="1">
      <c r="D75" s="2252"/>
      <c r="E75" s="2228"/>
      <c r="F75" s="2192"/>
      <c r="G75" s="2659"/>
      <c r="H75" s="1038"/>
      <c r="I75" s="2100"/>
      <c r="J75" s="2100"/>
      <c r="K75" s="2184"/>
      <c r="L75" s="2184"/>
      <c r="M75" s="2184"/>
      <c r="N75" s="2021"/>
      <c r="T75" s="2229"/>
    </row>
    <row r="76" spans="1:31" ht="36.75" customHeight="1">
      <c r="D76" s="2252"/>
      <c r="E76" s="2228"/>
      <c r="F76" s="2660" t="s">
        <v>4125</v>
      </c>
      <c r="G76" s="2644" t="str">
        <f>IF(SUM($G$64:$G$67)&gt;=100000,"Yes","No")</f>
        <v>No</v>
      </c>
      <c r="H76" s="2193"/>
      <c r="I76" s="1682" t="str">
        <f>IF(SUM($G$64:$G$67)&gt;100000,IF('Input '!E1="FR","A compléter car valeur totale contenu et bâtiment + de 100,000$ "," Building TIV is higher than 100K$, please input the information below for risk grading"),"OK")</f>
        <v>OK</v>
      </c>
      <c r="J76" s="1682"/>
      <c r="K76" s="2194"/>
      <c r="L76" s="2194"/>
      <c r="M76" s="2194"/>
      <c r="N76" s="1683"/>
      <c r="O76" s="1683"/>
      <c r="P76" s="1684"/>
      <c r="Q76" s="1683"/>
      <c r="R76" s="1683"/>
      <c r="T76" s="2229"/>
    </row>
    <row r="77" spans="1:31" ht="36.75" customHeight="1">
      <c r="D77" s="2252"/>
      <c r="E77" s="2228"/>
      <c r="F77" s="2185" t="str">
        <f>'April Property risk grading'!C59</f>
        <v>Type of Building</v>
      </c>
      <c r="G77" s="2186" t="s">
        <v>223</v>
      </c>
      <c r="H77" s="2187"/>
      <c r="I77" s="2100"/>
      <c r="J77" s="2100"/>
      <c r="K77" s="2184"/>
      <c r="L77" s="2184"/>
      <c r="M77" s="2184"/>
      <c r="N77" s="2021"/>
      <c r="T77" s="2229"/>
    </row>
    <row r="78" spans="1:31" ht="36.75" customHeight="1">
      <c r="D78" s="2252"/>
      <c r="E78" s="2228"/>
      <c r="F78" s="2188" t="str">
        <f>'April Property risk grading'!C60</f>
        <v>Property Claims history</v>
      </c>
      <c r="G78" s="2189" t="s">
        <v>223</v>
      </c>
      <c r="H78" s="2190"/>
      <c r="I78" s="2100"/>
      <c r="J78" s="2100"/>
      <c r="K78" s="2191"/>
      <c r="L78" s="2191"/>
      <c r="M78" s="2191"/>
      <c r="N78" s="2022"/>
      <c r="T78" s="2229"/>
    </row>
    <row r="79" spans="1:31" ht="32.25" customHeight="1">
      <c r="D79" s="2252"/>
      <c r="E79" s="2228"/>
      <c r="F79" s="2185" t="str">
        <f>'April Property risk grading'!C61</f>
        <v>Year Built</v>
      </c>
      <c r="G79" s="2201"/>
      <c r="H79" s="2195" t="s">
        <v>3879</v>
      </c>
      <c r="I79" s="2104" t="str">
        <f ca="1">(IF('Input '!G79=0,"",YEAR(TODAY())-'Input '!G79))</f>
        <v/>
      </c>
      <c r="J79" s="2618"/>
      <c r="K79" s="2196" t="s">
        <v>3878</v>
      </c>
      <c r="L79" s="2646" t="str">
        <f ca="1">IFERROR(VLOOKUP(I79,'April Property risk grading'!$B$13:$C$16,2,TRUE),"&lt;=input year")</f>
        <v>&lt;=input year</v>
      </c>
      <c r="M79" s="2100"/>
      <c r="N79" s="2100"/>
      <c r="O79" s="2100"/>
      <c r="P79" s="2100"/>
      <c r="Q79" s="2100"/>
      <c r="R79" s="2100"/>
      <c r="T79" s="2229"/>
    </row>
    <row r="80" spans="1:31" ht="32.25" customHeight="1">
      <c r="D80" s="2252"/>
      <c r="E80" s="2228"/>
      <c r="F80" s="2185" t="str">
        <f>'April Property risk grading'!C62</f>
        <v>The main heating system is :</v>
      </c>
      <c r="G80" s="2197" t="s">
        <v>223</v>
      </c>
      <c r="H80" s="2100"/>
      <c r="I80" s="2198"/>
      <c r="J80" s="2198"/>
      <c r="K80" s="2198"/>
      <c r="L80" s="2198"/>
      <c r="M80" s="2100"/>
      <c r="N80" s="2100"/>
      <c r="O80" s="2100"/>
      <c r="P80" s="2100"/>
      <c r="Q80" s="2100"/>
      <c r="R80" s="2100"/>
      <c r="T80" s="2229"/>
      <c r="Y80" s="1709" t="s">
        <v>3882</v>
      </c>
      <c r="Z80" s="1709" t="s">
        <v>3882</v>
      </c>
      <c r="AB80" s="1461" t="s">
        <v>3887</v>
      </c>
      <c r="AC80" s="1608">
        <f ca="1">MAX(AC81:AC85)</f>
        <v>5</v>
      </c>
      <c r="AE80" s="37"/>
    </row>
    <row r="81" spans="4:31" ht="32.25" customHeight="1">
      <c r="D81" s="2252"/>
      <c r="E81" s="2228"/>
      <c r="F81" s="2185" t="str">
        <f>'April Property risk grading'!C63</f>
        <v>Updates / Renovations</v>
      </c>
      <c r="G81" s="2199" t="s">
        <v>3877</v>
      </c>
      <c r="H81" s="2100"/>
      <c r="I81" s="2249" t="str">
        <f ca="1">'April Property risk grading'!D63</f>
        <v>No year input considered Not Renovated=NR</v>
      </c>
      <c r="J81" s="2249"/>
      <c r="K81" s="2100"/>
      <c r="L81" s="2100"/>
      <c r="M81" s="2100"/>
      <c r="N81" s="2266"/>
      <c r="O81" s="2100"/>
      <c r="P81" s="2100"/>
      <c r="Q81" s="2100"/>
      <c r="R81" s="2100"/>
      <c r="T81" s="2229"/>
      <c r="V81" s="2243" t="s">
        <v>4065</v>
      </c>
      <c r="W81" s="2244" t="s">
        <v>4066</v>
      </c>
      <c r="Y81" s="1709" t="s">
        <v>3881</v>
      </c>
      <c r="Z81" s="1709" t="s">
        <v>3889</v>
      </c>
      <c r="AB81" s="33">
        <v>5</v>
      </c>
      <c r="AC81" s="33">
        <f>IF(G79=0,AB81,0)</f>
        <v>5</v>
      </c>
      <c r="AD81" s="1607" t="s">
        <v>3883</v>
      </c>
      <c r="AE81" s="1607" t="s">
        <v>3884</v>
      </c>
    </row>
    <row r="82" spans="4:31" ht="32.25" customHeight="1">
      <c r="D82" s="2252"/>
      <c r="E82" s="2230">
        <v>1</v>
      </c>
      <c r="F82" s="2200" t="str">
        <f>IF('Input '!$E$1="Fr","Toîture","Roof")</f>
        <v>Roof</v>
      </c>
      <c r="G82" s="2201"/>
      <c r="H82" s="2195" t="s">
        <v>3879</v>
      </c>
      <c r="I82" s="2104" t="str">
        <f ca="1">(IF('Input '!G82=0,"",YEAR(TODAY())-'Input '!G82))</f>
        <v/>
      </c>
      <c r="J82" s="2618"/>
      <c r="K82" s="2202" t="s">
        <v>3903</v>
      </c>
      <c r="L82" s="2203">
        <v>25</v>
      </c>
      <c r="M82" s="2204" t="str">
        <f ca="1">IF(OR($I$79&lt;=L82,AND(I82&lt;=L82,'Input '!G82&gt;0)),"OK","NR")</f>
        <v>NR</v>
      </c>
      <c r="N82" s="2100"/>
      <c r="O82" s="2100"/>
      <c r="P82" s="2100"/>
      <c r="Q82" s="2100"/>
      <c r="R82" s="2100"/>
      <c r="T82" s="2229"/>
      <c r="V82" s="1606" t="str">
        <f t="shared" ref="V82:V87" si="2">IF(Y82=0,"OK",IF(M82="C","OK",IF(M82=Y82,"OK","NR")))</f>
        <v>OK</v>
      </c>
      <c r="W82" s="2231" t="str">
        <f t="shared" ref="W82:W87" si="3">IF(Z82=0,"OK",IF(P82="C","OK",IF(P82=Z82,"OK","NR")))</f>
        <v>OK</v>
      </c>
      <c r="Y82" s="1710">
        <f>IF('Input '!$G$79=0,0,INDEX('April Property risk grading'!$C$99:$G$105,MATCH('Input '!$F82,'April Property risk grading'!$C$99:$C$105,0),MATCH('Input '!$L$79,'April Property risk grading'!$C$99:$G$99,0)))</f>
        <v>0</v>
      </c>
      <c r="Z82" s="1710">
        <f>IF($G$79=0,0,INDEX('April Property risk grading'!$C$106:$G$112,MATCH('Input '!F82,'April Property risk grading'!$C$106:$C$112,0),MATCH('Input '!$L$79,'April Property risk grading'!$C$106:$G$106,0)))</f>
        <v>0</v>
      </c>
      <c r="AB82" s="33">
        <v>4</v>
      </c>
      <c r="AC82" s="33">
        <f ca="1">IF(I79&lt;25,AB82,0)</f>
        <v>0</v>
      </c>
      <c r="AD82" s="1607" t="str">
        <f>'April Property risk grading'!A24</f>
        <v>Nouveau Bâtiment</v>
      </c>
      <c r="AE82" s="1607" t="str">
        <f>'April Property risk grading'!B24</f>
        <v>New Building</v>
      </c>
    </row>
    <row r="83" spans="4:31" ht="32.25" customHeight="1">
      <c r="D83" s="2252"/>
      <c r="E83" s="2232">
        <v>2</v>
      </c>
      <c r="F83" s="2200" t="str">
        <f>IF('Input '!$E$1="Fr","Eléctricité","Electricity")</f>
        <v>Electricity</v>
      </c>
      <c r="G83" s="2201"/>
      <c r="H83" s="2195" t="s">
        <v>3879</v>
      </c>
      <c r="I83" s="2104" t="str">
        <f ca="1">(IF('Input '!G83=0,"",YEAR(TODAY())-'Input '!G83))</f>
        <v/>
      </c>
      <c r="J83" s="2618"/>
      <c r="K83" s="2202" t="s">
        <v>3903</v>
      </c>
      <c r="L83" s="2203">
        <v>25</v>
      </c>
      <c r="M83" s="2204" t="str">
        <f ca="1">IF(OR($I$79&lt;=L83,AND(I83&lt;=L83,'Input '!G83&gt;0)),"OK","NR")</f>
        <v>NR</v>
      </c>
      <c r="N83" s="2100"/>
      <c r="O83" s="2100"/>
      <c r="P83" s="2100"/>
      <c r="Q83" s="2100"/>
      <c r="R83" s="2100"/>
      <c r="T83" s="2229"/>
      <c r="V83" s="1606" t="str">
        <f t="shared" si="2"/>
        <v>OK</v>
      </c>
      <c r="W83" s="2231" t="str">
        <f t="shared" si="3"/>
        <v>OK</v>
      </c>
      <c r="Y83" s="1710">
        <f>IF('Input '!$G$79=0,0,INDEX('April Property risk grading'!$C$99:$G$105,MATCH('Input '!$F83,'April Property risk grading'!$C$99:$C$105,0),MATCH('Input '!$L$79,'April Property risk grading'!$C$99:$G$99,0)))</f>
        <v>0</v>
      </c>
      <c r="Z83" s="1710">
        <f>IF($G$79=0,0,INDEX('April Property risk grading'!$C$106:$G$112,MATCH('Input '!F83,'April Property risk grading'!$C$106:$C$112,0),MATCH('Input '!$L$79,'April Property risk grading'!$C$106:$G$106,0)))</f>
        <v>0</v>
      </c>
      <c r="AB83" s="33">
        <v>3</v>
      </c>
      <c r="AC83" s="33">
        <f>IF(COUNTIF(V82:V87,"OK")=6,AB83,0)</f>
        <v>3</v>
      </c>
      <c r="AD83" s="1607" t="str">
        <f>'April Property risk grading'!A25</f>
        <v>Complètement rénové dans les 25 ans</v>
      </c>
      <c r="AE83" s="1607" t="str">
        <f>'April Property risk grading'!B25</f>
        <v>Fully updated in last 25 years</v>
      </c>
    </row>
    <row r="84" spans="4:31" ht="32.25" customHeight="1">
      <c r="D84" s="2252"/>
      <c r="E84" s="2232">
        <v>3</v>
      </c>
      <c r="F84" s="2205" t="str">
        <f>IF('Input '!$E$1="Fr","Chauffe eau","Boiler")</f>
        <v>Boiler</v>
      </c>
      <c r="G84" s="2201"/>
      <c r="H84" s="2195" t="s">
        <v>3879</v>
      </c>
      <c r="I84" s="2104" t="str">
        <f ca="1">IF(L84=FALSE,"NA",IF('Input '!G84=0,"",YEAR(TODAY())-'Input '!G84))</f>
        <v/>
      </c>
      <c r="J84" s="2618"/>
      <c r="K84" s="2206" t="s">
        <v>3880</v>
      </c>
      <c r="L84" s="2135" t="b">
        <v>1</v>
      </c>
      <c r="M84" s="2207" t="str">
        <f ca="1">IF(OR($I$79&lt;21,AND(L84=FALSE,'Input '!G84=0)),"OK",IF(AND(I84&lt;13,'Input '!G84&gt;0,L84=TRUE),"OK","Exclude Water"))</f>
        <v>Exclude Water</v>
      </c>
      <c r="N84" s="2100"/>
      <c r="O84" s="2100"/>
      <c r="P84" s="2100"/>
      <c r="Q84" s="3523" t="str">
        <f>IF('Input '!E1="FR","Décocher si pas de chauffe eau","Uncheck if no boiler")</f>
        <v>Uncheck if no boiler</v>
      </c>
      <c r="R84" s="3523"/>
      <c r="S84" s="3523"/>
      <c r="T84" s="3524"/>
      <c r="V84" s="1606" t="str">
        <f t="shared" si="2"/>
        <v>OK</v>
      </c>
      <c r="W84" s="2231" t="str">
        <f t="shared" si="3"/>
        <v>OK</v>
      </c>
      <c r="Y84" s="1710">
        <f>IF('Input '!$G$79=0,0,INDEX('April Property risk grading'!$C$99:$G$105,MATCH('Input '!$F84,'April Property risk grading'!$C$99:$C$105,0),MATCH('Input '!$L$79,'April Property risk grading'!$C$99:$G$99,0)))</f>
        <v>0</v>
      </c>
      <c r="Z84" s="1710">
        <f>IF($G$79=0,0,INDEX('April Property risk grading'!$C$106:$G$112,MATCH('Input '!F84,'April Property risk grading'!$C$106:$C$112,0),MATCH('Input '!$L$79,'April Property risk grading'!$C$106:$G$106,0)))</f>
        <v>0</v>
      </c>
      <c r="AB84" s="33">
        <v>2</v>
      </c>
      <c r="AC84" s="33">
        <f>IF(COUNTIF(W82:W87,"OK")=6,AB84,AB85)</f>
        <v>2</v>
      </c>
      <c r="AD84" s="1607" t="str">
        <f>'April Property risk grading'!A26</f>
        <v>Partiellement rénové</v>
      </c>
      <c r="AE84" s="1607" t="str">
        <f>'April Property risk grading'!B26</f>
        <v>Partial Updates</v>
      </c>
    </row>
    <row r="85" spans="4:31" ht="32.25" customHeight="1">
      <c r="D85" s="2252"/>
      <c r="E85" s="2232">
        <v>4</v>
      </c>
      <c r="F85" s="2200" t="str">
        <f>IF('Input '!$E$1="Fr","Confirmation disjoncteur","Confirmation curcuit breaker")</f>
        <v>Confirmation curcuit breaker</v>
      </c>
      <c r="G85" s="2208" t="b">
        <v>1</v>
      </c>
      <c r="H85" s="2209" t="str">
        <f>IF('Input '!G85=FALSE,IF('Input '!$E$1="FR","Cocher pour conifrmer","check to confirm"),"")</f>
        <v/>
      </c>
      <c r="I85" s="2198"/>
      <c r="J85" s="2198"/>
      <c r="K85" s="2198"/>
      <c r="L85" s="2198"/>
      <c r="M85" s="2204" t="str">
        <f ca="1">IF(OR($I$79&lt;20,'Input '!G85=TRUE),"OK","NR")</f>
        <v>OK</v>
      </c>
      <c r="N85" s="2100"/>
      <c r="O85" s="2100"/>
      <c r="P85" s="2100"/>
      <c r="Q85" s="2104"/>
      <c r="R85" s="2104"/>
      <c r="T85" s="2229"/>
      <c r="V85" s="1606" t="str">
        <f t="shared" si="2"/>
        <v>OK</v>
      </c>
      <c r="W85" s="2231" t="str">
        <f t="shared" si="3"/>
        <v>OK</v>
      </c>
      <c r="Y85" s="1710">
        <f>IF('Input '!$G$79=0,0,INDEX('April Property risk grading'!$C$99:$G$105,MATCH('Input '!$F85,'April Property risk grading'!$C$99:$C$105,0),MATCH('Input '!$L$79,'April Property risk grading'!$C$99:$G$99,0)))</f>
        <v>0</v>
      </c>
      <c r="Z85" s="1710">
        <f>IF($G$79=0,0,INDEX('April Property risk grading'!$C$106:$G$112,MATCH('Input '!F85,'April Property risk grading'!$C$106:$C$112,0),MATCH('Input '!$L$79,'April Property risk grading'!$C$106:$G$106,0)))</f>
        <v>0</v>
      </c>
      <c r="AB85" s="33">
        <v>1</v>
      </c>
      <c r="AC85" s="33">
        <v>1</v>
      </c>
      <c r="AD85" s="1607" t="str">
        <f>'April Property risk grading'!A27</f>
        <v>Sans rénovation</v>
      </c>
      <c r="AE85" s="1607" t="str">
        <f>'April Property risk grading'!B27</f>
        <v>No Updates</v>
      </c>
    </row>
    <row r="86" spans="4:31" ht="32.25" customHeight="1">
      <c r="D86" s="2252"/>
      <c r="E86" s="2232">
        <v>5</v>
      </c>
      <c r="F86" s="2205" t="str">
        <f>IF('Input '!$E$1="Fr","Chauffage","Heating")</f>
        <v>Heating</v>
      </c>
      <c r="G86" s="2201"/>
      <c r="H86" s="2195" t="s">
        <v>3876</v>
      </c>
      <c r="I86" s="2104" t="str">
        <f ca="1">(IF('Input '!G86=0,"",YEAR(TODAY())-'Input '!G86))</f>
        <v/>
      </c>
      <c r="J86" s="2618"/>
      <c r="K86" s="2206" t="s">
        <v>3920</v>
      </c>
      <c r="L86" s="2135" t="b">
        <v>1</v>
      </c>
      <c r="M86" s="2204" t="str">
        <f ca="1">IF(OR($I$79&lt;25,L86=FALSE),"OK",IF(AND(I86&lt;25,'Input '!G86&gt;0,L86=TRUE),"OK","NR"))</f>
        <v>NR</v>
      </c>
      <c r="N86" s="2100"/>
      <c r="O86" s="2100"/>
      <c r="P86" s="2100"/>
      <c r="Q86" s="3523" t="str">
        <f>IF('Input '!E1="FR","Décocher si pas de chauffage","Uncheck if no heating")</f>
        <v>Uncheck if no heating</v>
      </c>
      <c r="R86" s="3523"/>
      <c r="S86" s="3523"/>
      <c r="T86" s="3524"/>
      <c r="V86" s="1606" t="str">
        <f t="shared" si="2"/>
        <v>OK</v>
      </c>
      <c r="W86" s="2231" t="str">
        <f t="shared" si="3"/>
        <v>OK</v>
      </c>
      <c r="Y86" s="1710">
        <f>IF('Input '!$G$79=0,0,INDEX('April Property risk grading'!$C$99:$G$105,MATCH('Input '!$F86,'April Property risk grading'!$C$99:$C$105,0),MATCH('Input '!$L$79,'April Property risk grading'!$C$99:$G$99,0)))</f>
        <v>0</v>
      </c>
      <c r="Z86" s="1710">
        <f>IF($G$79=0,0,INDEX('April Property risk grading'!$C$106:$G$112,MATCH('Input '!F86,'April Property risk grading'!$C$106:$C$112,0),MATCH('Input '!$L$79,'April Property risk grading'!$C$106:$G$106,0)))</f>
        <v>0</v>
      </c>
    </row>
    <row r="87" spans="4:31" ht="32.25" customHeight="1">
      <c r="D87" s="2252"/>
      <c r="E87" s="2232">
        <v>6</v>
      </c>
      <c r="F87" s="2200" t="str">
        <f>IF('Input '!$E$1="Fr","Plomberie","Plumbing")</f>
        <v>Plumbing</v>
      </c>
      <c r="G87" s="2201"/>
      <c r="H87" s="2195" t="s">
        <v>3876</v>
      </c>
      <c r="I87" s="2104" t="str">
        <f ca="1">(IF('Input '!G87=0,"",YEAR(TODAY())-'Input '!G87))</f>
        <v/>
      </c>
      <c r="J87" s="2618"/>
      <c r="K87" s="2206" t="s">
        <v>3920</v>
      </c>
      <c r="L87" s="2135" t="b">
        <v>1</v>
      </c>
      <c r="M87" s="2204" t="str">
        <f ca="1">IF(OR($I$79&lt;25,L87=FALSE),"OK",IF(AND(I87&lt;25,'Input '!G87&gt;0,L87=TRUE),"OK","NR"))</f>
        <v>NR</v>
      </c>
      <c r="N87" s="2100"/>
      <c r="O87" s="2100"/>
      <c r="P87" s="2100"/>
      <c r="Q87" s="3523" t="str">
        <f>IF('Input '!E1="FR","Décocher si pas de plomberie","Uncheck if no plumming")</f>
        <v>Uncheck if no plumming</v>
      </c>
      <c r="R87" s="3523"/>
      <c r="S87" s="3523"/>
      <c r="T87" s="3524"/>
      <c r="V87" s="1606" t="str">
        <f t="shared" si="2"/>
        <v>OK</v>
      </c>
      <c r="W87" s="2231" t="str">
        <f t="shared" si="3"/>
        <v>OK</v>
      </c>
      <c r="Y87" s="1710">
        <f>IF('Input '!$G$79=0,0,INDEX('April Property risk grading'!$C$99:$G$105,MATCH('Input '!$F87,'April Property risk grading'!$C$99:$C$105,0),MATCH('Input '!$L$79,'April Property risk grading'!$C$99:$G$99,0)))</f>
        <v>0</v>
      </c>
      <c r="Z87" s="1710">
        <f>IF($G$79=0,0,INDEX('April Property risk grading'!$C$106:$G$112,MATCH('Input '!F87,'April Property risk grading'!$C$106:$C$112,0),MATCH('Input '!$L$79,'April Property risk grading'!$C$106:$G$106,0)))</f>
        <v>0</v>
      </c>
    </row>
    <row r="88" spans="4:31" ht="36" customHeight="1">
      <c r="D88" s="2252"/>
      <c r="E88" s="2228"/>
      <c r="F88" s="2185" t="str">
        <f>'Input Property info '!I9</f>
        <v>Number of floors</v>
      </c>
      <c r="G88" s="2210"/>
      <c r="H88" s="2211"/>
      <c r="I88" s="2100"/>
      <c r="J88" s="2100"/>
      <c r="K88" s="2100"/>
      <c r="L88" s="2100"/>
      <c r="M88" s="2100"/>
      <c r="N88" s="2100"/>
      <c r="O88" s="2100"/>
      <c r="P88" s="2100"/>
      <c r="Q88" s="2100"/>
      <c r="R88" s="2100"/>
      <c r="T88" s="2229"/>
    </row>
    <row r="89" spans="4:31" ht="29.25" customHeight="1">
      <c r="D89" s="2252"/>
      <c r="E89" s="2228"/>
      <c r="F89" s="2185" t="str">
        <f>'Input Property info '!J9</f>
        <v>Square feet</v>
      </c>
      <c r="G89" s="2212"/>
      <c r="H89" s="2211"/>
      <c r="I89" s="2100"/>
      <c r="J89" s="2100"/>
      <c r="K89" s="2101"/>
      <c r="L89" s="2101"/>
      <c r="M89" s="2101"/>
      <c r="N89" s="2101"/>
      <c r="O89" s="2101"/>
      <c r="P89" s="2101"/>
      <c r="Q89" s="2101"/>
      <c r="R89" s="2101"/>
      <c r="S89" s="1313"/>
      <c r="T89" s="2229"/>
    </row>
    <row r="90" spans="4:31" ht="29.25" customHeight="1">
      <c r="D90" s="2252"/>
      <c r="E90" s="2228"/>
      <c r="F90" s="2185" t="str">
        <f>'April Property risk grading'!C64</f>
        <v>Location</v>
      </c>
      <c r="G90" s="2186" t="s">
        <v>223</v>
      </c>
      <c r="H90" s="2213"/>
      <c r="I90" s="2100"/>
      <c r="J90" s="2100"/>
      <c r="K90" s="2101"/>
      <c r="L90" s="2101"/>
      <c r="M90" s="2101"/>
      <c r="N90" s="2267"/>
      <c r="O90" s="2267"/>
      <c r="P90" s="2268"/>
      <c r="Q90" s="2269"/>
      <c r="R90" s="2101"/>
      <c r="S90" s="1313"/>
      <c r="T90" s="2229"/>
    </row>
    <row r="91" spans="4:31" ht="39.75" customHeight="1">
      <c r="D91" s="2252"/>
      <c r="E91" s="2228"/>
      <c r="F91" s="2185" t="str">
        <f>'April Property risk grading'!C65</f>
        <v xml:space="preserve">Inspection </v>
      </c>
      <c r="G91" s="2214" t="s">
        <v>223</v>
      </c>
      <c r="H91" s="2215"/>
      <c r="I91" s="2100"/>
      <c r="J91" s="2100"/>
      <c r="K91" s="2101"/>
      <c r="L91" s="2101"/>
      <c r="M91" s="2101"/>
      <c r="N91" s="2267"/>
      <c r="O91" s="2267"/>
      <c r="P91" s="2101"/>
      <c r="Q91" s="2101"/>
      <c r="R91" s="2101"/>
      <c r="S91" s="1313"/>
      <c r="T91" s="2229"/>
    </row>
    <row r="92" spans="4:31" ht="29.25" customHeight="1">
      <c r="D92" s="2252"/>
      <c r="E92" s="2228"/>
      <c r="F92" s="2185" t="str">
        <f>'April Property risk grading'!C67</f>
        <v>Alarm</v>
      </c>
      <c r="G92" s="2216" t="s">
        <v>223</v>
      </c>
      <c r="H92" s="2217"/>
      <c r="I92" s="2100"/>
      <c r="J92" s="2100"/>
      <c r="K92" s="2101"/>
      <c r="L92" s="2218"/>
      <c r="M92" s="2218"/>
      <c r="N92" s="2267"/>
      <c r="O92" s="2267"/>
      <c r="P92" s="2101"/>
      <c r="Q92" s="2101"/>
      <c r="R92" s="2101"/>
      <c r="S92" s="1313"/>
      <c r="T92" s="2242"/>
    </row>
    <row r="93" spans="4:31" ht="45" customHeight="1">
      <c r="D93" s="2252"/>
      <c r="E93" s="2228"/>
      <c r="F93" s="2219" t="str">
        <f>'April Property risk grading'!C69</f>
        <v>Are there more than 2 mortgagees or Non-standard morgagee</v>
      </c>
      <c r="G93" s="2216" t="s">
        <v>1032</v>
      </c>
      <c r="H93" s="2211"/>
      <c r="I93" s="2100"/>
      <c r="J93" s="2100"/>
      <c r="K93" s="2101"/>
      <c r="L93" s="2218"/>
      <c r="M93" s="2218"/>
      <c r="N93" s="2267"/>
      <c r="O93" s="2267"/>
      <c r="P93" s="2100"/>
      <c r="Q93" s="2100"/>
      <c r="R93" s="2100"/>
      <c r="T93" s="2229"/>
    </row>
    <row r="94" spans="4:31" ht="23.25" hidden="1" customHeight="1">
      <c r="D94" s="2252"/>
      <c r="E94" s="2228"/>
      <c r="F94" s="2220"/>
      <c r="G94" s="2221"/>
      <c r="H94" s="2220"/>
      <c r="I94" s="2100"/>
      <c r="J94" s="2100"/>
      <c r="K94" s="2101"/>
      <c r="L94" s="1036"/>
      <c r="M94" s="1036"/>
      <c r="N94" s="1036"/>
      <c r="O94" s="1036"/>
      <c r="P94" s="2100"/>
      <c r="Q94" s="2100"/>
      <c r="R94" s="2100"/>
      <c r="T94" s="2229"/>
    </row>
    <row r="95" spans="4:31" ht="36" customHeight="1">
      <c r="D95" s="2252"/>
      <c r="E95" s="2228"/>
      <c r="F95" s="2101"/>
      <c r="G95" s="2246"/>
      <c r="H95" s="2247" t="s">
        <v>1237</v>
      </c>
      <c r="I95" s="2247" t="s">
        <v>3456</v>
      </c>
      <c r="J95" s="2247"/>
      <c r="K95" s="2248" t="s">
        <v>3925</v>
      </c>
      <c r="L95" s="2248" t="s">
        <v>3819</v>
      </c>
      <c r="M95" s="2248" t="s">
        <v>3450</v>
      </c>
      <c r="N95" s="2270" t="s">
        <v>3923</v>
      </c>
      <c r="O95" s="2100"/>
      <c r="P95" s="2100"/>
      <c r="Q95" s="2100"/>
      <c r="R95" s="2100"/>
      <c r="T95" s="2229"/>
    </row>
    <row r="96" spans="4:31" ht="36.75" customHeight="1">
      <c r="D96" s="2252"/>
      <c r="E96" s="2228"/>
      <c r="F96" s="2104" t="s">
        <v>262</v>
      </c>
      <c r="G96" s="2222"/>
      <c r="H96" s="2658" t="str">
        <f>IFERROR($H$97,"Fill the information above")</f>
        <v>Yes</v>
      </c>
      <c r="I96" s="2245" t="str">
        <f>IF($G$76="No",IF('Input '!$E$1="FR","Formule Etendue","All Risks"),IF($H$97="Decline","Decline",'April Property risk grading'!$H$72))</f>
        <v>All Risks</v>
      </c>
      <c r="J96" s="2207"/>
      <c r="K96" s="2100"/>
      <c r="L96" s="2100"/>
      <c r="M96" s="2100"/>
      <c r="N96" s="2100"/>
      <c r="O96" s="2100"/>
      <c r="P96" s="2100"/>
      <c r="Q96" s="2100"/>
      <c r="R96" s="2100"/>
      <c r="T96" s="2229"/>
    </row>
    <row r="97" spans="4:20" ht="36" customHeight="1">
      <c r="D97" s="2253"/>
      <c r="E97" s="2233"/>
      <c r="F97" s="2234" t="str">
        <f>'April Property risk grading'!C72</f>
        <v>Final decision :</v>
      </c>
      <c r="G97" s="2235"/>
      <c r="H97" s="2642" t="str">
        <f>IF($G$76="No","Yes",'April Property risk grading'!G72)</f>
        <v>Yes</v>
      </c>
      <c r="I97" s="2236" t="str">
        <f ca="1">IF($H$97="Decline","Decline",'April Property risk grading'!$H$61)</f>
        <v/>
      </c>
      <c r="J97" s="2236"/>
      <c r="K97" s="2237">
        <f>IFERROR(IF('Input '!$G$76="No",'Input Property info '!$Y$10,IF('Input '!H97="Decline","Decline",IF(G3="Quebec",'Input Property info '!Y10,'Input Property info '!AA10))),0)</f>
        <v>0.1265</v>
      </c>
      <c r="L97" s="2238">
        <f>IFERROR(IF('Input '!$G$76="No",0,IF('Input '!$H$97="Decline","Decline",'April Property risk grading'!$J$72)),0)</f>
        <v>0</v>
      </c>
      <c r="M97" s="2239" t="str">
        <f ca="1">IF('Input '!$H$97="Decline","Decline",IF($M$84="OK",'April Property risk grading'!$I$72,""))</f>
        <v/>
      </c>
      <c r="N97" s="2271" t="str">
        <f>IF('Input '!$G$76="No","",IF($M$84&lt;&gt;"OK",Property!G51,""))</f>
        <v/>
      </c>
      <c r="O97" s="2272"/>
      <c r="P97" s="2272"/>
      <c r="Q97" s="2272"/>
      <c r="R97" s="2250" t="str">
        <f>IF($G$76="No","",IF(M84&lt;&gt;"OK",Property!G51,""))</f>
        <v/>
      </c>
      <c r="S97" s="2240"/>
      <c r="T97" s="2241"/>
    </row>
  </sheetData>
  <mergeCells count="17">
    <mergeCell ref="AG42:AK42"/>
    <mergeCell ref="AG43:AH43"/>
    <mergeCell ref="AH49:AI49"/>
    <mergeCell ref="M43:N43"/>
    <mergeCell ref="Q84:T84"/>
    <mergeCell ref="Q86:T86"/>
    <mergeCell ref="Q87:T87"/>
    <mergeCell ref="L59:T60"/>
    <mergeCell ref="L57:T57"/>
    <mergeCell ref="K37:M37"/>
    <mergeCell ref="L38:S38"/>
    <mergeCell ref="G4:U4"/>
    <mergeCell ref="G5:U5"/>
    <mergeCell ref="X31:Y31"/>
    <mergeCell ref="E14:T14"/>
    <mergeCell ref="G11:H11"/>
    <mergeCell ref="I25:J25"/>
  </mergeCells>
  <conditionalFormatting sqref="H37:H38">
    <cfRule type="containsText" dxfId="99" priority="91" operator="containsText" text="Senior UW">
      <formula>NOT(ISERROR(SEARCH("Senior UW",H37)))</formula>
    </cfRule>
  </conditionalFormatting>
  <conditionalFormatting sqref="V45 T34 T30:T32 T26:T27 E9 V10:V11 T37:T41 S45">
    <cfRule type="containsText" dxfId="98" priority="89" operator="containsText" text="N">
      <formula>NOT(ISERROR(SEARCH("N",E9)))</formula>
    </cfRule>
    <cfRule type="containsText" dxfId="97" priority="90" operator="containsText" text="Y">
      <formula>NOT(ISERROR(SEARCH("Y",E9)))</formula>
    </cfRule>
  </conditionalFormatting>
  <conditionalFormatting sqref="I37:J38 D10:D16 D18:D36 D39:D41 D2:D8 D45:D1048576 G37 S45">
    <cfRule type="containsText" dxfId="96" priority="86" operator="containsText" text="Y">
      <formula>NOT(ISERROR(SEARCH("Y",D2)))</formula>
    </cfRule>
  </conditionalFormatting>
  <conditionalFormatting sqref="H37:H38">
    <cfRule type="containsText" dxfId="95" priority="79" operator="containsText" text="ok">
      <formula>NOT(ISERROR(SEARCH("ok",H37)))</formula>
    </cfRule>
  </conditionalFormatting>
  <conditionalFormatting sqref="H97 R97 G76 X23:X25">
    <cfRule type="containsText" dxfId="94" priority="67" operator="containsText" text="Decline">
      <formula>NOT(ISERROR(SEARCH("Decline",G23)))</formula>
    </cfRule>
    <cfRule type="containsText" dxfId="93" priority="68" operator="containsText" text="Yes">
      <formula>NOT(ISERROR(SEARCH("Yes",G23)))</formula>
    </cfRule>
  </conditionalFormatting>
  <conditionalFormatting sqref="H79 H81:H87 I90:J90 I92:J94 F88:H94 I79:K87 K88:N94 F79:G81 E82:G87 F76 W26:Z41">
    <cfRule type="expression" dxfId="92" priority="66">
      <formula>$X$23="No"</formula>
    </cfRule>
  </conditionalFormatting>
  <conditionalFormatting sqref="I76:J76 Z23:Z25">
    <cfRule type="containsText" dxfId="91" priority="65" operator="containsText" text="OK">
      <formula>NOT(ISERROR(SEARCH("OK",I23)))</formula>
    </cfRule>
  </conditionalFormatting>
  <conditionalFormatting sqref="Z22">
    <cfRule type="expression" dxfId="90" priority="64">
      <formula>W$22="x"</formula>
    </cfRule>
  </conditionalFormatting>
  <conditionalFormatting sqref="W22">
    <cfRule type="containsText" dxfId="89" priority="63" operator="containsText" text="x">
      <formula>NOT(ISERROR(SEARCH("x",W22)))</formula>
    </cfRule>
  </conditionalFormatting>
  <conditionalFormatting sqref="K24">
    <cfRule type="cellIs" dxfId="88" priority="62" operator="greaterThan">
      <formula>0.05</formula>
    </cfRule>
  </conditionalFormatting>
  <conditionalFormatting sqref="G37">
    <cfRule type="expression" dxfId="87" priority="59">
      <formula>$H$37="input %=&gt;"</formula>
    </cfRule>
    <cfRule type="expression" dxfId="86" priority="60">
      <formula>$H$37="OK"</formula>
    </cfRule>
  </conditionalFormatting>
  <conditionalFormatting sqref="H79 H81:H87 N88:R94 M79:M87 N79:O83 K79:L94 I79:J87 G80 G92:G94 M89:M94 Q84:Q87 R85">
    <cfRule type="expression" dxfId="85" priority="45">
      <formula>#REF!="No"</formula>
    </cfRule>
  </conditionalFormatting>
  <conditionalFormatting sqref="Y82:Z87">
    <cfRule type="cellIs" dxfId="84" priority="48" operator="equal">
      <formula>0</formula>
    </cfRule>
  </conditionalFormatting>
  <conditionalFormatting sqref="V82:W87">
    <cfRule type="containsText" dxfId="83" priority="46" operator="containsText" text="NR">
      <formula>NOT(ISERROR(SEARCH("NR",V82)))</formula>
    </cfRule>
    <cfRule type="containsText" dxfId="82" priority="47" operator="containsText" text="OK">
      <formula>NOT(ISERROR(SEARCH("OK",V82)))</formula>
    </cfRule>
  </conditionalFormatting>
  <conditionalFormatting sqref="G22">
    <cfRule type="expression" dxfId="81" priority="113">
      <formula>$H$22="OK"</formula>
    </cfRule>
    <cfRule type="expression" dxfId="80" priority="114">
      <formula>$H$22&lt;&gt;""</formula>
    </cfRule>
    <cfRule type="cellIs" dxfId="79" priority="115" operator="greaterThan">
      <formula>1</formula>
    </cfRule>
    <cfRule type="containsText" dxfId="78" priority="116" operator="containsText" text="&lt;100%">
      <formula>NOT(ISERROR(SEARCH("&lt;100%",G22)))</formula>
    </cfRule>
    <cfRule type="cellIs" dxfId="77" priority="117" operator="equal">
      <formula>"input=&gt;"</formula>
    </cfRule>
  </conditionalFormatting>
  <conditionalFormatting sqref="H37:H38">
    <cfRule type="containsText" dxfId="76" priority="25" operator="containsText" text="Decline">
      <formula>NOT(ISERROR(SEARCH("Decline",H37)))</formula>
    </cfRule>
  </conditionalFormatting>
  <conditionalFormatting sqref="G59">
    <cfRule type="cellIs" dxfId="75" priority="331" operator="greaterThan">
      <formula>$K$58</formula>
    </cfRule>
  </conditionalFormatting>
  <conditionalFormatting sqref="H96">
    <cfRule type="cellIs" dxfId="74" priority="22" operator="notEqual">
      <formula>Yes</formula>
    </cfRule>
    <cfRule type="containsText" dxfId="73" priority="23" operator="containsText" text="Decline">
      <formula>NOT(ISERROR(SEARCH("Decline",H96)))</formula>
    </cfRule>
    <cfRule type="containsText" dxfId="72" priority="24" operator="containsText" text="Yes">
      <formula>NOT(ISERROR(SEARCH("Yes",H96)))</formula>
    </cfRule>
  </conditionalFormatting>
  <conditionalFormatting sqref="G40">
    <cfRule type="expression" dxfId="71" priority="19">
      <formula>$F$40=""</formula>
    </cfRule>
  </conditionalFormatting>
  <conditionalFormatting sqref="H40:H41">
    <cfRule type="expression" dxfId="70" priority="18">
      <formula>$G$40="N"</formula>
    </cfRule>
  </conditionalFormatting>
  <conditionalFormatting sqref="AK48">
    <cfRule type="containsText" dxfId="69" priority="16" operator="containsText" text="Aucune capacité en bien avec Intact">
      <formula>NOT(ISERROR(SEARCH("Aucune capacité en bien avec Intact",AK48)))</formula>
    </cfRule>
  </conditionalFormatting>
  <conditionalFormatting sqref="H37">
    <cfRule type="containsText" dxfId="68" priority="15" operator="containsText" text="Refer / Exclure">
      <formula>NOT(ISERROR(SEARCH("Refer / Exclure",H37)))</formula>
    </cfRule>
  </conditionalFormatting>
  <conditionalFormatting sqref="H58:I58">
    <cfRule type="containsText" dxfId="67" priority="6" operator="containsText" text="Free in package">
      <formula>NOT(ISERROR(SEARCH("Free in package",H58)))</formula>
    </cfRule>
  </conditionalFormatting>
  <conditionalFormatting sqref="L38">
    <cfRule type="containsText" dxfId="66" priority="3" operator="containsText" text="No Excavator machine  TIV Limit available">
      <formula>NOT(ISERROR(SEARCH("No Excavator machine  TIV Limit available",L38)))</formula>
    </cfRule>
    <cfRule type="containsText" dxfId="65" priority="4" operator="containsText" text="Aucune Limite Equipement entreperneur authorisée">
      <formula>NOT(ISERROR(SEARCH("Aucune Limite Equipement entreperneur authorisée",L38)))</formula>
    </cfRule>
  </conditionalFormatting>
  <conditionalFormatting sqref="H38">
    <cfRule type="cellIs" dxfId="64" priority="2" operator="equal">
      <formula>""""""</formula>
    </cfRule>
  </conditionalFormatting>
  <conditionalFormatting sqref="H42:K42 F42">
    <cfRule type="cellIs" dxfId="63" priority="1" operator="equal">
      <formula>0</formula>
    </cfRule>
  </conditionalFormatting>
  <dataValidations count="18">
    <dataValidation type="whole" allowBlank="1" showInputMessage="1" showErrorMessage="1" error="Authorized limit =max 30% of revenues, max 250 K$ TIV" sqref="G58" xr:uid="{00000000-0002-0000-0100-000000000000}">
      <formula1>0</formula1>
      <formula2>K58</formula2>
    </dataValidation>
    <dataValidation type="whole" allowBlank="1" showInputMessage="1" showErrorMessage="1" error="Authorized limit =max 30% of revenues, max 250 K$ TIV" sqref="G59" xr:uid="{00000000-0002-0000-0100-000001000000}">
      <formula1>0</formula1>
      <formula2>L59</formula2>
    </dataValidation>
    <dataValidation type="whole" allowBlank="1" showInputMessage="1" showErrorMessage="1" errorTitle="maximum non autorized" sqref="I60" xr:uid="{00000000-0002-0000-0100-000002000000}">
      <formula1>0</formula1>
      <formula2>K60</formula2>
    </dataValidation>
    <dataValidation type="whole" allowBlank="1" showInputMessage="1" showErrorMessage="1" errorTitle="max 250 K$ for the section" error="max 250 K$ for the section, max 100K per item" sqref="G61" xr:uid="{00000000-0002-0000-0100-000003000000}">
      <formula1>0</formula1>
      <formula2>J61</formula2>
    </dataValidation>
    <dataValidation type="whole" allowBlank="1" showInputMessage="1" showErrorMessage="1" errorTitle="No capacity" error="No capacity " sqref="G64" xr:uid="{00000000-0002-0000-0100-000004000000}">
      <formula1>0</formula1>
      <formula2>K64</formula2>
    </dataValidation>
    <dataValidation type="whole" allowBlank="1" showInputMessage="1" showErrorMessage="1" errorTitle="No capacity" error="No capacity " sqref="G66" xr:uid="{00000000-0002-0000-0100-000005000000}">
      <formula1>0</formula1>
      <formula2>K64</formula2>
    </dataValidation>
    <dataValidation type="whole" allowBlank="1" showInputMessage="1" showErrorMessage="1" errorTitle="No capacity" error="No capacity " sqref="G67" xr:uid="{00000000-0002-0000-0100-000006000000}">
      <formula1>0</formula1>
      <formula2>K64</formula2>
    </dataValidation>
    <dataValidation type="whole" allowBlank="1" showInputMessage="1" showErrorMessage="1" errorTitle="max 50K$ per item" error="max 50K per item" sqref="I61" xr:uid="{00000000-0002-0000-0100-000007000000}">
      <formula1>0</formula1>
      <formula2>K61</formula2>
    </dataValidation>
    <dataValidation type="whole" allowBlank="1" showInputMessage="1" showErrorMessage="1" errorTitle="max for section not respected" error="max for section not authorized" sqref="G60" xr:uid="{00000000-0002-0000-0100-000008000000}">
      <formula1>0</formula1>
      <formula2>J60</formula2>
    </dataValidation>
    <dataValidation type="decimal" allowBlank="1" showInputMessage="1" showErrorMessage="1" sqref="G57" xr:uid="{00000000-0002-0000-0100-000009000000}">
      <formula1>0</formula1>
      <formula2>J57</formula2>
    </dataValidation>
    <dataValidation type="whole" allowBlank="1" showInputMessage="1" showErrorMessage="1" errorTitle="No capacity" error="No capacity " sqref="G65" xr:uid="{00000000-0002-0000-0100-00000A000000}">
      <formula1>0</formula1>
      <formula2>S65</formula2>
    </dataValidation>
    <dataValidation type="list" allowBlank="1" showInputMessage="1" showErrorMessage="1" sqref="H1 E1" xr:uid="{00000000-0002-0000-0100-00000B000000}">
      <formula1>Language</formula1>
    </dataValidation>
    <dataValidation type="list" allowBlank="1" showInputMessage="1" showErrorMessage="1" sqref="H28" xr:uid="{00000000-0002-0000-0100-00000C000000}">
      <formula1>reason</formula1>
    </dataValidation>
    <dataValidation type="list" allowBlank="1" showInputMessage="1" showErrorMessage="1" sqref="G11" xr:uid="{00000000-0002-0000-0100-00000D000000}">
      <formula1>Print</formula1>
    </dataValidation>
    <dataValidation type="list" allowBlank="1" showInputMessage="1" showErrorMessage="1" sqref="R3:S3" xr:uid="{00000000-0002-0000-0100-00000E000000}">
      <formula1>"Quebec,Hors Quebec"</formula1>
    </dataValidation>
    <dataValidation type="list" allowBlank="1" showInputMessage="1" showErrorMessage="1" sqref="G40:G41" xr:uid="{00000000-0002-0000-0100-00000F000000}">
      <formula1>"Y,N"</formula1>
    </dataValidation>
    <dataValidation type="list" allowBlank="1" showInputMessage="1" showErrorMessage="1" sqref="AH49:AI49" xr:uid="{00000000-0002-0000-0100-000010000000}">
      <formula1>List_ApprovedCGL</formula1>
    </dataValidation>
    <dataValidation type="decimal" allowBlank="1" showInputMessage="1" showErrorMessage="1" sqref="G27" xr:uid="{00000000-0002-0000-0100-000011000000}">
      <formula1>0</formula1>
      <formula2>I27</formula2>
    </dataValidation>
  </dataValidations>
  <printOptions horizontalCentered="1" verticalCentered="1"/>
  <pageMargins left="0" right="0" top="0" bottom="0" header="0.3" footer="0.3"/>
  <pageSetup scale="38" fitToHeight="2" orientation="landscape" horizontalDpi="90" verticalDpi="90" r:id="rId1"/>
  <rowBreaks count="1" manualBreakCount="1">
    <brk id="51" max="22" man="1"/>
  </rowBreaks>
  <colBreaks count="1" manualBreakCount="1">
    <brk id="25" max="1048575" man="1"/>
  </colBreaks>
  <drawing r:id="rId2"/>
  <legacyDrawing r:id="rId3"/>
  <controls>
    <mc:AlternateContent xmlns:mc="http://schemas.openxmlformats.org/markup-compatibility/2006">
      <mc:Choice Requires="x14">
        <control shapeId="12373" r:id="rId4" name="ComboBox10">
          <controlPr defaultSize="0" autoLine="0" linkedCell="G80" listFillRange="Heating_System" r:id="rId5">
            <anchor moveWithCells="1">
              <from>
                <xdr:col>6</xdr:col>
                <xdr:colOff>38100</xdr:colOff>
                <xdr:row>79</xdr:row>
                <xdr:rowOff>28575</xdr:rowOff>
              </from>
              <to>
                <xdr:col>8</xdr:col>
                <xdr:colOff>304800</xdr:colOff>
                <xdr:row>79</xdr:row>
                <xdr:rowOff>390525</xdr:rowOff>
              </to>
            </anchor>
          </controlPr>
        </control>
      </mc:Choice>
      <mc:Fallback>
        <control shapeId="12373" r:id="rId4" name="ComboBox10"/>
      </mc:Fallback>
    </mc:AlternateContent>
    <mc:AlternateContent xmlns:mc="http://schemas.openxmlformats.org/markup-compatibility/2006">
      <mc:Choice Requires="x14">
        <control shapeId="12366" r:id="rId6" name="ComboBox11">
          <controlPr defaultSize="0" autoLine="0" autoPict="0" linkedCell="G93" listFillRange="Y_N" r:id="rId7">
            <anchor moveWithCells="1">
              <from>
                <xdr:col>6</xdr:col>
                <xdr:colOff>9525</xdr:colOff>
                <xdr:row>92</xdr:row>
                <xdr:rowOff>123825</xdr:rowOff>
              </from>
              <to>
                <xdr:col>7</xdr:col>
                <xdr:colOff>485775</xdr:colOff>
                <xdr:row>92</xdr:row>
                <xdr:rowOff>514350</xdr:rowOff>
              </to>
            </anchor>
          </controlPr>
        </control>
      </mc:Choice>
      <mc:Fallback>
        <control shapeId="12366" r:id="rId6" name="ComboBox11"/>
      </mc:Fallback>
    </mc:AlternateContent>
    <mc:AlternateContent xmlns:mc="http://schemas.openxmlformats.org/markup-compatibility/2006">
      <mc:Choice Requires="x14">
        <control shapeId="12362" r:id="rId8" name="ComboBox12">
          <controlPr defaultSize="0" autoLine="0" linkedCell="G92" listFillRange="Type_Alarm" r:id="rId9">
            <anchor moveWithCells="1">
              <from>
                <xdr:col>6</xdr:col>
                <xdr:colOff>47625</xdr:colOff>
                <xdr:row>91</xdr:row>
                <xdr:rowOff>38100</xdr:rowOff>
              </from>
              <to>
                <xdr:col>8</xdr:col>
                <xdr:colOff>314325</xdr:colOff>
                <xdr:row>91</xdr:row>
                <xdr:rowOff>342900</xdr:rowOff>
              </to>
            </anchor>
          </controlPr>
        </control>
      </mc:Choice>
      <mc:Fallback>
        <control shapeId="12362" r:id="rId8" name="ComboBox12"/>
      </mc:Fallback>
    </mc:AlternateContent>
    <mc:AlternateContent xmlns:mc="http://schemas.openxmlformats.org/markup-compatibility/2006">
      <mc:Choice Requires="x14">
        <control shapeId="12342" r:id="rId10" name="ComboBox7">
          <controlPr defaultSize="0" autoLine="0" linkedCell="G73" listFillRange="Town_Grade" r:id="rId11">
            <anchor moveWithCells="1">
              <from>
                <xdr:col>6</xdr:col>
                <xdr:colOff>47625</xdr:colOff>
                <xdr:row>72</xdr:row>
                <xdr:rowOff>28575</xdr:rowOff>
              </from>
              <to>
                <xdr:col>6</xdr:col>
                <xdr:colOff>1019175</xdr:colOff>
                <xdr:row>72</xdr:row>
                <xdr:rowOff>381000</xdr:rowOff>
              </to>
            </anchor>
          </controlPr>
        </control>
      </mc:Choice>
      <mc:Fallback>
        <control shapeId="12342" r:id="rId10" name="ComboBox7"/>
      </mc:Fallback>
    </mc:AlternateContent>
    <mc:AlternateContent xmlns:mc="http://schemas.openxmlformats.org/markup-compatibility/2006">
      <mc:Choice Requires="x14">
        <control shapeId="12341" r:id="rId12" name="ComboBox8">
          <controlPr defaultSize="0" autoLine="0" autoPict="0" linkedCell="G72" listFillRange="typeconstruction" r:id="rId13">
            <anchor moveWithCells="1">
              <from>
                <xdr:col>6</xdr:col>
                <xdr:colOff>9525</xdr:colOff>
                <xdr:row>71</xdr:row>
                <xdr:rowOff>47625</xdr:rowOff>
              </from>
              <to>
                <xdr:col>9</xdr:col>
                <xdr:colOff>123825</xdr:colOff>
                <xdr:row>71</xdr:row>
                <xdr:rowOff>438150</xdr:rowOff>
              </to>
            </anchor>
          </controlPr>
        </control>
      </mc:Choice>
      <mc:Fallback>
        <control shapeId="12341" r:id="rId12" name="ComboBox8"/>
      </mc:Fallback>
    </mc:AlternateContent>
    <mc:AlternateContent xmlns:mc="http://schemas.openxmlformats.org/markup-compatibility/2006">
      <mc:Choice Requires="x14">
        <control shapeId="12338" r:id="rId14" name="ComboBox9">
          <controlPr defaultSize="0" autoLine="0" autoPict="0" linkedCell="G91" listFillRange="Inspection" r:id="rId15">
            <anchor moveWithCells="1">
              <from>
                <xdr:col>6</xdr:col>
                <xdr:colOff>9525</xdr:colOff>
                <xdr:row>90</xdr:row>
                <xdr:rowOff>57150</xdr:rowOff>
              </from>
              <to>
                <xdr:col>8</xdr:col>
                <xdr:colOff>1181100</xdr:colOff>
                <xdr:row>90</xdr:row>
                <xdr:rowOff>476250</xdr:rowOff>
              </to>
            </anchor>
          </controlPr>
        </control>
      </mc:Choice>
      <mc:Fallback>
        <control shapeId="12338" r:id="rId14" name="ComboBox9"/>
      </mc:Fallback>
    </mc:AlternateContent>
    <mc:AlternateContent xmlns:mc="http://schemas.openxmlformats.org/markup-compatibility/2006">
      <mc:Choice Requires="x14">
        <control shapeId="12337" r:id="rId16" name="ComboBox5">
          <controlPr defaultSize="0" autoLine="0" linkedCell="G90" listFillRange="Location" r:id="rId17">
            <anchor moveWithCells="1">
              <from>
                <xdr:col>6</xdr:col>
                <xdr:colOff>0</xdr:colOff>
                <xdr:row>89</xdr:row>
                <xdr:rowOff>57150</xdr:rowOff>
              </from>
              <to>
                <xdr:col>11</xdr:col>
                <xdr:colOff>952500</xdr:colOff>
                <xdr:row>90</xdr:row>
                <xdr:rowOff>19050</xdr:rowOff>
              </to>
            </anchor>
          </controlPr>
        </control>
      </mc:Choice>
      <mc:Fallback>
        <control shapeId="12337" r:id="rId16" name="ComboBox5"/>
      </mc:Fallback>
    </mc:AlternateContent>
    <mc:AlternateContent xmlns:mc="http://schemas.openxmlformats.org/markup-compatibility/2006">
      <mc:Choice Requires="x14">
        <control shapeId="12336" r:id="rId18" name="ComboBox4">
          <controlPr defaultSize="0" autoLine="0" autoPict="0" linkedCell="G78" listFillRange="Claims" r:id="rId19">
            <anchor moveWithCells="1">
              <from>
                <xdr:col>6</xdr:col>
                <xdr:colOff>9525</xdr:colOff>
                <xdr:row>77</xdr:row>
                <xdr:rowOff>28575</xdr:rowOff>
              </from>
              <to>
                <xdr:col>9</xdr:col>
                <xdr:colOff>190500</xdr:colOff>
                <xdr:row>77</xdr:row>
                <xdr:rowOff>457200</xdr:rowOff>
              </to>
            </anchor>
          </controlPr>
        </control>
      </mc:Choice>
      <mc:Fallback>
        <control shapeId="12336" r:id="rId18" name="ComboBox4"/>
      </mc:Fallback>
    </mc:AlternateContent>
    <mc:AlternateContent xmlns:mc="http://schemas.openxmlformats.org/markup-compatibility/2006">
      <mc:Choice Requires="x14">
        <control shapeId="12335" r:id="rId20" name="ComboBox3">
          <controlPr defaultSize="0" autoLine="0" autoPict="0" linkedCell="G77" listFillRange="Type_Property" r:id="rId21">
            <anchor moveWithCells="1">
              <from>
                <xdr:col>6</xdr:col>
                <xdr:colOff>57150</xdr:colOff>
                <xdr:row>76</xdr:row>
                <xdr:rowOff>9525</xdr:rowOff>
              </from>
              <to>
                <xdr:col>9</xdr:col>
                <xdr:colOff>152400</xdr:colOff>
                <xdr:row>76</xdr:row>
                <xdr:rowOff>447675</xdr:rowOff>
              </to>
            </anchor>
          </controlPr>
        </control>
      </mc:Choice>
      <mc:Fallback>
        <control shapeId="12335" r:id="rId20" name="ComboBox3"/>
      </mc:Fallback>
    </mc:AlternateContent>
    <mc:AlternateContent xmlns:mc="http://schemas.openxmlformats.org/markup-compatibility/2006">
      <mc:Choice Requires="x14">
        <control shapeId="12331" r:id="rId22" name="ComboBox2">
          <controlPr defaultSize="0" autoLine="0" autoPict="0" linkedCell="G28" listFillRange="Particular_situation" r:id="rId23">
            <anchor moveWithCells="1">
              <from>
                <xdr:col>6</xdr:col>
                <xdr:colOff>28575</xdr:colOff>
                <xdr:row>27</xdr:row>
                <xdr:rowOff>76200</xdr:rowOff>
              </from>
              <to>
                <xdr:col>8</xdr:col>
                <xdr:colOff>1104900</xdr:colOff>
                <xdr:row>27</xdr:row>
                <xdr:rowOff>390525</xdr:rowOff>
              </to>
            </anchor>
          </controlPr>
        </control>
      </mc:Choice>
      <mc:Fallback>
        <control shapeId="12331" r:id="rId22" name="ComboBox2"/>
      </mc:Fallback>
    </mc:AlternateContent>
    <mc:AlternateContent xmlns:mc="http://schemas.openxmlformats.org/markup-compatibility/2006">
      <mc:Choice Requires="x14">
        <control shapeId="12330" r:id="rId24" name="ComboBox1">
          <controlPr defaultSize="0" autoLine="0" linkedCell="G36" listFillRange="Type" r:id="rId25">
            <anchor moveWithCells="1">
              <from>
                <xdr:col>6</xdr:col>
                <xdr:colOff>28575</xdr:colOff>
                <xdr:row>35</xdr:row>
                <xdr:rowOff>9525</xdr:rowOff>
              </from>
              <to>
                <xdr:col>7</xdr:col>
                <xdr:colOff>1514475</xdr:colOff>
                <xdr:row>36</xdr:row>
                <xdr:rowOff>19050</xdr:rowOff>
              </to>
            </anchor>
          </controlPr>
        </control>
      </mc:Choice>
      <mc:Fallback>
        <control shapeId="12330" r:id="rId24" name="ComboBox1"/>
      </mc:Fallback>
    </mc:AlternateContent>
    <mc:AlternateContent xmlns:mc="http://schemas.openxmlformats.org/markup-compatibility/2006">
      <mc:Choice Requires="x14">
        <control shapeId="12381" r:id="rId26" name="ComboBox6">
          <controlPr defaultSize="0" autoLine="0" linkedCell="G74" listFillRange="Protection" r:id="rId27">
            <anchor moveWithCells="1">
              <from>
                <xdr:col>6</xdr:col>
                <xdr:colOff>19050</xdr:colOff>
                <xdr:row>73</xdr:row>
                <xdr:rowOff>76200</xdr:rowOff>
              </from>
              <to>
                <xdr:col>9</xdr:col>
                <xdr:colOff>133350</xdr:colOff>
                <xdr:row>73</xdr:row>
                <xdr:rowOff>457200</xdr:rowOff>
              </to>
            </anchor>
          </controlPr>
        </control>
      </mc:Choice>
      <mc:Fallback>
        <control shapeId="12381" r:id="rId26" name="ComboBox6"/>
      </mc:Fallback>
    </mc:AlternateContent>
    <mc:AlternateContent xmlns:mc="http://schemas.openxmlformats.org/markup-compatibility/2006">
      <mc:Choice Requires="x14">
        <control shapeId="12304" r:id="rId28" name="Check Box 16">
          <controlPr defaultSize="0" autoFill="0" autoLine="0" autoPict="0">
            <anchor moveWithCells="1">
              <from>
                <xdr:col>6</xdr:col>
                <xdr:colOff>85725</xdr:colOff>
                <xdr:row>33</xdr:row>
                <xdr:rowOff>9525</xdr:rowOff>
              </from>
              <to>
                <xdr:col>6</xdr:col>
                <xdr:colOff>390525</xdr:colOff>
                <xdr:row>33</xdr:row>
                <xdr:rowOff>371475</xdr:rowOff>
              </to>
            </anchor>
          </controlPr>
        </control>
      </mc:Choice>
    </mc:AlternateContent>
    <mc:AlternateContent xmlns:mc="http://schemas.openxmlformats.org/markup-compatibility/2006">
      <mc:Choice Requires="x14">
        <control shapeId="12305" r:id="rId29" name="Check Box 17">
          <controlPr defaultSize="0" autoFill="0" autoLine="0" autoPict="0">
            <anchor moveWithCells="1">
              <from>
                <xdr:col>6</xdr:col>
                <xdr:colOff>76200</xdr:colOff>
                <xdr:row>5</xdr:row>
                <xdr:rowOff>342900</xdr:rowOff>
              </from>
              <to>
                <xdr:col>6</xdr:col>
                <xdr:colOff>885825</xdr:colOff>
                <xdr:row>9</xdr:row>
                <xdr:rowOff>57150</xdr:rowOff>
              </to>
            </anchor>
          </controlPr>
        </control>
      </mc:Choice>
    </mc:AlternateContent>
    <mc:AlternateContent xmlns:mc="http://schemas.openxmlformats.org/markup-compatibility/2006">
      <mc:Choice Requires="x14">
        <control shapeId="12316" r:id="rId30" name="Check Box 28">
          <controlPr defaultSize="0" autoFill="0" autoLine="0" autoPict="0">
            <anchor moveWithCells="1">
              <from>
                <xdr:col>17</xdr:col>
                <xdr:colOff>428625</xdr:colOff>
                <xdr:row>44</xdr:row>
                <xdr:rowOff>38100</xdr:rowOff>
              </from>
              <to>
                <xdr:col>17</xdr:col>
                <xdr:colOff>933450</xdr:colOff>
                <xdr:row>44</xdr:row>
                <xdr:rowOff>323850</xdr:rowOff>
              </to>
            </anchor>
          </controlPr>
        </control>
      </mc:Choice>
    </mc:AlternateContent>
    <mc:AlternateContent xmlns:mc="http://schemas.openxmlformats.org/markup-compatibility/2006">
      <mc:Choice Requires="x14">
        <control shapeId="12325" r:id="rId31" name="Check Box 37">
          <controlPr defaultSize="0" autoFill="0" autoLine="0" autoPict="0">
            <anchor moveWithCells="1">
              <from>
                <xdr:col>6</xdr:col>
                <xdr:colOff>85725</xdr:colOff>
                <xdr:row>32</xdr:row>
                <xdr:rowOff>47625</xdr:rowOff>
              </from>
              <to>
                <xdr:col>6</xdr:col>
                <xdr:colOff>466725</xdr:colOff>
                <xdr:row>32</xdr:row>
                <xdr:rowOff>371475</xdr:rowOff>
              </to>
            </anchor>
          </controlPr>
        </control>
      </mc:Choice>
    </mc:AlternateContent>
    <mc:AlternateContent xmlns:mc="http://schemas.openxmlformats.org/markup-compatibility/2006">
      <mc:Choice Requires="x14">
        <control shapeId="12328" r:id="rId32" name="Check Box 40">
          <controlPr defaultSize="0" autoFill="0" autoLine="0" autoPict="0">
            <anchor moveWithCells="1">
              <from>
                <xdr:col>6</xdr:col>
                <xdr:colOff>533400</xdr:colOff>
                <xdr:row>54</xdr:row>
                <xdr:rowOff>76200</xdr:rowOff>
              </from>
              <to>
                <xdr:col>6</xdr:col>
                <xdr:colOff>1028700</xdr:colOff>
                <xdr:row>54</xdr:row>
                <xdr:rowOff>371475</xdr:rowOff>
              </to>
            </anchor>
          </controlPr>
        </control>
      </mc:Choice>
    </mc:AlternateContent>
    <mc:AlternateContent xmlns:mc="http://schemas.openxmlformats.org/markup-compatibility/2006">
      <mc:Choice Requires="x14">
        <control shapeId="12329" r:id="rId33" name="Check Box 41">
          <controlPr defaultSize="0" autoFill="0" autoLine="0" autoPict="0">
            <anchor moveWithCells="1">
              <from>
                <xdr:col>6</xdr:col>
                <xdr:colOff>85725</xdr:colOff>
                <xdr:row>34</xdr:row>
                <xdr:rowOff>9525</xdr:rowOff>
              </from>
              <to>
                <xdr:col>6</xdr:col>
                <xdr:colOff>390525</xdr:colOff>
                <xdr:row>34</xdr:row>
                <xdr:rowOff>371475</xdr:rowOff>
              </to>
            </anchor>
          </controlPr>
        </control>
      </mc:Choice>
    </mc:AlternateContent>
    <mc:AlternateContent xmlns:mc="http://schemas.openxmlformats.org/markup-compatibility/2006">
      <mc:Choice Requires="x14">
        <control shapeId="12332" r:id="rId34" name="Check Box 44">
          <controlPr defaultSize="0" autoFill="0" autoLine="0" autoPict="0">
            <anchor moveWithCells="1">
              <from>
                <xdr:col>12</xdr:col>
                <xdr:colOff>485775</xdr:colOff>
                <xdr:row>44</xdr:row>
                <xdr:rowOff>0</xdr:rowOff>
              </from>
              <to>
                <xdr:col>12</xdr:col>
                <xdr:colOff>790575</xdr:colOff>
                <xdr:row>44</xdr:row>
                <xdr:rowOff>361950</xdr:rowOff>
              </to>
            </anchor>
          </controlPr>
        </control>
      </mc:Choice>
    </mc:AlternateContent>
    <mc:AlternateContent xmlns:mc="http://schemas.openxmlformats.org/markup-compatibility/2006">
      <mc:Choice Requires="x14">
        <control shapeId="12339" r:id="rId35" name="Check Box 51">
          <controlPr defaultSize="0" autoFill="0" autoLine="0" autoPict="0">
            <anchor moveWithCells="1">
              <from>
                <xdr:col>6</xdr:col>
                <xdr:colOff>85725</xdr:colOff>
                <xdr:row>84</xdr:row>
                <xdr:rowOff>9525</xdr:rowOff>
              </from>
              <to>
                <xdr:col>6</xdr:col>
                <xdr:colOff>390525</xdr:colOff>
                <xdr:row>84</xdr:row>
                <xdr:rowOff>371475</xdr:rowOff>
              </to>
            </anchor>
          </controlPr>
        </control>
      </mc:Choice>
    </mc:AlternateContent>
    <mc:AlternateContent xmlns:mc="http://schemas.openxmlformats.org/markup-compatibility/2006">
      <mc:Choice Requires="x14">
        <control shapeId="12363" r:id="rId36" name="Check Box 75">
          <controlPr defaultSize="0" autoFill="0" autoLine="0" autoPict="0">
            <anchor moveWithCells="1">
              <from>
                <xdr:col>11</xdr:col>
                <xdr:colOff>85725</xdr:colOff>
                <xdr:row>83</xdr:row>
                <xdr:rowOff>9525</xdr:rowOff>
              </from>
              <to>
                <xdr:col>11</xdr:col>
                <xdr:colOff>409575</xdr:colOff>
                <xdr:row>83</xdr:row>
                <xdr:rowOff>371475</xdr:rowOff>
              </to>
            </anchor>
          </controlPr>
        </control>
      </mc:Choice>
    </mc:AlternateContent>
    <mc:AlternateContent xmlns:mc="http://schemas.openxmlformats.org/markup-compatibility/2006">
      <mc:Choice Requires="x14">
        <control shapeId="12364" r:id="rId37" name="Check Box 76">
          <controlPr defaultSize="0" autoFill="0" autoLine="0" autoPict="0">
            <anchor moveWithCells="1">
              <from>
                <xdr:col>11</xdr:col>
                <xdr:colOff>85725</xdr:colOff>
                <xdr:row>85</xdr:row>
                <xdr:rowOff>9525</xdr:rowOff>
              </from>
              <to>
                <xdr:col>11</xdr:col>
                <xdr:colOff>409575</xdr:colOff>
                <xdr:row>85</xdr:row>
                <xdr:rowOff>390525</xdr:rowOff>
              </to>
            </anchor>
          </controlPr>
        </control>
      </mc:Choice>
    </mc:AlternateContent>
    <mc:AlternateContent xmlns:mc="http://schemas.openxmlformats.org/markup-compatibility/2006">
      <mc:Choice Requires="x14">
        <control shapeId="12365" r:id="rId38" name="Check Box 77">
          <controlPr defaultSize="0" autoFill="0" autoLine="0" autoPict="0">
            <anchor moveWithCells="1">
              <from>
                <xdr:col>11</xdr:col>
                <xdr:colOff>85725</xdr:colOff>
                <xdr:row>86</xdr:row>
                <xdr:rowOff>142875</xdr:rowOff>
              </from>
              <to>
                <xdr:col>11</xdr:col>
                <xdr:colOff>438150</xdr:colOff>
                <xdr:row>86</xdr:row>
                <xdr:rowOff>371475</xdr:rowOff>
              </to>
            </anchor>
          </controlPr>
        </control>
      </mc:Choice>
    </mc:AlternateContent>
    <mc:AlternateContent xmlns:mc="http://schemas.openxmlformats.org/markup-compatibility/2006">
      <mc:Choice Requires="x14">
        <control shapeId="12376" r:id="rId39" name="Check Box 88">
          <controlPr defaultSize="0" autoFill="0" autoLine="0" autoPict="0">
            <anchor moveWithCells="1">
              <from>
                <xdr:col>6</xdr:col>
                <xdr:colOff>361950</xdr:colOff>
                <xdr:row>68</xdr:row>
                <xdr:rowOff>9525</xdr:rowOff>
              </from>
              <to>
                <xdr:col>6</xdr:col>
                <xdr:colOff>952500</xdr:colOff>
                <xdr:row>69</xdr:row>
                <xdr:rowOff>38100</xdr:rowOff>
              </to>
            </anchor>
          </controlPr>
        </control>
      </mc:Choice>
    </mc:AlternateContent>
    <mc:AlternateContent xmlns:mc="http://schemas.openxmlformats.org/markup-compatibility/2006">
      <mc:Choice Requires="x14">
        <control shapeId="12377" r:id="rId40" name="Check Box 89">
          <controlPr defaultSize="0" autoFill="0" autoLine="0" autoPict="0">
            <anchor moveWithCells="1">
              <from>
                <xdr:col>6</xdr:col>
                <xdr:colOff>409575</xdr:colOff>
                <xdr:row>61</xdr:row>
                <xdr:rowOff>19050</xdr:rowOff>
              </from>
              <to>
                <xdr:col>6</xdr:col>
                <xdr:colOff>933450</xdr:colOff>
                <xdr:row>61</xdr:row>
                <xdr:rowOff>381000</xdr:rowOff>
              </to>
            </anchor>
          </controlPr>
        </control>
      </mc:Choice>
    </mc:AlternateContent>
    <mc:AlternateContent xmlns:mc="http://schemas.openxmlformats.org/markup-compatibility/2006">
      <mc:Choice Requires="x14">
        <control shapeId="12378" r:id="rId41" name="Check Box 90">
          <controlPr defaultSize="0" autoFill="0" autoLine="0" autoPict="0">
            <anchor moveWithCells="1">
              <from>
                <xdr:col>6</xdr:col>
                <xdr:colOff>342900</xdr:colOff>
                <xdr:row>67</xdr:row>
                <xdr:rowOff>0</xdr:rowOff>
              </from>
              <to>
                <xdr:col>6</xdr:col>
                <xdr:colOff>933450</xdr:colOff>
                <xdr:row>68</xdr:row>
                <xdr:rowOff>85725</xdr:rowOff>
              </to>
            </anchor>
          </controlPr>
        </control>
      </mc:Choice>
    </mc:AlternateContent>
    <mc:AlternateContent xmlns:mc="http://schemas.openxmlformats.org/markup-compatibility/2006">
      <mc:Choice Requires="x14">
        <control shapeId="12388" r:id="rId42" name="Check Box 100">
          <controlPr defaultSize="0" autoFill="0" autoLine="0" autoPict="0">
            <anchor moveWithCells="1">
              <from>
                <xdr:col>32</xdr:col>
                <xdr:colOff>723900</xdr:colOff>
                <xdr:row>43</xdr:row>
                <xdr:rowOff>9525</xdr:rowOff>
              </from>
              <to>
                <xdr:col>32</xdr:col>
                <xdr:colOff>1028700</xdr:colOff>
                <xdr:row>43</xdr:row>
                <xdr:rowOff>228600</xdr:rowOff>
              </to>
            </anchor>
          </controlPr>
        </control>
      </mc:Choice>
    </mc:AlternateContent>
    <mc:AlternateContent xmlns:mc="http://schemas.openxmlformats.org/markup-compatibility/2006">
      <mc:Choice Requires="x14">
        <control shapeId="12389" r:id="rId43" name="Check Box 101">
          <controlPr defaultSize="0" autoFill="0" autoLine="0" autoPict="0">
            <anchor moveWithCells="1">
              <from>
                <xdr:col>32</xdr:col>
                <xdr:colOff>723900</xdr:colOff>
                <xdr:row>45</xdr:row>
                <xdr:rowOff>9525</xdr:rowOff>
              </from>
              <to>
                <xdr:col>32</xdr:col>
                <xdr:colOff>1028700</xdr:colOff>
                <xdr:row>45</xdr:row>
                <xdr:rowOff>228600</xdr:rowOff>
              </to>
            </anchor>
          </controlPr>
        </control>
      </mc:Choice>
    </mc:AlternateContent>
    <mc:AlternateContent xmlns:mc="http://schemas.openxmlformats.org/markup-compatibility/2006">
      <mc:Choice Requires="x14">
        <control shapeId="12390" r:id="rId44" name="Check Box 102">
          <controlPr defaultSize="0" autoFill="0" autoLine="0" autoPict="0">
            <anchor moveWithCells="1">
              <from>
                <xdr:col>32</xdr:col>
                <xdr:colOff>723900</xdr:colOff>
                <xdr:row>44</xdr:row>
                <xdr:rowOff>9525</xdr:rowOff>
              </from>
              <to>
                <xdr:col>32</xdr:col>
                <xdr:colOff>1028700</xdr:colOff>
                <xdr:row>44</xdr:row>
                <xdr:rowOff>247650</xdr:rowOff>
              </to>
            </anchor>
          </controlPr>
        </control>
      </mc:Choice>
    </mc:AlternateContent>
    <mc:AlternateContent xmlns:mc="http://schemas.openxmlformats.org/markup-compatibility/2006">
      <mc:Choice Requires="x14">
        <control shapeId="12391" r:id="rId45" name="Check Box 103">
          <controlPr defaultSize="0" autoFill="0" autoLine="0" autoPict="0">
            <anchor moveWithCells="1">
              <from>
                <xdr:col>32</xdr:col>
                <xdr:colOff>723900</xdr:colOff>
                <xdr:row>46</xdr:row>
                <xdr:rowOff>9525</xdr:rowOff>
              </from>
              <to>
                <xdr:col>32</xdr:col>
                <xdr:colOff>1028700</xdr:colOff>
                <xdr:row>46</xdr:row>
                <xdr:rowOff>228600</xdr:rowOff>
              </to>
            </anchor>
          </controlPr>
        </control>
      </mc:Choice>
    </mc:AlternateContent>
    <mc:AlternateContent xmlns:mc="http://schemas.openxmlformats.org/markup-compatibility/2006">
      <mc:Choice Requires="x14">
        <control shapeId="12392" r:id="rId46" name="Check Box 104">
          <controlPr defaultSize="0" autoFill="0" autoLine="0" autoPict="0">
            <anchor moveWithCells="1">
              <from>
                <xdr:col>32</xdr:col>
                <xdr:colOff>723900</xdr:colOff>
                <xdr:row>47</xdr:row>
                <xdr:rowOff>9525</xdr:rowOff>
              </from>
              <to>
                <xdr:col>32</xdr:col>
                <xdr:colOff>1028700</xdr:colOff>
                <xdr:row>47</xdr:row>
                <xdr:rowOff>228600</xdr:rowOff>
              </to>
            </anchor>
          </controlPr>
        </control>
      </mc:Choice>
    </mc:AlternateContent>
    <mc:AlternateContent xmlns:mc="http://schemas.openxmlformats.org/markup-compatibility/2006">
      <mc:Choice Requires="x14">
        <control shapeId="12393" r:id="rId47" name="Check Box 105">
          <controlPr defaultSize="0" autoFill="0" autoLine="0" autoPict="0">
            <anchor moveWithCells="1">
              <from>
                <xdr:col>32</xdr:col>
                <xdr:colOff>723900</xdr:colOff>
                <xdr:row>48</xdr:row>
                <xdr:rowOff>9525</xdr:rowOff>
              </from>
              <to>
                <xdr:col>32</xdr:col>
                <xdr:colOff>1028700</xdr:colOff>
                <xdr:row>48</xdr:row>
                <xdr:rowOff>228600</xdr:rowOff>
              </to>
            </anchor>
          </controlPr>
        </control>
      </mc:Choice>
    </mc:AlternateContent>
    <mc:AlternateContent xmlns:mc="http://schemas.openxmlformats.org/markup-compatibility/2006">
      <mc:Choice Requires="x14">
        <control shapeId="12394" r:id="rId48" name="Check Box 106">
          <controlPr defaultSize="0" autoFill="0" autoLine="0" autoPict="0">
            <anchor moveWithCells="1">
              <from>
                <xdr:col>32</xdr:col>
                <xdr:colOff>723900</xdr:colOff>
                <xdr:row>43</xdr:row>
                <xdr:rowOff>9525</xdr:rowOff>
              </from>
              <to>
                <xdr:col>32</xdr:col>
                <xdr:colOff>1028700</xdr:colOff>
                <xdr:row>43</xdr:row>
                <xdr:rowOff>228600</xdr:rowOff>
              </to>
            </anchor>
          </controlPr>
        </control>
      </mc:Choice>
    </mc:AlternateContent>
    <mc:AlternateContent xmlns:mc="http://schemas.openxmlformats.org/markup-compatibility/2006">
      <mc:Choice Requires="x14">
        <control shapeId="12395" r:id="rId49" name="Check Box 107">
          <controlPr defaultSize="0" autoFill="0" autoLine="0" autoPict="0">
            <anchor moveWithCells="1">
              <from>
                <xdr:col>32</xdr:col>
                <xdr:colOff>723900</xdr:colOff>
                <xdr:row>45</xdr:row>
                <xdr:rowOff>9525</xdr:rowOff>
              </from>
              <to>
                <xdr:col>32</xdr:col>
                <xdr:colOff>1028700</xdr:colOff>
                <xdr:row>45</xdr:row>
                <xdr:rowOff>228600</xdr:rowOff>
              </to>
            </anchor>
          </controlPr>
        </control>
      </mc:Choice>
    </mc:AlternateContent>
    <mc:AlternateContent xmlns:mc="http://schemas.openxmlformats.org/markup-compatibility/2006">
      <mc:Choice Requires="x14">
        <control shapeId="12396" r:id="rId50" name="Check Box 108">
          <controlPr defaultSize="0" autoFill="0" autoLine="0" autoPict="0">
            <anchor moveWithCells="1">
              <from>
                <xdr:col>32</xdr:col>
                <xdr:colOff>723900</xdr:colOff>
                <xdr:row>44</xdr:row>
                <xdr:rowOff>9525</xdr:rowOff>
              </from>
              <to>
                <xdr:col>32</xdr:col>
                <xdr:colOff>1028700</xdr:colOff>
                <xdr:row>44</xdr:row>
                <xdr:rowOff>247650</xdr:rowOff>
              </to>
            </anchor>
          </controlPr>
        </control>
      </mc:Choice>
    </mc:AlternateContent>
    <mc:AlternateContent xmlns:mc="http://schemas.openxmlformats.org/markup-compatibility/2006">
      <mc:Choice Requires="x14">
        <control shapeId="12397" r:id="rId51" name="Check Box 109">
          <controlPr defaultSize="0" autoFill="0" autoLine="0" autoPict="0">
            <anchor moveWithCells="1">
              <from>
                <xdr:col>32</xdr:col>
                <xdr:colOff>723900</xdr:colOff>
                <xdr:row>46</xdr:row>
                <xdr:rowOff>9525</xdr:rowOff>
              </from>
              <to>
                <xdr:col>32</xdr:col>
                <xdr:colOff>1028700</xdr:colOff>
                <xdr:row>46</xdr:row>
                <xdr:rowOff>228600</xdr:rowOff>
              </to>
            </anchor>
          </controlPr>
        </control>
      </mc:Choice>
    </mc:AlternateContent>
    <mc:AlternateContent xmlns:mc="http://schemas.openxmlformats.org/markup-compatibility/2006">
      <mc:Choice Requires="x14">
        <control shapeId="12398" r:id="rId52" name="Check Box 110">
          <controlPr defaultSize="0" autoFill="0" autoLine="0" autoPict="0">
            <anchor moveWithCells="1">
              <from>
                <xdr:col>32</xdr:col>
                <xdr:colOff>723900</xdr:colOff>
                <xdr:row>47</xdr:row>
                <xdr:rowOff>9525</xdr:rowOff>
              </from>
              <to>
                <xdr:col>32</xdr:col>
                <xdr:colOff>1028700</xdr:colOff>
                <xdr:row>47</xdr:row>
                <xdr:rowOff>228600</xdr:rowOff>
              </to>
            </anchor>
          </controlPr>
        </control>
      </mc:Choice>
    </mc:AlternateContent>
    <mc:AlternateContent xmlns:mc="http://schemas.openxmlformats.org/markup-compatibility/2006">
      <mc:Choice Requires="x14">
        <control shapeId="12399" r:id="rId53" name="Check Box 111">
          <controlPr defaultSize="0" autoFill="0" autoLine="0" autoPict="0">
            <anchor moveWithCells="1">
              <from>
                <xdr:col>32</xdr:col>
                <xdr:colOff>723900</xdr:colOff>
                <xdr:row>48</xdr:row>
                <xdr:rowOff>9525</xdr:rowOff>
              </from>
              <to>
                <xdr:col>32</xdr:col>
                <xdr:colOff>1028700</xdr:colOff>
                <xdr:row>48</xdr:row>
                <xdr:rowOff>228600</xdr:rowOff>
              </to>
            </anchor>
          </controlPr>
        </control>
      </mc:Choice>
    </mc:AlternateContent>
    <mc:AlternateContent xmlns:mc="http://schemas.openxmlformats.org/markup-compatibility/2006">
      <mc:Choice Requires="x14">
        <control shapeId="12401" r:id="rId54" name="Check Box 113">
          <controlPr defaultSize="0" autoFill="0" autoLine="0" autoPict="0">
            <anchor moveWithCells="1">
              <from>
                <xdr:col>19</xdr:col>
                <xdr:colOff>428625</xdr:colOff>
                <xdr:row>44</xdr:row>
                <xdr:rowOff>38100</xdr:rowOff>
              </from>
              <to>
                <xdr:col>19</xdr:col>
                <xdr:colOff>933450</xdr:colOff>
                <xdr:row>44</xdr:row>
                <xdr:rowOff>323850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CCCC00"/>
  </sheetPr>
  <dimension ref="A1:BZ219"/>
  <sheetViews>
    <sheetView showGridLines="0" topLeftCell="C62" zoomScaleNormal="100" workbookViewId="0">
      <selection activeCell="G8" sqref="G8"/>
    </sheetView>
  </sheetViews>
  <sheetFormatPr defaultColWidth="9.140625" defaultRowHeight="16.5" outlineLevelRow="2" outlineLevelCol="3"/>
  <cols>
    <col min="1" max="1" width="9.140625" style="31" customWidth="1"/>
    <col min="2" max="3" width="37.42578125" style="36" customWidth="1" outlineLevel="1"/>
    <col min="4" max="4" width="7.7109375" style="36" customWidth="1" outlineLevel="1"/>
    <col min="5" max="5" width="3.42578125" style="31" customWidth="1"/>
    <col min="6" max="6" width="8.140625" style="31" customWidth="1"/>
    <col min="7" max="7" width="7.85546875" style="185" customWidth="1"/>
    <col min="8" max="8" width="46" style="36" customWidth="1"/>
    <col min="9" max="9" width="19.85546875" style="2056" customWidth="1"/>
    <col min="10" max="10" width="6.5703125" style="2056" customWidth="1"/>
    <col min="11" max="11" width="11" style="2056" customWidth="1"/>
    <col min="12" max="12" width="13.28515625" style="2056" customWidth="1" outlineLevel="1"/>
    <col min="13" max="13" width="9.85546875" style="31" customWidth="1" outlineLevel="1"/>
    <col min="14" max="14" width="11" style="31" customWidth="1"/>
    <col min="15" max="15" width="19.7109375" style="31" hidden="1" customWidth="1" outlineLevel="1"/>
    <col min="16" max="16" width="11.5703125" style="31" hidden="1" customWidth="1" outlineLevel="1" collapsed="1"/>
    <col min="17" max="17" width="11.5703125" style="31" hidden="1" customWidth="1" outlineLevel="1"/>
    <col min="18" max="18" width="11.28515625" style="31" hidden="1" customWidth="1" outlineLevel="1" collapsed="1"/>
    <col min="19" max="20" width="11.28515625" style="31" hidden="1" customWidth="1" outlineLevel="1"/>
    <col min="21" max="21" width="11.28515625" style="31" customWidth="1" collapsed="1"/>
    <col min="22" max="22" width="10.85546875" style="31" customWidth="1"/>
    <col min="23" max="23" width="9.28515625" style="31" bestFit="1" customWidth="1"/>
    <col min="24" max="24" width="10.85546875" style="31" customWidth="1"/>
    <col min="25" max="25" width="15.42578125" style="31" customWidth="1"/>
    <col min="26" max="26" width="15" style="31" customWidth="1"/>
    <col min="27" max="27" width="11.42578125" style="31" customWidth="1"/>
    <col min="28" max="28" width="16.42578125" style="2056" customWidth="1"/>
    <col min="29" max="29" width="12.5703125" style="2056" customWidth="1"/>
    <col min="30" max="30" width="13.140625" style="2056" customWidth="1"/>
    <col min="31" max="31" width="12.28515625" style="2056" customWidth="1"/>
    <col min="32" max="32" width="13.5703125" style="1196" hidden="1" customWidth="1" outlineLevel="3"/>
    <col min="33" max="33" width="13.5703125" style="1191" hidden="1" customWidth="1" outlineLevel="3"/>
    <col min="34" max="48" width="13.5703125" style="40" hidden="1" customWidth="1" outlineLevel="3"/>
    <col min="49" max="49" width="16.140625" style="31" hidden="1" customWidth="1" outlineLevel="2"/>
    <col min="50" max="54" width="12.28515625" style="31" hidden="1" customWidth="1" outlineLevel="1"/>
    <col min="55" max="55" width="9.140625" style="31" hidden="1" customWidth="1" outlineLevel="1" collapsed="1"/>
    <col min="56" max="58" width="9.140625" style="31" hidden="1" customWidth="1" outlineLevel="1"/>
    <col min="59" max="59" width="9.7109375" style="31" hidden="1" customWidth="1" outlineLevel="1"/>
    <col min="60" max="60" width="9.140625" style="31" hidden="1" customWidth="1" outlineLevel="1"/>
    <col min="61" max="61" width="12.42578125" style="31" customWidth="1" collapsed="1"/>
    <col min="62" max="62" width="9.28515625" style="31" bestFit="1" customWidth="1"/>
    <col min="63" max="63" width="12.85546875" style="31" customWidth="1"/>
    <col min="64" max="64" width="9.140625" style="31"/>
    <col min="65" max="65" width="6.42578125" style="31" customWidth="1"/>
    <col min="66" max="66" width="12.5703125" style="31" customWidth="1"/>
    <col min="67" max="68" width="9.140625" style="31"/>
    <col min="69" max="69" width="11.85546875" style="31" bestFit="1" customWidth="1"/>
    <col min="70" max="70" width="9.140625" style="31"/>
    <col min="71" max="71" width="11.85546875" style="31" bestFit="1" customWidth="1"/>
    <col min="72" max="72" width="9.140625" style="31"/>
    <col min="73" max="74" width="9.140625" style="31" hidden="1" customWidth="1" outlineLevel="1"/>
    <col min="75" max="75" width="7.85546875" style="31" hidden="1" customWidth="1" outlineLevel="1"/>
    <col min="76" max="76" width="44.42578125" style="31" hidden="1" customWidth="1" outlineLevel="1"/>
    <col min="77" max="77" width="28.85546875" style="31" hidden="1" customWidth="1" outlineLevel="1"/>
    <col min="78" max="78" width="9.140625" style="31" collapsed="1"/>
    <col min="79" max="16384" width="9.140625" style="31"/>
  </cols>
  <sheetData>
    <row r="1" spans="2:65" ht="9.75" customHeight="1">
      <c r="B1" s="2082" t="str">
        <f>'Input '!E1</f>
        <v>EN</v>
      </c>
      <c r="G1" s="31"/>
      <c r="J1" s="1496"/>
      <c r="AB1" s="2072"/>
      <c r="AF1" s="40"/>
      <c r="AG1" s="40"/>
    </row>
    <row r="2" spans="2:65" s="33" customFormat="1" ht="19.5" customHeight="1">
      <c r="B2" s="2" t="s">
        <v>8</v>
      </c>
      <c r="C2" s="2" t="s">
        <v>3400</v>
      </c>
      <c r="D2" s="2"/>
      <c r="G2" s="186"/>
      <c r="H2" s="2" t="str">
        <f>IF($B$1="EN",C2,B2)</f>
        <v>Name Insured:</v>
      </c>
      <c r="I2" s="2615">
        <f>'Quote template-1'!G20</f>
        <v>0</v>
      </c>
      <c r="J2" s="2273"/>
      <c r="K2" s="2056"/>
      <c r="L2" s="2056"/>
      <c r="AB2" s="2074"/>
      <c r="AC2" s="2056"/>
      <c r="AD2" s="2056"/>
      <c r="AE2" s="2075"/>
      <c r="AF2" s="2274"/>
      <c r="AG2" s="2274"/>
      <c r="AH2" s="2274"/>
      <c r="AI2" s="2274"/>
      <c r="AJ2" s="2274"/>
      <c r="AK2" s="2274"/>
      <c r="AL2" s="2274"/>
      <c r="AM2" s="2274"/>
      <c r="AN2" s="2274"/>
      <c r="AO2" s="2274"/>
      <c r="AP2" s="2274"/>
      <c r="AQ2" s="2274"/>
      <c r="AR2" s="2274"/>
      <c r="AS2" s="2274"/>
      <c r="AT2" s="2274"/>
      <c r="AU2" s="2274"/>
      <c r="AV2" s="2274"/>
      <c r="AW2" s="2275"/>
      <c r="AX2" s="2275"/>
      <c r="AY2" s="2275"/>
      <c r="AZ2" s="2275"/>
      <c r="BA2" s="2275"/>
      <c r="BB2" s="2275"/>
      <c r="BC2" s="2275"/>
      <c r="BD2" s="2275"/>
      <c r="BE2" s="2275"/>
      <c r="BF2" s="2275"/>
      <c r="BG2" s="2275"/>
      <c r="BH2" s="2275"/>
      <c r="BI2" s="2275"/>
      <c r="BJ2" s="2275"/>
      <c r="BK2" s="2275"/>
      <c r="BL2" s="2275"/>
      <c r="BM2" s="2275"/>
    </row>
    <row r="3" spans="2:65" ht="26.25" customHeight="1">
      <c r="B3" s="1" t="s">
        <v>953</v>
      </c>
      <c r="C3" s="1" t="s">
        <v>11</v>
      </c>
      <c r="D3" s="1"/>
      <c r="H3" s="2" t="str">
        <f>IF($B$1="EN",C3,B3)</f>
        <v>Province:</v>
      </c>
      <c r="I3" s="2616" t="str">
        <f>IFERROR(VLOOKUP('Quote template-1'!N24,Settings!$B$3:$C$9,2,FALSE),"Province source NBQS")</f>
        <v>Province source NBQS</v>
      </c>
      <c r="J3" s="1497"/>
      <c r="M3" s="3" t="str">
        <f>IF(I3="Quebec","Activité exercée","")</f>
        <v/>
      </c>
      <c r="V3" s="2019">
        <f>'Input '!R3</f>
        <v>0</v>
      </c>
      <c r="W3" s="2019"/>
      <c r="X3" s="2019"/>
      <c r="AB3" s="2074"/>
      <c r="AE3" s="1407"/>
      <c r="AF3" s="40"/>
      <c r="AG3" s="40"/>
    </row>
    <row r="4" spans="2:65" ht="16.5" customHeight="1">
      <c r="B4" s="19" t="s">
        <v>1008</v>
      </c>
      <c r="C4" s="19" t="s">
        <v>3395</v>
      </c>
      <c r="D4" s="19"/>
      <c r="H4" s="2" t="str">
        <f>'Input '!F37</f>
        <v>Code used for rating</v>
      </c>
      <c r="I4" s="2615" t="str">
        <f>'Input '!G37</f>
        <v/>
      </c>
      <c r="AB4" s="2074"/>
      <c r="AE4" s="2077"/>
      <c r="AF4" s="40"/>
      <c r="AG4" s="40"/>
    </row>
    <row r="5" spans="2:65" ht="19.5">
      <c r="H5" s="2608" t="str">
        <f>IF($B$1="EN",C9,B9)</f>
        <v>CGL Limit requested</v>
      </c>
      <c r="I5" s="3446">
        <f>Map!U152</f>
        <v>1000000</v>
      </c>
      <c r="AE5" s="2059"/>
      <c r="AF5" s="40"/>
      <c r="AG5" s="40"/>
    </row>
    <row r="6" spans="2:65">
      <c r="B6" s="19"/>
      <c r="C6" s="19"/>
      <c r="D6" s="19"/>
      <c r="E6" s="33"/>
      <c r="F6" s="33"/>
      <c r="G6" s="186"/>
      <c r="H6" s="19"/>
      <c r="AE6" s="2059"/>
      <c r="AF6" s="40"/>
      <c r="AG6" s="40"/>
    </row>
    <row r="7" spans="2:65" s="34" customFormat="1" ht="30" customHeight="1">
      <c r="B7" s="19" t="s">
        <v>3367</v>
      </c>
      <c r="C7" s="19" t="s">
        <v>3685</v>
      </c>
      <c r="D7" s="19"/>
      <c r="F7" s="74"/>
      <c r="G7" s="190"/>
      <c r="K7" s="7"/>
      <c r="L7" s="7"/>
      <c r="M7" s="7"/>
      <c r="N7" s="7"/>
      <c r="O7" s="7"/>
      <c r="P7" s="7"/>
      <c r="Q7" s="7"/>
      <c r="R7" s="7"/>
      <c r="S7" s="7"/>
      <c r="T7" s="7"/>
      <c r="U7" s="7"/>
      <c r="V7" s="7"/>
      <c r="W7" s="7"/>
      <c r="X7" s="7"/>
      <c r="AB7" s="187"/>
      <c r="AC7" s="922"/>
      <c r="AD7" s="240"/>
      <c r="AE7" s="2086"/>
      <c r="AF7" s="250"/>
      <c r="AG7" s="250"/>
      <c r="AH7" s="250"/>
      <c r="AI7" s="250"/>
      <c r="AJ7" s="250"/>
      <c r="AK7" s="250"/>
      <c r="AL7" s="250"/>
      <c r="AM7" s="250"/>
      <c r="AN7" s="250"/>
      <c r="AO7" s="250"/>
      <c r="AP7" s="250"/>
      <c r="AQ7" s="250"/>
      <c r="AR7" s="250"/>
      <c r="AS7" s="250"/>
      <c r="AT7" s="250"/>
      <c r="AU7" s="250"/>
      <c r="AV7" s="250"/>
      <c r="BI7" s="2016"/>
    </row>
    <row r="8" spans="2:65" s="34" customFormat="1" ht="19.5" customHeight="1">
      <c r="F8" s="74"/>
      <c r="G8" s="190"/>
      <c r="K8" s="7"/>
      <c r="L8" s="7"/>
      <c r="M8" s="7"/>
      <c r="N8" s="7"/>
      <c r="O8" s="7"/>
      <c r="P8" s="7"/>
      <c r="Q8" s="7"/>
      <c r="R8" s="7"/>
      <c r="S8" s="7"/>
      <c r="T8" s="7"/>
      <c r="U8" s="7"/>
      <c r="V8" s="7"/>
      <c r="W8" s="7"/>
      <c r="X8" s="7"/>
      <c r="AB8" s="187"/>
      <c r="AC8" s="922"/>
      <c r="AD8" s="240"/>
      <c r="AE8" s="2087"/>
      <c r="AF8" s="250"/>
      <c r="AG8" s="250"/>
      <c r="AH8" s="250"/>
      <c r="AI8" s="250"/>
      <c r="AJ8" s="250"/>
      <c r="AK8" s="250"/>
      <c r="AL8" s="250"/>
      <c r="AM8" s="250"/>
      <c r="AN8" s="250"/>
      <c r="AO8" s="250"/>
      <c r="AP8" s="250"/>
      <c r="AQ8" s="250"/>
      <c r="AR8" s="250"/>
      <c r="AS8" s="250"/>
      <c r="AT8" s="250"/>
      <c r="AU8" s="250"/>
      <c r="AV8" s="250"/>
      <c r="BI8" s="2084"/>
    </row>
    <row r="9" spans="2:65" s="34" customFormat="1" ht="13.5" customHeight="1">
      <c r="B9" s="35" t="s">
        <v>1049</v>
      </c>
      <c r="C9" s="35" t="s">
        <v>3406</v>
      </c>
      <c r="D9" s="35"/>
      <c r="F9" s="74"/>
      <c r="G9" s="190"/>
      <c r="J9" s="416"/>
      <c r="K9" s="416"/>
      <c r="L9" s="416"/>
      <c r="P9" s="284"/>
      <c r="Q9" s="284"/>
      <c r="AB9" s="187"/>
      <c r="AC9" s="922"/>
      <c r="AE9" s="2087"/>
      <c r="AF9" s="250"/>
      <c r="AG9" s="250"/>
      <c r="AH9" s="274"/>
      <c r="AI9" s="274"/>
      <c r="AJ9" s="274"/>
      <c r="AK9" s="274"/>
      <c r="AL9" s="274"/>
      <c r="AM9" s="274"/>
      <c r="AN9" s="274"/>
      <c r="AO9" s="274"/>
      <c r="AP9" s="274"/>
      <c r="AQ9" s="274"/>
      <c r="AR9" s="274"/>
      <c r="AS9" s="274"/>
      <c r="AT9" s="274"/>
      <c r="AU9" s="274"/>
      <c r="AV9" s="274"/>
      <c r="AY9" s="57" t="str">
        <f ca="1">VLOOKUP('Input '!G29,Settings!$I$10:$J$11,2,TRUE)</f>
        <v xml:space="preserve">&gt;=3 </v>
      </c>
      <c r="BI9" s="2084"/>
    </row>
    <row r="10" spans="2:65" s="34" customFormat="1" ht="20.25" customHeight="1">
      <c r="B10" s="35" t="s">
        <v>1264</v>
      </c>
      <c r="C10" s="35" t="s">
        <v>3407</v>
      </c>
      <c r="D10" s="35"/>
      <c r="F10" s="74"/>
      <c r="G10" s="190"/>
      <c r="H10" s="35"/>
      <c r="I10" s="1093"/>
      <c r="J10" s="416"/>
      <c r="K10" s="416"/>
      <c r="L10" s="416"/>
      <c r="P10" s="284"/>
      <c r="Q10" s="284"/>
      <c r="AB10" s="187"/>
      <c r="AC10" s="922"/>
      <c r="AE10" s="2087"/>
      <c r="AF10" s="250"/>
      <c r="AG10" s="250"/>
      <c r="AH10" s="274"/>
      <c r="AI10" s="274"/>
      <c r="AJ10" s="274"/>
      <c r="AK10" s="274"/>
      <c r="AL10" s="274"/>
      <c r="AM10" s="274"/>
      <c r="AN10" s="274"/>
      <c r="AO10" s="274"/>
      <c r="AP10" s="274"/>
      <c r="AQ10" s="274"/>
      <c r="AR10" s="274"/>
      <c r="AS10" s="274"/>
      <c r="AT10" s="274"/>
      <c r="AU10" s="274"/>
      <c r="AV10" s="274"/>
      <c r="AY10" s="57"/>
      <c r="BI10" s="2084"/>
    </row>
    <row r="11" spans="2:65" s="34" customFormat="1" ht="20.25" customHeight="1">
      <c r="B11" s="1470" t="s">
        <v>3760</v>
      </c>
      <c r="C11" s="1481" t="s">
        <v>3759</v>
      </c>
      <c r="D11" s="31"/>
      <c r="E11" s="1711"/>
      <c r="F11" s="104"/>
      <c r="G11" s="1468"/>
      <c r="H11" s="1481"/>
      <c r="I11" s="416"/>
      <c r="J11" s="416"/>
      <c r="K11" s="416"/>
      <c r="L11" s="416"/>
      <c r="P11" s="284"/>
      <c r="Q11" s="284"/>
      <c r="Y11" s="1095"/>
      <c r="Z11" s="1094"/>
      <c r="AB11" s="187"/>
      <c r="AC11" s="2087"/>
      <c r="AE11" s="2087"/>
      <c r="AF11" s="250"/>
      <c r="AG11" s="250"/>
      <c r="AH11" s="274"/>
      <c r="AI11" s="274"/>
      <c r="AJ11" s="274"/>
      <c r="AK11" s="274"/>
      <c r="AL11" s="274"/>
      <c r="AM11" s="274"/>
      <c r="AN11" s="274"/>
      <c r="AO11" s="274"/>
      <c r="AP11" s="274"/>
      <c r="AQ11" s="274"/>
      <c r="AR11" s="274"/>
      <c r="AS11" s="274"/>
      <c r="AT11" s="274"/>
      <c r="AU11" s="274"/>
      <c r="AV11" s="274"/>
      <c r="AY11" s="57"/>
      <c r="BI11" s="2085"/>
    </row>
    <row r="12" spans="2:65" s="34" customFormat="1" ht="20.25" customHeight="1">
      <c r="B12" s="419" t="s">
        <v>4081</v>
      </c>
      <c r="C12" s="419" t="s">
        <v>4080</v>
      </c>
      <c r="D12" s="35"/>
      <c r="F12" s="415"/>
      <c r="G12" s="190"/>
      <c r="H12" s="2277" t="str">
        <f>IF($B$1="EN",C12,B12)</f>
        <v>CGL Rating</v>
      </c>
      <c r="I12" s="416"/>
      <c r="J12" s="416"/>
      <c r="K12" s="416"/>
      <c r="L12" s="416"/>
      <c r="M12" s="2016"/>
      <c r="P12" s="284"/>
      <c r="Q12" s="284"/>
      <c r="V12" s="1461"/>
      <c r="W12" s="1461"/>
      <c r="X12" s="34" t="s">
        <v>4449</v>
      </c>
      <c r="Y12" s="3193"/>
      <c r="Z12" s="2610" t="s">
        <v>4450</v>
      </c>
      <c r="AA12" s="2610">
        <f>'Pricing CGL'!I27</f>
        <v>0.1</v>
      </c>
      <c r="AB12" s="187"/>
      <c r="AC12" s="3532"/>
      <c r="AD12" s="3532"/>
      <c r="AE12" s="2087"/>
      <c r="AF12" s="250"/>
      <c r="AG12" s="250"/>
      <c r="AH12" s="274"/>
      <c r="AI12" s="274"/>
      <c r="AJ12" s="274"/>
      <c r="AK12" s="274"/>
      <c r="AL12" s="274"/>
      <c r="AM12" s="274"/>
      <c r="AN12" s="274"/>
      <c r="AO12" s="274"/>
      <c r="AP12" s="274"/>
      <c r="AQ12" s="274"/>
      <c r="AR12" s="274"/>
      <c r="AS12" s="274"/>
      <c r="AT12" s="274"/>
      <c r="AU12" s="274"/>
      <c r="AV12" s="274"/>
      <c r="AY12" s="57"/>
      <c r="BI12" s="2084"/>
    </row>
    <row r="13" spans="2:65" s="34" customFormat="1" ht="12.75" customHeight="1">
      <c r="B13" s="419"/>
      <c r="C13" s="419"/>
      <c r="D13" s="35"/>
      <c r="F13" s="415"/>
      <c r="G13" s="190"/>
      <c r="H13" s="419"/>
      <c r="I13" s="416"/>
      <c r="J13" s="416"/>
      <c r="K13" s="416"/>
      <c r="L13" s="416"/>
      <c r="P13" s="284"/>
      <c r="Q13" s="284"/>
      <c r="Z13" s="111"/>
      <c r="AB13" s="2070"/>
      <c r="AC13" s="2088"/>
      <c r="AE13" s="33"/>
      <c r="AF13" s="250"/>
      <c r="AG13" s="250"/>
      <c r="AH13" s="274"/>
      <c r="AI13" s="274"/>
      <c r="AJ13" s="274"/>
      <c r="AK13" s="274"/>
      <c r="AL13" s="274"/>
      <c r="AM13" s="274"/>
      <c r="AN13" s="274"/>
      <c r="AO13" s="274"/>
      <c r="AP13" s="274"/>
      <c r="AQ13" s="274"/>
      <c r="AR13" s="274"/>
      <c r="AS13" s="274"/>
      <c r="AT13" s="274"/>
      <c r="AU13" s="274"/>
      <c r="AV13" s="274"/>
      <c r="AY13" s="57"/>
      <c r="BI13" s="2084"/>
    </row>
    <row r="14" spans="2:65" s="1143" customFormat="1" ht="66" hidden="1" outlineLevel="1">
      <c r="B14" s="1134"/>
      <c r="C14" s="1134"/>
      <c r="D14" s="35"/>
      <c r="E14" s="1143" t="s">
        <v>4067</v>
      </c>
      <c r="F14" s="1159"/>
      <c r="G14" s="1160" t="s">
        <v>3971</v>
      </c>
      <c r="H14" s="1134"/>
      <c r="I14" s="1320" t="s">
        <v>967</v>
      </c>
      <c r="J14" s="240"/>
      <c r="K14" s="1321" t="s">
        <v>1124</v>
      </c>
      <c r="L14" s="1321" t="s">
        <v>1125</v>
      </c>
      <c r="M14" s="1321" t="s">
        <v>1050</v>
      </c>
      <c r="N14" s="1321" t="s">
        <v>4432</v>
      </c>
      <c r="O14" s="1321" t="s">
        <v>1137</v>
      </c>
      <c r="P14" s="1322" t="s">
        <v>222</v>
      </c>
      <c r="Q14" s="1322"/>
      <c r="R14" s="1323" t="s">
        <v>1134</v>
      </c>
      <c r="S14" s="1323" t="s">
        <v>3970</v>
      </c>
      <c r="T14" s="1323"/>
      <c r="U14" s="1321" t="s">
        <v>4307</v>
      </c>
      <c r="V14" s="1323" t="s">
        <v>4302</v>
      </c>
      <c r="W14" s="1323" t="s">
        <v>4297</v>
      </c>
      <c r="X14" s="1323"/>
      <c r="Y14" s="1331" t="s">
        <v>1036</v>
      </c>
      <c r="Z14" s="1331" t="s">
        <v>4014</v>
      </c>
      <c r="AA14" s="1331" t="s">
        <v>1095</v>
      </c>
      <c r="AB14" s="1163" t="s">
        <v>1072</v>
      </c>
      <c r="AC14" s="1163" t="s">
        <v>1073</v>
      </c>
      <c r="AD14" s="1163" t="s">
        <v>1074</v>
      </c>
      <c r="AE14" s="1237" t="s">
        <v>27</v>
      </c>
      <c r="AF14" s="1237" t="s">
        <v>27</v>
      </c>
      <c r="AG14" s="1238" t="s">
        <v>27</v>
      </c>
      <c r="AH14" s="1161"/>
      <c r="AI14" s="1140"/>
      <c r="AJ14" s="1162"/>
      <c r="AK14" s="1161"/>
      <c r="AL14" s="1140"/>
      <c r="AM14" s="1162"/>
      <c r="AN14" s="1140"/>
      <c r="AO14" s="1140"/>
      <c r="AP14" s="1140"/>
      <c r="AQ14" s="1140"/>
      <c r="AR14" s="1140"/>
      <c r="AS14" s="1140"/>
      <c r="AT14" s="1161"/>
      <c r="AU14" s="1161"/>
      <c r="AV14" s="1162"/>
      <c r="AY14" s="1163"/>
    </row>
    <row r="15" spans="2:65" s="1154" customFormat="1" ht="82.5" hidden="1" outlineLevel="1">
      <c r="B15" s="1153"/>
      <c r="C15" s="1153"/>
      <c r="D15" s="35"/>
      <c r="E15" s="1154" t="s">
        <v>4067</v>
      </c>
      <c r="F15" s="1155"/>
      <c r="G15" s="1153" t="s">
        <v>3971</v>
      </c>
      <c r="H15" s="1153"/>
      <c r="I15" s="1324" t="s">
        <v>3457</v>
      </c>
      <c r="J15" s="240"/>
      <c r="K15" s="1325" t="s">
        <v>3454</v>
      </c>
      <c r="L15" s="1325" t="s">
        <v>3678</v>
      </c>
      <c r="M15" s="1325" t="s">
        <v>3458</v>
      </c>
      <c r="N15" s="1325" t="s">
        <v>4431</v>
      </c>
      <c r="O15" s="1325" t="s">
        <v>1231</v>
      </c>
      <c r="P15" s="1326" t="s">
        <v>222</v>
      </c>
      <c r="Q15" s="1326"/>
      <c r="R15" s="1327" t="s">
        <v>3455</v>
      </c>
      <c r="S15" s="1327" t="s">
        <v>3970</v>
      </c>
      <c r="T15" s="1327"/>
      <c r="U15" s="1325" t="s">
        <v>4306</v>
      </c>
      <c r="V15" s="1327" t="s">
        <v>3459</v>
      </c>
      <c r="W15" s="1327" t="s">
        <v>4298</v>
      </c>
      <c r="X15" s="1327"/>
      <c r="Y15" s="1335" t="s">
        <v>3460</v>
      </c>
      <c r="Z15" s="1335" t="s">
        <v>3470</v>
      </c>
      <c r="AA15" s="1335" t="s">
        <v>3462</v>
      </c>
      <c r="AB15" s="1158" t="s">
        <v>3463</v>
      </c>
      <c r="AC15" s="1158" t="s">
        <v>3464</v>
      </c>
      <c r="AD15" s="1158" t="s">
        <v>3465</v>
      </c>
      <c r="AE15" s="1238" t="s">
        <v>3456</v>
      </c>
      <c r="AF15" s="1237" t="s">
        <v>3456</v>
      </c>
      <c r="AG15" s="1238" t="s">
        <v>3456</v>
      </c>
      <c r="AH15" s="1157"/>
      <c r="AI15" s="1157"/>
      <c r="AJ15" s="1157"/>
      <c r="AK15" s="1157"/>
      <c r="AL15" s="1157"/>
      <c r="AM15" s="1157"/>
      <c r="AN15" s="1157"/>
      <c r="AO15" s="1157"/>
      <c r="AP15" s="1157"/>
      <c r="AQ15" s="1157"/>
      <c r="AR15" s="1157"/>
      <c r="AS15" s="1157"/>
      <c r="AT15" s="1157"/>
      <c r="AU15" s="1157"/>
      <c r="AV15" s="1157"/>
      <c r="AY15" s="1158"/>
    </row>
    <row r="16" spans="2:65" s="34" customFormat="1" ht="20.25" customHeight="1" collapsed="1">
      <c r="B16" s="419"/>
      <c r="C16" s="419"/>
      <c r="D16" s="35"/>
      <c r="F16" s="415"/>
      <c r="G16" s="190"/>
      <c r="H16" s="419"/>
      <c r="I16" s="1328"/>
      <c r="J16" s="1328"/>
      <c r="K16" s="1329"/>
      <c r="L16" s="1329"/>
      <c r="M16" s="1317"/>
      <c r="N16" s="1317"/>
      <c r="O16" s="1317"/>
      <c r="P16" s="1318"/>
      <c r="Q16" s="1318"/>
      <c r="R16" s="1319"/>
      <c r="S16" s="1319"/>
      <c r="T16" s="1319"/>
      <c r="U16" s="1317"/>
      <c r="V16" s="1319"/>
      <c r="W16" s="1319"/>
      <c r="X16" s="1319"/>
      <c r="Y16" s="1332"/>
      <c r="Z16" s="1332"/>
      <c r="AA16" s="1332"/>
      <c r="AB16" s="1333"/>
      <c r="AC16" s="1333"/>
      <c r="AD16" s="1333"/>
      <c r="AE16" s="1334"/>
      <c r="AF16" s="1334"/>
      <c r="AG16" s="1334"/>
      <c r="AH16" s="417"/>
      <c r="AI16" s="274"/>
      <c r="AJ16" s="418"/>
      <c r="AK16" s="417"/>
      <c r="AL16" s="274"/>
      <c r="AM16" s="418"/>
      <c r="AN16" s="274"/>
      <c r="AO16" s="274"/>
      <c r="AP16" s="274"/>
      <c r="AQ16" s="274"/>
      <c r="AR16" s="274"/>
      <c r="AS16" s="274"/>
      <c r="AT16" s="417"/>
      <c r="AU16" s="417"/>
      <c r="AV16" s="418"/>
      <c r="AY16" s="57"/>
    </row>
    <row r="17" spans="1:63" s="35" customFormat="1" ht="65.25" customHeight="1">
      <c r="A17" s="1873" t="s">
        <v>1192</v>
      </c>
      <c r="B17" s="140" t="s">
        <v>1123</v>
      </c>
      <c r="C17" s="140" t="s">
        <v>3408</v>
      </c>
      <c r="F17" s="156" t="s">
        <v>3415</v>
      </c>
      <c r="G17" s="143" t="str">
        <f>IF($B$1="EN",G15,G14)</f>
        <v>Low risk prem</v>
      </c>
      <c r="H17" s="140" t="str">
        <f>IF($B$1="EN",C17,B17)</f>
        <v>CGL occupancy quoted</v>
      </c>
      <c r="I17" s="141" t="str">
        <f>IF($B$1="EN",I15,I14)</f>
        <v>$ Revenues from the activity?</v>
      </c>
      <c r="J17" s="1739" t="str">
        <f>IF($B$1="EN",K15,K14)</f>
        <v>Verify. income eligibility</v>
      </c>
      <c r="K17" s="1739" t="str">
        <f>IF($B$1="EN",L15,L14)</f>
        <v>Verify. eligibility IBC</v>
      </c>
      <c r="L17" s="143" t="str">
        <f>IF($B$1="EN",M15,M14)</f>
        <v>Cat. Revenues</v>
      </c>
      <c r="M17" s="143" t="str">
        <f t="shared" ref="M17:W17" si="0">IF($B$1="EN",M15,M14)</f>
        <v>Cat. Revenues</v>
      </c>
      <c r="N17" s="143" t="str">
        <f t="shared" si="0"/>
        <v>Applied Rate inc% (IBC/% ind.)</v>
      </c>
      <c r="O17" s="143" t="str">
        <f t="shared" si="0"/>
        <v>Rate</v>
      </c>
      <c r="P17" s="2729" t="str">
        <f t="shared" si="0"/>
        <v>ILF</v>
      </c>
      <c r="Q17" s="2729" t="s">
        <v>4180</v>
      </c>
      <c r="R17" s="252" t="str">
        <f t="shared" si="0"/>
        <v>Min premium calculated by the rate</v>
      </c>
      <c r="S17" s="252" t="str">
        <f t="shared" si="0"/>
        <v>Low Risk Prem</v>
      </c>
      <c r="T17" s="252" t="s">
        <v>4305</v>
      </c>
      <c r="U17" s="143" t="str">
        <f t="shared" ref="U17" si="1">IF($B$1="EN",U15,U14)</f>
        <v>UW add Rate inc%</v>
      </c>
      <c r="V17" s="252" t="str">
        <f t="shared" si="0"/>
        <v>Min CGL premium</v>
      </c>
      <c r="W17" s="2015" t="str">
        <f t="shared" si="0"/>
        <v>rate with increase</v>
      </c>
      <c r="X17" s="2015" t="s">
        <v>4043</v>
      </c>
      <c r="Y17" s="144" t="str">
        <f t="shared" ref="Y17:AG17" si="2">IF($B$1="EN",Y15,Y14)</f>
        <v>Min premium Amlin</v>
      </c>
      <c r="Z17" s="144" t="str">
        <f t="shared" si="2"/>
        <v xml:space="preserve">Premium quoted </v>
      </c>
      <c r="AA17" s="144" t="str">
        <f t="shared" si="2"/>
        <v>Premium displayed</v>
      </c>
      <c r="AB17" s="145" t="str">
        <f t="shared" si="2"/>
        <v>Min Deductible</v>
      </c>
      <c r="AC17" s="145" t="str">
        <f t="shared" si="2"/>
        <v>Quoted Deductible</v>
      </c>
      <c r="AD17" s="145" t="str">
        <f t="shared" si="2"/>
        <v>Deductible displayed</v>
      </c>
      <c r="AE17" s="207" t="str">
        <f t="shared" si="2"/>
        <v>Form</v>
      </c>
      <c r="AF17" s="1111" t="str">
        <f t="shared" si="2"/>
        <v>Form</v>
      </c>
      <c r="AG17" s="1103" t="str">
        <f t="shared" si="2"/>
        <v>Form</v>
      </c>
      <c r="AH17" s="270" t="s">
        <v>1136</v>
      </c>
      <c r="AI17" s="270" t="s">
        <v>1134</v>
      </c>
      <c r="AJ17" s="271" t="s">
        <v>1135</v>
      </c>
      <c r="AK17" s="270" t="s">
        <v>1136</v>
      </c>
      <c r="AL17" s="270" t="s">
        <v>1134</v>
      </c>
      <c r="AM17" s="271" t="s">
        <v>1135</v>
      </c>
      <c r="AN17" s="270" t="s">
        <v>1136</v>
      </c>
      <c r="AO17" s="270" t="s">
        <v>1134</v>
      </c>
      <c r="AP17" s="271" t="s">
        <v>1135</v>
      </c>
      <c r="AQ17" s="270" t="s">
        <v>1136</v>
      </c>
      <c r="AR17" s="270" t="s">
        <v>1134</v>
      </c>
      <c r="AS17" s="267" t="s">
        <v>1135</v>
      </c>
      <c r="AT17" s="270" t="s">
        <v>1136</v>
      </c>
      <c r="AU17" s="270" t="s">
        <v>1134</v>
      </c>
      <c r="AV17" s="271" t="s">
        <v>1135</v>
      </c>
      <c r="AW17" s="216" t="s">
        <v>1053</v>
      </c>
      <c r="AX17" s="216" t="s">
        <v>1038</v>
      </c>
      <c r="AY17" s="216" t="s">
        <v>1057</v>
      </c>
      <c r="AZ17" s="216" t="s">
        <v>1067</v>
      </c>
      <c r="BA17" s="34" t="s">
        <v>1103</v>
      </c>
      <c r="BB17" s="34" t="s">
        <v>1104</v>
      </c>
    </row>
    <row r="18" spans="1:63" s="104" customFormat="1" ht="30" customHeight="1">
      <c r="A18" s="1873" t="s">
        <v>1192</v>
      </c>
      <c r="B18" s="112" t="s">
        <v>3391</v>
      </c>
      <c r="C18" s="112" t="s">
        <v>3453</v>
      </c>
      <c r="D18" s="35"/>
      <c r="E18" s="27">
        <v>1</v>
      </c>
      <c r="F18" s="1815" t="str">
        <f>IF('Input '!S37=1,'Input '!G37,0)</f>
        <v/>
      </c>
      <c r="G18" s="1749" t="s">
        <v>3821</v>
      </c>
      <c r="H18" s="112" t="str">
        <f>IF(F18=1830,"COC NOT ALLOWED",IF($B$1="EN",IFERROR(VLOOKUP(F18,'Aide-Help IBC codes'!$A:$C,2,FALSE),$C$18),IFERROR(VLOOKUP(F18,'Aide-Help IBC codes'!$A:$C,3,FALSE),$B$18)))</f>
        <v>Input IBC code in the green cell</v>
      </c>
      <c r="I18" s="2611">
        <f>IF('Input '!$S$37=1,'Input '!G39,0)</f>
        <v>0</v>
      </c>
      <c r="J18" s="292"/>
      <c r="K18" s="293"/>
      <c r="L18" s="294"/>
      <c r="M18" s="295"/>
      <c r="N18" s="1740" t="e">
        <f>'Pricing CGL'!E23</f>
        <v>#N/A</v>
      </c>
      <c r="O18" s="296"/>
      <c r="P18" s="2730"/>
      <c r="Q18" s="2732"/>
      <c r="R18" s="297"/>
      <c r="S18" s="297"/>
      <c r="T18" s="297"/>
      <c r="U18" s="297"/>
      <c r="V18" s="298"/>
      <c r="W18" s="298"/>
      <c r="X18" s="298"/>
      <c r="Y18" s="298"/>
      <c r="Z18" s="299"/>
      <c r="AA18" s="297"/>
      <c r="AB18" s="300"/>
      <c r="AC18" s="301"/>
      <c r="AD18" s="302"/>
      <c r="AE18" s="303"/>
      <c r="AF18" s="1268"/>
      <c r="AG18" s="1239"/>
      <c r="AH18" s="304"/>
      <c r="AI18" s="305"/>
      <c r="AJ18" s="306"/>
      <c r="AK18" s="307"/>
      <c r="AL18" s="305"/>
      <c r="AM18" s="306"/>
      <c r="AN18" s="308"/>
      <c r="AO18" s="305"/>
      <c r="AP18" s="306"/>
      <c r="AQ18" s="308"/>
      <c r="AR18" s="305"/>
      <c r="AS18" s="309"/>
      <c r="AT18" s="310"/>
      <c r="AU18" s="305"/>
      <c r="AV18" s="306"/>
      <c r="AW18" s="38">
        <v>5000000</v>
      </c>
      <c r="AX18" s="211" t="str">
        <f>IF($B$1="FR","Refus -Revenus hors limite","OUT OF LIMIT")</f>
        <v>OUT OF LIMIT</v>
      </c>
      <c r="AY18" s="211" t="str">
        <f ca="1">CONCATENATE($AY$9,"Y,",L18)</f>
        <v>&gt;=3 Y,</v>
      </c>
      <c r="AZ18" s="212">
        <f>M18</f>
        <v>0</v>
      </c>
      <c r="BA18" s="33" t="str">
        <f>IF(B1="FR","Non entrepreneur","NOT CONTRACTOR")</f>
        <v>NOT CONTRACTOR</v>
      </c>
      <c r="BB18" s="33"/>
      <c r="BD18" s="3535" t="s">
        <v>1101</v>
      </c>
      <c r="BE18" s="3536"/>
      <c r="BF18" s="104" t="s">
        <v>1102</v>
      </c>
    </row>
    <row r="19" spans="1:63" s="104" customFormat="1" ht="30" customHeight="1">
      <c r="A19" s="1873" t="s">
        <v>1192</v>
      </c>
      <c r="B19" s="112"/>
      <c r="C19" s="112"/>
      <c r="D19" s="35"/>
      <c r="E19" s="27">
        <v>2</v>
      </c>
      <c r="F19" s="2037"/>
      <c r="G19" s="1749" t="s">
        <v>223</v>
      </c>
      <c r="H19" s="112" t="str">
        <f>IF($B$1="EN",IFERROR(VLOOKUP(F19,'Aide-Help IBC codes'!$A$3:$C$93,2,FALSE),$C$18),IFERROR(VLOOKUP(F19,'Aide-Help IBC codes'!$A$3:$C$93,3,FALSE),$B$18))</f>
        <v>Input IBC code in the green cell</v>
      </c>
      <c r="I19" s="2036"/>
      <c r="J19" s="292"/>
      <c r="K19" s="293"/>
      <c r="L19" s="294"/>
      <c r="M19" s="295"/>
      <c r="N19" s="1740">
        <f>IFERROR(VLOOKUP(F19,'Additional condition CGL Amlin'!$A:$E,5,FALSE),0%)</f>
        <v>0</v>
      </c>
      <c r="O19" s="296"/>
      <c r="P19" s="2730"/>
      <c r="Q19" s="2732"/>
      <c r="R19" s="297"/>
      <c r="S19" s="297"/>
      <c r="T19" s="297"/>
      <c r="U19" s="297"/>
      <c r="V19" s="298"/>
      <c r="W19" s="298"/>
      <c r="X19" s="298"/>
      <c r="Y19" s="298"/>
      <c r="Z19" s="299"/>
      <c r="AA19" s="297"/>
      <c r="AB19" s="300"/>
      <c r="AC19" s="301"/>
      <c r="AD19" s="302"/>
      <c r="AE19" s="303"/>
      <c r="AF19" s="1268"/>
      <c r="AG19" s="1239"/>
      <c r="AH19" s="304"/>
      <c r="AI19" s="305"/>
      <c r="AJ19" s="306"/>
      <c r="AK19" s="307"/>
      <c r="AL19" s="305"/>
      <c r="AM19" s="306"/>
      <c r="AN19" s="310"/>
      <c r="AO19" s="305"/>
      <c r="AP19" s="306"/>
      <c r="AQ19" s="308"/>
      <c r="AR19" s="305"/>
      <c r="AS19" s="309"/>
      <c r="AT19" s="310"/>
      <c r="AU19" s="305"/>
      <c r="AV19" s="306"/>
      <c r="AW19" s="38">
        <v>5000000</v>
      </c>
      <c r="AX19" s="211" t="str">
        <f>IF($B$1="FR","Refus -Revenus hors limite","OUT OF LIMIT")</f>
        <v>OUT OF LIMIT</v>
      </c>
      <c r="AY19" s="211" t="str">
        <f ca="1">CONCATENATE($AY$9,"Y,",L19)</f>
        <v>&gt;=3 Y,</v>
      </c>
      <c r="AZ19" s="212">
        <f>M19</f>
        <v>0</v>
      </c>
      <c r="BA19" s="34"/>
      <c r="BB19" s="34"/>
      <c r="BD19" s="217">
        <v>-2</v>
      </c>
      <c r="BE19" s="220" t="s">
        <v>1106</v>
      </c>
      <c r="BF19" s="104">
        <v>-5</v>
      </c>
      <c r="BG19" s="220" t="s">
        <v>1106</v>
      </c>
    </row>
    <row r="20" spans="1:63" s="104" customFormat="1" ht="30" customHeight="1">
      <c r="A20" s="1873" t="s">
        <v>1192</v>
      </c>
      <c r="B20" s="112"/>
      <c r="C20" s="112"/>
      <c r="D20" s="35"/>
      <c r="E20" s="27">
        <v>3</v>
      </c>
      <c r="F20" s="2037"/>
      <c r="G20" s="1749" t="s">
        <v>223</v>
      </c>
      <c r="H20" s="112" t="str">
        <f>IF($B$1="EN",IFERROR(VLOOKUP(F20,'Aide-Help IBC codes'!$A$3:$C$93,2,FALSE),$C$18),IFERROR(VLOOKUP(F20,'Aide-Help IBC codes'!$A$3:$C$93,3,FALSE),$B$18))</f>
        <v>Input IBC code in the green cell</v>
      </c>
      <c r="I20" s="2036"/>
      <c r="J20" s="292"/>
      <c r="K20" s="293"/>
      <c r="L20" s="294"/>
      <c r="M20" s="295"/>
      <c r="N20" s="1740">
        <f>IFERROR(VLOOKUP(F20,'Additional condition CGL Amlin'!$A:$E,5,FALSE),0%)</f>
        <v>0</v>
      </c>
      <c r="O20" s="296"/>
      <c r="P20" s="2730"/>
      <c r="Q20" s="2732"/>
      <c r="R20" s="297"/>
      <c r="S20" s="297"/>
      <c r="T20" s="297"/>
      <c r="U20" s="297"/>
      <c r="V20" s="298"/>
      <c r="W20" s="298"/>
      <c r="X20" s="298"/>
      <c r="Y20" s="298"/>
      <c r="Z20" s="299"/>
      <c r="AA20" s="297"/>
      <c r="AB20" s="300"/>
      <c r="AC20" s="301"/>
      <c r="AD20" s="302"/>
      <c r="AE20" s="303"/>
      <c r="AF20" s="1268"/>
      <c r="AG20" s="1239"/>
      <c r="AH20" s="304"/>
      <c r="AI20" s="305"/>
      <c r="AJ20" s="306"/>
      <c r="AK20" s="307"/>
      <c r="AL20" s="305"/>
      <c r="AM20" s="306"/>
      <c r="AN20" s="310"/>
      <c r="AO20" s="305"/>
      <c r="AP20" s="306"/>
      <c r="AQ20" s="308"/>
      <c r="AR20" s="305"/>
      <c r="AS20" s="309"/>
      <c r="AT20" s="310"/>
      <c r="AU20" s="305"/>
      <c r="AV20" s="306"/>
      <c r="AW20" s="38">
        <v>5000000</v>
      </c>
      <c r="AX20" s="211" t="str">
        <f>IF($B$1="FR","Refus -Revenus hors limite","OUT OF LIMIT")</f>
        <v>OUT OF LIMIT</v>
      </c>
      <c r="AY20" s="211" t="str">
        <f ca="1">CONCATENATE($AY$9,"Y,",L20)</f>
        <v>&gt;=3 Y,</v>
      </c>
      <c r="AZ20" s="212">
        <f>M20</f>
        <v>0</v>
      </c>
      <c r="BA20" s="34"/>
      <c r="BB20" s="34"/>
      <c r="BD20" s="218">
        <v>-1</v>
      </c>
      <c r="BE20" s="221" t="s">
        <v>1105</v>
      </c>
      <c r="BF20" s="104">
        <v>0</v>
      </c>
      <c r="BG20" s="221" t="s">
        <v>1105</v>
      </c>
    </row>
    <row r="21" spans="1:63" s="104" customFormat="1" ht="30" customHeight="1">
      <c r="A21" s="1873" t="s">
        <v>1192</v>
      </c>
      <c r="B21" s="112"/>
      <c r="C21" s="112"/>
      <c r="D21" s="35"/>
      <c r="E21" s="27">
        <v>4</v>
      </c>
      <c r="F21" s="2037"/>
      <c r="G21" s="1749" t="s">
        <v>223</v>
      </c>
      <c r="H21" s="112" t="str">
        <f>IF($B$1="EN",IFERROR(VLOOKUP(F21,'Aide-Help IBC codes'!$A$3:$C$93,2,FALSE),$C$18),IFERROR(VLOOKUP(F21,'Aide-Help IBC codes'!$A$3:$C$93,3,FALSE),$B$18))</f>
        <v>Input IBC code in the green cell</v>
      </c>
      <c r="I21" s="2036"/>
      <c r="J21" s="292"/>
      <c r="K21" s="293"/>
      <c r="L21" s="294"/>
      <c r="M21" s="295"/>
      <c r="N21" s="1740">
        <f>IFERROR(VLOOKUP(F21,'Additional condition CGL Amlin'!$A:$E,5,FALSE),0%)</f>
        <v>0</v>
      </c>
      <c r="O21" s="296"/>
      <c r="P21" s="2730"/>
      <c r="Q21" s="2732"/>
      <c r="R21" s="297"/>
      <c r="S21" s="297"/>
      <c r="T21" s="297"/>
      <c r="U21" s="297"/>
      <c r="V21" s="298"/>
      <c r="W21" s="298"/>
      <c r="X21" s="298"/>
      <c r="Y21" s="298"/>
      <c r="Z21" s="299"/>
      <c r="AA21" s="297"/>
      <c r="AB21" s="300"/>
      <c r="AC21" s="301"/>
      <c r="AD21" s="302"/>
      <c r="AE21" s="303"/>
      <c r="AF21" s="1268"/>
      <c r="AG21" s="1239"/>
      <c r="AH21" s="304"/>
      <c r="AI21" s="305"/>
      <c r="AJ21" s="306"/>
      <c r="AK21" s="307"/>
      <c r="AL21" s="305"/>
      <c r="AM21" s="306"/>
      <c r="AN21" s="310"/>
      <c r="AO21" s="305"/>
      <c r="AP21" s="306"/>
      <c r="AQ21" s="308"/>
      <c r="AR21" s="305"/>
      <c r="AS21" s="309"/>
      <c r="AT21" s="310"/>
      <c r="AU21" s="305"/>
      <c r="AV21" s="306"/>
      <c r="AW21" s="38">
        <v>5000000</v>
      </c>
      <c r="AX21" s="211" t="str">
        <f>IF($B$1="FR","Refus -Revenus hors limite","OUT OF LIMIT")</f>
        <v>OUT OF LIMIT</v>
      </c>
      <c r="AY21" s="211" t="str">
        <f ca="1">CONCATENATE($AY$9,"Y,",L21)</f>
        <v>&gt;=3 Y,</v>
      </c>
      <c r="AZ21" s="212">
        <f>M21</f>
        <v>0</v>
      </c>
      <c r="BA21" s="34"/>
      <c r="BB21" s="34"/>
      <c r="BD21" s="218">
        <v>1</v>
      </c>
      <c r="BE21" s="221" t="s">
        <v>1105</v>
      </c>
      <c r="BF21" s="104">
        <v>0</v>
      </c>
      <c r="BG21" s="221" t="s">
        <v>1105</v>
      </c>
    </row>
    <row r="22" spans="1:63" s="104" customFormat="1" ht="43.5" customHeight="1">
      <c r="A22" s="1873" t="s">
        <v>1192</v>
      </c>
      <c r="B22" s="146"/>
      <c r="C22" s="146"/>
      <c r="D22" s="35"/>
      <c r="E22" s="27"/>
      <c r="F22" s="291" t="str">
        <f>F18</f>
        <v/>
      </c>
      <c r="G22" s="1750" t="str">
        <f>IF(AND(COUNT(F18:F21)=COUNTIF($G$18:$G$21,"Yes"),COUNT(F18:F21)&gt;0),"Yes","")</f>
        <v/>
      </c>
      <c r="H22" s="1092" t="str">
        <f>IF($B$1="EN",IFERROR(VLOOKUP(F22,'Aide-Help IBC codes'!$A$3:$C$93,2,FALSE),$C$18),IFERROR(VLOOKUP(F22,'Aide-Help IBC codes'!$A$3:$C$93,3,FALSE),$B$18))</f>
        <v>Input IBC code in the green cell</v>
      </c>
      <c r="I22" s="155">
        <f>SUM(I18:I21)</f>
        <v>0</v>
      </c>
      <c r="J22" s="241" t="str">
        <f>IF(I22=0,"",IF('Input '!T39="N","NO","OK"))</f>
        <v/>
      </c>
      <c r="K22" s="1314" t="str">
        <f>IF(F22=0,"",IFERROR(VLOOKUP(F22,'Aide-Help IBC codes'!A:D,4,FALSE),$BA$18))</f>
        <v>NOT CONTRACTOR</v>
      </c>
      <c r="L22" s="147" t="str">
        <f>VLOOKUP(I22,Settings!$I$14:$J$16,2,TRUE)</f>
        <v/>
      </c>
      <c r="M22" s="148">
        <f>IF(OR(F22=0,I22=0),1,IF(AND(OR(K22="OK",K22="Senior UW"),J22="OK"),2,-1))</f>
        <v>1</v>
      </c>
      <c r="N22" s="2890" t="e">
        <f>MAX(N18:N21)+'Rate increase'!M4</f>
        <v>#N/A</v>
      </c>
      <c r="O22" s="266"/>
      <c r="P22" s="2731"/>
      <c r="Q22" s="2738"/>
      <c r="R22" s="261"/>
      <c r="S22" s="155"/>
      <c r="T22" s="155"/>
      <c r="U22" s="2035">
        <f>U25</f>
        <v>0</v>
      </c>
      <c r="V22" s="155" t="e">
        <f>'Pricing CGL'!C23*(1+U22)</f>
        <v>#N/A</v>
      </c>
      <c r="W22" s="2895" t="e">
        <f>IFERROR(MAX(Z22),0)/I22*1000</f>
        <v>#DIV/0!</v>
      </c>
      <c r="X22" s="3054">
        <f>Y12</f>
        <v>0</v>
      </c>
      <c r="Y22" s="155">
        <f>IF(I18=0,0,IFERROR(V22-V22*($X$22),0))</f>
        <v>0</v>
      </c>
      <c r="Z22" s="2033">
        <f>Y22</f>
        <v>0</v>
      </c>
      <c r="AA22" s="204">
        <f>IF(Y22*(1-$X$22)&gt;Z22,Y22,Z22)</f>
        <v>0</v>
      </c>
      <c r="AB22" s="149">
        <v>2500</v>
      </c>
      <c r="AC22" s="2032"/>
      <c r="AD22" s="150">
        <f>MAX(AB22:AC22)</f>
        <v>2500</v>
      </c>
      <c r="AE22" s="208" t="str">
        <f>IF($B$1="EN",AG22,AF22)</f>
        <v>L1A,CW180</v>
      </c>
      <c r="AF22" s="1269" t="s">
        <v>25</v>
      </c>
      <c r="AG22" s="1240" t="s">
        <v>3686</v>
      </c>
      <c r="AH22" s="273">
        <f>IF(I22&lt;500001,,IF(M22&gt;1,INDEX(Settings!$B$26:$H$33,MATCH($AJ$9,Settings!$B$26:$B$33,0),MATCH('CGL coverage'!$AY22,Settings!$B$26:$H$26,0)),))</f>
        <v>0</v>
      </c>
      <c r="AI22" s="126" t="e">
        <f>AH22*I22*#REF!/1000</f>
        <v>#REF!</v>
      </c>
      <c r="AJ22" s="268">
        <f>IF(I22&gt;500000,,IF(M22&gt;1,INDEX(Settings!$B$26:$H$33,MATCH($AJ$9,Settings!$B$26:$B$33,0),MATCH('CGL coverage'!$AY22,Settings!$B$26:$H$26,0)),))</f>
        <v>0</v>
      </c>
      <c r="AK22" s="275">
        <f>IF(L22&lt;500001,,IF(R22&gt;1,INDEX(Settings!$B$26:$H$33,MATCH($AM$9,Settings!$B$26:$B$33,0),MATCH('CGL coverage'!$AY22,Settings!$B$26:$H$26,0)),))</f>
        <v>0</v>
      </c>
      <c r="AL22" s="126" t="e">
        <f>AK22*$I22*#REF!/1000</f>
        <v>#REF!</v>
      </c>
      <c r="AM22" s="268">
        <f>IF(I22&gt;500000,,IF(M22&gt;1,INDEX(Settings!$B$26:$H$33,MATCH($AM$9,Settings!$B$26:$B$33,0),MATCH('CGL coverage'!$AY22,Settings!$B$26:$H$26,0)),))</f>
        <v>0</v>
      </c>
      <c r="AN22" s="276">
        <f>IF(L22&lt;500001,,IF(R22&gt;1,INDEX(Settings!$B$26:$H$33,MATCH($AP$9,Settings!$B$26:$B$33,0),MATCH('CGL coverage'!$AY22,Settings!$B$26:$H$26,0)),))</f>
        <v>0</v>
      </c>
      <c r="AO22" s="126" t="e">
        <f>AN22*$I22*#REF!/1000</f>
        <v>#REF!</v>
      </c>
      <c r="AP22" s="268">
        <f>IF(I22&gt;500000,,IF(M22&gt;1,INDEX(Settings!$B$26:$H$33,MATCH($AP$9,Settings!$B$26:$B$33,0),MATCH('CGL coverage'!$AY22,Settings!$B$26:$H$26,0)),))</f>
        <v>0</v>
      </c>
      <c r="AQ22" s="276">
        <f>IF(L22&lt;500001,,IF(R22&gt;1,INDEX(Settings!$B$26:$H$33,MATCH($AS$9,Settings!$B$26:$B$33,0),MATCH('CGL coverage'!$AY22,Settings!$B$26:$H$26,0)),))</f>
        <v>0</v>
      </c>
      <c r="AR22" s="126" t="e">
        <f>AQ22*$I22*#REF!/1000</f>
        <v>#REF!</v>
      </c>
      <c r="AS22" s="269">
        <f>IF(I22&gt;500000,,IF(M22&gt;1,INDEX(Settings!$B$26:$H$33,MATCH($AS$9,Settings!$B$26:$B$33,0),MATCH('CGL coverage'!$AY22,Settings!$B$26:$H$26,0)),))</f>
        <v>0</v>
      </c>
      <c r="AT22" s="277">
        <f>IF(L22&lt;500001,,IF(R22&gt;1,INDEX(Settings!$B$26:$H$33,MATCH($AV$9,Settings!$B$26:$B$33,0),MATCH('CGL coverage'!$AY22,Settings!$B$26:$H$26,0)),))</f>
        <v>0</v>
      </c>
      <c r="AU22" s="126" t="e">
        <f>AT22*$I22*#REF!/1000</f>
        <v>#REF!</v>
      </c>
      <c r="AV22" s="268">
        <f>IF(I22&gt;500000,,IF(M22&gt;1,INDEX(Settings!$B$26:$H$33,MATCH(AV9,Settings!$B$26:$B$33,0),MATCH('CGL coverage'!$AY22,Settings!$B$26:$H$26,0)),))</f>
        <v>0</v>
      </c>
      <c r="AW22" s="38">
        <v>5000000</v>
      </c>
      <c r="AX22" s="211" t="str">
        <f>IF($B$1="FR","Refus -Revenus hors limite","OUT OF LIMIT")</f>
        <v>OUT OF LIMIT</v>
      </c>
      <c r="AY22" s="211" t="str">
        <f ca="1">CONCATENATE($AY$9,"Y,",L22)</f>
        <v>&gt;=3 Y,</v>
      </c>
      <c r="AZ22" s="212">
        <f>M22</f>
        <v>1</v>
      </c>
      <c r="BA22" s="34"/>
      <c r="BB22" s="34"/>
      <c r="BD22" s="219">
        <v>2</v>
      </c>
      <c r="BE22" s="222" t="s">
        <v>1100</v>
      </c>
      <c r="BF22" s="104">
        <v>1</v>
      </c>
      <c r="BG22" s="222" t="s">
        <v>1100</v>
      </c>
    </row>
    <row r="23" spans="1:63" s="104" customFormat="1" ht="43.5" customHeight="1" outlineLevel="1">
      <c r="A23" s="1873"/>
      <c r="B23" s="27"/>
      <c r="C23" s="27"/>
      <c r="D23" s="35"/>
      <c r="E23" s="27"/>
      <c r="F23" s="420"/>
      <c r="G23" s="2702"/>
      <c r="H23" s="3229" t="s">
        <v>4472</v>
      </c>
      <c r="I23" s="3230" t="s">
        <v>4473</v>
      </c>
      <c r="J23" s="3231"/>
      <c r="K23" s="3232" t="s">
        <v>4474</v>
      </c>
      <c r="L23" s="3228"/>
      <c r="M23" s="3233"/>
      <c r="N23" s="3232" t="s">
        <v>4477</v>
      </c>
      <c r="O23" s="3234"/>
      <c r="P23" s="3234"/>
      <c r="Q23" s="3234"/>
      <c r="R23" s="3234"/>
      <c r="S23" s="3234"/>
      <c r="T23" s="3234"/>
      <c r="U23" s="3232" t="s">
        <v>4476</v>
      </c>
      <c r="V23" s="3228"/>
      <c r="W23" s="3232" t="s">
        <v>4478</v>
      </c>
      <c r="X23" s="3232"/>
      <c r="Y23" s="3228"/>
      <c r="Z23" s="3232" t="s">
        <v>4479</v>
      </c>
      <c r="AA23" s="3222"/>
      <c r="AD23" s="3222"/>
      <c r="AE23" s="27"/>
      <c r="AF23" s="1321"/>
      <c r="AG23" s="1325"/>
      <c r="AH23" s="3223"/>
      <c r="AI23" s="126"/>
      <c r="AJ23" s="3224"/>
      <c r="AK23" s="3225"/>
      <c r="AL23" s="126"/>
      <c r="AM23" s="3222"/>
      <c r="AN23" s="3226"/>
      <c r="AO23" s="126"/>
      <c r="AP23" s="3222"/>
      <c r="AQ23" s="3226"/>
      <c r="AR23" s="126"/>
      <c r="AS23" s="3222"/>
      <c r="AT23" s="3227"/>
      <c r="AU23" s="126"/>
      <c r="AV23" s="3224"/>
      <c r="AW23" s="38"/>
      <c r="AX23" s="211"/>
      <c r="AY23" s="211"/>
      <c r="AZ23" s="212"/>
      <c r="BA23" s="34"/>
      <c r="BB23" s="34"/>
    </row>
    <row r="24" spans="1:63" s="104" customFormat="1" ht="43.5" customHeight="1">
      <c r="A24" s="1873"/>
      <c r="B24" s="27"/>
      <c r="C24" s="27"/>
      <c r="D24" s="35"/>
      <c r="E24" s="27"/>
      <c r="F24" s="420"/>
      <c r="G24" s="2702"/>
      <c r="H24" s="3237" t="str">
        <f>IF(LEFT('Input '!$G$36,1)="R",'CGL coverage'!H23,"")</f>
        <v/>
      </c>
      <c r="I24" s="3237" t="str">
        <f>IF(LEFT('Input '!$G$36,1)="R",'CGL coverage'!I23,"")</f>
        <v/>
      </c>
      <c r="J24" s="3237"/>
      <c r="K24" s="3237" t="str">
        <f>IF(LEFT('Input '!$G$36,1)="R",'CGL coverage'!K23,"")</f>
        <v/>
      </c>
      <c r="L24" s="3237" t="str">
        <f>IF(LEFT('Input '!$G$36,1)="R",'CGL coverage'!L23,"")</f>
        <v/>
      </c>
      <c r="M24" s="3237" t="str">
        <f>IF(LEFT('Input '!$G$36,1)="R",'CGL coverage'!M23,"")</f>
        <v/>
      </c>
      <c r="N24" s="3237" t="str">
        <f>IF(LEFT('Input '!$G$36,1)="R",'CGL coverage'!N23,"")</f>
        <v/>
      </c>
      <c r="O24" s="3237" t="str">
        <f>IF(LEFT('Input '!$G$36,1)="R",'CGL coverage'!O23,"")</f>
        <v/>
      </c>
      <c r="P24" s="3237" t="str">
        <f>IF(LEFT('Input '!$G$36,1)="R",'CGL coverage'!P23,"")</f>
        <v/>
      </c>
      <c r="Q24" s="3237" t="str">
        <f>IF(LEFT('Input '!$G$36,1)="R",'CGL coverage'!Q23,"")</f>
        <v/>
      </c>
      <c r="R24" s="3237" t="str">
        <f>IF(LEFT('Input '!$G$36,1)="R",'CGL coverage'!R23,"")</f>
        <v/>
      </c>
      <c r="S24" s="3237" t="str">
        <f>IF(LEFT('Input '!$G$36,1)="R",'CGL coverage'!S23,"")</f>
        <v/>
      </c>
      <c r="T24" s="3237" t="str">
        <f>IF(LEFT('Input '!$G$36,1)="R",'CGL coverage'!T23,"")</f>
        <v/>
      </c>
      <c r="U24" s="3237" t="str">
        <f>IF(LEFT('Input '!$G$36,1)="R",'CGL coverage'!U23,"")</f>
        <v/>
      </c>
      <c r="V24" s="3237"/>
      <c r="W24" s="3237" t="str">
        <f>IF(LEFT('Input '!$G$36,1)="R",'CGL coverage'!W23,"")</f>
        <v/>
      </c>
      <c r="X24" s="3237"/>
      <c r="Y24" s="3237"/>
      <c r="Z24" s="3237" t="str">
        <f>IF(LEFT('Input '!$G$36,1)="R",'CGL coverage'!Z23,"")</f>
        <v/>
      </c>
      <c r="AA24" s="3222"/>
      <c r="AD24" s="3222"/>
      <c r="AE24" s="27"/>
      <c r="AF24" s="1321"/>
      <c r="AG24" s="1325"/>
      <c r="AH24" s="3223"/>
      <c r="AI24" s="126"/>
      <c r="AJ24" s="3224"/>
      <c r="AK24" s="3225"/>
      <c r="AL24" s="126"/>
      <c r="AM24" s="3222"/>
      <c r="AN24" s="3226"/>
      <c r="AO24" s="126"/>
      <c r="AP24" s="3222"/>
      <c r="AQ24" s="3226"/>
      <c r="AR24" s="126"/>
      <c r="AS24" s="3222"/>
      <c r="AT24" s="3227"/>
      <c r="AU24" s="126"/>
      <c r="AV24" s="3224"/>
      <c r="AW24" s="38"/>
      <c r="AX24" s="211"/>
      <c r="AY24" s="211"/>
      <c r="AZ24" s="212"/>
      <c r="BA24" s="34"/>
      <c r="BB24" s="34"/>
    </row>
    <row r="25" spans="1:63" s="37" customFormat="1" ht="27.75" customHeight="1">
      <c r="B25" s="82"/>
      <c r="C25" s="82"/>
      <c r="D25" s="35"/>
      <c r="G25" s="189" t="s">
        <v>4471</v>
      </c>
      <c r="H25" s="3235" t="str">
        <f>IF(LEFT('Input '!$G$36,1)="R","expiring policy","")</f>
        <v/>
      </c>
      <c r="I25" s="3236">
        <v>0</v>
      </c>
      <c r="J25" s="1058"/>
      <c r="K25" s="3236">
        <v>0</v>
      </c>
      <c r="L25" s="127"/>
      <c r="M25" s="85"/>
      <c r="N25" s="3238">
        <f>IF(OR(I25="",I25=0),0,K25/I25*1000)</f>
        <v>0</v>
      </c>
      <c r="O25" s="2820"/>
      <c r="P25" s="85"/>
      <c r="Q25" s="85"/>
      <c r="R25" s="85"/>
      <c r="S25" s="85"/>
      <c r="T25" s="85"/>
      <c r="U25" s="3239">
        <f>INDEX('Rates- Limits UW settings'!$C$69:$H$73,MATCH(Property!$B$2,'Rates- Limits UW settings'!$C$69:$C$73,0),6)</f>
        <v>0</v>
      </c>
      <c r="W25" s="3240">
        <f>N25*(1+U25)</f>
        <v>0</v>
      </c>
      <c r="X25" s="3239"/>
      <c r="Z25" s="204">
        <f>IF(I25="",0,I25*W25/1000)</f>
        <v>0</v>
      </c>
      <c r="AB25" s="85"/>
      <c r="AC25" s="85"/>
      <c r="AD25" s="85"/>
      <c r="AE25" s="85"/>
      <c r="AF25" s="3241"/>
      <c r="AG25" s="3242"/>
      <c r="AH25" s="3243"/>
      <c r="AI25" s="3244"/>
      <c r="AJ25" s="3245"/>
      <c r="AK25" s="3243"/>
      <c r="AL25" s="3244"/>
      <c r="AM25" s="3243"/>
      <c r="AN25" s="278"/>
      <c r="AO25" s="3244"/>
      <c r="AP25" s="3243"/>
      <c r="AQ25" s="278"/>
      <c r="AR25" s="3244"/>
      <c r="AS25" s="3243"/>
      <c r="AT25" s="279"/>
      <c r="AU25" s="3244"/>
      <c r="AV25" s="3246"/>
      <c r="AW25" s="85"/>
      <c r="AX25" s="85"/>
      <c r="AY25" s="85"/>
      <c r="AZ25" s="34"/>
      <c r="BA25" s="34"/>
      <c r="BB25" s="34"/>
    </row>
    <row r="26" spans="1:63" s="110" customFormat="1">
      <c r="D26" s="35"/>
      <c r="G26" s="188"/>
      <c r="R26" s="2897"/>
      <c r="Z26" s="3178"/>
      <c r="AA26" s="3534"/>
      <c r="AB26" s="3534"/>
      <c r="AC26" s="3534"/>
      <c r="AD26" s="3534"/>
      <c r="AE26" s="3534"/>
      <c r="AF26" s="1270"/>
      <c r="AG26" s="1242"/>
      <c r="AH26" s="2057"/>
      <c r="AI26" s="2057"/>
      <c r="AJ26" s="2057"/>
      <c r="AK26" s="2057"/>
      <c r="AL26" s="2057"/>
      <c r="AM26" s="2057"/>
      <c r="AN26" s="2057"/>
      <c r="AO26" s="2057"/>
      <c r="AP26" s="2057"/>
      <c r="AQ26" s="2057"/>
      <c r="AR26" s="2057"/>
      <c r="AS26" s="2057"/>
      <c r="AT26" s="2057"/>
      <c r="AU26" s="2057"/>
      <c r="AV26" s="2057"/>
      <c r="AZ26" s="34"/>
      <c r="BA26" s="34"/>
      <c r="BB26" s="34"/>
      <c r="BK26" s="2017"/>
    </row>
    <row r="27" spans="1:63" s="110" customFormat="1">
      <c r="D27" s="35"/>
      <c r="Z27" s="2057"/>
      <c r="AA27" s="2057"/>
      <c r="AB27" s="3178"/>
      <c r="AC27" s="38"/>
      <c r="AD27" s="2057"/>
      <c r="AE27" s="2057"/>
      <c r="AF27" s="1270"/>
      <c r="AG27" s="1242"/>
      <c r="AH27" s="2057"/>
      <c r="AI27" s="2057"/>
      <c r="AJ27" s="2057"/>
      <c r="AK27" s="2057"/>
      <c r="AL27" s="2057"/>
      <c r="AM27" s="2057"/>
      <c r="AN27" s="2057"/>
      <c r="AO27" s="2057"/>
      <c r="AP27" s="2057"/>
      <c r="AQ27" s="2057"/>
      <c r="AR27" s="2057"/>
      <c r="AS27" s="2057"/>
      <c r="AT27" s="2057"/>
      <c r="AU27" s="2057"/>
      <c r="AV27" s="2057"/>
      <c r="AZ27" s="34"/>
      <c r="BA27" s="34"/>
      <c r="BB27" s="34"/>
      <c r="BK27" s="2017"/>
    </row>
    <row r="28" spans="1:63" s="84" customFormat="1" ht="31.5" customHeight="1">
      <c r="B28" s="419" t="s">
        <v>1260</v>
      </c>
      <c r="C28" s="419" t="s">
        <v>3416</v>
      </c>
      <c r="D28" s="35"/>
      <c r="G28" s="128"/>
      <c r="H28" s="2277" t="str">
        <f>H12</f>
        <v>CGL Rating</v>
      </c>
      <c r="J28" s="403"/>
      <c r="K28" s="285"/>
      <c r="L28" s="286"/>
      <c r="M28" s="287"/>
      <c r="N28" s="288" t="s">
        <v>1133</v>
      </c>
      <c r="O28" s="288"/>
      <c r="R28" s="107"/>
      <c r="S28" s="107"/>
      <c r="T28" s="107"/>
      <c r="U28" s="3249" t="e">
        <f>'Input '!F42</f>
        <v>#N/A</v>
      </c>
      <c r="V28" s="107"/>
      <c r="W28" s="107"/>
      <c r="X28" s="107"/>
      <c r="Y28" s="107"/>
      <c r="Z28" s="107"/>
      <c r="AA28" s="107"/>
      <c r="AB28" s="41"/>
      <c r="AC28" s="41"/>
      <c r="AD28" s="41"/>
      <c r="AE28" s="85"/>
      <c r="AF28" s="1142"/>
      <c r="AG28" s="1241"/>
      <c r="AH28" s="281">
        <f>AH9</f>
        <v>0</v>
      </c>
      <c r="AI28" s="280"/>
      <c r="AJ28" s="272"/>
      <c r="AK28" s="281">
        <f>AK9</f>
        <v>0</v>
      </c>
      <c r="AL28" s="280" t="e">
        <f>#REF!</f>
        <v>#REF!</v>
      </c>
      <c r="AM28" s="272" t="e">
        <f>#REF!</f>
        <v>#REF!</v>
      </c>
      <c r="AN28" s="281">
        <f>AN9</f>
        <v>0</v>
      </c>
      <c r="AO28" s="280" t="e">
        <f>#REF!</f>
        <v>#REF!</v>
      </c>
      <c r="AP28" s="272" t="e">
        <f>#REF!</f>
        <v>#REF!</v>
      </c>
      <c r="AQ28" s="281">
        <f>AQ9</f>
        <v>0</v>
      </c>
      <c r="AR28" s="280" t="e">
        <f>#REF!</f>
        <v>#REF!</v>
      </c>
      <c r="AS28" s="272" t="e">
        <f>#REF!</f>
        <v>#REF!</v>
      </c>
      <c r="AT28" s="281">
        <f>AT9</f>
        <v>0</v>
      </c>
      <c r="AU28" s="280" t="e">
        <f>#REF!</f>
        <v>#REF!</v>
      </c>
      <c r="AV28" s="272" t="e">
        <f>#REF!</f>
        <v>#REF!</v>
      </c>
      <c r="AW28" s="41"/>
      <c r="AX28" s="107"/>
      <c r="AY28" s="107"/>
      <c r="AZ28" s="34"/>
      <c r="BA28" s="34"/>
      <c r="BB28" s="34"/>
      <c r="BD28" s="110"/>
      <c r="BE28" s="110"/>
      <c r="BF28" s="110"/>
      <c r="BK28" s="2017"/>
    </row>
    <row r="29" spans="1:63" s="1135" customFormat="1" ht="18" hidden="1" customHeight="1" outlineLevel="1">
      <c r="B29" s="1134"/>
      <c r="C29" s="1134"/>
      <c r="D29" s="35"/>
      <c r="E29" s="1135" t="s">
        <v>4067</v>
      </c>
      <c r="G29" s="1136"/>
      <c r="H29" s="1134"/>
      <c r="I29" s="1107" t="s">
        <v>967</v>
      </c>
      <c r="J29" s="1503"/>
      <c r="K29" s="1108" t="s">
        <v>1124</v>
      </c>
      <c r="L29" s="1108" t="s">
        <v>1271</v>
      </c>
      <c r="M29" s="1108" t="s">
        <v>1121</v>
      </c>
      <c r="N29" s="1108"/>
      <c r="O29" s="1130" t="s">
        <v>1268</v>
      </c>
      <c r="P29" s="1108" t="s">
        <v>222</v>
      </c>
      <c r="Q29" s="1108"/>
      <c r="R29" s="1129" t="s">
        <v>1134</v>
      </c>
      <c r="S29" s="1129"/>
      <c r="T29" s="1129"/>
      <c r="U29" s="1129"/>
      <c r="V29" s="1129" t="s">
        <v>1135</v>
      </c>
      <c r="W29" s="1129"/>
      <c r="X29" s="1129"/>
      <c r="Y29" s="1109" t="s">
        <v>1036</v>
      </c>
      <c r="Z29" s="1109" t="s">
        <v>1122</v>
      </c>
      <c r="AA29" s="1109" t="s">
        <v>1095</v>
      </c>
      <c r="AB29" s="1110" t="s">
        <v>1072</v>
      </c>
      <c r="AC29" s="1110" t="s">
        <v>1073</v>
      </c>
      <c r="AD29" s="1110" t="s">
        <v>1074</v>
      </c>
      <c r="AE29" s="1111" t="s">
        <v>27</v>
      </c>
      <c r="AF29" s="1111" t="s">
        <v>27</v>
      </c>
      <c r="AG29" s="1103" t="s">
        <v>27</v>
      </c>
      <c r="AH29" s="1137"/>
      <c r="AI29" s="1138"/>
      <c r="AJ29" s="1139"/>
      <c r="AK29" s="1137"/>
      <c r="AL29" s="1138"/>
      <c r="AM29" s="1139"/>
      <c r="AN29" s="1137"/>
      <c r="AO29" s="1138"/>
      <c r="AP29" s="1139"/>
      <c r="AQ29" s="1137"/>
      <c r="AR29" s="1138"/>
      <c r="AS29" s="1139"/>
      <c r="AT29" s="1137"/>
      <c r="AU29" s="1138"/>
      <c r="AV29" s="1139"/>
      <c r="AW29" s="1141"/>
      <c r="AX29" s="1142"/>
      <c r="AY29" s="1142"/>
      <c r="AZ29" s="1143"/>
      <c r="BA29" s="1143"/>
      <c r="BB29" s="1143"/>
      <c r="BD29" s="1144"/>
      <c r="BE29" s="1144"/>
      <c r="BF29" s="1144"/>
    </row>
    <row r="30" spans="1:63" s="1112" customFormat="1" ht="18" hidden="1" customHeight="1" outlineLevel="1">
      <c r="B30" s="1145"/>
      <c r="C30" s="1145"/>
      <c r="D30" s="35"/>
      <c r="E30" s="1112" t="s">
        <v>4067</v>
      </c>
      <c r="H30" s="1145"/>
      <c r="I30" s="1114" t="s">
        <v>3457</v>
      </c>
      <c r="J30" s="1504"/>
      <c r="K30" s="1115" t="s">
        <v>3454</v>
      </c>
      <c r="L30" s="1115" t="s">
        <v>3466</v>
      </c>
      <c r="M30" s="1115" t="s">
        <v>3467</v>
      </c>
      <c r="N30" s="1115"/>
      <c r="O30" s="1115" t="s">
        <v>1231</v>
      </c>
      <c r="P30" s="1115" t="s">
        <v>222</v>
      </c>
      <c r="Q30" s="1115"/>
      <c r="R30" s="1146" t="s">
        <v>3455</v>
      </c>
      <c r="S30" s="1146"/>
      <c r="T30" s="1146"/>
      <c r="U30" s="1146"/>
      <c r="V30" s="1146" t="s">
        <v>3459</v>
      </c>
      <c r="W30" s="1146"/>
      <c r="X30" s="1146"/>
      <c r="Y30" s="1116" t="s">
        <v>3460</v>
      </c>
      <c r="Z30" s="1116" t="s">
        <v>3461</v>
      </c>
      <c r="AA30" s="1116" t="s">
        <v>3462</v>
      </c>
      <c r="AB30" s="1116" t="s">
        <v>3463</v>
      </c>
      <c r="AC30" s="1116" t="s">
        <v>3464</v>
      </c>
      <c r="AD30" s="1116" t="s">
        <v>3465</v>
      </c>
      <c r="AE30" s="1117" t="s">
        <v>3456</v>
      </c>
      <c r="AF30" s="1271" t="s">
        <v>3456</v>
      </c>
      <c r="AG30" s="1117" t="s">
        <v>3456</v>
      </c>
      <c r="AH30" s="1147"/>
      <c r="AI30" s="1148"/>
      <c r="AJ30" s="1149"/>
      <c r="AK30" s="1147"/>
      <c r="AL30" s="1148"/>
      <c r="AM30" s="1149"/>
      <c r="AN30" s="1147"/>
      <c r="AO30" s="1148"/>
      <c r="AP30" s="1149"/>
      <c r="AQ30" s="1147"/>
      <c r="AR30" s="1148"/>
      <c r="AS30" s="1149"/>
      <c r="AT30" s="1147"/>
      <c r="AU30" s="1148"/>
      <c r="AV30" s="1149"/>
      <c r="AW30" s="1150"/>
      <c r="AX30" s="1151"/>
      <c r="AY30" s="1151"/>
      <c r="AZ30" s="1145"/>
      <c r="BA30" s="1145"/>
      <c r="BB30" s="1145"/>
      <c r="BD30" s="1152"/>
      <c r="BE30" s="1152"/>
      <c r="BF30" s="1152"/>
    </row>
    <row r="31" spans="1:63" s="35" customFormat="1" ht="56.25" customHeight="1" collapsed="1">
      <c r="A31" s="1873" t="s">
        <v>1192</v>
      </c>
      <c r="B31" s="140" t="s">
        <v>1096</v>
      </c>
      <c r="C31" s="140" t="s">
        <v>3409</v>
      </c>
      <c r="F31" s="156" t="s">
        <v>3415</v>
      </c>
      <c r="G31" s="191"/>
      <c r="H31" s="140" t="str">
        <f>IF($B$1="EN",C31,B31)</f>
        <v>CGL  HVAC : fill in here below:</v>
      </c>
      <c r="I31" s="141" t="str">
        <f>IF($B$1="EN",I30,I29)</f>
        <v>$ Revenues from the activity?</v>
      </c>
      <c r="J31" s="1503"/>
      <c r="K31" s="142" t="str">
        <f t="shared" ref="K31:R31" si="3">IF($B$1="EN",K30,K29)</f>
        <v>Verify. income eligibility</v>
      </c>
      <c r="L31" s="142" t="str">
        <f t="shared" si="3"/>
        <v>Verify&lt; 5 storeys</v>
      </c>
      <c r="M31" s="143" t="str">
        <f t="shared" si="3"/>
        <v>Condition % years no claims</v>
      </c>
      <c r="N31" s="143"/>
      <c r="O31" s="191" t="str">
        <f t="shared" si="3"/>
        <v>Rate</v>
      </c>
      <c r="P31" s="143" t="str">
        <f t="shared" si="3"/>
        <v>ILF</v>
      </c>
      <c r="Q31" s="143"/>
      <c r="R31" s="252" t="str">
        <f t="shared" si="3"/>
        <v>Min premium calculated by the rate</v>
      </c>
      <c r="S31" s="252"/>
      <c r="T31" s="252"/>
      <c r="U31" s="252"/>
      <c r="V31" s="252" t="str">
        <f>IF($B$1="EN",V30,V29)</f>
        <v>Min CGL premium</v>
      </c>
      <c r="W31" s="252"/>
      <c r="X31" s="252"/>
      <c r="Y31" s="144" t="str">
        <f t="shared" ref="Y31:AE31" si="4">IF($B$1="EN",Y30,Y29)</f>
        <v>Min premium Amlin</v>
      </c>
      <c r="Z31" s="144" t="str">
        <f t="shared" si="4"/>
        <v>Premium quoted ( max 10%)</v>
      </c>
      <c r="AA31" s="144" t="str">
        <f t="shared" si="4"/>
        <v>Premium displayed</v>
      </c>
      <c r="AB31" s="145" t="str">
        <f t="shared" si="4"/>
        <v>Min Deductible</v>
      </c>
      <c r="AC31" s="145" t="str">
        <f t="shared" si="4"/>
        <v>Quoted Deductible</v>
      </c>
      <c r="AD31" s="145" t="str">
        <f t="shared" si="4"/>
        <v>Deductible displayed</v>
      </c>
      <c r="AE31" s="207" t="str">
        <f t="shared" si="4"/>
        <v>Form</v>
      </c>
      <c r="AF31" s="1111" t="s">
        <v>27</v>
      </c>
      <c r="AG31" s="1103" t="str">
        <f>IF($B$1="EN",AG30,AG29)</f>
        <v>Form</v>
      </c>
      <c r="AH31" s="270" t="s">
        <v>222</v>
      </c>
      <c r="AI31" s="270" t="s">
        <v>1134</v>
      </c>
      <c r="AJ31" s="271" t="s">
        <v>1135</v>
      </c>
      <c r="AK31" s="270" t="s">
        <v>1136</v>
      </c>
      <c r="AL31" s="270" t="s">
        <v>1134</v>
      </c>
      <c r="AM31" s="271" t="s">
        <v>1135</v>
      </c>
      <c r="AN31" s="270" t="s">
        <v>1136</v>
      </c>
      <c r="AO31" s="270" t="s">
        <v>1134</v>
      </c>
      <c r="AP31" s="271" t="s">
        <v>1135</v>
      </c>
      <c r="AQ31" s="270" t="s">
        <v>1136</v>
      </c>
      <c r="AR31" s="270" t="s">
        <v>1134</v>
      </c>
      <c r="AS31" s="271" t="s">
        <v>1135</v>
      </c>
      <c r="AT31" s="270" t="s">
        <v>1136</v>
      </c>
      <c r="AU31" s="270" t="s">
        <v>1134</v>
      </c>
      <c r="AV31" s="271" t="s">
        <v>1135</v>
      </c>
      <c r="AW31" s="2056" t="s">
        <v>1041</v>
      </c>
      <c r="AX31" s="104" t="s">
        <v>1038</v>
      </c>
      <c r="AY31" s="104" t="s">
        <v>1067</v>
      </c>
      <c r="AZ31" s="57" t="s">
        <v>1068</v>
      </c>
      <c r="BA31" s="34"/>
      <c r="BB31" s="34"/>
      <c r="BD31" s="110"/>
      <c r="BE31" s="110"/>
      <c r="BF31" s="110"/>
      <c r="BG31" s="84"/>
    </row>
    <row r="32" spans="1:63" s="33" customFormat="1" ht="56.25" customHeight="1" outlineLevel="1">
      <c r="A32" s="1873" t="s">
        <v>1192</v>
      </c>
      <c r="B32" s="130" t="s">
        <v>93</v>
      </c>
      <c r="C32" s="130" t="s">
        <v>3410</v>
      </c>
      <c r="D32" s="35"/>
      <c r="E32" s="2">
        <v>1</v>
      </c>
      <c r="F32" s="206">
        <v>1763</v>
      </c>
      <c r="G32" s="214" t="str">
        <f>IF(I32&lt;&gt;0,"Y","N")</f>
        <v>N</v>
      </c>
      <c r="H32" s="130" t="str">
        <f>IF($B$1="EN",IFERROR(VLOOKUP(F32,'Aide-Help IBC codes'!$A$3:$C$93,2,FALSE),$C$18),IFERROR(VLOOKUP(F32,'Aide-Help IBC codes'!$A$3:$C$93,3,FALSE),$B$18))</f>
        <v>Welding, Cutting, Brazing</v>
      </c>
      <c r="I32" s="2613">
        <f>IF('Input '!$S$37=2,IFERROR(HLOOKUP('CGL coverage'!F32,'Input '!$G$37:$G$39,3,FALSE),0),0)</f>
        <v>0</v>
      </c>
      <c r="J32" s="1505"/>
      <c r="K32" s="131" t="str">
        <f>IF(I32=0,"",IF(I32&gt;AW32,AX32,"OK"))</f>
        <v/>
      </c>
      <c r="L32" s="131"/>
      <c r="M32" s="132"/>
      <c r="N32" s="148">
        <f>IF(K32="OK",2,1)</f>
        <v>1</v>
      </c>
      <c r="O32" s="143"/>
      <c r="P32" s="262"/>
      <c r="Q32" s="2733"/>
      <c r="R32" s="113"/>
      <c r="S32" s="113"/>
      <c r="T32" s="113"/>
      <c r="U32" s="113"/>
      <c r="V32" s="113"/>
      <c r="W32" s="113"/>
      <c r="X32" s="113"/>
      <c r="Y32" s="113">
        <f>IF(K32="OK",VLOOKUP($I$5,Settings!$B$59:$C$63,2),)</f>
        <v>0</v>
      </c>
      <c r="Z32" s="2031"/>
      <c r="AA32" s="181">
        <f>IF(Y32*(1-$Y$12)&gt;Z32,Y32,Z32)</f>
        <v>0</v>
      </c>
      <c r="AB32" s="133">
        <v>2500</v>
      </c>
      <c r="AC32" s="2030">
        <f>AB32</f>
        <v>2500</v>
      </c>
      <c r="AD32" s="139">
        <f>IF(I32=0,,MAX(AB32:AC32))</f>
        <v>0</v>
      </c>
      <c r="AE32" s="208" t="str">
        <f>IF(I32=0,"",IF($B$1="EN",AG32,AF32))</f>
        <v/>
      </c>
      <c r="AF32" s="1268"/>
      <c r="AG32" s="1298"/>
      <c r="AH32" s="113"/>
      <c r="AI32" s="113"/>
      <c r="AJ32" s="113">
        <f>IF($K32="OK",VLOOKUP(AH$28,Settings!$B$59:$C$63,2),)</f>
        <v>0</v>
      </c>
      <c r="AK32" s="113"/>
      <c r="AL32" s="113"/>
      <c r="AM32" s="113">
        <f>IF($K32="OK",VLOOKUP(AK$28,Settings!$B$59:$C$63,2),)</f>
        <v>0</v>
      </c>
      <c r="AN32" s="113"/>
      <c r="AO32" s="113"/>
      <c r="AP32" s="113">
        <f>IF($K32="OK",VLOOKUP(AN$28,Settings!$B$59:$C$63,2),)</f>
        <v>0</v>
      </c>
      <c r="AQ32" s="113"/>
      <c r="AR32" s="113"/>
      <c r="AS32" s="113">
        <f>IF($K32="OK",VLOOKUP(AQ$28,Settings!$B$59:$C$63,2),)</f>
        <v>0</v>
      </c>
      <c r="AT32" s="113"/>
      <c r="AU32" s="113"/>
      <c r="AV32" s="113">
        <f>IF($K32="OK",VLOOKUP(AT$28,Settings!$B$59:$C$63,2),)</f>
        <v>0</v>
      </c>
      <c r="AW32" s="1737">
        <v>400000</v>
      </c>
      <c r="AX32" s="211" t="str">
        <f>IF($B$1="FR","Refus -Revenus hors limite","OUT OF LIMIT")</f>
        <v>OUT OF LIMIT</v>
      </c>
      <c r="AY32" s="213">
        <f>N32</f>
        <v>1</v>
      </c>
      <c r="AZ32" s="212">
        <f>N32</f>
        <v>1</v>
      </c>
      <c r="BA32" s="34"/>
      <c r="BB32" s="34"/>
      <c r="BD32" s="110"/>
      <c r="BE32" s="110"/>
      <c r="BF32" s="110"/>
      <c r="BG32" s="84"/>
    </row>
    <row r="33" spans="1:60" s="317" customFormat="1" ht="30" customHeight="1" outlineLevel="1">
      <c r="A33" s="1873" t="s">
        <v>1192</v>
      </c>
      <c r="B33" s="314" t="s">
        <v>1138</v>
      </c>
      <c r="C33" s="314" t="s">
        <v>1138</v>
      </c>
      <c r="D33" s="35"/>
      <c r="E33" s="311">
        <v>2</v>
      </c>
      <c r="F33" s="312">
        <v>1711</v>
      </c>
      <c r="G33" s="313" t="str">
        <f t="shared" ref="G33:G36" si="5">IF(I33&lt;&gt;0,"Y","N")</f>
        <v>N</v>
      </c>
      <c r="H33" s="314" t="str">
        <f>IF($B$1="EN",IFERROR(VLOOKUP(F33,'Aide-Help IBC codes'!$A$3:$C$93,2,FALSE),$C$18),IFERROR(VLOOKUP(F33,'Aide-Help IBC codes'!$A$3:$C$93,3,FALSE),$B$18))</f>
        <v>Plumbing, Including Hot Tubs</v>
      </c>
      <c r="I33" s="2613">
        <f>IF('Input '!$S$37=2,IFERROR(HLOOKUP('CGL coverage'!F33,'Input '!$G$37:$G$39,3,FALSE),0),0)</f>
        <v>0</v>
      </c>
      <c r="J33" s="1506"/>
      <c r="K33" s="320"/>
      <c r="L33" s="321"/>
      <c r="M33" s="322"/>
      <c r="N33" s="323"/>
      <c r="O33" s="324"/>
      <c r="P33" s="325"/>
      <c r="Q33" s="2734"/>
      <c r="R33" s="326"/>
      <c r="S33" s="326"/>
      <c r="T33" s="326"/>
      <c r="U33" s="326"/>
      <c r="V33" s="326"/>
      <c r="W33" s="326"/>
      <c r="X33" s="326"/>
      <c r="Y33" s="326"/>
      <c r="Z33" s="327"/>
      <c r="AA33" s="328"/>
      <c r="AB33" s="329"/>
      <c r="AC33" s="330"/>
      <c r="AD33" s="328"/>
      <c r="AE33" s="322"/>
      <c r="AF33" s="1272"/>
      <c r="AG33" s="1243"/>
      <c r="AH33" s="331"/>
      <c r="AI33" s="326"/>
      <c r="AJ33" s="326"/>
      <c r="AK33" s="332"/>
      <c r="AL33" s="326"/>
      <c r="AM33" s="326"/>
      <c r="AN33" s="332"/>
      <c r="AO33" s="326"/>
      <c r="AP33" s="326"/>
      <c r="AQ33" s="332"/>
      <c r="AR33" s="326"/>
      <c r="AS33" s="326"/>
      <c r="AT33" s="332"/>
      <c r="AU33" s="326"/>
      <c r="AV33" s="326"/>
      <c r="AW33" s="315">
        <v>500000</v>
      </c>
      <c r="AX33" s="211" t="str">
        <f>IF($B$1="FR","Refus -Revenus hors limite","OUT OF LIMIT")</f>
        <v>OUT OF LIMIT</v>
      </c>
      <c r="AY33" s="317">
        <f>N33</f>
        <v>0</v>
      </c>
      <c r="AZ33" s="319">
        <f t="shared" ref="AZ33:AZ36" si="6">N33</f>
        <v>0</v>
      </c>
      <c r="BA33" s="316"/>
      <c r="BB33" s="316"/>
      <c r="BD33" s="318"/>
      <c r="BE33" s="318"/>
      <c r="BF33" s="318"/>
    </row>
    <row r="34" spans="1:60" s="317" customFormat="1" ht="42.75" customHeight="1" outlineLevel="1">
      <c r="A34" s="1873" t="s">
        <v>1192</v>
      </c>
      <c r="B34" s="314" t="s">
        <v>1139</v>
      </c>
      <c r="C34" s="314" t="s">
        <v>1139</v>
      </c>
      <c r="D34" s="35"/>
      <c r="E34" s="311">
        <v>3</v>
      </c>
      <c r="F34" s="312">
        <v>1715</v>
      </c>
      <c r="G34" s="313" t="str">
        <f t="shared" si="5"/>
        <v>N</v>
      </c>
      <c r="H34" s="314" t="str">
        <f>IF($B$1="EN",IFERROR(VLOOKUP(F34,'Aide-Help IBC codes'!$A$3:$C$93,2,FALSE),$C$18),IFERROR(VLOOKUP(F34,'Aide-Help IBC codes'!$A$3:$C$93,3,FALSE),$B$18))</f>
        <v>Heating Equipment and Combined Air Conditioning - Oil or Gas</v>
      </c>
      <c r="I34" s="2613">
        <f>IF('Input '!$S$37=2,IFERROR(HLOOKUP('CGL coverage'!F34,'Input '!$G$37:$G$39,3,FALSE),0),0)</f>
        <v>0</v>
      </c>
      <c r="J34" s="1506"/>
      <c r="K34" s="320"/>
      <c r="L34" s="321"/>
      <c r="M34" s="322"/>
      <c r="N34" s="323"/>
      <c r="O34" s="324"/>
      <c r="P34" s="325"/>
      <c r="Q34" s="2734"/>
      <c r="R34" s="326"/>
      <c r="S34" s="326"/>
      <c r="T34" s="326"/>
      <c r="U34" s="326"/>
      <c r="V34" s="326"/>
      <c r="W34" s="326"/>
      <c r="X34" s="326"/>
      <c r="Y34" s="326"/>
      <c r="Z34" s="327"/>
      <c r="AA34" s="328"/>
      <c r="AB34" s="329"/>
      <c r="AC34" s="330"/>
      <c r="AD34" s="328"/>
      <c r="AE34" s="322"/>
      <c r="AF34" s="1272"/>
      <c r="AG34" s="1243"/>
      <c r="AH34" s="331"/>
      <c r="AI34" s="326"/>
      <c r="AJ34" s="326"/>
      <c r="AK34" s="332"/>
      <c r="AL34" s="326"/>
      <c r="AM34" s="326"/>
      <c r="AN34" s="332"/>
      <c r="AO34" s="326"/>
      <c r="AP34" s="326"/>
      <c r="AQ34" s="332"/>
      <c r="AR34" s="326"/>
      <c r="AS34" s="326"/>
      <c r="AT34" s="332"/>
      <c r="AU34" s="326"/>
      <c r="AV34" s="326"/>
      <c r="AW34" s="315">
        <v>500000</v>
      </c>
      <c r="AX34" s="211" t="str">
        <f>IF($B$1="FR","Refus -Revenus hors limite","OUT OF LIMIT")</f>
        <v>OUT OF LIMIT</v>
      </c>
      <c r="AY34" s="317">
        <f t="shared" ref="AY34:AY36" si="7">N34</f>
        <v>0</v>
      </c>
      <c r="AZ34" s="319">
        <f t="shared" si="6"/>
        <v>0</v>
      </c>
      <c r="BA34" s="316"/>
      <c r="BB34" s="316"/>
    </row>
    <row r="35" spans="1:60" s="317" customFormat="1" ht="30" customHeight="1" outlineLevel="1">
      <c r="A35" s="1873" t="s">
        <v>1192</v>
      </c>
      <c r="B35" s="314" t="s">
        <v>1140</v>
      </c>
      <c r="C35" s="314" t="s">
        <v>1140</v>
      </c>
      <c r="D35" s="35"/>
      <c r="E35" s="311">
        <v>3</v>
      </c>
      <c r="F35" s="312">
        <v>1714</v>
      </c>
      <c r="G35" s="313" t="str">
        <f t="shared" si="5"/>
        <v>N</v>
      </c>
      <c r="H35" s="314" t="str">
        <f>IF($B$1="EN",IFERROR(VLOOKUP(F35,'Aide-Help IBC codes'!$A$3:$C$93,2,FALSE),$C$18),IFERROR(VLOOKUP(F35,'Aide-Help IBC codes'!$A$3:$C$93,3,FALSE),$B$18))</f>
        <v>Automatic Sprinklers</v>
      </c>
      <c r="I35" s="2613">
        <f>IF('Input '!$S$37=2,IFERROR(HLOOKUP('CGL coverage'!F35,'Input '!$G$37:$G$39,3,FALSE),0),0)</f>
        <v>0</v>
      </c>
      <c r="J35" s="1506"/>
      <c r="K35" s="320"/>
      <c r="L35" s="321"/>
      <c r="M35" s="322"/>
      <c r="N35" s="323"/>
      <c r="O35" s="324"/>
      <c r="P35" s="325"/>
      <c r="Q35" s="2734"/>
      <c r="R35" s="326"/>
      <c r="S35" s="326"/>
      <c r="T35" s="326"/>
      <c r="U35" s="326"/>
      <c r="V35" s="326"/>
      <c r="W35" s="326"/>
      <c r="X35" s="326"/>
      <c r="Y35" s="326"/>
      <c r="Z35" s="327"/>
      <c r="AA35" s="328"/>
      <c r="AB35" s="329"/>
      <c r="AC35" s="330"/>
      <c r="AD35" s="328"/>
      <c r="AE35" s="322"/>
      <c r="AF35" s="1272"/>
      <c r="AG35" s="1243"/>
      <c r="AH35" s="331"/>
      <c r="AI35" s="326"/>
      <c r="AJ35" s="326"/>
      <c r="AK35" s="332"/>
      <c r="AL35" s="326"/>
      <c r="AM35" s="326"/>
      <c r="AN35" s="332"/>
      <c r="AO35" s="326"/>
      <c r="AP35" s="326"/>
      <c r="AQ35" s="332"/>
      <c r="AR35" s="326"/>
      <c r="AS35" s="326"/>
      <c r="AT35" s="332"/>
      <c r="AU35" s="326"/>
      <c r="AV35" s="326"/>
      <c r="AW35" s="315">
        <v>500000</v>
      </c>
      <c r="AX35" s="211" t="str">
        <f>IF($B$1="FR","Refus -Revenus hors limite","OUT OF LIMIT")</f>
        <v>OUT OF LIMIT</v>
      </c>
      <c r="AY35" s="317">
        <f t="shared" si="7"/>
        <v>0</v>
      </c>
      <c r="AZ35" s="319">
        <f t="shared" si="6"/>
        <v>0</v>
      </c>
      <c r="BA35" s="316"/>
      <c r="BB35" s="316"/>
    </row>
    <row r="36" spans="1:60" s="33" customFormat="1" ht="30" customHeight="1" outlineLevel="1">
      <c r="A36" s="1873" t="s">
        <v>1192</v>
      </c>
      <c r="B36" s="152" t="s">
        <v>1141</v>
      </c>
      <c r="C36" s="152" t="s">
        <v>3411</v>
      </c>
      <c r="D36" s="35"/>
      <c r="E36" s="2">
        <v>4</v>
      </c>
      <c r="F36" s="151"/>
      <c r="G36" s="215" t="str">
        <f t="shared" si="5"/>
        <v>N</v>
      </c>
      <c r="H36" s="152" t="s">
        <v>1141</v>
      </c>
      <c r="I36" s="155">
        <f>SUM(I33:I35)</f>
        <v>0</v>
      </c>
      <c r="J36" s="261"/>
      <c r="K36" s="153" t="str">
        <f>IF(I36=0,"",IF(OR(I36&lt;AW36,I36&gt;5000000),AX36,"OK"))</f>
        <v/>
      </c>
      <c r="L36" s="2034" t="s">
        <v>1031</v>
      </c>
      <c r="M36" s="154" t="s">
        <v>1031</v>
      </c>
      <c r="N36" s="148">
        <f>IF(I36=0,1,IF(AND(K36="OK",L36="Y",M36="Y"),2,-1))</f>
        <v>1</v>
      </c>
      <c r="O36" s="337">
        <v>7</v>
      </c>
      <c r="P36" s="260">
        <f>IF(K36="OK",VLOOKUP($I$5,Settings!$B$59:$F$63,5),)</f>
        <v>0</v>
      </c>
      <c r="Q36" s="260"/>
      <c r="R36" s="155">
        <f>P36*$O$36*I36/1000</f>
        <v>0</v>
      </c>
      <c r="S36" s="155"/>
      <c r="T36" s="155"/>
      <c r="U36" s="155"/>
      <c r="V36" s="155"/>
      <c r="W36" s="155"/>
      <c r="X36" s="155"/>
      <c r="Y36" s="155">
        <f>R36</f>
        <v>0</v>
      </c>
      <c r="Z36" s="2033"/>
      <c r="AA36" s="204">
        <f>IF(Y36*(1-$Y$41)&gt;Z36,Y36,Z36)</f>
        <v>0</v>
      </c>
      <c r="AB36" s="149">
        <v>2500</v>
      </c>
      <c r="AC36" s="2032">
        <f>MAX(AC32:AC35)</f>
        <v>2500</v>
      </c>
      <c r="AD36" s="139">
        <f>MAX(AB36:AC36)</f>
        <v>2500</v>
      </c>
      <c r="AE36" s="208" t="str">
        <f>IF(I36=0,"",IF($B$1="EN",AG36,AF36))</f>
        <v/>
      </c>
      <c r="AF36" s="1269"/>
      <c r="AG36" s="1240"/>
      <c r="AH36" s="282">
        <f>IF($K36="OK",VLOOKUP(AH$28,Settings!$B$59:$F$63,5),)</f>
        <v>0</v>
      </c>
      <c r="AI36" s="113">
        <f>AH36*$O$36*$I36/1000</f>
        <v>0</v>
      </c>
      <c r="AJ36" s="113"/>
      <c r="AK36" s="258">
        <f>IF($K36="OK",VLOOKUP(AK$28,Settings!$B$59:$F$63,5),)</f>
        <v>0</v>
      </c>
      <c r="AL36" s="113">
        <f>AK36*$O$36*$I36/1000</f>
        <v>0</v>
      </c>
      <c r="AM36" s="113"/>
      <c r="AN36" s="258">
        <f>IF($K36="OK",VLOOKUP(AN$28,Settings!$B$59:$F$63,5),)</f>
        <v>0</v>
      </c>
      <c r="AO36" s="113">
        <f>AN36*$O$36*$I36/1000</f>
        <v>0</v>
      </c>
      <c r="AP36" s="113"/>
      <c r="AQ36" s="258">
        <f>IF($K36="OK",VLOOKUP(AQ$28,Settings!$B$59:$F$63,5),)</f>
        <v>0</v>
      </c>
      <c r="AR36" s="113">
        <f>AQ36*$O$36*$I36/1000</f>
        <v>0</v>
      </c>
      <c r="AS36" s="113"/>
      <c r="AT36" s="258">
        <f>IF($K36="OK",VLOOKUP(AT$28,Settings!$B$59:$F$63,5),)</f>
        <v>0</v>
      </c>
      <c r="AU36" s="113">
        <f>AT36*$O$36*$I36/1000</f>
        <v>0</v>
      </c>
      <c r="AV36" s="113"/>
      <c r="AW36" s="38">
        <v>500000</v>
      </c>
      <c r="AX36" s="211" t="str">
        <f>IF($B$1="FR","Refus -Revenus hors limite","OUT OF LIMIT")</f>
        <v>OUT OF LIMIT</v>
      </c>
      <c r="AY36" s="213">
        <f t="shared" si="7"/>
        <v>1</v>
      </c>
      <c r="AZ36" s="212">
        <f t="shared" si="6"/>
        <v>1</v>
      </c>
      <c r="BA36" s="34"/>
      <c r="BB36" s="34"/>
      <c r="BC36" s="104"/>
    </row>
    <row r="37" spans="1:60" s="37" customFormat="1" ht="22.5" customHeight="1" outlineLevel="1">
      <c r="B37" s="82" t="s">
        <v>1026</v>
      </c>
      <c r="C37" s="82" t="s">
        <v>3426</v>
      </c>
      <c r="D37" s="35"/>
      <c r="F37" s="251"/>
      <c r="G37" s="1389">
        <f>INDEX(F32:I35,MATCH(MAX(I32:I35),$I$32:$I$35,1),1)</f>
        <v>1714</v>
      </c>
      <c r="H37" s="82" t="str">
        <f>IF($B$1="EN",C37,B37)</f>
        <v>Sub-total</v>
      </c>
      <c r="I37" s="85">
        <f>SUM(I32:I35)</f>
        <v>0</v>
      </c>
      <c r="J37" s="1058"/>
      <c r="K37" s="121" t="str">
        <f>IF(I37=0,"",IF(AY37&lt;0,AX37,"Y"))</f>
        <v/>
      </c>
      <c r="L37" s="41"/>
      <c r="O37" s="251"/>
      <c r="P37" s="251"/>
      <c r="Q37" s="251"/>
      <c r="R37" s="251"/>
      <c r="S37" s="251"/>
      <c r="T37" s="251"/>
      <c r="U37" s="251"/>
      <c r="V37" s="251"/>
      <c r="W37" s="251"/>
      <c r="X37" s="251"/>
      <c r="Y37" s="85">
        <f>SUM(Y32:Y36)</f>
        <v>0</v>
      </c>
      <c r="Z37" s="85">
        <f>SUM(Z32:Z36)</f>
        <v>0</v>
      </c>
      <c r="AA37" s="85">
        <f>SUM(AA32:AA36)</f>
        <v>0</v>
      </c>
      <c r="AB37" s="85" t="str">
        <f>IF(Y37=0,"",MAX(AB32:AB36))</f>
        <v/>
      </c>
      <c r="AC37" s="85">
        <f>MAX(AC32:AC36)</f>
        <v>2500</v>
      </c>
      <c r="AD37" s="85">
        <f>MAX(AD32:AD36)</f>
        <v>2500</v>
      </c>
      <c r="AE37" s="41"/>
      <c r="AF37" s="1141"/>
      <c r="AG37" s="1244"/>
      <c r="AH37" s="107"/>
      <c r="AI37" s="107">
        <f t="shared" ref="AI37:AV37" si="8">SUM(AI32:AI36)</f>
        <v>0</v>
      </c>
      <c r="AJ37" s="107">
        <f t="shared" si="8"/>
        <v>0</v>
      </c>
      <c r="AK37" s="107"/>
      <c r="AL37" s="107">
        <f t="shared" si="8"/>
        <v>0</v>
      </c>
      <c r="AM37" s="107">
        <f t="shared" si="8"/>
        <v>0</v>
      </c>
      <c r="AN37" s="107"/>
      <c r="AO37" s="107">
        <f t="shared" si="8"/>
        <v>0</v>
      </c>
      <c r="AP37" s="107">
        <f t="shared" si="8"/>
        <v>0</v>
      </c>
      <c r="AQ37" s="107"/>
      <c r="AR37" s="107">
        <f t="shared" si="8"/>
        <v>0</v>
      </c>
      <c r="AS37" s="107">
        <f t="shared" si="8"/>
        <v>0</v>
      </c>
      <c r="AT37" s="107"/>
      <c r="AU37" s="107">
        <f t="shared" si="8"/>
        <v>0</v>
      </c>
      <c r="AV37" s="107">
        <f t="shared" si="8"/>
        <v>0</v>
      </c>
      <c r="AW37" s="41"/>
      <c r="AX37" s="34" t="str">
        <f>IF($B$1="FR","Risque à référer","REFER")</f>
        <v>REFER</v>
      </c>
      <c r="AY37" s="213">
        <f>MIN(AY32:AY36)</f>
        <v>0</v>
      </c>
      <c r="AZ37" s="37">
        <f>SUM(AZ32:AZ36)</f>
        <v>2</v>
      </c>
      <c r="BA37" s="34" t="str">
        <f>VLOOKUP(AZ37,$BD$19:$BE$22,2,TRUE)</f>
        <v>Ok</v>
      </c>
      <c r="BB37" s="34">
        <f>VLOOKUP(BA37,$BE$19:$BF$22,2,FALSE)</f>
        <v>1</v>
      </c>
      <c r="BC37" s="85"/>
    </row>
    <row r="38" spans="1:60" s="37" customFormat="1" ht="35.25" customHeight="1">
      <c r="B38" s="110" t="s">
        <v>4025</v>
      </c>
      <c r="C38" s="110" t="s">
        <v>4026</v>
      </c>
      <c r="D38" s="35"/>
      <c r="E38" s="110"/>
      <c r="F38" s="33" t="str">
        <f>IF(G38=FALSE,"N","Y")</f>
        <v>N</v>
      </c>
      <c r="G38" s="2055" t="b">
        <v>0</v>
      </c>
      <c r="H38" s="110" t="str">
        <f>IF($B$1="EN",C38,B38)</f>
        <v>Deductible by claimant</v>
      </c>
      <c r="I38" s="85"/>
      <c r="J38" s="1058"/>
      <c r="K38" s="121"/>
      <c r="L38" s="41"/>
      <c r="O38" s="251"/>
      <c r="P38" s="251"/>
      <c r="Q38" s="251"/>
      <c r="R38" s="251"/>
      <c r="S38" s="251"/>
      <c r="T38" s="251"/>
      <c r="U38" s="251"/>
      <c r="V38" s="251"/>
      <c r="W38" s="251"/>
      <c r="X38" s="251"/>
      <c r="Y38" s="85"/>
      <c r="Z38" s="1830" t="s">
        <v>1062</v>
      </c>
      <c r="AA38" s="1830"/>
      <c r="AB38" s="115">
        <f>AD37</f>
        <v>2500</v>
      </c>
      <c r="AC38" s="2023">
        <f>AB38</f>
        <v>2500</v>
      </c>
      <c r="AD38" s="88">
        <f>MAX(AB38:AC38)</f>
        <v>2500</v>
      </c>
      <c r="AE38" s="1370"/>
      <c r="AF38" s="41"/>
      <c r="AG38" s="41"/>
      <c r="AH38" s="107"/>
      <c r="AI38" s="107"/>
      <c r="AJ38" s="107"/>
      <c r="AK38" s="107"/>
      <c r="AL38" s="107"/>
      <c r="AM38" s="107"/>
      <c r="AN38" s="107"/>
      <c r="AO38" s="107"/>
      <c r="AP38" s="107"/>
      <c r="AQ38" s="107"/>
      <c r="AR38" s="107"/>
      <c r="AS38" s="107"/>
      <c r="AT38" s="107"/>
      <c r="AU38" s="107"/>
      <c r="AV38" s="107"/>
      <c r="AW38" s="41"/>
      <c r="AX38" s="34"/>
      <c r="AY38" s="213"/>
      <c r="BA38" s="34"/>
      <c r="BB38" s="34"/>
      <c r="BC38" s="85"/>
    </row>
    <row r="39" spans="1:60" s="84" customFormat="1" ht="32.25" customHeight="1">
      <c r="B39" s="110" t="s">
        <v>1059</v>
      </c>
      <c r="C39" s="110" t="s">
        <v>3450</v>
      </c>
      <c r="D39" s="35"/>
      <c r="F39" s="33" t="str">
        <f>IF(G39=FALSE,"N","Y")</f>
        <v>Y</v>
      </c>
      <c r="G39" s="2055" t="b">
        <v>1</v>
      </c>
      <c r="H39" s="110" t="str">
        <f>IF($B$1="EN",C39,B39)</f>
        <v>Water Deductible</v>
      </c>
      <c r="I39" s="237">
        <f>I37</f>
        <v>0</v>
      </c>
      <c r="J39" s="1507"/>
      <c r="K39" s="109"/>
      <c r="L39" s="109"/>
      <c r="O39" s="289"/>
      <c r="Y39" s="107"/>
      <c r="Z39" s="1830" t="s">
        <v>1062</v>
      </c>
      <c r="AA39" s="1830"/>
      <c r="AB39" s="115">
        <v>5000</v>
      </c>
      <c r="AC39" s="2023">
        <f>IF(AB39&lt;5000,5000,AB39)</f>
        <v>5000</v>
      </c>
      <c r="AD39" s="88">
        <f>MAX(AB39:AC39)</f>
        <v>5000</v>
      </c>
      <c r="AE39" s="1370" t="str">
        <f>IF($B$1="EN",AG39,AF39)</f>
        <v>CW208</v>
      </c>
      <c r="AF39" s="41" t="s">
        <v>4099</v>
      </c>
      <c r="AG39" s="41" t="s">
        <v>4098</v>
      </c>
      <c r="AH39" s="31"/>
      <c r="AI39" s="31"/>
      <c r="AJ39" s="31"/>
      <c r="AK39" s="31"/>
      <c r="AL39" s="31"/>
      <c r="AM39" s="31"/>
      <c r="AN39" s="31"/>
      <c r="AO39" s="31"/>
      <c r="AP39" s="31"/>
      <c r="AQ39" s="31"/>
      <c r="AR39" s="31"/>
      <c r="AS39" s="31"/>
      <c r="AT39" s="31"/>
      <c r="AU39" s="31"/>
      <c r="AV39" s="31"/>
      <c r="AW39" s="107"/>
      <c r="AX39" s="107"/>
      <c r="AZ39" s="107"/>
      <c r="BA39" s="107"/>
      <c r="BB39" s="223">
        <f>BB37+BB25</f>
        <v>1</v>
      </c>
      <c r="BC39" s="224" t="str">
        <f>VLOOKUP(BB39,$BF$19:$BG$22,2,TRUE)</f>
        <v>Ok</v>
      </c>
      <c r="BD39" s="107"/>
    </row>
    <row r="40" spans="1:60" s="84" customFormat="1" ht="31.5" customHeight="1">
      <c r="B40" s="110" t="s">
        <v>1060</v>
      </c>
      <c r="C40" s="110" t="s">
        <v>3451</v>
      </c>
      <c r="D40" s="35"/>
      <c r="F40" s="33" t="str">
        <f>IF(G40=FALSE,"N","Y")</f>
        <v>N</v>
      </c>
      <c r="G40" s="2055" t="b">
        <v>0</v>
      </c>
      <c r="H40" s="110" t="str">
        <f>IF($B$1="EN",C40,B40)</f>
        <v>Hot works Deductible</v>
      </c>
      <c r="I40" s="238"/>
      <c r="J40" s="428"/>
      <c r="K40" s="109"/>
      <c r="L40" s="109"/>
      <c r="Y40" s="107"/>
      <c r="Z40" s="1830" t="s">
        <v>1062</v>
      </c>
      <c r="AA40" s="1830"/>
      <c r="AB40" s="115">
        <f>AB39</f>
        <v>5000</v>
      </c>
      <c r="AC40" s="2024">
        <f>AB40</f>
        <v>5000</v>
      </c>
      <c r="AD40" s="88">
        <f>MAX(AB40:AC40)</f>
        <v>5000</v>
      </c>
      <c r="AE40" s="1408" t="s">
        <v>223</v>
      </c>
      <c r="AF40" s="1105"/>
      <c r="AG40" s="1097"/>
      <c r="AH40" s="31"/>
      <c r="AI40" s="31"/>
      <c r="AJ40" s="31"/>
      <c r="AK40" s="31"/>
      <c r="AL40" s="31"/>
      <c r="AM40" s="31"/>
      <c r="AN40" s="31"/>
      <c r="AO40" s="31"/>
      <c r="AP40" s="31"/>
      <c r="AQ40" s="31"/>
      <c r="AR40" s="31"/>
      <c r="AS40" s="31"/>
      <c r="AT40" s="31"/>
      <c r="AU40" s="31"/>
      <c r="AV40" s="31"/>
      <c r="AW40" s="107"/>
      <c r="AX40" s="107"/>
      <c r="AY40" s="107"/>
      <c r="AZ40" s="107"/>
      <c r="BA40" s="107"/>
      <c r="BB40" s="107"/>
      <c r="BC40" s="107"/>
      <c r="BD40" s="107"/>
    </row>
    <row r="41" spans="1:60" s="110" customFormat="1" ht="18.75" hidden="1" outlineLevel="1" thickTop="1">
      <c r="B41" s="117" t="s">
        <v>1063</v>
      </c>
      <c r="C41" s="117" t="s">
        <v>3452</v>
      </c>
      <c r="D41" s="35"/>
      <c r="E41" s="1127" t="s">
        <v>4067</v>
      </c>
      <c r="F41" s="110" t="str">
        <f>IF(OR(F39="Y",F40="Y"),"Y","N")</f>
        <v>Y</v>
      </c>
      <c r="G41" s="188"/>
      <c r="H41" s="117" t="str">
        <f>IF($B$1="EN",C41,B41)</f>
        <v>HVAC conditions quoted</v>
      </c>
      <c r="I41" s="119"/>
      <c r="J41" s="119"/>
      <c r="K41" s="117"/>
      <c r="L41" s="117"/>
      <c r="M41" s="117"/>
      <c r="N41" s="134" t="s">
        <v>1069</v>
      </c>
      <c r="O41" s="134"/>
      <c r="P41" s="134"/>
      <c r="Q41" s="134"/>
      <c r="R41" s="134"/>
      <c r="S41" s="134"/>
      <c r="T41" s="134"/>
      <c r="U41" s="134"/>
      <c r="V41" s="134"/>
      <c r="W41" s="134"/>
      <c r="X41" s="134"/>
      <c r="Y41" s="118">
        <v>0</v>
      </c>
      <c r="Z41" s="119">
        <f>IF(Y37*(1-Y41)&gt;Z37,Y37,Z37)</f>
        <v>0</v>
      </c>
      <c r="AA41" s="119">
        <f>IF(Z37*(1-Z41)&gt;AA37,Z37,AA37)</f>
        <v>0</v>
      </c>
      <c r="AB41" s="119">
        <f>MAX(AB37:AB37)</f>
        <v>0</v>
      </c>
      <c r="AC41" s="119"/>
      <c r="AD41" s="119"/>
      <c r="AE41" s="1353"/>
      <c r="AF41" s="1273"/>
      <c r="AG41" s="1245"/>
      <c r="AX41" s="107"/>
      <c r="AY41" s="107"/>
      <c r="AZ41" s="107"/>
      <c r="BA41" s="107"/>
      <c r="BB41" s="107"/>
    </row>
    <row r="42" spans="1:60" s="33" customFormat="1" collapsed="1">
      <c r="B42" s="83"/>
      <c r="C42" s="83"/>
      <c r="D42" s="35"/>
      <c r="G42" s="186"/>
      <c r="H42" s="83"/>
      <c r="K42" s="2056"/>
      <c r="L42" s="2056"/>
      <c r="AB42" s="1830"/>
      <c r="AC42" s="1830"/>
      <c r="AD42" s="1830"/>
      <c r="AE42" s="2056"/>
      <c r="AF42" s="1237"/>
      <c r="AG42" s="1238"/>
      <c r="AH42" s="274"/>
      <c r="AI42" s="274"/>
      <c r="AJ42" s="274"/>
      <c r="AK42" s="274"/>
      <c r="AL42" s="274"/>
      <c r="AM42" s="274"/>
      <c r="AN42" s="274"/>
      <c r="AO42" s="274"/>
      <c r="AP42" s="274"/>
      <c r="AQ42" s="274"/>
      <c r="AR42" s="274"/>
      <c r="AS42" s="274"/>
      <c r="AT42" s="274"/>
      <c r="AU42" s="274"/>
      <c r="AV42" s="274"/>
      <c r="AW42" s="2056"/>
      <c r="AX42" s="107"/>
      <c r="AY42" s="107"/>
      <c r="AZ42" s="107"/>
      <c r="BA42" s="107"/>
      <c r="BB42" s="107"/>
    </row>
    <row r="43" spans="1:60" s="33" customFormat="1" outlineLevel="1">
      <c r="B43" s="83"/>
      <c r="C43" s="83"/>
      <c r="D43" s="35"/>
      <c r="G43" s="186"/>
      <c r="H43" s="83"/>
      <c r="K43" s="2056"/>
      <c r="L43" s="2056"/>
      <c r="AB43" s="1830"/>
      <c r="AC43" s="1830"/>
      <c r="AD43" s="1830"/>
      <c r="AE43" s="338"/>
      <c r="AF43" s="1274" t="s">
        <v>1144</v>
      </c>
      <c r="AG43" s="1246" t="s">
        <v>1144</v>
      </c>
      <c r="AH43" s="274"/>
      <c r="AI43" s="274"/>
      <c r="AJ43" s="274"/>
      <c r="AK43" s="274"/>
      <c r="AL43" s="274"/>
      <c r="AM43" s="274"/>
      <c r="AN43" s="274"/>
      <c r="AO43" s="274"/>
      <c r="AP43" s="274"/>
      <c r="AQ43" s="274"/>
      <c r="AR43" s="274"/>
      <c r="AS43" s="274"/>
      <c r="AT43" s="274"/>
      <c r="AU43" s="274"/>
      <c r="AV43" s="274"/>
      <c r="AW43" s="2056"/>
      <c r="AX43" s="107"/>
      <c r="AY43" s="107"/>
      <c r="AZ43" s="107"/>
      <c r="BA43" s="107"/>
      <c r="BB43" s="107"/>
    </row>
    <row r="44" spans="1:60" s="33" customFormat="1" ht="17.25" outlineLevel="1" thickBot="1">
      <c r="B44" s="83"/>
      <c r="C44" s="83"/>
      <c r="D44" s="35"/>
      <c r="G44" s="186"/>
      <c r="H44" s="83"/>
      <c r="K44" s="2056"/>
      <c r="L44" s="2056"/>
      <c r="AB44" s="1830"/>
      <c r="AC44" s="1830"/>
      <c r="AD44" s="1830"/>
      <c r="AE44" s="2056"/>
      <c r="AF44" s="1237" t="s">
        <v>1143</v>
      </c>
      <c r="AG44" s="1238" t="s">
        <v>1143</v>
      </c>
      <c r="AH44" s="274"/>
      <c r="AI44" s="274"/>
      <c r="AJ44" s="274"/>
      <c r="AK44" s="274"/>
      <c r="AL44" s="274"/>
      <c r="AM44" s="274"/>
      <c r="AN44" s="274"/>
      <c r="AO44" s="274"/>
      <c r="AP44" s="274"/>
      <c r="AQ44" s="274"/>
      <c r="AR44" s="274"/>
      <c r="AS44" s="274"/>
      <c r="AT44" s="274"/>
      <c r="AU44" s="274"/>
      <c r="AV44" s="274"/>
      <c r="AW44" s="2056"/>
      <c r="AX44" s="107"/>
      <c r="AY44" s="107"/>
      <c r="AZ44" s="107"/>
      <c r="BA44" s="107"/>
      <c r="BB44" s="107"/>
    </row>
    <row r="45" spans="1:60" s="33" customFormat="1" ht="18" hidden="1">
      <c r="B45" s="83"/>
      <c r="C45" s="83"/>
      <c r="D45" s="35"/>
      <c r="E45" s="1127" t="s">
        <v>4067</v>
      </c>
      <c r="G45" s="186"/>
      <c r="H45" s="83"/>
      <c r="K45" s="2056"/>
      <c r="L45" s="2056"/>
      <c r="AA45" s="336">
        <f>AA37+AA22</f>
        <v>0</v>
      </c>
      <c r="AB45" s="1830"/>
      <c r="AC45" s="1830"/>
      <c r="AD45" s="1830"/>
      <c r="AE45" s="339"/>
      <c r="AF45" s="1275" t="s">
        <v>1142</v>
      </c>
      <c r="AG45" s="1247" t="s">
        <v>1142</v>
      </c>
      <c r="AH45" s="274"/>
      <c r="AI45" s="274"/>
      <c r="AJ45" s="274"/>
      <c r="AK45" s="274"/>
      <c r="AL45" s="274"/>
      <c r="AM45" s="274"/>
      <c r="AN45" s="274"/>
      <c r="AO45" s="274"/>
      <c r="AP45" s="274"/>
      <c r="AQ45" s="274"/>
      <c r="AR45" s="274"/>
      <c r="AS45" s="274"/>
      <c r="AT45" s="274"/>
      <c r="AU45" s="274"/>
      <c r="AV45" s="274"/>
      <c r="AW45" s="2056"/>
      <c r="AX45" s="107"/>
      <c r="AY45" s="107"/>
      <c r="AZ45" s="107"/>
      <c r="BA45" s="107"/>
      <c r="BB45" s="107"/>
    </row>
    <row r="46" spans="1:60" s="33" customFormat="1" ht="18.75" hidden="1" thickBot="1">
      <c r="B46" s="83"/>
      <c r="C46" s="83"/>
      <c r="D46" s="35"/>
      <c r="E46" s="1127" t="s">
        <v>4067</v>
      </c>
      <c r="G46" s="186"/>
      <c r="H46" s="83"/>
      <c r="K46" s="2056"/>
      <c r="L46" s="2056"/>
      <c r="AA46" s="336"/>
      <c r="AB46" s="1830"/>
      <c r="AC46" s="1830"/>
      <c r="AD46" s="1830"/>
      <c r="AE46" s="339"/>
      <c r="AF46" s="1275"/>
      <c r="AG46" s="1247"/>
      <c r="AH46" s="274"/>
      <c r="AI46" s="274"/>
      <c r="AJ46" s="274"/>
      <c r="AK46" s="274"/>
      <c r="AL46" s="274"/>
      <c r="AM46" s="274"/>
      <c r="AN46" s="274"/>
      <c r="AO46" s="274"/>
      <c r="AP46" s="274"/>
      <c r="AQ46" s="274"/>
      <c r="AR46" s="274"/>
      <c r="AS46" s="274"/>
      <c r="AT46" s="274"/>
      <c r="AU46" s="274"/>
      <c r="AV46" s="274"/>
      <c r="AW46" s="2056"/>
      <c r="AX46" s="107"/>
      <c r="AY46" s="107"/>
      <c r="AZ46" s="107"/>
      <c r="BA46" s="107"/>
      <c r="BB46" s="107"/>
    </row>
    <row r="47" spans="1:60" s="84" customFormat="1" ht="29.25" thickBot="1">
      <c r="B47" s="136" t="s">
        <v>1261</v>
      </c>
      <c r="C47" s="136" t="s">
        <v>3417</v>
      </c>
      <c r="D47" s="35"/>
      <c r="E47" s="1127"/>
      <c r="F47" s="135" t="str">
        <f>IF(AA47&gt;0,"Y","N")</f>
        <v>N</v>
      </c>
      <c r="G47" s="135" t="str">
        <f>IFERROR(IF(AB7=TRUE,IF(I18&gt;0,F18,G37),F50),"")</f>
        <v/>
      </c>
      <c r="H47" s="136" t="str">
        <f>IF($B$1="EN",IFERROR(VLOOKUP(G47,'Aide-Help IBC codes'!$A$3:$C$93,2,FALSE),$C$18),IFERROR(VLOOKUP(G47,'Aide-Help IBC codes'!$A$3:$C$93,3,FALSE),$B$18))</f>
        <v>Input IBC code in the green cell</v>
      </c>
      <c r="I47" s="136" t="str">
        <f>IF($B$1="EN",C47,B47)</f>
        <v>Total CGL Premium with Amlin</v>
      </c>
      <c r="J47" s="136"/>
      <c r="K47" s="136"/>
      <c r="L47" s="136"/>
      <c r="M47" s="136"/>
      <c r="N47" s="333" t="s">
        <v>3472</v>
      </c>
      <c r="O47" s="334"/>
      <c r="P47" s="334"/>
      <c r="Q47" s="334"/>
      <c r="R47" s="334"/>
      <c r="S47" s="334"/>
      <c r="T47" s="334"/>
      <c r="U47" s="334"/>
      <c r="V47" s="334"/>
      <c r="W47" s="334"/>
      <c r="X47" s="334"/>
      <c r="Y47" s="335">
        <f>IF(K36="OK",VLOOKUP($I$5,Settings!$B$59:$F$63,4),)</f>
        <v>0</v>
      </c>
      <c r="Z47" s="137"/>
      <c r="AA47" s="137">
        <f>MAX(AA45,Y47)</f>
        <v>0</v>
      </c>
      <c r="AB47" s="137"/>
      <c r="AC47" s="137"/>
      <c r="AD47" s="137">
        <f>IF(AND(I18&gt;0,I37=0),AD22,IF(AND(I18=0,I37&gt;0),AD36,AD22))</f>
        <v>2500</v>
      </c>
      <c r="AE47" s="1444" t="str">
        <f>CONCATENATE(AE22,AE32,AE36)</f>
        <v>L1A,CW180</v>
      </c>
      <c r="AF47" s="1307" t="str">
        <f>CONCATENATE(AF22,AF32,AF36)</f>
        <v>L1A</v>
      </c>
      <c r="AG47" s="1307" t="str">
        <f>CONCATENATE(AG22,AG32,AG36)</f>
        <v>L1A,CW180</v>
      </c>
      <c r="AH47" s="137"/>
      <c r="AI47" s="137"/>
      <c r="AJ47" s="137"/>
      <c r="AK47" s="137"/>
      <c r="AL47" s="137"/>
      <c r="AM47" s="137"/>
      <c r="AN47" s="137"/>
      <c r="AO47" s="137"/>
      <c r="AP47" s="137"/>
      <c r="AQ47" s="137"/>
      <c r="AR47" s="137"/>
      <c r="AS47" s="137"/>
      <c r="AT47" s="137"/>
      <c r="AU47" s="137"/>
      <c r="AV47" s="137"/>
      <c r="AW47" s="1308">
        <v>5000000</v>
      </c>
      <c r="AX47" s="1309"/>
      <c r="AY47" s="1309"/>
      <c r="AZ47" s="1309"/>
      <c r="BA47" s="1309"/>
      <c r="BB47" s="1309"/>
      <c r="BC47" s="1309"/>
      <c r="BD47" s="1309"/>
      <c r="BE47" s="1309"/>
      <c r="BF47" s="1309"/>
      <c r="BG47" s="1309"/>
      <c r="BH47" s="1309"/>
    </row>
    <row r="48" spans="1:60" s="84" customFormat="1" ht="36.75" customHeight="1">
      <c r="B48" s="128"/>
      <c r="C48" s="128"/>
      <c r="D48" s="35"/>
      <c r="F48" s="2052"/>
      <c r="G48" s="2278" t="str">
        <f>IF($B$1="EN",$C$49,B49)</f>
        <v>CGL Rating outside of Contractor's framework</v>
      </c>
      <c r="J48" s="1042"/>
      <c r="L48" s="1039" t="s">
        <v>3695</v>
      </c>
      <c r="M48" s="2892">
        <f>I5</f>
        <v>1000000</v>
      </c>
      <c r="N48" s="1042"/>
      <c r="O48" s="128"/>
      <c r="P48" s="128"/>
      <c r="Q48" s="128"/>
      <c r="R48" s="128"/>
      <c r="S48" s="128"/>
      <c r="T48" s="128"/>
      <c r="U48" s="128"/>
      <c r="V48" s="128"/>
      <c r="W48" s="128"/>
      <c r="X48" s="128"/>
      <c r="Y48" s="421"/>
      <c r="Z48" s="422"/>
      <c r="AA48" s="422"/>
      <c r="AB48" s="422"/>
      <c r="AC48" s="422"/>
      <c r="AD48" s="422"/>
      <c r="AE48" s="1354"/>
      <c r="AF48" s="1276"/>
      <c r="AG48" s="1248"/>
      <c r="AH48" s="422"/>
      <c r="AI48" s="422"/>
      <c r="AJ48" s="422"/>
      <c r="AK48" s="422"/>
      <c r="AL48" s="422"/>
      <c r="AM48" s="422"/>
      <c r="AN48" s="422"/>
      <c r="AO48" s="422"/>
      <c r="AP48" s="422"/>
      <c r="AQ48" s="422"/>
      <c r="AR48" s="422"/>
      <c r="AS48" s="422"/>
      <c r="AT48" s="422"/>
      <c r="AU48" s="422"/>
      <c r="AV48" s="422"/>
      <c r="AW48" s="1063" t="s">
        <v>1038</v>
      </c>
      <c r="AX48" s="1064"/>
      <c r="AY48" s="216"/>
      <c r="AZ48" s="34"/>
    </row>
    <row r="49" spans="1:54" s="84" customFormat="1" ht="35.25" customHeight="1">
      <c r="A49" s="1873" t="s">
        <v>1192</v>
      </c>
      <c r="B49" s="419" t="s">
        <v>4083</v>
      </c>
      <c r="C49" s="419" t="s">
        <v>4082</v>
      </c>
      <c r="D49" s="35"/>
      <c r="F49" s="156" t="s">
        <v>3415</v>
      </c>
      <c r="G49" s="1375" t="s">
        <v>3387</v>
      </c>
      <c r="H49" s="1409"/>
      <c r="K49" s="128"/>
      <c r="L49" s="128"/>
      <c r="M49" s="128"/>
      <c r="N49" s="128"/>
      <c r="O49" s="128"/>
      <c r="P49" s="128"/>
      <c r="Q49" s="128"/>
      <c r="R49" s="128"/>
      <c r="S49" s="128"/>
      <c r="T49" s="128"/>
      <c r="U49" s="128"/>
      <c r="V49" s="128"/>
      <c r="W49" s="128"/>
      <c r="X49" s="128"/>
      <c r="Y49" s="421"/>
      <c r="Z49" s="422"/>
      <c r="AA49" s="422"/>
      <c r="AB49" s="422"/>
      <c r="AC49" s="422"/>
      <c r="AD49" s="422"/>
      <c r="AE49" s="1354"/>
      <c r="AF49" s="1276"/>
      <c r="AG49" s="1248"/>
      <c r="AH49" s="422"/>
      <c r="AI49" s="422"/>
      <c r="AJ49" s="422"/>
      <c r="AK49" s="422"/>
      <c r="AL49" s="422"/>
      <c r="AM49" s="422"/>
      <c r="AN49" s="422"/>
      <c r="AO49" s="422"/>
      <c r="AP49" s="422"/>
      <c r="AQ49" s="422"/>
      <c r="AR49" s="422"/>
      <c r="AS49" s="422"/>
      <c r="AT49" s="422"/>
      <c r="AU49" s="422"/>
      <c r="AV49" s="422"/>
      <c r="AW49" s="1065">
        <f>IF(OR($AB$10=TRUE,$AB$12=TRUE),0,1)</f>
        <v>1</v>
      </c>
      <c r="AX49" s="1066" t="e">
        <f>IF(AND(AW49=1,$G$50="R"),"REFER  -",IF(AND(AW49=1,$G$50="X"),"DECLINE - ","-"))</f>
        <v>#REF!</v>
      </c>
    </row>
    <row r="50" spans="1:54" s="1036" customFormat="1" ht="28.5" customHeight="1">
      <c r="A50" s="1873" t="s">
        <v>1192</v>
      </c>
      <c r="B50" s="1039" t="s">
        <v>3366</v>
      </c>
      <c r="C50" s="1039" t="s">
        <v>3366</v>
      </c>
      <c r="D50" s="35"/>
      <c r="F50" s="1816" t="str">
        <f>'Input '!G37</f>
        <v/>
      </c>
      <c r="G50" s="1376" t="e">
        <f>VLOOKUP(F50,#REF!,5,FALSE)</f>
        <v>#REF!</v>
      </c>
      <c r="H50" s="1410" t="str">
        <f>IF($B$1="EN",IFERROR(CONCATENATE(F50,$AX$49,(VLOOKUP(F50,#REF!,2,FALSE))),C54),IFERROR(CONCATENATE(F50,$AX$49,(VLOOKUP(F50,#REF!,3,FALSE))),B54))</f>
        <v>Input Contractor's IBC code</v>
      </c>
      <c r="I50" s="1314" t="e">
        <f>IF(F50=0,"",VLOOKUP(F50,'Aide-Help IBC codes'!A:D,4,FALSE))</f>
        <v>#N/A</v>
      </c>
      <c r="K50" s="1038"/>
      <c r="L50" s="1038"/>
      <c r="AA50" s="1037"/>
      <c r="AB50" s="472"/>
      <c r="AC50" s="472"/>
      <c r="AD50" s="472"/>
      <c r="AE50" s="1039"/>
      <c r="AF50" s="1126"/>
      <c r="AG50" s="1118"/>
      <c r="AH50" s="1040"/>
      <c r="AI50" s="1040"/>
      <c r="AJ50" s="1040"/>
      <c r="AK50" s="1040"/>
      <c r="AL50" s="1040"/>
      <c r="AM50" s="1040"/>
      <c r="AN50" s="1040"/>
      <c r="AO50" s="1040"/>
      <c r="AP50" s="1040"/>
      <c r="AQ50" s="1040"/>
      <c r="AR50" s="1040"/>
      <c r="AS50" s="1040"/>
      <c r="AT50" s="1040"/>
      <c r="AU50" s="1040"/>
      <c r="AV50" s="1040"/>
      <c r="AW50" s="1038"/>
      <c r="AX50" s="1041"/>
      <c r="AY50" s="1041"/>
      <c r="AZ50" s="1041"/>
      <c r="BA50" s="1041"/>
      <c r="BB50" s="1041"/>
    </row>
    <row r="51" spans="1:54" s="1127" customFormat="1" ht="28.5" hidden="1" customHeight="1" outlineLevel="2">
      <c r="A51" s="1873" t="s">
        <v>1192</v>
      </c>
      <c r="B51" s="1126"/>
      <c r="C51" s="1126"/>
      <c r="D51" s="35"/>
      <c r="E51" s="1127" t="s">
        <v>4067</v>
      </c>
      <c r="G51" s="1128"/>
      <c r="H51" s="1126"/>
      <c r="I51" s="1107" t="s">
        <v>967</v>
      </c>
      <c r="J51" s="1503"/>
      <c r="K51" s="1108"/>
      <c r="L51" s="1108" t="s">
        <v>1050</v>
      </c>
      <c r="M51" s="1108" t="s">
        <v>222</v>
      </c>
      <c r="N51" s="1129" t="s">
        <v>3356</v>
      </c>
      <c r="O51" s="1108" t="s">
        <v>3357</v>
      </c>
      <c r="P51" s="1130"/>
      <c r="Q51" s="1130"/>
      <c r="R51" s="1129"/>
      <c r="S51" s="1129"/>
      <c r="T51" s="1129"/>
      <c r="U51" s="1129"/>
      <c r="V51" s="1109" t="s">
        <v>3359</v>
      </c>
      <c r="W51" s="1109"/>
      <c r="X51" s="1109"/>
      <c r="Y51" s="1109" t="s">
        <v>1036</v>
      </c>
      <c r="Z51" s="1109" t="s">
        <v>1095</v>
      </c>
      <c r="AA51" s="1109" t="s">
        <v>1095</v>
      </c>
      <c r="AB51" s="1110" t="s">
        <v>1072</v>
      </c>
      <c r="AC51" s="1110" t="s">
        <v>1073</v>
      </c>
      <c r="AD51" s="1110" t="s">
        <v>1074</v>
      </c>
      <c r="AE51" s="1111" t="s">
        <v>27</v>
      </c>
      <c r="AF51" s="1111" t="s">
        <v>27</v>
      </c>
      <c r="AG51" s="1103" t="s">
        <v>27</v>
      </c>
      <c r="AH51" s="1131"/>
      <c r="AI51" s="1131"/>
      <c r="AJ51" s="1131"/>
      <c r="AK51" s="1131"/>
      <c r="AL51" s="1131"/>
      <c r="AM51" s="1131"/>
      <c r="AN51" s="1131"/>
      <c r="AO51" s="1131"/>
      <c r="AP51" s="1131"/>
      <c r="AQ51" s="1131"/>
      <c r="AR51" s="1131"/>
      <c r="AS51" s="1131"/>
      <c r="AT51" s="1131"/>
      <c r="AU51" s="1131"/>
      <c r="AV51" s="1131"/>
      <c r="AW51" s="1132"/>
      <c r="AX51" s="1133"/>
      <c r="AY51" s="1133"/>
      <c r="AZ51" s="1133"/>
      <c r="BA51" s="1133"/>
      <c r="BB51" s="1133"/>
    </row>
    <row r="52" spans="1:54" s="1119" customFormat="1" ht="28.5" hidden="1" customHeight="1" outlineLevel="2">
      <c r="A52" s="1873" t="s">
        <v>1192</v>
      </c>
      <c r="B52" s="1118"/>
      <c r="C52" s="1118"/>
      <c r="D52" s="35"/>
      <c r="E52" s="1119" t="s">
        <v>4067</v>
      </c>
      <c r="G52" s="1120"/>
      <c r="H52" s="1118"/>
      <c r="I52" s="1099" t="s">
        <v>3457</v>
      </c>
      <c r="J52" s="1503"/>
      <c r="K52" s="1100"/>
      <c r="L52" s="1100" t="s">
        <v>3468</v>
      </c>
      <c r="M52" s="1100" t="s">
        <v>222</v>
      </c>
      <c r="N52" s="1100" t="s">
        <v>3469</v>
      </c>
      <c r="O52" s="1100" t="s">
        <v>1231</v>
      </c>
      <c r="P52" s="1121" t="s">
        <v>222</v>
      </c>
      <c r="Q52" s="1121"/>
      <c r="R52" s="1122" t="s">
        <v>3455</v>
      </c>
      <c r="S52" s="1122"/>
      <c r="T52" s="1122"/>
      <c r="U52" s="1122"/>
      <c r="V52" s="1122" t="s">
        <v>3359</v>
      </c>
      <c r="W52" s="1122"/>
      <c r="X52" s="1122"/>
      <c r="Y52" s="1101" t="s">
        <v>3471</v>
      </c>
      <c r="Z52" s="1101" t="s">
        <v>3470</v>
      </c>
      <c r="AA52" s="1101" t="s">
        <v>3462</v>
      </c>
      <c r="AB52" s="1102" t="s">
        <v>3463</v>
      </c>
      <c r="AC52" s="1102" t="s">
        <v>3464</v>
      </c>
      <c r="AD52" s="1102" t="s">
        <v>3465</v>
      </c>
      <c r="AE52" s="1103" t="s">
        <v>3456</v>
      </c>
      <c r="AF52" s="1111" t="s">
        <v>3456</v>
      </c>
      <c r="AG52" s="1103" t="s">
        <v>3456</v>
      </c>
      <c r="AH52" s="1123"/>
      <c r="AI52" s="1123"/>
      <c r="AJ52" s="1123"/>
      <c r="AK52" s="1123"/>
      <c r="AL52" s="1123"/>
      <c r="AM52" s="1123"/>
      <c r="AN52" s="1123"/>
      <c r="AO52" s="1123"/>
      <c r="AP52" s="1123"/>
      <c r="AQ52" s="1123"/>
      <c r="AR52" s="1123"/>
      <c r="AS52" s="1123"/>
      <c r="AT52" s="1123"/>
      <c r="AU52" s="1123"/>
      <c r="AV52" s="1123"/>
      <c r="AW52" s="1124"/>
      <c r="AX52" s="1125"/>
      <c r="AY52" s="1125"/>
      <c r="AZ52" s="1125"/>
      <c r="BA52" s="1125"/>
      <c r="BB52" s="1125"/>
    </row>
    <row r="53" spans="1:54" s="35" customFormat="1" ht="50.25" customHeight="1" collapsed="1">
      <c r="A53" s="1873" t="s">
        <v>1192</v>
      </c>
      <c r="B53" s="140" t="s">
        <v>1276</v>
      </c>
      <c r="C53" s="140" t="s">
        <v>3698</v>
      </c>
      <c r="F53" s="156" t="str">
        <f>IF($B$1="EN","Quote: Y/N","Offerte : Y/N")</f>
        <v>Quote: Y/N</v>
      </c>
      <c r="G53" s="192"/>
      <c r="H53" s="1076" t="str">
        <f>IF($B$1="EN",C53,B53)</f>
        <v xml:space="preserve">Commercial General Liability  </v>
      </c>
      <c r="I53" s="141" t="str">
        <f>IF($B$1="EN",I52,I51)</f>
        <v>$ Revenues from the activity?</v>
      </c>
      <c r="J53" s="1503"/>
      <c r="K53" s="142"/>
      <c r="L53" s="142" t="str">
        <f t="shared" ref="L53:R53" si="9">IF($B$1="EN",L52,L51)</f>
        <v>Revenues category</v>
      </c>
      <c r="M53" s="143" t="str">
        <f t="shared" si="9"/>
        <v>ILF</v>
      </c>
      <c r="N53" s="143" t="str">
        <f t="shared" si="9"/>
        <v>min rate</v>
      </c>
      <c r="O53" s="191" t="str">
        <f t="shared" si="9"/>
        <v>Rate</v>
      </c>
      <c r="P53" s="143" t="str">
        <f t="shared" si="9"/>
        <v>ILF</v>
      </c>
      <c r="Q53" s="143"/>
      <c r="R53" s="252" t="str">
        <f t="shared" si="9"/>
        <v>Min premium calculated by the rate</v>
      </c>
      <c r="S53" s="252"/>
      <c r="T53" s="252"/>
      <c r="U53" s="252"/>
      <c r="V53" s="252" t="str">
        <f>IF($B$1="EN",V52,V51)</f>
        <v>Limit rate</v>
      </c>
      <c r="W53" s="252"/>
      <c r="X53" s="252"/>
      <c r="Y53" s="144" t="str">
        <f t="shared" ref="Y53:AE53" si="10">IF($B$1="EN",Y52,Y51)</f>
        <v>Market premium</v>
      </c>
      <c r="Z53" s="144" t="str">
        <f t="shared" si="10"/>
        <v xml:space="preserve">Premium quoted </v>
      </c>
      <c r="AA53" s="144" t="str">
        <f t="shared" si="10"/>
        <v>Premium displayed</v>
      </c>
      <c r="AB53" s="145" t="str">
        <f t="shared" si="10"/>
        <v>Min Deductible</v>
      </c>
      <c r="AC53" s="145" t="str">
        <f t="shared" si="10"/>
        <v>Quoted Deductible</v>
      </c>
      <c r="AD53" s="145" t="str">
        <f t="shared" si="10"/>
        <v>Deductible displayed</v>
      </c>
      <c r="AE53" s="207" t="str">
        <f t="shared" si="10"/>
        <v>Form</v>
      </c>
      <c r="AF53" s="1111" t="s">
        <v>27</v>
      </c>
      <c r="AG53" s="1190" t="s">
        <v>3456</v>
      </c>
      <c r="AH53" s="267" t="s">
        <v>1136</v>
      </c>
      <c r="AI53" s="270" t="s">
        <v>1134</v>
      </c>
      <c r="AJ53" s="271" t="s">
        <v>1135</v>
      </c>
      <c r="AK53" s="270" t="s">
        <v>1136</v>
      </c>
      <c r="AL53" s="270" t="s">
        <v>1134</v>
      </c>
      <c r="AM53" s="271" t="s">
        <v>1135</v>
      </c>
      <c r="AN53" s="270" t="s">
        <v>1136</v>
      </c>
      <c r="AO53" s="270" t="s">
        <v>1134</v>
      </c>
      <c r="AP53" s="271" t="s">
        <v>1135</v>
      </c>
      <c r="AQ53" s="270" t="s">
        <v>1136</v>
      </c>
      <c r="AR53" s="270" t="s">
        <v>1134</v>
      </c>
      <c r="AS53" s="267" t="s">
        <v>1135</v>
      </c>
      <c r="AT53" s="270" t="s">
        <v>1136</v>
      </c>
      <c r="AU53" s="270" t="s">
        <v>1134</v>
      </c>
      <c r="AV53" s="271" t="s">
        <v>1135</v>
      </c>
      <c r="AW53" s="216" t="s">
        <v>1053</v>
      </c>
      <c r="AX53" s="216" t="s">
        <v>1038</v>
      </c>
      <c r="AY53" s="216" t="s">
        <v>1057</v>
      </c>
      <c r="AZ53" s="216" t="s">
        <v>1067</v>
      </c>
      <c r="BA53" s="34" t="s">
        <v>1103</v>
      </c>
      <c r="BB53" s="34" t="s">
        <v>1104</v>
      </c>
    </row>
    <row r="54" spans="1:54" s="33" customFormat="1" ht="31.5" customHeight="1">
      <c r="A54" s="1873" t="s">
        <v>1192</v>
      </c>
      <c r="B54" s="112" t="s">
        <v>3700</v>
      </c>
      <c r="C54" s="112" t="s">
        <v>3699</v>
      </c>
      <c r="D54" s="35"/>
      <c r="F54" s="1366" t="str">
        <f>IF(G54=TRUE,"Y","N")</f>
        <v>Y</v>
      </c>
      <c r="G54" s="3447" t="b">
        <f>Map!U151</f>
        <v>1</v>
      </c>
      <c r="H54" s="1076" t="str">
        <f>IF($B$1="EN",C53,B53)</f>
        <v xml:space="preserve">Commercial General Liability  </v>
      </c>
      <c r="I54" s="2612">
        <f>IF('Input '!$S$37=3,'Input '!G39,0)</f>
        <v>0</v>
      </c>
      <c r="J54" s="1508"/>
      <c r="K54" s="1365" t="e">
        <f>IF(OR($AB$10=TRUE,$AB$12=TRUE),"",IF($Y$57&lt;$Y$56,K56,K57))</f>
        <v>#REF!</v>
      </c>
      <c r="L54" s="1379" t="e">
        <f>IF(OR($AB$10=TRUE,$AB$12=TRUE),"",IF($Y$57&lt;$Y$56,L56,L57))</f>
        <v>#REF!</v>
      </c>
      <c r="M54" s="1379" t="e">
        <f>IF(OR($AB$10=TRUE,$AB$12=TRUE),"",IF($Y$57&lt;$Y$56,M56,M57))</f>
        <v>#REF!</v>
      </c>
      <c r="N54" s="1379" t="e">
        <f>IF(OR($AB$10=TRUE,$AB$12=TRUE),"",IF($Y$57&lt;$Y$56,N56,N57))</f>
        <v>#REF!</v>
      </c>
      <c r="O54" s="1380" t="e">
        <f t="shared" ref="O54:R54" si="11">IF($Y$57&lt;$Y$56,O56,O57)</f>
        <v>#REF!</v>
      </c>
      <c r="P54" s="1380" t="e">
        <f t="shared" si="11"/>
        <v>#REF!</v>
      </c>
      <c r="Q54" s="1380"/>
      <c r="R54" s="1380" t="e">
        <f t="shared" si="11"/>
        <v>#REF!</v>
      </c>
      <c r="S54" s="1380"/>
      <c r="T54" s="1380"/>
      <c r="U54" s="1380"/>
      <c r="V54" s="1379" t="e">
        <f>IF(OR($AB$10=TRUE,$AB$12=TRUE),"",IF($Y$57&lt;$Y$56,V56,V57))</f>
        <v>#REF!</v>
      </c>
      <c r="W54" s="1379"/>
      <c r="X54" s="1379"/>
      <c r="Y54" s="1365" t="str">
        <f>IF(SUM('Input '!$G$47:$G$50)&gt;1%,0,IF(F50=0,0,IF(OR($AB$10=TRUE,$AB$12=TRUE),0,IF(I54=0,C57,MAX(Y56,Y57)))))</f>
        <v>Input Revenues from activity</v>
      </c>
      <c r="Z54" s="2041"/>
      <c r="AA54" s="1365">
        <f>IF(I54=0,0,MAX(Y54:Z54))</f>
        <v>0</v>
      </c>
      <c r="AB54" s="1365">
        <v>2500</v>
      </c>
      <c r="AC54" s="2040"/>
      <c r="AD54" s="1365">
        <f>IFERROR(MAX(AB54:AC54),1000)</f>
        <v>2500</v>
      </c>
      <c r="AE54" s="1365" t="str">
        <f>IF($B$1="EN",AG54,AF54)</f>
        <v>L1A</v>
      </c>
      <c r="AF54" s="1377" t="s">
        <v>25</v>
      </c>
      <c r="AG54" s="1378" t="s">
        <v>25</v>
      </c>
      <c r="AH54" s="274"/>
      <c r="AI54" s="274"/>
      <c r="AJ54" s="274"/>
      <c r="AK54" s="274"/>
      <c r="AL54" s="274"/>
      <c r="AM54" s="274"/>
      <c r="AN54" s="274"/>
      <c r="AO54" s="274"/>
      <c r="AP54" s="274"/>
      <c r="AQ54" s="274"/>
      <c r="AR54" s="274"/>
      <c r="AS54" s="274"/>
      <c r="AT54" s="274"/>
      <c r="AU54" s="274"/>
      <c r="AV54" s="274"/>
      <c r="AW54" s="2056"/>
      <c r="AX54" s="1058"/>
      <c r="AY54" s="1058"/>
      <c r="AZ54" s="1058"/>
      <c r="BA54" s="1058"/>
      <c r="BB54" s="1058"/>
    </row>
    <row r="55" spans="1:54" s="33" customFormat="1" ht="31.5" customHeight="1" outlineLevel="1">
      <c r="A55" s="1873" t="s">
        <v>1192</v>
      </c>
      <c r="B55" s="1358" t="s">
        <v>3709</v>
      </c>
      <c r="C55" s="1358" t="s">
        <v>3710</v>
      </c>
      <c r="D55" s="35"/>
      <c r="F55" s="420"/>
      <c r="G55" s="1346"/>
      <c r="H55" s="71"/>
      <c r="I55" s="6" t="str">
        <f>IF($B$1="EN",I65,I64)</f>
        <v>Max Limit</v>
      </c>
      <c r="J55" s="240"/>
      <c r="K55" s="1347"/>
      <c r="Y55" s="88"/>
      <c r="Z55" s="2025"/>
      <c r="AA55" s="1347"/>
      <c r="AB55" s="160"/>
      <c r="AC55" s="2025"/>
      <c r="AD55" s="126"/>
      <c r="AE55" s="339"/>
      <c r="AF55" s="339"/>
      <c r="AG55" s="339"/>
      <c r="AH55" s="274"/>
      <c r="AI55" s="274"/>
      <c r="AJ55" s="274"/>
      <c r="AK55" s="274"/>
      <c r="AL55" s="274"/>
      <c r="AM55" s="274"/>
      <c r="AN55" s="274"/>
      <c r="AO55" s="274"/>
      <c r="AP55" s="274"/>
      <c r="AQ55" s="274"/>
      <c r="AR55" s="274"/>
      <c r="AS55" s="274"/>
      <c r="AT55" s="274"/>
      <c r="AU55" s="274"/>
      <c r="AV55" s="274"/>
      <c r="AW55" s="2056"/>
      <c r="AX55" s="1058"/>
      <c r="AY55" s="1058"/>
      <c r="AZ55" s="1058"/>
      <c r="BA55" s="1058"/>
      <c r="BB55" s="1058"/>
    </row>
    <row r="56" spans="1:54" s="33" customFormat="1" ht="23.25" customHeight="1" outlineLevel="1">
      <c r="A56" s="1873" t="s">
        <v>1192</v>
      </c>
      <c r="B56" s="1056" t="s">
        <v>254</v>
      </c>
      <c r="C56" s="1056" t="s">
        <v>254</v>
      </c>
      <c r="D56" s="35"/>
      <c r="F56" s="1367" t="e">
        <f>IF(Y57&lt;$Y$56,"Y","N")</f>
        <v>#REF!</v>
      </c>
      <c r="G56" s="1368" t="b">
        <v>1</v>
      </c>
      <c r="H56" s="71" t="str">
        <f>IF($B$1="EN",C56,B56)</f>
        <v>Full CGL</v>
      </c>
      <c r="I56" s="1369">
        <f>IF($AB$7=TRUE,,$M$48)</f>
        <v>1000000</v>
      </c>
      <c r="J56" s="1509"/>
      <c r="K56" s="1370" t="s">
        <v>3697</v>
      </c>
      <c r="L56" s="1381" t="s">
        <v>223</v>
      </c>
      <c r="M56" s="1382" t="s">
        <v>223</v>
      </c>
      <c r="N56" s="1382" t="s">
        <v>223</v>
      </c>
      <c r="O56" s="1371">
        <f>VLOOKUP('CGL coverage'!I56,Settings!$M$151:$N$153,2,FALSE)</f>
        <v>18</v>
      </c>
      <c r="P56" s="1371"/>
      <c r="Q56" s="1371"/>
      <c r="R56" s="1371"/>
      <c r="S56" s="1371"/>
      <c r="T56" s="1371"/>
      <c r="U56" s="1371"/>
      <c r="V56" s="1382" t="s">
        <v>223</v>
      </c>
      <c r="W56" s="1382"/>
      <c r="X56" s="1382"/>
      <c r="Y56" s="1372" t="e">
        <f>IF(I56=0,,INDEX(#REF!,MATCH('CGL coverage'!$F$50,#REF!,0),'CGL coverage'!$O$56))</f>
        <v>#REF!</v>
      </c>
      <c r="Z56" s="2026"/>
      <c r="AA56" s="1372" t="e">
        <f>IF(F56="Y",MAX(Y56:Z56),0)</f>
        <v>#REF!</v>
      </c>
      <c r="AB56" s="1372" t="e">
        <f>IF(F50=0,,IF(OR(G50="R",G50="x"),0,IF($L$57=0,0,INDEX(Settings!$B$154:$F$159,MATCH('CGL coverage'!$L$57,Settings!B154:$B$159,0),MATCH('CGL coverage'!G50,Settings!$B$154:$F$154,0)))))</f>
        <v>#REF!</v>
      </c>
      <c r="AC56" s="2026"/>
      <c r="AD56" s="1372" t="e">
        <f>IF(MAX(AB56:AC56)=0,"",MAX(AB56:AC56))</f>
        <v>#REF!</v>
      </c>
      <c r="AE56" s="1370" t="str">
        <f>IF($B$1="EN",AG56,AF56)</f>
        <v>L1A</v>
      </c>
      <c r="AF56" s="1373" t="s">
        <v>25</v>
      </c>
      <c r="AG56" s="1374" t="s">
        <v>25</v>
      </c>
      <c r="AH56" s="398"/>
      <c r="AI56" s="398"/>
      <c r="AJ56" s="398"/>
      <c r="AK56" s="398"/>
      <c r="AL56" s="398"/>
      <c r="AM56" s="398"/>
      <c r="AN56" s="398"/>
      <c r="AO56" s="398"/>
      <c r="AP56" s="398"/>
      <c r="AQ56" s="398"/>
      <c r="AR56" s="398"/>
      <c r="AS56" s="398"/>
      <c r="AT56" s="398"/>
      <c r="AU56" s="398"/>
      <c r="AV56" s="398"/>
      <c r="AW56" s="2058"/>
    </row>
    <row r="57" spans="1:54" s="33" customFormat="1" ht="23.25" customHeight="1" outlineLevel="1">
      <c r="A57" s="1873" t="s">
        <v>1192</v>
      </c>
      <c r="B57" s="1359" t="s">
        <v>3711</v>
      </c>
      <c r="C57" s="1430" t="str">
        <f>IF(B1="EN",C55,B55)</f>
        <v>Input Revenues from activity</v>
      </c>
      <c r="D57" s="35"/>
      <c r="F57" s="1414"/>
      <c r="G57" s="1415"/>
      <c r="H57" s="1416" t="s">
        <v>1010</v>
      </c>
      <c r="I57" s="1417"/>
      <c r="J57" s="88"/>
      <c r="K57" s="1418" t="s">
        <v>3696</v>
      </c>
      <c r="L57" s="1419" t="str">
        <f>IF(OR(AB10=TRUE,AB12=TRUE,AB7=TRUE),0,VLOOKUP(I54,Settings!$A$155:$B$159,2,TRUE))</f>
        <v>&lt;250000</v>
      </c>
      <c r="M57" s="1419">
        <f>IF(OR(AB10=TRUE,AB12=TRUE,AB7=TRUE),0,VLOOKUP(M48,Settings!$A$147:$B$151,2,FALSE))</f>
        <v>1</v>
      </c>
      <c r="N57" s="1419" t="e">
        <f>IF(OR(AB10=TRUE,AB12=TRUE,AB7=TRUE),0,IF($F$50=0,,INDEX(#REF!,MATCH($F$50,#REF!,0),MATCH('CGL coverage'!$O$57,#REF!,0))))</f>
        <v>#REF!</v>
      </c>
      <c r="O57" s="1419" t="e">
        <f>VLOOKUP(I3,Settings!$B$3:$C$15,2,FALSE)</f>
        <v>#N/A</v>
      </c>
      <c r="P57" s="1419"/>
      <c r="Q57" s="1419"/>
      <c r="R57" s="1419"/>
      <c r="S57" s="1419"/>
      <c r="T57" s="1419"/>
      <c r="U57" s="1419"/>
      <c r="V57" s="1419" t="e">
        <f>N57*M57</f>
        <v>#REF!</v>
      </c>
      <c r="W57" s="1419"/>
      <c r="X57" s="1419"/>
      <c r="Y57" s="1420" t="e">
        <f>I54*V57/1000</f>
        <v>#REF!</v>
      </c>
      <c r="Z57" s="2028"/>
      <c r="AA57" s="1421" t="e">
        <f>IF(IF(F50=0,,IF(OR(G50="R",G50="x"),0,IF(OR($AB$10=TRUE,$AB$12=TRUE),Z57,MAX(Y57:Z57))))&lt;Y56,0,(IF(F50=0,,IF(OR(G50="R",G50="x"),0,IF(OR($AB$10=TRUE,$AB$12=TRUE),Z57,MAX(Y57:Z57))))))</f>
        <v>#REF!</v>
      </c>
      <c r="AB57" s="1422" t="e">
        <f>IF(F50=0,,IF(OR(G50="R",G50="x"),0,IF($L$57=0,0,INDEX(Settings!$B$154:$F$159,MATCH('CGL coverage'!$L$57,Settings!B154:$B$159,0),MATCH('CGL coverage'!G50,Settings!$B$154:$F$154,0)))))</f>
        <v>#REF!</v>
      </c>
      <c r="AC57" s="2027"/>
      <c r="AD57" s="1423" t="e">
        <f>IF(OR($AB$10=TRUE,$AB$12=TRUE),AC57,MAX(AB57:AC57))</f>
        <v>#REF!</v>
      </c>
      <c r="AE57" s="1424" t="str">
        <f>IF($B$1="EN",AG57,AF57)</f>
        <v>L1A</v>
      </c>
      <c r="AF57" s="1275" t="s">
        <v>25</v>
      </c>
      <c r="AG57" s="1425" t="s">
        <v>25</v>
      </c>
      <c r="AH57" s="398"/>
      <c r="AI57" s="398"/>
      <c r="AJ57" s="398"/>
      <c r="AK57" s="398"/>
      <c r="AL57" s="398"/>
      <c r="AM57" s="398"/>
      <c r="AN57" s="398"/>
      <c r="AO57" s="398"/>
      <c r="AP57" s="398"/>
      <c r="AQ57" s="398"/>
      <c r="AR57" s="398"/>
      <c r="AS57" s="398"/>
      <c r="AT57" s="398"/>
      <c r="AU57" s="398"/>
      <c r="AV57" s="398"/>
      <c r="AW57" s="2058"/>
    </row>
    <row r="58" spans="1:54" s="33" customFormat="1" ht="23.25" customHeight="1">
      <c r="A58" s="1873" t="s">
        <v>1192</v>
      </c>
      <c r="B58" s="1427"/>
      <c r="C58" s="1427"/>
      <c r="D58" s="35"/>
      <c r="F58" s="1411"/>
      <c r="G58" s="1412"/>
      <c r="H58" s="1428"/>
      <c r="I58" s="88" t="s">
        <v>231</v>
      </c>
      <c r="J58" s="88"/>
      <c r="K58" s="1347"/>
      <c r="Y58" s="88"/>
      <c r="Z58" s="126"/>
      <c r="AA58" s="1413"/>
      <c r="AB58" s="160"/>
      <c r="AC58" s="126"/>
      <c r="AD58" s="126"/>
      <c r="AE58" s="339"/>
      <c r="AF58" s="1275"/>
      <c r="AG58" s="1247"/>
      <c r="AH58" s="398"/>
      <c r="AI58" s="398"/>
      <c r="AJ58" s="398"/>
      <c r="AK58" s="398"/>
      <c r="AL58" s="398"/>
      <c r="AM58" s="398"/>
      <c r="AN58" s="398"/>
      <c r="AO58" s="398"/>
      <c r="AP58" s="398"/>
      <c r="AQ58" s="398"/>
      <c r="AR58" s="398"/>
      <c r="AS58" s="398"/>
      <c r="AT58" s="398"/>
      <c r="AU58" s="398"/>
      <c r="AV58" s="398"/>
      <c r="AW58" s="2058"/>
    </row>
    <row r="59" spans="1:54" ht="30" customHeight="1">
      <c r="A59" s="1873" t="s">
        <v>1192</v>
      </c>
      <c r="B59" s="1426" t="s">
        <v>3708</v>
      </c>
      <c r="C59" s="1426" t="s">
        <v>252</v>
      </c>
      <c r="D59" s="35"/>
      <c r="F59" s="1360" t="str">
        <f>IF(G59=TRUE,"Y","N")</f>
        <v>N</v>
      </c>
      <c r="G59" s="2054" t="b">
        <v>0</v>
      </c>
      <c r="H59" s="1429" t="str">
        <f>IF($B$1="EN",C59,B59)</f>
        <v>OLT</v>
      </c>
      <c r="I59" s="2039">
        <f>IF($AB$7=TRUE,,$M$48)</f>
        <v>1000000</v>
      </c>
      <c r="J59" s="1510"/>
      <c r="K59" s="1361"/>
      <c r="L59" s="1361"/>
      <c r="M59" s="1362"/>
      <c r="N59" s="1362"/>
      <c r="O59" s="1362"/>
      <c r="P59" s="1362"/>
      <c r="Q59" s="1362"/>
      <c r="R59" s="1362"/>
      <c r="S59" s="1362"/>
      <c r="T59" s="1362"/>
      <c r="U59" s="1362"/>
      <c r="V59" s="1362"/>
      <c r="W59" s="1362"/>
      <c r="X59" s="1362"/>
      <c r="Y59" s="1363">
        <f>IF(I59=0,,VLOOKUP($I$59,Settings!$G$150:$H$155,2,FALSE))</f>
        <v>350</v>
      </c>
      <c r="Z59" s="2038"/>
      <c r="AA59" s="1363">
        <f>IF(F59="Y",MAX(Y59:Z59),0)</f>
        <v>0</v>
      </c>
      <c r="AB59" s="1363" t="e">
        <f>IF(F50=0,,IF(OR(G50="R",G50="x"),0,IF($L$57=0,0,INDEX(Settings!$B$154:$F$159,MATCH('CGL coverage'!$L$57,Settings!B154:$B$159,0),MATCH('CGL coverage'!G50,Settings!$B$154:$F$154,0)))))</f>
        <v>#REF!</v>
      </c>
      <c r="AC59" s="2038"/>
      <c r="AD59" s="1364" t="e">
        <f>IF(MAX(AB59:AC59)=0,"",MAX(AB59:AC59))</f>
        <v>#REF!</v>
      </c>
      <c r="AE59" s="1361" t="str">
        <f>IF($B$1="EN",AG59,AF59)</f>
        <v>L17</v>
      </c>
      <c r="AF59" s="1237" t="s">
        <v>3712</v>
      </c>
      <c r="AG59" s="1238" t="s">
        <v>3712</v>
      </c>
      <c r="AW59" s="2058"/>
    </row>
    <row r="60" spans="1:54" ht="30" customHeight="1">
      <c r="A60" s="1873" t="s">
        <v>1192</v>
      </c>
      <c r="B60" s="1056" t="s">
        <v>3392</v>
      </c>
      <c r="C60" s="1056" t="s">
        <v>3485</v>
      </c>
      <c r="D60" s="35"/>
      <c r="F60" s="1360" t="str">
        <f>IF(G60=TRUE,"Y","N")</f>
        <v>N</v>
      </c>
      <c r="G60" s="2054" t="b">
        <v>0</v>
      </c>
      <c r="H60" s="1431" t="str">
        <f>IF($B$1="EN",C60,B60)</f>
        <v>CGL ( dp/ no products)</v>
      </c>
      <c r="I60" s="2039">
        <f>IF($AB$7=TRUE,,$M$48)</f>
        <v>1000000</v>
      </c>
      <c r="J60" s="1510"/>
      <c r="K60" s="1361"/>
      <c r="L60" s="1361"/>
      <c r="M60" s="1362"/>
      <c r="N60" s="1362"/>
      <c r="O60" s="1362"/>
      <c r="P60" s="1362"/>
      <c r="Q60" s="1362"/>
      <c r="R60" s="1362"/>
      <c r="S60" s="1362"/>
      <c r="T60" s="1362"/>
      <c r="U60" s="1362"/>
      <c r="V60" s="1362"/>
      <c r="W60" s="1362"/>
      <c r="X60" s="1362"/>
      <c r="Y60" s="1363">
        <f>IF(I60=0,,VLOOKUP($I$60,Settings!$J$151:$K$155,2,FALSE))</f>
        <v>500</v>
      </c>
      <c r="Z60" s="2038"/>
      <c r="AA60" s="1363">
        <f>IF(F60="Y",MAX(Y60:Z60),0)</f>
        <v>0</v>
      </c>
      <c r="AB60" s="1363" t="e">
        <f>IF(F50=0,,IF(OR(G50="R",G50="x"),0,IF($L$57=0,0,INDEX(Settings!$B$154:$F$159,MATCH('CGL coverage'!$L$57,Settings!B154:$B$159,0),MATCH('CGL coverage'!G50,Settings!$B$154:$F$154,0)))))</f>
        <v>#REF!</v>
      </c>
      <c r="AC60" s="2038"/>
      <c r="AD60" s="1364" t="e">
        <f>IF(MAX(AB60:AC60)=0,"",MAX(AB60:AC60))</f>
        <v>#REF!</v>
      </c>
      <c r="AE60" s="1361" t="str">
        <f>IF($B$1="EN",AG60,AF60)</f>
        <v>L1A</v>
      </c>
      <c r="AF60" s="1275" t="s">
        <v>25</v>
      </c>
      <c r="AG60" s="1247" t="s">
        <v>25</v>
      </c>
      <c r="AW60" s="2058"/>
    </row>
    <row r="61" spans="1:54" s="33" customFormat="1">
      <c r="A61" s="1873" t="s">
        <v>1192</v>
      </c>
      <c r="B61" s="1034"/>
      <c r="C61" s="1034"/>
      <c r="D61" s="35"/>
      <c r="F61" s="420"/>
      <c r="G61" s="186"/>
      <c r="H61" s="1034"/>
      <c r="K61" s="2056"/>
      <c r="L61" s="2056"/>
      <c r="AA61" s="126"/>
      <c r="AB61" s="392"/>
      <c r="AC61" s="392"/>
      <c r="AD61" s="126"/>
      <c r="AE61" s="339"/>
      <c r="AF61" s="1275"/>
      <c r="AG61" s="1247"/>
      <c r="AH61" s="274"/>
      <c r="AI61" s="274"/>
      <c r="AJ61" s="274"/>
      <c r="AK61" s="274"/>
      <c r="AL61" s="274"/>
      <c r="AM61" s="274"/>
      <c r="AN61" s="274"/>
      <c r="AO61" s="274"/>
      <c r="AP61" s="274"/>
      <c r="AQ61" s="274"/>
      <c r="AR61" s="274"/>
      <c r="AS61" s="274"/>
      <c r="AT61" s="274"/>
      <c r="AU61" s="274"/>
      <c r="AV61" s="274"/>
      <c r="AW61" s="2056"/>
      <c r="AX61" s="403"/>
      <c r="AY61" s="403"/>
      <c r="AZ61" s="403"/>
      <c r="BA61" s="403"/>
      <c r="BB61" s="403"/>
    </row>
    <row r="62" spans="1:54" ht="35.25" customHeight="1">
      <c r="A62" s="1873" t="s">
        <v>1192</v>
      </c>
      <c r="B62" s="1035" t="s">
        <v>4085</v>
      </c>
      <c r="C62" s="1035" t="s">
        <v>4084</v>
      </c>
      <c r="D62" s="35"/>
      <c r="H62" s="2278" t="str">
        <f>IF($B$1="EN",C62,B62)</f>
        <v>Other Liability Coverage</v>
      </c>
    </row>
    <row r="63" spans="1:54" s="84" customFormat="1" ht="7.5" customHeight="1">
      <c r="A63" s="1873" t="s">
        <v>1192</v>
      </c>
      <c r="B63" s="1034"/>
      <c r="C63" s="1034"/>
      <c r="D63" s="35"/>
      <c r="G63" s="128"/>
      <c r="H63" s="1034"/>
      <c r="I63" s="107"/>
      <c r="J63" s="403"/>
      <c r="K63" s="109"/>
      <c r="L63" s="109"/>
      <c r="M63" s="107"/>
      <c r="N63" s="107"/>
      <c r="O63" s="107"/>
      <c r="P63" s="107"/>
      <c r="Q63" s="107"/>
      <c r="R63" s="107"/>
      <c r="S63" s="107"/>
      <c r="T63" s="107"/>
      <c r="U63" s="107"/>
      <c r="V63" s="107"/>
      <c r="W63" s="107"/>
      <c r="X63" s="107"/>
      <c r="Y63" s="33"/>
      <c r="Z63" s="107"/>
      <c r="AA63" s="107"/>
      <c r="AB63" s="107"/>
      <c r="AC63" s="107"/>
      <c r="AD63" s="107"/>
      <c r="AE63" s="85"/>
      <c r="AF63" s="1142"/>
      <c r="AG63" s="1241"/>
      <c r="AH63" s="107"/>
      <c r="AI63" s="107"/>
      <c r="AJ63" s="107"/>
      <c r="AK63" s="107"/>
      <c r="AL63" s="107"/>
      <c r="AM63" s="107"/>
      <c r="AN63" s="107"/>
      <c r="AO63" s="107"/>
      <c r="AP63" s="107"/>
      <c r="AQ63" s="107"/>
      <c r="AR63" s="107"/>
      <c r="AS63" s="107"/>
      <c r="AT63" s="107"/>
      <c r="AU63" s="107"/>
      <c r="AV63" s="107"/>
      <c r="AW63" s="107"/>
      <c r="AX63" s="107"/>
      <c r="AY63" s="107"/>
      <c r="AZ63" s="107"/>
      <c r="BA63" s="107"/>
      <c r="BB63" s="107"/>
    </row>
    <row r="64" spans="1:54" s="1105" customFormat="1" ht="42.75" hidden="1" outlineLevel="1">
      <c r="A64" s="1873" t="s">
        <v>1192</v>
      </c>
      <c r="B64" s="1104"/>
      <c r="C64" s="1104"/>
      <c r="D64" s="35"/>
      <c r="E64" s="1127" t="s">
        <v>4067</v>
      </c>
      <c r="G64" s="1106"/>
      <c r="H64" s="1104"/>
      <c r="I64" s="1107" t="s">
        <v>1029</v>
      </c>
      <c r="J64" s="1503"/>
      <c r="K64" s="1108"/>
      <c r="L64" s="1108"/>
      <c r="M64" s="1108"/>
      <c r="N64" s="1108"/>
      <c r="O64" s="1108"/>
      <c r="P64" s="1108"/>
      <c r="Q64" s="1108"/>
      <c r="R64" s="1108"/>
      <c r="S64" s="1108"/>
      <c r="T64" s="1108"/>
      <c r="U64" s="1108"/>
      <c r="V64" s="1108"/>
      <c r="W64" s="1108"/>
      <c r="X64" s="1108"/>
      <c r="Y64" s="1109" t="s">
        <v>1035</v>
      </c>
      <c r="Z64" s="1109" t="s">
        <v>1028</v>
      </c>
      <c r="AA64" s="1109" t="s">
        <v>1095</v>
      </c>
      <c r="AB64" s="1110" t="s">
        <v>1072</v>
      </c>
      <c r="AC64" s="1110" t="s">
        <v>1073</v>
      </c>
      <c r="AD64" s="1110" t="s">
        <v>1074</v>
      </c>
      <c r="AE64" s="1111" t="s">
        <v>27</v>
      </c>
      <c r="AF64" s="1111" t="s">
        <v>27</v>
      </c>
      <c r="AG64" s="1103" t="s">
        <v>27</v>
      </c>
    </row>
    <row r="65" spans="1:54" s="1113" customFormat="1" ht="28.5" hidden="1" outlineLevel="1">
      <c r="A65" s="1873" t="s">
        <v>1192</v>
      </c>
      <c r="B65" s="1112"/>
      <c r="C65" s="1112"/>
      <c r="D65" s="35"/>
      <c r="E65" s="1119" t="s">
        <v>4067</v>
      </c>
      <c r="H65" s="1112"/>
      <c r="I65" s="1114" t="s">
        <v>3511</v>
      </c>
      <c r="J65" s="1504"/>
      <c r="K65" s="1115"/>
      <c r="L65" s="1115"/>
      <c r="M65" s="1115"/>
      <c r="N65" s="1115"/>
      <c r="O65" s="1115"/>
      <c r="P65" s="1115"/>
      <c r="Q65" s="1115"/>
      <c r="R65" s="1115"/>
      <c r="S65" s="1115"/>
      <c r="T65" s="1115"/>
      <c r="U65" s="1115"/>
      <c r="V65" s="1115"/>
      <c r="W65" s="1115"/>
      <c r="X65" s="1115"/>
      <c r="Y65" s="1116" t="s">
        <v>3512</v>
      </c>
      <c r="Z65" s="1116" t="s">
        <v>3513</v>
      </c>
      <c r="AA65" s="1116" t="s">
        <v>3462</v>
      </c>
      <c r="AB65" s="1116" t="s">
        <v>3463</v>
      </c>
      <c r="AC65" s="1116" t="s">
        <v>3514</v>
      </c>
      <c r="AD65" s="1116" t="s">
        <v>3465</v>
      </c>
      <c r="AE65" s="1117" t="s">
        <v>3456</v>
      </c>
      <c r="AF65" s="1271" t="s">
        <v>3456</v>
      </c>
      <c r="AG65" s="1117" t="s">
        <v>3456</v>
      </c>
    </row>
    <row r="66" spans="1:54" s="1113" customFormat="1" ht="33" hidden="1" customHeight="1" outlineLevel="1">
      <c r="A66" s="1873"/>
      <c r="B66" s="1112"/>
      <c r="C66" s="1112"/>
      <c r="D66" s="35"/>
      <c r="E66" s="1119" t="s">
        <v>4067</v>
      </c>
      <c r="H66" s="1112"/>
      <c r="I66" s="1114"/>
      <c r="J66" s="1504"/>
      <c r="K66" s="1115"/>
      <c r="L66" s="1115"/>
      <c r="M66" s="1115"/>
      <c r="N66" s="1115"/>
      <c r="O66" s="1115"/>
      <c r="P66" s="1115"/>
      <c r="Q66" s="1115"/>
      <c r="R66" s="1115"/>
      <c r="S66" s="1115"/>
      <c r="T66" s="1115"/>
      <c r="U66" s="1115"/>
      <c r="V66" s="1115"/>
      <c r="W66" s="1115"/>
      <c r="X66" s="1115"/>
      <c r="Y66" s="1116"/>
      <c r="Z66" s="1116"/>
      <c r="AA66" s="1116"/>
      <c r="AB66" s="1116"/>
      <c r="AC66" s="1116"/>
      <c r="AD66" s="1116"/>
      <c r="AE66" s="1117"/>
      <c r="AF66" s="1271"/>
      <c r="AG66" s="1117"/>
    </row>
    <row r="67" spans="1:54" s="35" customFormat="1" ht="41.25" customHeight="1" collapsed="1">
      <c r="A67" s="1873" t="s">
        <v>1192</v>
      </c>
      <c r="B67" s="140" t="s">
        <v>1071</v>
      </c>
      <c r="C67" s="140" t="s">
        <v>3418</v>
      </c>
      <c r="F67" s="156" t="str">
        <f>IF($B$1="EN","Quote: Y/N","Offerte : Y/N")</f>
        <v>Quote: Y/N</v>
      </c>
      <c r="G67" s="192"/>
      <c r="H67" s="140" t="str">
        <f t="shared" ref="H67:H73" si="12">IF($B$1="EN",C67,B67)</f>
        <v>Other  Liability Coverages:</v>
      </c>
      <c r="I67" s="141" t="str">
        <f>IF($B$1="EN",I65,I64)</f>
        <v>Max Limit</v>
      </c>
      <c r="J67" s="1503"/>
      <c r="K67" s="142"/>
      <c r="L67" s="142"/>
      <c r="M67" s="143"/>
      <c r="N67" s="143"/>
      <c r="O67" s="143"/>
      <c r="P67" s="143"/>
      <c r="Q67" s="143"/>
      <c r="R67" s="143"/>
      <c r="S67" s="143"/>
      <c r="T67" s="143"/>
      <c r="U67" s="143"/>
      <c r="V67" s="143"/>
      <c r="W67" s="143"/>
      <c r="X67" s="143"/>
      <c r="Y67" s="141" t="str">
        <f t="shared" ref="Y67:AE67" si="13">IF($B$1="EN",Y65,Y64)</f>
        <v>Max Premium</v>
      </c>
      <c r="Z67" s="141" t="str">
        <f t="shared" si="13"/>
        <v>Quoted premium</v>
      </c>
      <c r="AA67" s="141" t="str">
        <f t="shared" si="13"/>
        <v>Premium displayed</v>
      </c>
      <c r="AB67" s="141" t="str">
        <f t="shared" si="13"/>
        <v>Min Deductible</v>
      </c>
      <c r="AC67" s="141" t="str">
        <f t="shared" si="13"/>
        <v>Deductible Quoted</v>
      </c>
      <c r="AD67" s="144" t="str">
        <f t="shared" si="13"/>
        <v>Deductible displayed</v>
      </c>
      <c r="AE67" s="142" t="str">
        <f t="shared" si="13"/>
        <v>Form</v>
      </c>
      <c r="AF67" s="1108" t="str">
        <f>AF53</f>
        <v>Formulaire</v>
      </c>
      <c r="AG67" s="1100" t="str">
        <f>IF($B$1="EN",AG65,AG64)</f>
        <v>Form</v>
      </c>
      <c r="AH67" s="2056"/>
      <c r="AI67" s="2056"/>
      <c r="AJ67" s="2056"/>
      <c r="AK67" s="2056"/>
      <c r="AL67" s="2056"/>
      <c r="AM67" s="2056"/>
      <c r="AN67" s="2056"/>
      <c r="AO67" s="2056"/>
      <c r="AP67" s="2056"/>
      <c r="AQ67" s="2056"/>
      <c r="AR67" s="2056"/>
      <c r="AS67" s="2056"/>
      <c r="AT67" s="2056"/>
      <c r="AU67" s="2056"/>
      <c r="AV67" s="2056"/>
      <c r="AW67" s="2056" t="s">
        <v>1041</v>
      </c>
      <c r="AX67" s="31"/>
      <c r="AY67" s="31"/>
      <c r="AZ67" s="31"/>
      <c r="BA67" s="31"/>
      <c r="BB67" s="31"/>
    </row>
    <row r="68" spans="1:54" ht="28.5" customHeight="1">
      <c r="A68" s="1873" t="s">
        <v>1192</v>
      </c>
      <c r="B68" s="71" t="s">
        <v>1018</v>
      </c>
      <c r="C68" s="71" t="s">
        <v>3419</v>
      </c>
      <c r="D68" s="35"/>
      <c r="F68" s="194" t="str">
        <f t="shared" ref="F68:F73" si="14">IF(G68=TRUE,"Y","N")</f>
        <v>N</v>
      </c>
      <c r="G68" s="3450" t="b">
        <f>Map!$U$163</f>
        <v>0</v>
      </c>
      <c r="H68" s="71" t="str">
        <f t="shared" si="12"/>
        <v>Faulty workmanship</v>
      </c>
      <c r="I68" s="3451">
        <f>Map!$U$164</f>
        <v>0</v>
      </c>
      <c r="J68" s="1511"/>
      <c r="K68" s="58"/>
      <c r="L68" s="58"/>
      <c r="M68" s="45"/>
      <c r="N68" s="45"/>
      <c r="O68" s="45"/>
      <c r="P68" s="45"/>
      <c r="Q68" s="45"/>
      <c r="R68" s="45"/>
      <c r="S68" s="45"/>
      <c r="T68" s="45"/>
      <c r="U68" s="45"/>
      <c r="V68" s="45"/>
      <c r="W68" s="45"/>
      <c r="X68" s="45"/>
      <c r="Y68" s="91" t="s">
        <v>1030</v>
      </c>
      <c r="Z68" s="2042"/>
      <c r="AA68" s="181">
        <f t="shared" ref="AA68:AA73" si="15">IF(F68="Y",MIN(Y68:Z68),0)</f>
        <v>0</v>
      </c>
      <c r="AB68" s="161">
        <v>2500</v>
      </c>
      <c r="AC68" s="2029"/>
      <c r="AD68" s="46">
        <f t="shared" ref="AD68:AD73" si="16">MAX(AB68:AC68)</f>
        <v>2500</v>
      </c>
      <c r="AE68" s="58" t="str">
        <f t="shared" ref="AE68:AE73" si="17">IF($B$1="EN",AG68,AF68)</f>
        <v>CW107</v>
      </c>
      <c r="AF68" s="1277" t="s">
        <v>3588</v>
      </c>
      <c r="AG68" s="1249" t="s">
        <v>18</v>
      </c>
      <c r="AW68" s="40"/>
    </row>
    <row r="69" spans="1:54" ht="32.25" customHeight="1">
      <c r="A69" s="1873" t="s">
        <v>1192</v>
      </c>
      <c r="B69" s="71" t="s">
        <v>1019</v>
      </c>
      <c r="C69" s="1076" t="s">
        <v>3691</v>
      </c>
      <c r="D69" s="35"/>
      <c r="F69" s="194" t="str">
        <f>IF(G69=TRUE,"Y","N")</f>
        <v>N</v>
      </c>
      <c r="G69" s="3450" t="b">
        <f>Map!$U$179</f>
        <v>0</v>
      </c>
      <c r="H69" s="71" t="str">
        <f t="shared" si="12"/>
        <v xml:space="preserve">Contractors Professional Liability </v>
      </c>
      <c r="I69" s="3451">
        <f>Map!$U$180</f>
        <v>0</v>
      </c>
      <c r="J69" s="1511"/>
      <c r="K69" s="58"/>
      <c r="L69" s="58"/>
      <c r="M69" s="45"/>
      <c r="N69" s="45"/>
      <c r="O69" s="45"/>
      <c r="P69" s="45"/>
      <c r="Q69" s="45"/>
      <c r="R69" s="45"/>
      <c r="S69" s="45"/>
      <c r="T69" s="45"/>
      <c r="U69" s="45"/>
      <c r="V69" s="45"/>
      <c r="W69" s="45"/>
      <c r="X69" s="45"/>
      <c r="Y69" s="91">
        <v>100</v>
      </c>
      <c r="Z69" s="2042">
        <v>100</v>
      </c>
      <c r="AA69" s="181">
        <f t="shared" si="15"/>
        <v>0</v>
      </c>
      <c r="AB69" s="161">
        <v>2500</v>
      </c>
      <c r="AC69" s="2029"/>
      <c r="AD69" s="46">
        <f t="shared" si="16"/>
        <v>2500</v>
      </c>
      <c r="AE69" s="58" t="str">
        <f t="shared" si="17"/>
        <v>CW106</v>
      </c>
      <c r="AF69" s="1277" t="s">
        <v>19</v>
      </c>
      <c r="AG69" s="1249" t="s">
        <v>19</v>
      </c>
      <c r="AW69" s="40"/>
    </row>
    <row r="70" spans="1:54" ht="30" customHeight="1">
      <c r="A70" s="1873" t="s">
        <v>1192</v>
      </c>
      <c r="B70" s="71" t="s">
        <v>1020</v>
      </c>
      <c r="C70" s="1076" t="s">
        <v>3420</v>
      </c>
      <c r="D70" s="35"/>
      <c r="F70" s="194" t="str">
        <f t="shared" si="14"/>
        <v>N</v>
      </c>
      <c r="G70" s="3450" t="b">
        <f>Map!U193</f>
        <v>0</v>
      </c>
      <c r="H70" s="71" t="str">
        <f t="shared" si="12"/>
        <v>Fungi and fungal derivatives</v>
      </c>
      <c r="I70" s="3451">
        <f>Map!U194</f>
        <v>0</v>
      </c>
      <c r="J70" s="1511"/>
      <c r="K70" s="58"/>
      <c r="L70" s="58"/>
      <c r="M70" s="45"/>
      <c r="N70" s="45"/>
      <c r="O70" s="45"/>
      <c r="P70" s="45"/>
      <c r="Q70" s="45"/>
      <c r="R70" s="45"/>
      <c r="S70" s="45"/>
      <c r="T70" s="45"/>
      <c r="U70" s="45"/>
      <c r="V70" s="45"/>
      <c r="W70" s="45"/>
      <c r="X70" s="45"/>
      <c r="Y70" s="91" t="s">
        <v>1030</v>
      </c>
      <c r="Z70" s="2042"/>
      <c r="AA70" s="181">
        <f t="shared" si="15"/>
        <v>0</v>
      </c>
      <c r="AB70" s="161">
        <v>2500</v>
      </c>
      <c r="AC70" s="2029"/>
      <c r="AD70" s="46">
        <f t="shared" si="16"/>
        <v>2500</v>
      </c>
      <c r="AE70" s="58" t="str">
        <f t="shared" si="17"/>
        <v>CW150</v>
      </c>
      <c r="AF70" s="1277" t="s">
        <v>3585</v>
      </c>
      <c r="AG70" s="1249" t="s">
        <v>20</v>
      </c>
      <c r="AW70" s="40"/>
    </row>
    <row r="71" spans="1:54" ht="31.5" customHeight="1">
      <c r="A71" s="1873" t="s">
        <v>1192</v>
      </c>
      <c r="B71" s="71" t="s">
        <v>1021</v>
      </c>
      <c r="C71" s="71" t="s">
        <v>3421</v>
      </c>
      <c r="D71" s="35"/>
      <c r="F71" s="194" t="str">
        <f t="shared" si="14"/>
        <v>N</v>
      </c>
      <c r="G71" s="3450" t="b">
        <f>Map!U208</f>
        <v>0</v>
      </c>
      <c r="H71" s="71" t="str">
        <f t="shared" si="12"/>
        <v>Sudden and accidental pollution</v>
      </c>
      <c r="I71" s="3451">
        <f>Map!U209</f>
        <v>0</v>
      </c>
      <c r="J71" s="1511"/>
      <c r="K71" s="58"/>
      <c r="L71" s="58"/>
      <c r="M71" s="45"/>
      <c r="N71" s="45"/>
      <c r="O71" s="45"/>
      <c r="P71" s="45"/>
      <c r="Q71" s="45"/>
      <c r="R71" s="45"/>
      <c r="S71" s="45"/>
      <c r="T71" s="45"/>
      <c r="U71" s="45"/>
      <c r="V71" s="45"/>
      <c r="W71" s="45"/>
      <c r="X71" s="45"/>
      <c r="Y71" s="91" t="s">
        <v>1030</v>
      </c>
      <c r="Z71" s="2042"/>
      <c r="AA71" s="181">
        <f t="shared" si="15"/>
        <v>0</v>
      </c>
      <c r="AB71" s="161">
        <v>2500</v>
      </c>
      <c r="AC71" s="2029"/>
      <c r="AD71" s="46">
        <f t="shared" si="16"/>
        <v>2500</v>
      </c>
      <c r="AE71" s="58" t="str">
        <f t="shared" si="17"/>
        <v>LE44</v>
      </c>
      <c r="AF71" s="1277" t="s">
        <v>21</v>
      </c>
      <c r="AG71" s="1249" t="s">
        <v>21</v>
      </c>
      <c r="AW71" s="40"/>
    </row>
    <row r="72" spans="1:54" ht="33.75" customHeight="1">
      <c r="A72" s="1873" t="s">
        <v>1192</v>
      </c>
      <c r="B72" s="71" t="s">
        <v>1022</v>
      </c>
      <c r="C72" s="71" t="s">
        <v>3422</v>
      </c>
      <c r="D72" s="35"/>
      <c r="F72" s="194" t="str">
        <f t="shared" si="14"/>
        <v>N</v>
      </c>
      <c r="G72" s="3450" t="b">
        <f>Map!U222</f>
        <v>0</v>
      </c>
      <c r="H72" s="71" t="str">
        <f t="shared" si="12"/>
        <v>Care, custody and control</v>
      </c>
      <c r="I72" s="3451">
        <f>Map!U223</f>
        <v>0</v>
      </c>
      <c r="J72" s="1511"/>
      <c r="K72" s="58"/>
      <c r="L72" s="58"/>
      <c r="M72" s="45"/>
      <c r="N72" s="45"/>
      <c r="O72" s="45"/>
      <c r="P72" s="45"/>
      <c r="Q72" s="45"/>
      <c r="R72" s="45"/>
      <c r="S72" s="45"/>
      <c r="T72" s="45"/>
      <c r="U72" s="45"/>
      <c r="V72" s="45"/>
      <c r="W72" s="45"/>
      <c r="X72" s="45"/>
      <c r="Y72" s="91">
        <v>100</v>
      </c>
      <c r="Z72" s="2042">
        <f>IF(F72="Y",Y72,0)</f>
        <v>0</v>
      </c>
      <c r="AA72" s="181">
        <f t="shared" si="15"/>
        <v>0</v>
      </c>
      <c r="AB72" s="161">
        <v>2500</v>
      </c>
      <c r="AC72" s="2029"/>
      <c r="AD72" s="46">
        <f t="shared" si="16"/>
        <v>2500</v>
      </c>
      <c r="AE72" s="1355" t="str">
        <f t="shared" si="17"/>
        <v>CW199</v>
      </c>
      <c r="AF72" s="1278" t="s">
        <v>22</v>
      </c>
      <c r="AG72" s="1250" t="s">
        <v>3586</v>
      </c>
      <c r="AH72" s="159"/>
      <c r="AI72" s="159"/>
      <c r="AJ72" s="159"/>
      <c r="AK72" s="159"/>
      <c r="AL72" s="159"/>
      <c r="AM72" s="159"/>
      <c r="AN72" s="159"/>
      <c r="AO72" s="159"/>
      <c r="AP72" s="159"/>
      <c r="AQ72" s="159"/>
      <c r="AR72" s="159"/>
      <c r="AS72" s="159"/>
      <c r="AT72" s="159"/>
      <c r="AU72" s="159"/>
      <c r="AV72" s="159"/>
      <c r="AW72" s="40"/>
    </row>
    <row r="73" spans="1:54" ht="26.25" customHeight="1">
      <c r="A73" s="1873" t="s">
        <v>1192</v>
      </c>
      <c r="B73" s="71" t="s">
        <v>1023</v>
      </c>
      <c r="C73" s="71" t="s">
        <v>3423</v>
      </c>
      <c r="D73" s="35"/>
      <c r="F73" s="194" t="str">
        <f t="shared" si="14"/>
        <v>N</v>
      </c>
      <c r="G73" s="3450" t="b">
        <f>Map!U235</f>
        <v>0</v>
      </c>
      <c r="H73" s="71" t="str">
        <f t="shared" si="12"/>
        <v>Failure to perform</v>
      </c>
      <c r="I73" s="3451">
        <f>Map!U236</f>
        <v>0</v>
      </c>
      <c r="J73" s="1511"/>
      <c r="K73" s="58"/>
      <c r="L73" s="58"/>
      <c r="M73" s="45"/>
      <c r="N73" s="45"/>
      <c r="O73" s="45"/>
      <c r="P73" s="45"/>
      <c r="Q73" s="45"/>
      <c r="R73" s="45"/>
      <c r="S73" s="45"/>
      <c r="T73" s="45"/>
      <c r="U73" s="45"/>
      <c r="V73" s="45"/>
      <c r="W73" s="45"/>
      <c r="X73" s="45"/>
      <c r="Y73" s="91">
        <v>150</v>
      </c>
      <c r="Z73" s="2042">
        <f>IF(F73="Y",Y73,0)</f>
        <v>0</v>
      </c>
      <c r="AA73" s="181">
        <f t="shared" si="15"/>
        <v>0</v>
      </c>
      <c r="AB73" s="161">
        <v>2500</v>
      </c>
      <c r="AC73" s="2029"/>
      <c r="AD73" s="46">
        <f t="shared" si="16"/>
        <v>2500</v>
      </c>
      <c r="AE73" s="1355" t="str">
        <f t="shared" si="17"/>
        <v>CW200</v>
      </c>
      <c r="AF73" s="1278" t="s">
        <v>23</v>
      </c>
      <c r="AG73" s="1250" t="s">
        <v>3587</v>
      </c>
      <c r="AH73" s="159"/>
      <c r="AI73" s="159"/>
      <c r="AJ73" s="159"/>
      <c r="AK73" s="159"/>
      <c r="AL73" s="159"/>
      <c r="AM73" s="159"/>
      <c r="AN73" s="159"/>
      <c r="AO73" s="159"/>
      <c r="AP73" s="159"/>
      <c r="AQ73" s="159"/>
      <c r="AR73" s="159"/>
      <c r="AS73" s="159"/>
      <c r="AT73" s="159"/>
      <c r="AU73" s="159"/>
      <c r="AV73" s="159"/>
      <c r="AW73" s="40"/>
    </row>
    <row r="74" spans="1:54">
      <c r="A74" s="1873" t="s">
        <v>1192</v>
      </c>
      <c r="D74" s="35"/>
      <c r="F74" s="39"/>
      <c r="G74" s="189"/>
      <c r="I74" s="31"/>
      <c r="J74" s="31"/>
    </row>
    <row r="75" spans="1:54" s="35" customFormat="1" ht="45" customHeight="1">
      <c r="A75" s="1873" t="s">
        <v>1192</v>
      </c>
      <c r="B75" s="140" t="s">
        <v>1071</v>
      </c>
      <c r="C75" s="140" t="s">
        <v>3418</v>
      </c>
      <c r="F75" s="156" t="str">
        <f>IF($B$1="EN","Quote: Y/N","Offerte : Y/N")</f>
        <v>Quote: Y/N</v>
      </c>
      <c r="G75" s="192"/>
      <c r="H75" s="140" t="str">
        <f t="shared" ref="H75:H92" si="18">IF($B$1="EN",C75,B75)</f>
        <v>Other  Liability Coverages:</v>
      </c>
      <c r="I75" s="141" t="str">
        <f>I67</f>
        <v>Max Limit</v>
      </c>
      <c r="J75" s="1503"/>
      <c r="K75" s="142"/>
      <c r="L75" s="142"/>
      <c r="M75" s="143"/>
      <c r="N75" s="143"/>
      <c r="O75" s="143"/>
      <c r="P75" s="143"/>
      <c r="Q75" s="143"/>
      <c r="R75" s="143"/>
      <c r="S75" s="143"/>
      <c r="T75" s="143"/>
      <c r="U75" s="143"/>
      <c r="V75" s="143"/>
      <c r="W75" s="143"/>
      <c r="X75" s="143"/>
      <c r="Y75" s="144" t="str">
        <f>Y67</f>
        <v>Max Premium</v>
      </c>
      <c r="Z75" s="144" t="str">
        <f t="shared" ref="Z75:AG75" si="19">Z67</f>
        <v>Quoted premium</v>
      </c>
      <c r="AA75" s="144" t="str">
        <f t="shared" si="19"/>
        <v>Premium displayed</v>
      </c>
      <c r="AB75" s="145" t="str">
        <f t="shared" si="19"/>
        <v>Min Deductible</v>
      </c>
      <c r="AC75" s="145" t="str">
        <f t="shared" si="19"/>
        <v>Deductible Quoted</v>
      </c>
      <c r="AD75" s="145" t="str">
        <f t="shared" si="19"/>
        <v>Deductible displayed</v>
      </c>
      <c r="AE75" s="207" t="str">
        <f t="shared" si="19"/>
        <v>Form</v>
      </c>
      <c r="AF75" s="1111" t="str">
        <f t="shared" si="19"/>
        <v>Formulaire</v>
      </c>
      <c r="AG75" s="1103" t="str">
        <f t="shared" si="19"/>
        <v>Form</v>
      </c>
      <c r="AH75" s="2056"/>
      <c r="AI75" s="2056"/>
      <c r="AJ75" s="2056"/>
      <c r="AK75" s="2056"/>
      <c r="AL75" s="2056"/>
      <c r="AM75" s="2056"/>
      <c r="AN75" s="2056"/>
      <c r="AO75" s="2056"/>
      <c r="AP75" s="2056"/>
      <c r="AQ75" s="2056"/>
      <c r="AR75" s="2056"/>
      <c r="AS75" s="2056"/>
      <c r="AT75" s="2056"/>
      <c r="AU75" s="2056"/>
      <c r="AV75" s="2056"/>
      <c r="AW75" s="2056" t="s">
        <v>1041</v>
      </c>
      <c r="AX75" s="31"/>
      <c r="AY75" s="31"/>
      <c r="AZ75" s="31"/>
      <c r="BA75" s="31"/>
      <c r="BB75" s="31"/>
    </row>
    <row r="76" spans="1:54" ht="30.75" customHeight="1">
      <c r="A76" s="1873" t="s">
        <v>1192</v>
      </c>
      <c r="B76" s="72" t="s">
        <v>1075</v>
      </c>
      <c r="C76" s="72" t="s">
        <v>3474</v>
      </c>
      <c r="D76" s="35"/>
      <c r="F76" s="197" t="str">
        <f>IF(G76=TRUE,"Y","N")</f>
        <v>Y</v>
      </c>
      <c r="G76" s="3408" t="b">
        <v>1</v>
      </c>
      <c r="H76" s="72" t="str">
        <f t="shared" si="18"/>
        <v>Products-Completed Operations</v>
      </c>
      <c r="I76" s="2048">
        <f>I5</f>
        <v>1000000</v>
      </c>
      <c r="J76" s="1512"/>
      <c r="K76" s="89"/>
      <c r="L76" s="89"/>
      <c r="M76" s="90"/>
      <c r="N76" s="90"/>
      <c r="O76" s="90"/>
      <c r="P76" s="90"/>
      <c r="Q76" s="90"/>
      <c r="R76" s="90"/>
      <c r="S76" s="90"/>
      <c r="T76" s="90"/>
      <c r="U76" s="90"/>
      <c r="V76" s="90"/>
      <c r="W76" s="90"/>
      <c r="X76" s="90"/>
      <c r="Y76" s="58" t="str">
        <f t="shared" ref="Y76:Y86" si="20">IF($B$1="EN","Included","Inclus")</f>
        <v>Included</v>
      </c>
      <c r="Z76" s="2029"/>
      <c r="AA76" s="58" t="str">
        <f>IF(Z76=0,Y76,Z76)</f>
        <v>Included</v>
      </c>
      <c r="AB76" s="73">
        <v>2500</v>
      </c>
      <c r="AC76" s="2029"/>
      <c r="AD76" s="46">
        <f>IF(MAX(AB76:AC76)=0,"",MAX(AB76:AC76))</f>
        <v>2500</v>
      </c>
      <c r="AE76" s="209" t="s">
        <v>223</v>
      </c>
      <c r="AF76" s="1279" t="s">
        <v>223</v>
      </c>
      <c r="AG76" s="1251" t="s">
        <v>223</v>
      </c>
      <c r="AH76" s="228"/>
      <c r="AI76" s="228"/>
      <c r="AJ76" s="228"/>
      <c r="AK76" s="228"/>
      <c r="AL76" s="228"/>
      <c r="AM76" s="228"/>
      <c r="AN76" s="228"/>
      <c r="AO76" s="228"/>
      <c r="AP76" s="228"/>
      <c r="AQ76" s="228"/>
      <c r="AR76" s="228"/>
      <c r="AS76" s="228"/>
      <c r="AT76" s="228"/>
      <c r="AU76" s="228"/>
      <c r="AV76" s="228"/>
      <c r="AW76" s="2058"/>
    </row>
    <row r="77" spans="1:54" ht="32.25" customHeight="1">
      <c r="A77" s="1873" t="s">
        <v>1192</v>
      </c>
      <c r="B77" s="43" t="s">
        <v>35</v>
      </c>
      <c r="C77" s="43" t="s">
        <v>3475</v>
      </c>
      <c r="D77" s="35"/>
      <c r="F77" s="196" t="str">
        <f t="shared" ref="F77:F92" si="21">IF(G77=TRUE,"Y","N")</f>
        <v>Y</v>
      </c>
      <c r="G77" s="3409" t="b">
        <v>1</v>
      </c>
      <c r="H77" s="43" t="str">
        <f t="shared" si="18"/>
        <v>Personal &amp; Advertising</v>
      </c>
      <c r="I77" s="2048">
        <f>I5</f>
        <v>1000000</v>
      </c>
      <c r="J77" s="1512"/>
      <c r="K77" s="58"/>
      <c r="L77" s="58"/>
      <c r="M77" s="42"/>
      <c r="N77" s="42"/>
      <c r="O77" s="42"/>
      <c r="P77" s="42"/>
      <c r="Q77" s="42"/>
      <c r="R77" s="42"/>
      <c r="S77" s="42"/>
      <c r="T77" s="42"/>
      <c r="U77" s="42"/>
      <c r="V77" s="42"/>
      <c r="W77" s="42"/>
      <c r="X77" s="42"/>
      <c r="Y77" s="58" t="str">
        <f t="shared" si="20"/>
        <v>Included</v>
      </c>
      <c r="Z77" s="2029"/>
      <c r="AA77" s="58" t="str">
        <f t="shared" ref="AA77:AA86" si="22">IF(Z77=0,Y77,Z77)</f>
        <v>Included</v>
      </c>
      <c r="AB77" s="73">
        <f>AB76</f>
        <v>2500</v>
      </c>
      <c r="AC77" s="2029"/>
      <c r="AD77" s="2609">
        <f>IF(MAX(AB77:AC77)=0,"",MAX(AB77:AC77))</f>
        <v>2500</v>
      </c>
      <c r="AE77" s="210" t="s">
        <v>223</v>
      </c>
      <c r="AF77" s="1280" t="s">
        <v>223</v>
      </c>
      <c r="AG77" s="1252" t="s">
        <v>223</v>
      </c>
      <c r="AH77" s="228"/>
      <c r="AI77" s="228"/>
      <c r="AJ77" s="228"/>
      <c r="AK77" s="228"/>
      <c r="AL77" s="228"/>
      <c r="AM77" s="228"/>
      <c r="AN77" s="228"/>
      <c r="AO77" s="228"/>
      <c r="AP77" s="228"/>
      <c r="AQ77" s="228"/>
      <c r="AR77" s="228"/>
      <c r="AS77" s="228"/>
      <c r="AT77" s="228"/>
      <c r="AU77" s="228"/>
      <c r="AV77" s="228"/>
      <c r="AW77" s="2058"/>
    </row>
    <row r="78" spans="1:54" ht="31.5" customHeight="1">
      <c r="A78" s="1873" t="s">
        <v>1192</v>
      </c>
      <c r="B78" s="43" t="s">
        <v>1076</v>
      </c>
      <c r="C78" s="43" t="s">
        <v>3473</v>
      </c>
      <c r="D78" s="35"/>
      <c r="F78" s="196" t="str">
        <f t="shared" si="21"/>
        <v>Y</v>
      </c>
      <c r="G78" s="3409" t="b">
        <v>1</v>
      </c>
      <c r="H78" s="43" t="str">
        <f t="shared" si="18"/>
        <v>Liability Medical Payments</v>
      </c>
      <c r="I78" s="3407">
        <v>25000</v>
      </c>
      <c r="J78" s="1512"/>
      <c r="K78" s="58"/>
      <c r="L78" s="58"/>
      <c r="M78" s="42"/>
      <c r="N78" s="42"/>
      <c r="O78" s="42"/>
      <c r="P78" s="42"/>
      <c r="Q78" s="42"/>
      <c r="R78" s="42"/>
      <c r="S78" s="42"/>
      <c r="T78" s="42"/>
      <c r="U78" s="42"/>
      <c r="V78" s="42"/>
      <c r="W78" s="42"/>
      <c r="X78" s="42"/>
      <c r="Y78" s="58" t="str">
        <f t="shared" si="20"/>
        <v>Included</v>
      </c>
      <c r="Z78" s="2029"/>
      <c r="AA78" s="58" t="str">
        <f t="shared" si="22"/>
        <v>Included</v>
      </c>
      <c r="AB78" s="73">
        <f t="shared" ref="AB78:AB86" si="23">AB77</f>
        <v>2500</v>
      </c>
      <c r="AC78" s="2029"/>
      <c r="AD78" s="2609">
        <f t="shared" ref="AD78:AD86" si="24">IF(MAX(AB78:AC78)=0,"",MAX(AB78:AC78))</f>
        <v>2500</v>
      </c>
      <c r="AE78" s="210" t="s">
        <v>223</v>
      </c>
      <c r="AF78" s="1280" t="s">
        <v>223</v>
      </c>
      <c r="AG78" s="1252" t="s">
        <v>223</v>
      </c>
      <c r="AH78" s="228"/>
      <c r="AI78" s="228"/>
      <c r="AJ78" s="228"/>
      <c r="AK78" s="228"/>
      <c r="AL78" s="228"/>
      <c r="AM78" s="228"/>
      <c r="AN78" s="228"/>
      <c r="AO78" s="228"/>
      <c r="AP78" s="228"/>
      <c r="AQ78" s="228"/>
      <c r="AR78" s="228"/>
      <c r="AS78" s="228"/>
      <c r="AT78" s="228"/>
      <c r="AU78" s="228"/>
      <c r="AV78" s="228"/>
      <c r="AW78" s="2058"/>
    </row>
    <row r="79" spans="1:54" ht="38.25" customHeight="1">
      <c r="A79" s="1873" t="s">
        <v>1192</v>
      </c>
      <c r="B79" s="43" t="s">
        <v>1077</v>
      </c>
      <c r="C79" s="43" t="s">
        <v>3476</v>
      </c>
      <c r="D79" s="35"/>
      <c r="F79" s="196" t="str">
        <f t="shared" si="21"/>
        <v>Y</v>
      </c>
      <c r="G79" s="3409" t="b">
        <v>1</v>
      </c>
      <c r="H79" s="43" t="str">
        <f t="shared" si="18"/>
        <v>Tenants Legal Liability</v>
      </c>
      <c r="I79" s="3407">
        <v>250000</v>
      </c>
      <c r="J79" s="1512"/>
      <c r="K79" s="58"/>
      <c r="L79" s="58"/>
      <c r="M79" s="42"/>
      <c r="N79" s="42"/>
      <c r="O79" s="42"/>
      <c r="P79" s="42"/>
      <c r="Q79" s="42"/>
      <c r="R79" s="42"/>
      <c r="S79" s="42"/>
      <c r="T79" s="42"/>
      <c r="U79" s="42"/>
      <c r="V79" s="42"/>
      <c r="W79" s="42"/>
      <c r="X79" s="42"/>
      <c r="Y79" s="58" t="str">
        <f t="shared" si="20"/>
        <v>Included</v>
      </c>
      <c r="Z79" s="2029"/>
      <c r="AA79" s="58" t="str">
        <f t="shared" si="22"/>
        <v>Included</v>
      </c>
      <c r="AB79" s="73">
        <f t="shared" si="23"/>
        <v>2500</v>
      </c>
      <c r="AC79" s="2029"/>
      <c r="AD79" s="2609">
        <f t="shared" si="24"/>
        <v>2500</v>
      </c>
      <c r="AE79" s="210" t="s">
        <v>223</v>
      </c>
      <c r="AF79" s="1280" t="s">
        <v>223</v>
      </c>
      <c r="AG79" s="1252" t="s">
        <v>223</v>
      </c>
      <c r="AH79" s="228"/>
      <c r="AI79" s="228"/>
      <c r="AJ79" s="228"/>
      <c r="AK79" s="228"/>
      <c r="AL79" s="228"/>
      <c r="AM79" s="228"/>
      <c r="AN79" s="228"/>
      <c r="AO79" s="228"/>
      <c r="AP79" s="228"/>
      <c r="AQ79" s="228"/>
      <c r="AR79" s="228"/>
      <c r="AS79" s="228"/>
      <c r="AT79" s="228"/>
      <c r="AU79" s="228"/>
      <c r="AV79" s="228"/>
      <c r="AW79" s="2058"/>
    </row>
    <row r="80" spans="1:54" ht="31.5" customHeight="1">
      <c r="A80" s="1873" t="s">
        <v>1192</v>
      </c>
      <c r="B80" s="43" t="s">
        <v>1078</v>
      </c>
      <c r="C80" s="43" t="s">
        <v>3477</v>
      </c>
      <c r="D80" s="35"/>
      <c r="F80" s="196" t="str">
        <f t="shared" si="21"/>
        <v>Y</v>
      </c>
      <c r="G80" s="3409" t="b">
        <v>1</v>
      </c>
      <c r="H80" s="43" t="str">
        <f t="shared" si="18"/>
        <v>Non Owed Automobile</v>
      </c>
      <c r="I80" s="158">
        <f>IF($I$5&lt;2000000,1000000,2000000)</f>
        <v>1000000</v>
      </c>
      <c r="J80" s="47"/>
      <c r="K80" s="58"/>
      <c r="L80" s="58"/>
      <c r="M80" s="42"/>
      <c r="N80" s="42"/>
      <c r="O80" s="42"/>
      <c r="P80" s="42"/>
      <c r="Q80" s="42"/>
      <c r="R80" s="42"/>
      <c r="S80" s="42"/>
      <c r="T80" s="42"/>
      <c r="U80" s="42"/>
      <c r="V80" s="42"/>
      <c r="W80" s="42"/>
      <c r="X80" s="42"/>
      <c r="Y80" s="58" t="str">
        <f t="shared" si="20"/>
        <v>Included</v>
      </c>
      <c r="Z80" s="2029"/>
      <c r="AA80" s="58" t="str">
        <f t="shared" si="22"/>
        <v>Included</v>
      </c>
      <c r="AB80" s="73">
        <f t="shared" si="23"/>
        <v>2500</v>
      </c>
      <c r="AC80" s="2029"/>
      <c r="AD80" s="2609">
        <f t="shared" si="24"/>
        <v>2500</v>
      </c>
      <c r="AE80" s="1355" t="str">
        <f>IF(OR($B$1="EN",'Quote template-1'!$N$22="Hors Quebec"),AG80,AF80)</f>
        <v>L14</v>
      </c>
      <c r="AF80" s="1277" t="s">
        <v>224</v>
      </c>
      <c r="AG80" s="1249" t="s">
        <v>3653</v>
      </c>
      <c r="AW80" s="2058"/>
    </row>
    <row r="81" spans="1:49" ht="30.75" customHeight="1">
      <c r="A81" s="1873" t="s">
        <v>1192</v>
      </c>
      <c r="B81" s="198" t="s">
        <v>1126</v>
      </c>
      <c r="C81" s="198" t="s">
        <v>3483</v>
      </c>
      <c r="D81" s="35"/>
      <c r="F81" s="196" t="str">
        <f t="shared" si="21"/>
        <v>Y</v>
      </c>
      <c r="G81" s="3410" t="b">
        <v>1</v>
      </c>
      <c r="H81" s="198" t="str">
        <f t="shared" si="18"/>
        <v>Contractual Liability Extension (SEF 96)</v>
      </c>
      <c r="I81" s="47" t="str">
        <f>IF($B$1="EN","Included","Inclus")</f>
        <v>Included</v>
      </c>
      <c r="J81" s="47"/>
      <c r="K81" s="58"/>
      <c r="L81" s="58"/>
      <c r="M81" s="42"/>
      <c r="N81" s="42"/>
      <c r="O81" s="42"/>
      <c r="P81" s="42"/>
      <c r="Q81" s="42"/>
      <c r="R81" s="42"/>
      <c r="S81" s="42"/>
      <c r="T81" s="42"/>
      <c r="U81" s="42"/>
      <c r="V81" s="42"/>
      <c r="W81" s="42"/>
      <c r="X81" s="42"/>
      <c r="Y81" s="58" t="str">
        <f t="shared" si="20"/>
        <v>Included</v>
      </c>
      <c r="Z81" s="2029"/>
      <c r="AA81" s="58" t="str">
        <f t="shared" si="22"/>
        <v>Included</v>
      </c>
      <c r="AB81" s="73">
        <f t="shared" si="23"/>
        <v>2500</v>
      </c>
      <c r="AC81" s="2029"/>
      <c r="AD81" s="2609">
        <f t="shared" si="24"/>
        <v>2500</v>
      </c>
      <c r="AE81" s="1355" t="str">
        <f>IF(OR($B$1="EN",'Quote template-1'!$N$22="Hors Quebec"),AG81,AF81)</f>
        <v>LE25</v>
      </c>
      <c r="AF81" s="1249" t="s">
        <v>225</v>
      </c>
      <c r="AG81" s="1249" t="s">
        <v>225</v>
      </c>
      <c r="AW81" s="2058"/>
    </row>
    <row r="82" spans="1:49" ht="30.75" customHeight="1">
      <c r="A82" s="1873" t="s">
        <v>1192</v>
      </c>
      <c r="B82" s="198" t="s">
        <v>36</v>
      </c>
      <c r="C82" s="198" t="s">
        <v>3484</v>
      </c>
      <c r="D82" s="35"/>
      <c r="F82" s="196" t="str">
        <f t="shared" si="21"/>
        <v>Y</v>
      </c>
      <c r="G82" s="3410" t="b">
        <v>1</v>
      </c>
      <c r="H82" s="198" t="str">
        <f t="shared" si="18"/>
        <v>Legal Liability for Damage to Hired Automobiles Extension (SEF 94)</v>
      </c>
      <c r="I82" s="158">
        <v>50000</v>
      </c>
      <c r="J82" s="158"/>
      <c r="K82" s="58"/>
      <c r="L82" s="58"/>
      <c r="M82" s="42"/>
      <c r="N82" s="42"/>
      <c r="O82" s="42"/>
      <c r="P82" s="42"/>
      <c r="Q82" s="42"/>
      <c r="R82" s="42"/>
      <c r="S82" s="42"/>
      <c r="T82" s="42"/>
      <c r="U82" s="42"/>
      <c r="V82" s="42"/>
      <c r="W82" s="42"/>
      <c r="X82" s="42"/>
      <c r="Y82" s="58" t="str">
        <f t="shared" si="20"/>
        <v>Included</v>
      </c>
      <c r="Z82" s="2029"/>
      <c r="AA82" s="58" t="str">
        <f t="shared" si="22"/>
        <v>Included</v>
      </c>
      <c r="AB82" s="73">
        <f t="shared" si="23"/>
        <v>2500</v>
      </c>
      <c r="AC82" s="2029"/>
      <c r="AD82" s="2609">
        <f t="shared" si="24"/>
        <v>2500</v>
      </c>
      <c r="AE82" s="1355" t="str">
        <f>IF(OR($B$1="EN",'Quote template-1'!$N$22="Hors Quebec"),AG82,AF82)</f>
        <v>LE26</v>
      </c>
      <c r="AF82" s="1277" t="s">
        <v>226</v>
      </c>
      <c r="AG82" s="1249" t="s">
        <v>3654</v>
      </c>
      <c r="AH82" s="40" t="s">
        <v>4024</v>
      </c>
      <c r="AW82" s="2058"/>
    </row>
    <row r="83" spans="1:49" ht="48.75" customHeight="1">
      <c r="A83" s="1873" t="s">
        <v>1192</v>
      </c>
      <c r="B83" s="198" t="s">
        <v>1203</v>
      </c>
      <c r="C83" s="198" t="s">
        <v>3482</v>
      </c>
      <c r="D83" s="35"/>
      <c r="F83" s="196" t="str">
        <f t="shared" si="21"/>
        <v>Y</v>
      </c>
      <c r="G83" s="3410" t="b">
        <v>1</v>
      </c>
      <c r="H83" s="198" t="str">
        <f t="shared" si="18"/>
        <v>Reduction of Coverage for Leased Vehicles Endorsement (OEF 98B)</v>
      </c>
      <c r="I83" s="47" t="str">
        <f>IF($B$1="EN","Included","Inclus")</f>
        <v>Included</v>
      </c>
      <c r="J83" s="47"/>
      <c r="K83" s="58"/>
      <c r="L83" s="58"/>
      <c r="M83" s="42"/>
      <c r="N83" s="42"/>
      <c r="O83" s="42"/>
      <c r="P83" s="42"/>
      <c r="Q83" s="42"/>
      <c r="R83" s="42"/>
      <c r="S83" s="42"/>
      <c r="T83" s="42"/>
      <c r="U83" s="42"/>
      <c r="V83" s="42"/>
      <c r="W83" s="42"/>
      <c r="X83" s="42"/>
      <c r="Y83" s="58" t="str">
        <f t="shared" si="20"/>
        <v>Included</v>
      </c>
      <c r="Z83" s="2029"/>
      <c r="AA83" s="58" t="str">
        <f t="shared" si="22"/>
        <v>Included</v>
      </c>
      <c r="AB83" s="73">
        <f t="shared" si="23"/>
        <v>2500</v>
      </c>
      <c r="AC83" s="2029"/>
      <c r="AD83" s="2609">
        <f t="shared" si="24"/>
        <v>2500</v>
      </c>
      <c r="AE83" s="1355" t="str">
        <f>IF(OR($B$1="EN",'Quote template-1'!$N$22="Hors Quebec"),AG83,AF83)</f>
        <v>LE45</v>
      </c>
      <c r="AF83" s="1249" t="s">
        <v>227</v>
      </c>
      <c r="AG83" s="1249" t="s">
        <v>227</v>
      </c>
      <c r="AW83" s="2058"/>
    </row>
    <row r="84" spans="1:49" ht="31.5" customHeight="1">
      <c r="A84" s="1873" t="s">
        <v>1192</v>
      </c>
      <c r="B84" s="198" t="s">
        <v>37</v>
      </c>
      <c r="C84" s="198" t="s">
        <v>3481</v>
      </c>
      <c r="D84" s="35"/>
      <c r="F84" s="196" t="str">
        <f t="shared" si="21"/>
        <v>Y</v>
      </c>
      <c r="G84" s="3410" t="b">
        <v>1</v>
      </c>
      <c r="H84" s="1991" t="str">
        <f t="shared" si="18"/>
        <v>Long Term Leased Vehicle Exclusion (SEF 99)</v>
      </c>
      <c r="I84" s="47" t="str">
        <f>IF($B$1="EN","Included","Inclus")</f>
        <v>Included</v>
      </c>
      <c r="J84" s="47"/>
      <c r="K84" s="58"/>
      <c r="L84" s="58"/>
      <c r="M84" s="42"/>
      <c r="N84" s="42"/>
      <c r="O84" s="42"/>
      <c r="P84" s="42"/>
      <c r="Q84" s="42"/>
      <c r="R84" s="42"/>
      <c r="S84" s="42"/>
      <c r="T84" s="42"/>
      <c r="U84" s="42"/>
      <c r="V84" s="42"/>
      <c r="W84" s="42"/>
      <c r="X84" s="42"/>
      <c r="Y84" s="58" t="str">
        <f t="shared" si="20"/>
        <v>Included</v>
      </c>
      <c r="Z84" s="2029"/>
      <c r="AA84" s="58" t="str">
        <f t="shared" si="22"/>
        <v>Included</v>
      </c>
      <c r="AB84" s="73">
        <f t="shared" si="23"/>
        <v>2500</v>
      </c>
      <c r="AC84" s="2029"/>
      <c r="AD84" s="2609">
        <f t="shared" si="24"/>
        <v>2500</v>
      </c>
      <c r="AE84" s="1355" t="str">
        <f>IF(OR($B$1="EN",'Quote template-1'!$N$22="Hors Quebec"),AG84,AF84)</f>
        <v>LX16</v>
      </c>
      <c r="AF84" s="1277" t="s">
        <v>4040</v>
      </c>
      <c r="AG84" s="1249" t="s">
        <v>3651</v>
      </c>
      <c r="AW84" s="2058"/>
    </row>
    <row r="85" spans="1:49" ht="48.75" customHeight="1">
      <c r="A85" s="1873" t="s">
        <v>1192</v>
      </c>
      <c r="B85" s="43" t="s">
        <v>3779</v>
      </c>
      <c r="C85" s="43" t="s">
        <v>3478</v>
      </c>
      <c r="D85" s="35"/>
      <c r="F85" s="196" t="str">
        <f t="shared" si="21"/>
        <v>Y</v>
      </c>
      <c r="G85" s="3409" t="b">
        <v>1</v>
      </c>
      <c r="H85" s="43" t="str">
        <f t="shared" si="18"/>
        <v>Employers' Bodily Injury Liability Extension</v>
      </c>
      <c r="I85" s="2047">
        <f>I76</f>
        <v>1000000</v>
      </c>
      <c r="J85" s="158"/>
      <c r="K85" s="58"/>
      <c r="L85" s="58"/>
      <c r="M85" s="42"/>
      <c r="N85" s="42"/>
      <c r="O85" s="42"/>
      <c r="P85" s="42"/>
      <c r="Q85" s="42"/>
      <c r="R85" s="42"/>
      <c r="S85" s="42"/>
      <c r="T85" s="42"/>
      <c r="U85" s="42"/>
      <c r="V85" s="42"/>
      <c r="W85" s="42"/>
      <c r="X85" s="42"/>
      <c r="Y85" s="58" t="str">
        <f t="shared" si="20"/>
        <v>Included</v>
      </c>
      <c r="Z85" s="2029"/>
      <c r="AA85" s="58" t="str">
        <f t="shared" si="22"/>
        <v>Included</v>
      </c>
      <c r="AB85" s="73">
        <f t="shared" si="23"/>
        <v>2500</v>
      </c>
      <c r="AC85" s="2029"/>
      <c r="AD85" s="2609">
        <f t="shared" si="24"/>
        <v>2500</v>
      </c>
      <c r="AE85" s="58" t="str">
        <f>IF($B$1="EN",AG85,AF85)</f>
        <v>LE5c</v>
      </c>
      <c r="AF85" s="1277" t="s">
        <v>228</v>
      </c>
      <c r="AG85" s="1249" t="s">
        <v>228</v>
      </c>
      <c r="AW85" s="2058"/>
    </row>
    <row r="86" spans="1:49" ht="30" customHeight="1">
      <c r="A86" s="1873" t="s">
        <v>1192</v>
      </c>
      <c r="B86" s="43" t="s">
        <v>3778</v>
      </c>
      <c r="C86" s="43" t="s">
        <v>3479</v>
      </c>
      <c r="D86" s="35"/>
      <c r="F86" s="196" t="str">
        <f t="shared" si="21"/>
        <v>Y</v>
      </c>
      <c r="G86" s="3409" t="b">
        <v>1</v>
      </c>
      <c r="H86" s="43" t="str">
        <f t="shared" si="18"/>
        <v>Employee Benefits Extension</v>
      </c>
      <c r="I86" s="2047">
        <f>I85</f>
        <v>1000000</v>
      </c>
      <c r="J86" s="158"/>
      <c r="K86" s="58"/>
      <c r="L86" s="58"/>
      <c r="M86" s="42"/>
      <c r="N86" s="42"/>
      <c r="O86" s="42"/>
      <c r="P86" s="42"/>
      <c r="Q86" s="42"/>
      <c r="R86" s="42"/>
      <c r="S86" s="42"/>
      <c r="T86" s="42"/>
      <c r="U86" s="42"/>
      <c r="V86" s="42"/>
      <c r="W86" s="42"/>
      <c r="X86" s="42"/>
      <c r="Y86" s="58" t="str">
        <f t="shared" si="20"/>
        <v>Included</v>
      </c>
      <c r="Z86" s="2029"/>
      <c r="AA86" s="58" t="str">
        <f t="shared" si="22"/>
        <v>Included</v>
      </c>
      <c r="AB86" s="73">
        <f t="shared" si="23"/>
        <v>2500</v>
      </c>
      <c r="AC86" s="2029"/>
      <c r="AD86" s="2609">
        <f t="shared" si="24"/>
        <v>2500</v>
      </c>
      <c r="AE86" s="58" t="str">
        <f>IF($B$1="EN",AG86,AF86)</f>
        <v>LE33</v>
      </c>
      <c r="AF86" s="1277" t="s">
        <v>229</v>
      </c>
      <c r="AG86" s="1249" t="s">
        <v>229</v>
      </c>
      <c r="AW86" s="2058"/>
    </row>
    <row r="87" spans="1:49" s="33" customFormat="1" ht="36.75" customHeight="1">
      <c r="A87" s="1873" t="s">
        <v>1192</v>
      </c>
      <c r="B87" s="1067" t="s">
        <v>3480</v>
      </c>
      <c r="C87" s="1067" t="s">
        <v>3389</v>
      </c>
      <c r="D87" s="35"/>
      <c r="F87" s="196" t="str">
        <f t="shared" si="21"/>
        <v>N</v>
      </c>
      <c r="G87" s="2049"/>
      <c r="H87" s="2045" t="str">
        <f t="shared" si="18"/>
        <v xml:space="preserve"> Write here other coverage en Price submit</v>
      </c>
      <c r="I87" s="2046"/>
      <c r="J87" s="1054"/>
      <c r="K87" s="1054"/>
      <c r="L87" s="1054"/>
      <c r="M87" s="1055"/>
      <c r="N87" s="1055"/>
      <c r="O87" s="1055"/>
      <c r="P87" s="1055"/>
      <c r="Q87" s="1055"/>
      <c r="R87" s="1055"/>
      <c r="S87" s="1055"/>
      <c r="T87" s="1055"/>
      <c r="U87" s="1055"/>
      <c r="V87" s="1055"/>
      <c r="W87" s="1055"/>
      <c r="X87" s="1055"/>
      <c r="Y87" s="58"/>
      <c r="Z87" s="2044"/>
      <c r="AA87" s="58">
        <f>IF(Z87=0,Y87,Z87)</f>
        <v>0</v>
      </c>
      <c r="AB87" s="1838"/>
      <c r="AC87" s="2044"/>
      <c r="AD87" s="138">
        <f>AC87</f>
        <v>0</v>
      </c>
      <c r="AE87" s="2043"/>
      <c r="AF87" s="1839"/>
      <c r="AG87" s="1840"/>
      <c r="AH87" s="2056"/>
      <c r="AI87" s="2056"/>
      <c r="AJ87" s="2056"/>
      <c r="AK87" s="2056"/>
      <c r="AL87" s="2056"/>
      <c r="AM87" s="2056"/>
      <c r="AN87" s="2056"/>
      <c r="AO87" s="2056"/>
      <c r="AP87" s="2056"/>
      <c r="AQ87" s="2056"/>
      <c r="AR87" s="2056"/>
      <c r="AS87" s="2056"/>
      <c r="AT87" s="2056"/>
      <c r="AU87" s="2056"/>
      <c r="AV87" s="2056"/>
      <c r="AW87" s="2058"/>
    </row>
    <row r="88" spans="1:49" s="33" customFormat="1" ht="36.75" customHeight="1">
      <c r="A88" s="1873" t="s">
        <v>1192</v>
      </c>
      <c r="B88" s="1067" t="s">
        <v>3480</v>
      </c>
      <c r="C88" s="1067" t="s">
        <v>3389</v>
      </c>
      <c r="D88" s="35"/>
      <c r="F88" s="196" t="str">
        <f t="shared" si="21"/>
        <v>N</v>
      </c>
      <c r="G88" s="2049"/>
      <c r="H88" s="2045" t="str">
        <f t="shared" si="18"/>
        <v xml:space="preserve"> Write here other coverage en Price submit</v>
      </c>
      <c r="I88" s="2046"/>
      <c r="J88" s="1054"/>
      <c r="K88" s="1054"/>
      <c r="L88" s="1054"/>
      <c r="M88" s="1055"/>
      <c r="N88" s="1055"/>
      <c r="O88" s="1055"/>
      <c r="P88" s="1055"/>
      <c r="Q88" s="1055"/>
      <c r="R88" s="1055"/>
      <c r="S88" s="1055"/>
      <c r="T88" s="1055"/>
      <c r="U88" s="1055"/>
      <c r="V88" s="1055"/>
      <c r="W88" s="1055"/>
      <c r="X88" s="1055"/>
      <c r="Y88" s="42"/>
      <c r="Z88" s="2044"/>
      <c r="AA88" s="138">
        <f t="shared" ref="AA88:AA92" si="25">IF(F88="Y",MAX(Y88:Z88),0)</f>
        <v>0</v>
      </c>
      <c r="AB88" s="1838"/>
      <c r="AC88" s="2044"/>
      <c r="AD88" s="138">
        <f t="shared" ref="AD88:AD92" si="26">AC88</f>
        <v>0</v>
      </c>
      <c r="AE88" s="2043"/>
      <c r="AF88" s="1839"/>
      <c r="AG88" s="1840"/>
      <c r="AH88" s="2056"/>
      <c r="AI88" s="2056"/>
      <c r="AJ88" s="2056"/>
      <c r="AK88" s="2056"/>
      <c r="AL88" s="2056"/>
      <c r="AM88" s="2056"/>
      <c r="AN88" s="2056"/>
      <c r="AO88" s="2056"/>
      <c r="AP88" s="2056"/>
      <c r="AQ88" s="2056"/>
      <c r="AR88" s="2056"/>
      <c r="AS88" s="2056"/>
      <c r="AT88" s="2056"/>
      <c r="AU88" s="2056"/>
      <c r="AV88" s="2056"/>
      <c r="AW88" s="2058"/>
    </row>
    <row r="89" spans="1:49" s="33" customFormat="1" ht="36.75" customHeight="1">
      <c r="A89" s="1873" t="s">
        <v>1192</v>
      </c>
      <c r="B89" s="1067" t="s">
        <v>3480</v>
      </c>
      <c r="C89" s="1067" t="s">
        <v>3389</v>
      </c>
      <c r="D89" s="35"/>
      <c r="F89" s="196" t="str">
        <f t="shared" si="21"/>
        <v>N</v>
      </c>
      <c r="G89" s="2049"/>
      <c r="H89" s="2045" t="str">
        <f t="shared" si="18"/>
        <v xml:space="preserve"> Write here other coverage en Price submit</v>
      </c>
      <c r="I89" s="2046"/>
      <c r="J89" s="1054"/>
      <c r="K89" s="1054"/>
      <c r="L89" s="1054"/>
      <c r="M89" s="1055"/>
      <c r="N89" s="1055"/>
      <c r="O89" s="1055"/>
      <c r="P89" s="1055"/>
      <c r="Q89" s="1055"/>
      <c r="R89" s="1055"/>
      <c r="S89" s="1055"/>
      <c r="T89" s="1055"/>
      <c r="U89" s="1055"/>
      <c r="V89" s="1055"/>
      <c r="W89" s="1055"/>
      <c r="X89" s="1055"/>
      <c r="Y89" s="42"/>
      <c r="Z89" s="2044"/>
      <c r="AA89" s="138">
        <f t="shared" si="25"/>
        <v>0</v>
      </c>
      <c r="AB89" s="1838"/>
      <c r="AC89" s="2044"/>
      <c r="AD89" s="138">
        <f t="shared" si="26"/>
        <v>0</v>
      </c>
      <c r="AE89" s="2043"/>
      <c r="AF89" s="1839"/>
      <c r="AG89" s="1840"/>
      <c r="AH89" s="2056"/>
      <c r="AI89" s="2056"/>
      <c r="AJ89" s="2056"/>
      <c r="AK89" s="2056"/>
      <c r="AL89" s="2056"/>
      <c r="AM89" s="2056"/>
      <c r="AN89" s="2056"/>
      <c r="AO89" s="2056"/>
      <c r="AP89" s="2056"/>
      <c r="AQ89" s="2056"/>
      <c r="AR89" s="2056"/>
      <c r="AS89" s="2056"/>
      <c r="AT89" s="2056"/>
      <c r="AU89" s="2056"/>
      <c r="AV89" s="2056"/>
      <c r="AW89" s="2058"/>
    </row>
    <row r="90" spans="1:49" s="33" customFormat="1" ht="36.75" customHeight="1">
      <c r="A90" s="1873" t="s">
        <v>1192</v>
      </c>
      <c r="B90" s="1067" t="s">
        <v>3480</v>
      </c>
      <c r="C90" s="1067" t="s">
        <v>3389</v>
      </c>
      <c r="D90" s="35"/>
      <c r="F90" s="196" t="str">
        <f t="shared" si="21"/>
        <v>N</v>
      </c>
      <c r="G90" s="2049"/>
      <c r="H90" s="2045" t="str">
        <f t="shared" si="18"/>
        <v xml:space="preserve"> Write here other coverage en Price submit</v>
      </c>
      <c r="I90" s="2046"/>
      <c r="J90" s="1054"/>
      <c r="K90" s="1054"/>
      <c r="L90" s="1054"/>
      <c r="M90" s="1055"/>
      <c r="N90" s="1055"/>
      <c r="O90" s="1055"/>
      <c r="P90" s="1055"/>
      <c r="Q90" s="1055"/>
      <c r="R90" s="1055"/>
      <c r="S90" s="1055"/>
      <c r="T90" s="1055"/>
      <c r="U90" s="1055"/>
      <c r="V90" s="1055"/>
      <c r="W90" s="1055"/>
      <c r="X90" s="1055"/>
      <c r="Y90" s="42"/>
      <c r="Z90" s="2044"/>
      <c r="AA90" s="138">
        <f t="shared" si="25"/>
        <v>0</v>
      </c>
      <c r="AB90" s="1838"/>
      <c r="AC90" s="2044"/>
      <c r="AD90" s="138">
        <f t="shared" si="26"/>
        <v>0</v>
      </c>
      <c r="AE90" s="2043"/>
      <c r="AF90" s="1839"/>
      <c r="AG90" s="1840"/>
      <c r="AH90" s="2056"/>
      <c r="AI90" s="2056"/>
      <c r="AJ90" s="2056"/>
      <c r="AK90" s="2056"/>
      <c r="AL90" s="2056"/>
      <c r="AM90" s="2056"/>
      <c r="AN90" s="2056"/>
      <c r="AO90" s="2056"/>
      <c r="AP90" s="2056"/>
      <c r="AQ90" s="2056"/>
      <c r="AR90" s="2056"/>
      <c r="AS90" s="2056"/>
      <c r="AT90" s="2056"/>
      <c r="AU90" s="2056"/>
      <c r="AV90" s="2056"/>
      <c r="AW90" s="2058"/>
    </row>
    <row r="91" spans="1:49" s="33" customFormat="1" ht="36.75" customHeight="1">
      <c r="A91" s="1873" t="s">
        <v>1192</v>
      </c>
      <c r="B91" s="1067" t="s">
        <v>3480</v>
      </c>
      <c r="C91" s="1067" t="s">
        <v>3389</v>
      </c>
      <c r="D91" s="35"/>
      <c r="F91" s="196" t="str">
        <f t="shared" si="21"/>
        <v>N</v>
      </c>
      <c r="G91" s="2049"/>
      <c r="H91" s="2045" t="str">
        <f t="shared" si="18"/>
        <v xml:space="preserve"> Write here other coverage en Price submit</v>
      </c>
      <c r="I91" s="2046"/>
      <c r="J91" s="1054"/>
      <c r="K91" s="1054"/>
      <c r="L91" s="1054"/>
      <c r="M91" s="1055"/>
      <c r="N91" s="1055"/>
      <c r="O91" s="1055"/>
      <c r="P91" s="1055"/>
      <c r="Q91" s="1055"/>
      <c r="R91" s="1055"/>
      <c r="S91" s="1055"/>
      <c r="T91" s="1055"/>
      <c r="U91" s="1055"/>
      <c r="V91" s="1055"/>
      <c r="W91" s="1055"/>
      <c r="X91" s="1055"/>
      <c r="Y91" s="42"/>
      <c r="Z91" s="2044"/>
      <c r="AA91" s="138">
        <f t="shared" si="25"/>
        <v>0</v>
      </c>
      <c r="AB91" s="1838"/>
      <c r="AC91" s="2044"/>
      <c r="AD91" s="138">
        <f t="shared" si="26"/>
        <v>0</v>
      </c>
      <c r="AE91" s="2043"/>
      <c r="AF91" s="1839"/>
      <c r="AG91" s="1840"/>
      <c r="AH91" s="2056"/>
      <c r="AI91" s="2056"/>
      <c r="AJ91" s="2056"/>
      <c r="AK91" s="2056"/>
      <c r="AL91" s="2056"/>
      <c r="AM91" s="2056"/>
      <c r="AN91" s="2056"/>
      <c r="AO91" s="2056"/>
      <c r="AP91" s="2056"/>
      <c r="AQ91" s="2056"/>
      <c r="AR91" s="2056"/>
      <c r="AS91" s="2056"/>
      <c r="AT91" s="2056"/>
      <c r="AU91" s="2056"/>
      <c r="AV91" s="2056"/>
      <c r="AW91" s="2058"/>
    </row>
    <row r="92" spans="1:49" s="33" customFormat="1" ht="36.75" customHeight="1">
      <c r="A92" s="1873" t="s">
        <v>1192</v>
      </c>
      <c r="B92" s="1067" t="s">
        <v>3480</v>
      </c>
      <c r="C92" s="1067" t="s">
        <v>3389</v>
      </c>
      <c r="D92" s="35"/>
      <c r="F92" s="196" t="str">
        <f t="shared" si="21"/>
        <v>N</v>
      </c>
      <c r="G92" s="2049"/>
      <c r="H92" s="2045" t="str">
        <f t="shared" si="18"/>
        <v xml:space="preserve"> Write here other coverage en Price submit</v>
      </c>
      <c r="I92" s="2046"/>
      <c r="J92" s="1054"/>
      <c r="K92" s="1054"/>
      <c r="L92" s="1054"/>
      <c r="M92" s="1055"/>
      <c r="N92" s="1055"/>
      <c r="O92" s="1055"/>
      <c r="P92" s="1055"/>
      <c r="Q92" s="1055"/>
      <c r="R92" s="1055"/>
      <c r="S92" s="1055"/>
      <c r="T92" s="1055"/>
      <c r="U92" s="1055"/>
      <c r="V92" s="1055"/>
      <c r="W92" s="1055"/>
      <c r="X92" s="1055"/>
      <c r="Y92" s="42"/>
      <c r="Z92" s="2044"/>
      <c r="AA92" s="138">
        <f t="shared" si="25"/>
        <v>0</v>
      </c>
      <c r="AB92" s="1838"/>
      <c r="AC92" s="2044"/>
      <c r="AD92" s="138">
        <f t="shared" si="26"/>
        <v>0</v>
      </c>
      <c r="AE92" s="2043"/>
      <c r="AF92" s="1839"/>
      <c r="AG92" s="1840"/>
      <c r="AH92" s="2056"/>
      <c r="AI92" s="2056"/>
      <c r="AJ92" s="2056"/>
      <c r="AK92" s="2056"/>
      <c r="AL92" s="2056"/>
      <c r="AM92" s="2056"/>
      <c r="AN92" s="2056"/>
      <c r="AO92" s="2056"/>
      <c r="AP92" s="2056"/>
      <c r="AQ92" s="2056"/>
      <c r="AR92" s="2056"/>
      <c r="AS92" s="2056"/>
      <c r="AT92" s="2056"/>
      <c r="AU92" s="2056"/>
      <c r="AV92" s="2056"/>
      <c r="AW92" s="2058"/>
    </row>
    <row r="93" spans="1:49">
      <c r="A93" s="1873" t="s">
        <v>1192</v>
      </c>
      <c r="D93" s="35"/>
    </row>
    <row r="94" spans="1:49" ht="3.75" customHeight="1">
      <c r="A94" s="1873" t="s">
        <v>1192</v>
      </c>
      <c r="D94" s="35"/>
      <c r="F94" s="39"/>
      <c r="G94" s="189"/>
      <c r="I94" s="31"/>
      <c r="J94" s="31"/>
    </row>
    <row r="95" spans="1:49" s="2288" customFormat="1" ht="18.75">
      <c r="A95" s="2287" t="s">
        <v>1192</v>
      </c>
      <c r="B95" s="2283" t="s">
        <v>1064</v>
      </c>
      <c r="C95" s="2283" t="s">
        <v>3508</v>
      </c>
      <c r="D95" s="35"/>
      <c r="F95" s="2283" t="str">
        <f>IF($B$1="EN",C95,B95)</f>
        <v>Total Liability Section</v>
      </c>
      <c r="G95" s="2283"/>
      <c r="H95" s="2289"/>
      <c r="I95" s="2290"/>
      <c r="J95" s="2291"/>
      <c r="K95" s="2291"/>
      <c r="L95" s="2291"/>
      <c r="M95" s="2289"/>
      <c r="N95" s="2289"/>
      <c r="O95" s="2289"/>
      <c r="P95" s="2289"/>
      <c r="Q95" s="2289"/>
      <c r="R95" s="2289"/>
      <c r="S95" s="2289"/>
      <c r="T95" s="2289"/>
      <c r="U95" s="2289"/>
      <c r="V95" s="2289"/>
      <c r="W95" s="2289"/>
      <c r="X95" s="2289"/>
      <c r="Y95" s="2289"/>
      <c r="Z95" s="2290">
        <f>SUM(Z76:Z93)+SUM(Z68:Z73)+Z47+Z54+Z59+Z60</f>
        <v>100</v>
      </c>
      <c r="AA95" s="2290">
        <f>SUM(AA76:AA92)+SUM(AA68:AA73)+AA47+AA59+AA60+AA54</f>
        <v>0</v>
      </c>
      <c r="AB95" s="2290"/>
      <c r="AC95" s="2291"/>
      <c r="AD95" s="2291"/>
      <c r="AE95" s="2291"/>
      <c r="AF95" s="2292"/>
      <c r="AG95" s="2293"/>
      <c r="AH95" s="2294"/>
      <c r="AI95" s="2294"/>
      <c r="AJ95" s="2294"/>
      <c r="AK95" s="2294"/>
      <c r="AL95" s="2294"/>
      <c r="AM95" s="2294"/>
      <c r="AN95" s="2294"/>
      <c r="AO95" s="2294"/>
      <c r="AP95" s="2294"/>
      <c r="AQ95" s="2294"/>
      <c r="AR95" s="2294"/>
      <c r="AS95" s="2294"/>
      <c r="AT95" s="2294"/>
      <c r="AU95" s="2294"/>
      <c r="AV95" s="2294"/>
      <c r="AW95" s="2295"/>
    </row>
    <row r="96" spans="1:49">
      <c r="B96" s="77"/>
      <c r="C96" s="77"/>
      <c r="D96" s="77"/>
      <c r="F96" s="76"/>
      <c r="G96" s="189"/>
      <c r="H96" s="77"/>
      <c r="I96" s="78"/>
      <c r="J96" s="78"/>
      <c r="K96" s="79"/>
      <c r="L96" s="79"/>
      <c r="M96" s="78"/>
      <c r="N96" s="78"/>
      <c r="O96" s="78"/>
      <c r="P96" s="78"/>
      <c r="Q96" s="78"/>
      <c r="R96" s="78"/>
      <c r="S96" s="78"/>
      <c r="T96" s="78"/>
      <c r="U96" s="78"/>
      <c r="V96" s="78"/>
      <c r="W96" s="78"/>
      <c r="X96" s="78"/>
      <c r="Y96" s="78"/>
      <c r="Z96" s="78"/>
      <c r="AA96" s="78"/>
      <c r="AB96" s="79"/>
      <c r="AC96" s="79"/>
      <c r="AD96" s="79"/>
      <c r="AE96" s="79"/>
      <c r="AF96" s="1281"/>
      <c r="AG96" s="1253"/>
      <c r="AH96" s="80"/>
      <c r="AI96" s="80"/>
      <c r="AJ96" s="80"/>
      <c r="AK96" s="80"/>
      <c r="AL96" s="80"/>
      <c r="AM96" s="80"/>
      <c r="AN96" s="80"/>
      <c r="AO96" s="80"/>
      <c r="AP96" s="80"/>
      <c r="AQ96" s="80"/>
      <c r="AR96" s="80"/>
      <c r="AS96" s="80"/>
      <c r="AT96" s="80"/>
      <c r="AU96" s="80"/>
      <c r="AV96" s="80"/>
      <c r="AW96" s="78"/>
    </row>
    <row r="98" spans="2:48" ht="34.5" customHeight="1">
      <c r="B98" s="1481" t="s">
        <v>3760</v>
      </c>
      <c r="C98" s="1481" t="s">
        <v>3759</v>
      </c>
      <c r="D98" s="1873" t="str">
        <f>IF('Input '!$E$1="FR","","x")</f>
        <v>x</v>
      </c>
      <c r="F98" s="104"/>
      <c r="G98" s="2673" t="s">
        <v>4217</v>
      </c>
      <c r="H98" s="1481" t="str">
        <f>IF('Input '!$E$1="EN",C98,B98)</f>
        <v>Endorsements :</v>
      </c>
    </row>
    <row r="99" spans="2:48" s="2243" customFormat="1" ht="32.25" customHeight="1">
      <c r="B99" s="2296"/>
      <c r="C99" s="2296"/>
      <c r="D99" s="1873" t="str">
        <f>IF('Input '!$E$1="FR","","x")</f>
        <v>x</v>
      </c>
      <c r="G99" s="2670"/>
      <c r="H99" s="2641" t="s">
        <v>3723</v>
      </c>
      <c r="I99" s="2640"/>
      <c r="J99" s="2640"/>
      <c r="K99" s="2640"/>
      <c r="L99" s="2669"/>
      <c r="AB99" s="104"/>
      <c r="AC99" s="104"/>
      <c r="AD99" s="104"/>
      <c r="AE99" s="104"/>
      <c r="AF99" s="2297"/>
      <c r="AG99" s="2298"/>
      <c r="AH99" s="229"/>
      <c r="AI99" s="229"/>
      <c r="AJ99" s="229"/>
      <c r="AK99" s="229"/>
      <c r="AL99" s="229"/>
      <c r="AM99" s="229"/>
      <c r="AN99" s="229"/>
      <c r="AO99" s="229"/>
      <c r="AP99" s="229"/>
      <c r="AQ99" s="229"/>
      <c r="AR99" s="229"/>
      <c r="AS99" s="229"/>
      <c r="AT99" s="229"/>
      <c r="AU99" s="229"/>
      <c r="AV99" s="229"/>
    </row>
    <row r="100" spans="2:48" s="2243" customFormat="1" ht="32.25" customHeight="1">
      <c r="B100" s="2296"/>
      <c r="C100" s="2296"/>
      <c r="D100" s="1873" t="str">
        <f>IF('Input '!$E$1="FR","","x")</f>
        <v>x</v>
      </c>
      <c r="G100" s="2671"/>
      <c r="H100" s="2641" t="s">
        <v>4087</v>
      </c>
      <c r="I100" s="2640"/>
      <c r="J100" s="2640"/>
      <c r="K100" s="2640"/>
      <c r="L100" s="2669"/>
      <c r="AB100" s="104"/>
      <c r="AC100" s="104"/>
      <c r="AD100" s="104"/>
      <c r="AE100" s="104"/>
      <c r="AF100" s="2297"/>
      <c r="AG100" s="2298"/>
      <c r="AH100" s="229"/>
      <c r="AI100" s="229"/>
      <c r="AJ100" s="229"/>
      <c r="AK100" s="229"/>
      <c r="AL100" s="229"/>
      <c r="AM100" s="229"/>
      <c r="AN100" s="229"/>
      <c r="AO100" s="229"/>
      <c r="AP100" s="229"/>
      <c r="AQ100" s="229"/>
      <c r="AR100" s="229"/>
      <c r="AS100" s="229"/>
      <c r="AT100" s="229"/>
      <c r="AU100" s="229"/>
      <c r="AV100" s="229"/>
    </row>
    <row r="101" spans="2:48" s="2243" customFormat="1" ht="32.25" customHeight="1">
      <c r="B101" s="2296"/>
      <c r="C101" s="2296"/>
      <c r="D101" s="1873" t="str">
        <f>IF('Input '!$E$1="FR","","x")</f>
        <v>x</v>
      </c>
      <c r="G101" s="2671"/>
      <c r="H101" s="2639" t="s">
        <v>4286</v>
      </c>
      <c r="I101" s="2640"/>
      <c r="J101" s="2640"/>
      <c r="K101" s="2640"/>
      <c r="L101" s="2669"/>
      <c r="AB101" s="104"/>
      <c r="AC101" s="104"/>
      <c r="AD101" s="104"/>
      <c r="AE101" s="104"/>
      <c r="AF101" s="2297"/>
      <c r="AG101" s="2298"/>
      <c r="AH101" s="229"/>
      <c r="AI101" s="229"/>
      <c r="AJ101" s="229"/>
      <c r="AK101" s="229"/>
      <c r="AL101" s="229"/>
      <c r="AM101" s="229"/>
      <c r="AN101" s="229"/>
      <c r="AO101" s="229"/>
      <c r="AP101" s="229"/>
      <c r="AQ101" s="229"/>
      <c r="AR101" s="229"/>
      <c r="AS101" s="229"/>
      <c r="AT101" s="229"/>
      <c r="AU101" s="229"/>
      <c r="AV101" s="229"/>
    </row>
    <row r="102" spans="2:48" s="2243" customFormat="1" ht="32.25" customHeight="1">
      <c r="B102" s="2296"/>
      <c r="C102" s="2296"/>
      <c r="D102" s="1873" t="str">
        <f>IF('Input '!$E$1="FR","","x")</f>
        <v>x</v>
      </c>
      <c r="G102" s="2671"/>
      <c r="H102" s="2641" t="s">
        <v>4117</v>
      </c>
      <c r="I102" s="2640"/>
      <c r="J102" s="2640"/>
      <c r="K102" s="2640"/>
      <c r="L102" s="2669"/>
      <c r="AB102" s="104"/>
      <c r="AC102" s="104"/>
      <c r="AD102" s="104"/>
      <c r="AE102" s="104"/>
      <c r="AF102" s="2297"/>
      <c r="AG102" s="2298"/>
      <c r="AH102" s="229"/>
      <c r="AI102" s="229"/>
      <c r="AJ102" s="229"/>
      <c r="AK102" s="229"/>
      <c r="AL102" s="229"/>
      <c r="AM102" s="229"/>
      <c r="AN102" s="229"/>
      <c r="AO102" s="229"/>
      <c r="AP102" s="229"/>
      <c r="AQ102" s="229"/>
      <c r="AR102" s="229"/>
      <c r="AS102" s="229"/>
      <c r="AT102" s="229"/>
      <c r="AU102" s="229"/>
      <c r="AV102" s="229"/>
    </row>
    <row r="103" spans="2:48" s="2243" customFormat="1" ht="32.25" customHeight="1">
      <c r="B103" s="2296"/>
      <c r="C103" s="2296"/>
      <c r="D103" s="1873" t="str">
        <f>IF('Input '!$E$1="FR","","x")</f>
        <v>x</v>
      </c>
      <c r="G103" s="2671"/>
      <c r="H103" s="2641" t="s">
        <v>3713</v>
      </c>
      <c r="I103" s="2640"/>
      <c r="J103" s="2640"/>
      <c r="K103" s="2640"/>
      <c r="L103" s="2669"/>
      <c r="AB103" s="104"/>
      <c r="AC103" s="104"/>
      <c r="AD103" s="104"/>
      <c r="AE103" s="104"/>
      <c r="AF103" s="2297"/>
      <c r="AG103" s="2298"/>
      <c r="AH103" s="229"/>
      <c r="AI103" s="229"/>
      <c r="AJ103" s="229"/>
      <c r="AK103" s="229"/>
      <c r="AL103" s="229"/>
      <c r="AM103" s="229"/>
      <c r="AN103" s="229"/>
      <c r="AO103" s="229"/>
      <c r="AP103" s="229"/>
      <c r="AQ103" s="229"/>
      <c r="AR103" s="229"/>
      <c r="AS103" s="229"/>
      <c r="AT103" s="229"/>
      <c r="AU103" s="229"/>
      <c r="AV103" s="229"/>
    </row>
    <row r="104" spans="2:48" s="2243" customFormat="1" ht="32.25" customHeight="1">
      <c r="B104" s="2296"/>
      <c r="C104" s="2296"/>
      <c r="D104" s="1873" t="str">
        <f>IF('Input '!$E$1="FR","","x")</f>
        <v>x</v>
      </c>
      <c r="G104" s="2671"/>
      <c r="H104" s="2641" t="s">
        <v>4110</v>
      </c>
      <c r="I104" s="2640"/>
      <c r="J104" s="2640"/>
      <c r="K104" s="2640"/>
      <c r="L104" s="2669"/>
      <c r="AB104" s="104"/>
      <c r="AC104" s="104"/>
      <c r="AD104" s="104"/>
      <c r="AE104" s="104"/>
      <c r="AF104" s="2297"/>
      <c r="AG104" s="2298"/>
      <c r="AH104" s="229"/>
      <c r="AI104" s="229"/>
      <c r="AJ104" s="229"/>
      <c r="AK104" s="229"/>
      <c r="AL104" s="229"/>
      <c r="AM104" s="229"/>
      <c r="AN104" s="229"/>
      <c r="AO104" s="229"/>
      <c r="AP104" s="229"/>
      <c r="AQ104" s="229"/>
      <c r="AR104" s="229"/>
      <c r="AS104" s="229"/>
      <c r="AT104" s="229"/>
      <c r="AU104" s="229"/>
      <c r="AV104" s="229"/>
    </row>
    <row r="105" spans="2:48" s="2243" customFormat="1" ht="32.25" customHeight="1">
      <c r="B105" s="2296"/>
      <c r="C105" s="2296"/>
      <c r="D105" s="1873" t="str">
        <f>IF('Input '!$E$1="FR","","x")</f>
        <v>x</v>
      </c>
      <c r="G105" s="2671"/>
      <c r="H105" s="2641" t="s">
        <v>4112</v>
      </c>
      <c r="I105" s="2640"/>
      <c r="J105" s="2640"/>
      <c r="K105" s="2640"/>
      <c r="L105" s="2669"/>
      <c r="AB105" s="104"/>
      <c r="AC105" s="104"/>
      <c r="AD105" s="104"/>
      <c r="AE105" s="104"/>
      <c r="AF105" s="2297"/>
      <c r="AG105" s="2298"/>
      <c r="AH105" s="229"/>
      <c r="AI105" s="229"/>
      <c r="AJ105" s="229"/>
      <c r="AK105" s="229"/>
      <c r="AL105" s="229"/>
      <c r="AM105" s="229"/>
      <c r="AN105" s="229"/>
      <c r="AO105" s="229"/>
      <c r="AP105" s="229"/>
      <c r="AQ105" s="229"/>
      <c r="AR105" s="229"/>
      <c r="AS105" s="229"/>
      <c r="AT105" s="229"/>
      <c r="AU105" s="229"/>
      <c r="AV105" s="229"/>
    </row>
    <row r="106" spans="2:48" s="2243" customFormat="1" ht="32.25" customHeight="1">
      <c r="B106" s="2296"/>
      <c r="C106" s="2296"/>
      <c r="D106" s="1873" t="str">
        <f>IF('Input '!$E$1="FR","","x")</f>
        <v>x</v>
      </c>
      <c r="G106" s="2671"/>
      <c r="H106" s="2641" t="s">
        <v>4115</v>
      </c>
      <c r="I106" s="2640"/>
      <c r="J106" s="2640"/>
      <c r="K106" s="2640"/>
      <c r="L106" s="2669"/>
      <c r="AB106" s="104"/>
      <c r="AC106" s="104"/>
      <c r="AD106" s="104"/>
      <c r="AE106" s="104"/>
      <c r="AF106" s="2297"/>
      <c r="AG106" s="2298"/>
      <c r="AH106" s="229"/>
      <c r="AI106" s="229"/>
      <c r="AJ106" s="229"/>
      <c r="AK106" s="229"/>
      <c r="AL106" s="229"/>
      <c r="AM106" s="229"/>
      <c r="AN106" s="229"/>
      <c r="AO106" s="229"/>
      <c r="AP106" s="229"/>
      <c r="AQ106" s="229"/>
      <c r="AR106" s="229"/>
      <c r="AS106" s="229"/>
      <c r="AT106" s="229"/>
      <c r="AU106" s="229"/>
      <c r="AV106" s="229"/>
    </row>
    <row r="107" spans="2:48" s="2243" customFormat="1" ht="32.25" customHeight="1">
      <c r="B107" s="2296"/>
      <c r="C107" s="2296"/>
      <c r="D107" s="1873" t="str">
        <f>IF('Input '!$E$1="FR","","x")</f>
        <v>x</v>
      </c>
      <c r="G107" s="2671"/>
      <c r="H107" s="2641" t="s">
        <v>4114</v>
      </c>
      <c r="I107" s="2640"/>
      <c r="J107" s="2640"/>
      <c r="K107" s="2640"/>
      <c r="L107" s="2669"/>
      <c r="AB107" s="104"/>
      <c r="AC107" s="104"/>
      <c r="AD107" s="104"/>
      <c r="AE107" s="104"/>
      <c r="AF107" s="2297"/>
      <c r="AG107" s="2298"/>
      <c r="AH107" s="229"/>
      <c r="AI107" s="229"/>
      <c r="AJ107" s="229"/>
      <c r="AK107" s="229"/>
      <c r="AL107" s="229"/>
      <c r="AM107" s="229"/>
      <c r="AN107" s="229"/>
      <c r="AO107" s="229"/>
      <c r="AP107" s="229"/>
      <c r="AQ107" s="229"/>
      <c r="AR107" s="229"/>
      <c r="AS107" s="229"/>
      <c r="AT107" s="229"/>
      <c r="AU107" s="229"/>
      <c r="AV107" s="229"/>
    </row>
    <row r="108" spans="2:48" s="2243" customFormat="1" ht="32.25" customHeight="1">
      <c r="B108" s="2296"/>
      <c r="C108" s="2296"/>
      <c r="D108" s="1873" t="str">
        <f>IF('Input '!$E$1="FR","","x")</f>
        <v>x</v>
      </c>
      <c r="G108" s="2671"/>
      <c r="H108" s="2641" t="s">
        <v>4301</v>
      </c>
      <c r="I108" s="2640"/>
      <c r="J108" s="2640"/>
      <c r="K108" s="2640"/>
      <c r="L108" s="2669"/>
      <c r="AB108" s="104"/>
      <c r="AC108" s="104"/>
      <c r="AD108" s="104"/>
      <c r="AE108" s="104"/>
      <c r="AF108" s="2297"/>
      <c r="AG108" s="2298"/>
      <c r="AH108" s="229"/>
      <c r="AI108" s="229"/>
      <c r="AJ108" s="229"/>
      <c r="AK108" s="229"/>
      <c r="AL108" s="229"/>
      <c r="AM108" s="229"/>
      <c r="AN108" s="229"/>
      <c r="AO108" s="229"/>
      <c r="AP108" s="229"/>
      <c r="AQ108" s="229"/>
      <c r="AR108" s="229"/>
      <c r="AS108" s="229"/>
      <c r="AT108" s="229"/>
      <c r="AU108" s="229"/>
      <c r="AV108" s="229"/>
    </row>
    <row r="109" spans="2:48" s="2243" customFormat="1" ht="32.25" customHeight="1">
      <c r="B109" s="2296"/>
      <c r="C109" s="2296"/>
      <c r="D109" s="1873" t="str">
        <f>IF('Input '!$E$1="FR","","x")</f>
        <v>x</v>
      </c>
      <c r="G109" s="2671"/>
      <c r="H109" s="2641" t="s">
        <v>4117</v>
      </c>
      <c r="I109" s="2640"/>
      <c r="J109" s="2640"/>
      <c r="K109" s="2640"/>
      <c r="L109" s="2669"/>
      <c r="AB109" s="104"/>
      <c r="AC109" s="104"/>
      <c r="AD109" s="104"/>
      <c r="AE109" s="104"/>
      <c r="AF109" s="2297"/>
      <c r="AG109" s="2298"/>
      <c r="AH109" s="229"/>
      <c r="AI109" s="229"/>
      <c r="AJ109" s="229"/>
      <c r="AK109" s="229"/>
      <c r="AL109" s="229"/>
      <c r="AM109" s="229"/>
      <c r="AN109" s="229"/>
      <c r="AO109" s="229"/>
      <c r="AP109" s="229"/>
      <c r="AQ109" s="229"/>
      <c r="AR109" s="229"/>
      <c r="AS109" s="229"/>
      <c r="AT109" s="229"/>
      <c r="AU109" s="229"/>
      <c r="AV109" s="229"/>
    </row>
    <row r="110" spans="2:48" s="2243" customFormat="1" ht="32.25" customHeight="1">
      <c r="B110" s="2296"/>
      <c r="C110" s="2296"/>
      <c r="D110" s="1873" t="str">
        <f>IF('Input '!$E$1="FR","","x")</f>
        <v>x</v>
      </c>
      <c r="G110" s="2671"/>
      <c r="H110" s="2641" t="s">
        <v>1000</v>
      </c>
      <c r="I110" s="2640"/>
      <c r="J110" s="2640"/>
      <c r="K110" s="2640"/>
      <c r="L110" s="2669"/>
      <c r="AB110" s="104"/>
      <c r="AC110" s="104"/>
      <c r="AD110" s="104"/>
      <c r="AE110" s="104"/>
      <c r="AF110" s="2297"/>
      <c r="AG110" s="2298"/>
      <c r="AH110" s="229"/>
      <c r="AI110" s="229"/>
      <c r="AJ110" s="229"/>
      <c r="AK110" s="229"/>
      <c r="AL110" s="229"/>
      <c r="AM110" s="229"/>
      <c r="AN110" s="229"/>
      <c r="AO110" s="229"/>
      <c r="AP110" s="229"/>
      <c r="AQ110" s="229"/>
      <c r="AR110" s="229"/>
      <c r="AS110" s="229"/>
      <c r="AT110" s="229"/>
      <c r="AU110" s="229"/>
      <c r="AV110" s="229"/>
    </row>
    <row r="111" spans="2:48" s="2243" customFormat="1" ht="32.25" customHeight="1">
      <c r="B111" s="2296"/>
      <c r="C111" s="2296"/>
      <c r="D111" s="1873" t="str">
        <f>IF('Input '!$E$1="FR","","x")</f>
        <v>x</v>
      </c>
      <c r="G111" s="2671"/>
      <c r="H111" s="2641" t="s">
        <v>3701</v>
      </c>
      <c r="I111" s="2640"/>
      <c r="J111" s="2640"/>
      <c r="K111" s="2640"/>
      <c r="L111" s="2669"/>
      <c r="AB111" s="104"/>
      <c r="AC111" s="104"/>
      <c r="AD111" s="104"/>
      <c r="AE111" s="104"/>
      <c r="AF111" s="2297"/>
      <c r="AG111" s="2298"/>
      <c r="AH111" s="229"/>
      <c r="AI111" s="229"/>
      <c r="AJ111" s="229"/>
      <c r="AK111" s="229"/>
      <c r="AL111" s="229"/>
      <c r="AM111" s="229"/>
      <c r="AN111" s="229"/>
      <c r="AO111" s="229"/>
      <c r="AP111" s="229"/>
      <c r="AQ111" s="229"/>
      <c r="AR111" s="229"/>
      <c r="AS111" s="229"/>
      <c r="AT111" s="229"/>
      <c r="AU111" s="229"/>
      <c r="AV111" s="229"/>
    </row>
    <row r="112" spans="2:48" s="2243" customFormat="1" ht="32.25" customHeight="1">
      <c r="B112" s="2296"/>
      <c r="C112" s="2296"/>
      <c r="D112" s="1873" t="str">
        <f>IF('Input '!$E$1="FR","","x")</f>
        <v>x</v>
      </c>
      <c r="G112" s="2671"/>
      <c r="H112" s="2641" t="s">
        <v>988</v>
      </c>
      <c r="I112" s="2640"/>
      <c r="J112" s="2640"/>
      <c r="K112" s="2640"/>
      <c r="L112" s="2669"/>
      <c r="AB112" s="104"/>
      <c r="AC112" s="104"/>
      <c r="AD112" s="104"/>
      <c r="AE112" s="104"/>
      <c r="AF112" s="2297"/>
      <c r="AG112" s="2298"/>
      <c r="AH112" s="229"/>
      <c r="AI112" s="229"/>
      <c r="AJ112" s="229"/>
      <c r="AK112" s="229"/>
      <c r="AL112" s="229"/>
      <c r="AM112" s="229"/>
      <c r="AN112" s="229"/>
      <c r="AO112" s="229"/>
      <c r="AP112" s="229"/>
      <c r="AQ112" s="229"/>
      <c r="AR112" s="229"/>
      <c r="AS112" s="229"/>
      <c r="AT112" s="229"/>
      <c r="AU112" s="229"/>
      <c r="AV112" s="229"/>
    </row>
    <row r="113" spans="2:48" s="2243" customFormat="1" ht="32.25" customHeight="1">
      <c r="B113" s="2296"/>
      <c r="C113" s="2296"/>
      <c r="D113" s="1873" t="str">
        <f>IF('Input '!$E$1="FR","","x")</f>
        <v>x</v>
      </c>
      <c r="G113" s="2671"/>
      <c r="H113" s="2641" t="s">
        <v>989</v>
      </c>
      <c r="I113" s="2640"/>
      <c r="J113" s="2640"/>
      <c r="K113" s="2640"/>
      <c r="L113" s="2669"/>
      <c r="AB113" s="104"/>
      <c r="AC113" s="104"/>
      <c r="AD113" s="104"/>
      <c r="AE113" s="104"/>
      <c r="AF113" s="2297"/>
      <c r="AG113" s="2298"/>
      <c r="AH113" s="229"/>
      <c r="AI113" s="229"/>
      <c r="AJ113" s="229"/>
      <c r="AK113" s="229"/>
      <c r="AL113" s="229"/>
      <c r="AM113" s="229"/>
      <c r="AN113" s="229"/>
      <c r="AO113" s="229"/>
      <c r="AP113" s="229"/>
      <c r="AQ113" s="229"/>
      <c r="AR113" s="229"/>
      <c r="AS113" s="229"/>
      <c r="AT113" s="229"/>
      <c r="AU113" s="229"/>
      <c r="AV113" s="229"/>
    </row>
    <row r="114" spans="2:48" s="2243" customFormat="1" ht="32.25" customHeight="1">
      <c r="B114" s="2296"/>
      <c r="C114" s="2296"/>
      <c r="D114" s="1873" t="str">
        <f>IF('Input '!$E$1="FR","","x")</f>
        <v>x</v>
      </c>
      <c r="G114" s="2671"/>
      <c r="H114" s="2641" t="s">
        <v>990</v>
      </c>
      <c r="I114" s="2640"/>
      <c r="J114" s="2640"/>
      <c r="K114" s="2640"/>
      <c r="L114" s="2669"/>
      <c r="AB114" s="104"/>
      <c r="AC114" s="104"/>
      <c r="AD114" s="104"/>
      <c r="AE114" s="104"/>
      <c r="AF114" s="2297"/>
      <c r="AG114" s="2298"/>
      <c r="AH114" s="229"/>
      <c r="AI114" s="229"/>
      <c r="AJ114" s="229"/>
      <c r="AK114" s="229"/>
      <c r="AL114" s="229"/>
      <c r="AM114" s="229"/>
      <c r="AN114" s="229"/>
      <c r="AO114" s="229"/>
      <c r="AP114" s="229"/>
      <c r="AQ114" s="229"/>
      <c r="AR114" s="229"/>
      <c r="AS114" s="229"/>
      <c r="AT114" s="229"/>
      <c r="AU114" s="229"/>
      <c r="AV114" s="229"/>
    </row>
    <row r="115" spans="2:48" s="2243" customFormat="1" ht="32.25" customHeight="1">
      <c r="B115" s="2296"/>
      <c r="C115" s="2296"/>
      <c r="D115" s="1873" t="str">
        <f>IF('Input '!$E$1="FR","","x")</f>
        <v>x</v>
      </c>
      <c r="G115" s="2671"/>
      <c r="H115" s="2641" t="s">
        <v>3662</v>
      </c>
      <c r="I115" s="2640"/>
      <c r="J115" s="2640"/>
      <c r="K115" s="2640"/>
      <c r="L115" s="2669"/>
      <c r="AB115" s="104"/>
      <c r="AC115" s="104"/>
      <c r="AD115" s="104"/>
      <c r="AE115" s="104"/>
      <c r="AF115" s="2297"/>
      <c r="AG115" s="2298"/>
      <c r="AH115" s="229"/>
      <c r="AI115" s="229"/>
      <c r="AJ115" s="229"/>
      <c r="AK115" s="229"/>
      <c r="AL115" s="229"/>
      <c r="AM115" s="229"/>
      <c r="AN115" s="229"/>
      <c r="AO115" s="229"/>
      <c r="AP115" s="229"/>
      <c r="AQ115" s="229"/>
      <c r="AR115" s="229"/>
      <c r="AS115" s="229"/>
      <c r="AT115" s="229"/>
      <c r="AU115" s="229"/>
      <c r="AV115" s="229"/>
    </row>
    <row r="116" spans="2:48" s="2243" customFormat="1" ht="32.25" customHeight="1">
      <c r="B116" s="2296"/>
      <c r="C116" s="2296"/>
      <c r="D116" s="1873" t="str">
        <f>IF('Input '!$E$1="FR","","x")</f>
        <v>x</v>
      </c>
      <c r="G116" s="2671"/>
      <c r="H116" s="2641" t="s">
        <v>992</v>
      </c>
      <c r="I116" s="2640"/>
      <c r="J116" s="2640"/>
      <c r="K116" s="2640"/>
      <c r="L116" s="2669"/>
      <c r="AB116" s="104"/>
      <c r="AC116" s="104"/>
      <c r="AD116" s="104"/>
      <c r="AE116" s="104"/>
      <c r="AF116" s="2297"/>
      <c r="AG116" s="2298"/>
      <c r="AH116" s="229"/>
      <c r="AI116" s="229"/>
      <c r="AJ116" s="229"/>
      <c r="AK116" s="229"/>
      <c r="AL116" s="229"/>
      <c r="AM116" s="229"/>
      <c r="AN116" s="229"/>
      <c r="AO116" s="229"/>
      <c r="AP116" s="229"/>
      <c r="AQ116" s="229"/>
      <c r="AR116" s="229"/>
      <c r="AS116" s="229"/>
      <c r="AT116" s="229"/>
      <c r="AU116" s="229"/>
      <c r="AV116" s="229"/>
    </row>
    <row r="117" spans="2:48" s="2243" customFormat="1" ht="32.25" customHeight="1">
      <c r="B117" s="2296"/>
      <c r="C117" s="2296"/>
      <c r="D117" s="1873" t="str">
        <f>IF('Input '!$E$1="FR","","x")</f>
        <v>x</v>
      </c>
      <c r="G117" s="2671"/>
      <c r="H117" s="2641" t="s">
        <v>993</v>
      </c>
      <c r="I117" s="2640"/>
      <c r="J117" s="2640"/>
      <c r="K117" s="2640"/>
      <c r="L117" s="2669"/>
      <c r="AB117" s="104"/>
      <c r="AC117" s="104"/>
      <c r="AD117" s="104"/>
      <c r="AE117" s="104"/>
      <c r="AF117" s="2297"/>
      <c r="AG117" s="2298"/>
      <c r="AH117" s="229"/>
      <c r="AI117" s="229"/>
      <c r="AJ117" s="229"/>
      <c r="AK117" s="229"/>
      <c r="AL117" s="229"/>
      <c r="AM117" s="229"/>
      <c r="AN117" s="229"/>
      <c r="AO117" s="229"/>
      <c r="AP117" s="229"/>
      <c r="AQ117" s="229"/>
      <c r="AR117" s="229"/>
      <c r="AS117" s="229"/>
      <c r="AT117" s="229"/>
      <c r="AU117" s="229"/>
      <c r="AV117" s="229"/>
    </row>
    <row r="118" spans="2:48" s="2243" customFormat="1" ht="32.25" customHeight="1">
      <c r="B118" s="2296"/>
      <c r="C118" s="2296"/>
      <c r="D118" s="1873" t="str">
        <f>IF('Input '!$E$1="FR","","x")</f>
        <v>x</v>
      </c>
      <c r="G118" s="2671"/>
      <c r="H118" s="2641" t="s">
        <v>994</v>
      </c>
      <c r="I118" s="2640"/>
      <c r="J118" s="2640"/>
      <c r="K118" s="2640"/>
      <c r="L118" s="2669"/>
      <c r="AB118" s="104"/>
      <c r="AC118" s="104"/>
      <c r="AD118" s="104"/>
      <c r="AE118" s="104"/>
      <c r="AF118" s="2297"/>
      <c r="AG118" s="2298"/>
      <c r="AH118" s="229"/>
      <c r="AI118" s="229"/>
      <c r="AJ118" s="229"/>
      <c r="AK118" s="229"/>
      <c r="AL118" s="229"/>
      <c r="AM118" s="229"/>
      <c r="AN118" s="229"/>
      <c r="AO118" s="229"/>
      <c r="AP118" s="229"/>
      <c r="AQ118" s="229"/>
      <c r="AR118" s="229"/>
      <c r="AS118" s="229"/>
      <c r="AT118" s="229"/>
      <c r="AU118" s="229"/>
      <c r="AV118" s="229"/>
    </row>
    <row r="119" spans="2:48" s="2243" customFormat="1" ht="32.25" customHeight="1">
      <c r="B119" s="2296"/>
      <c r="C119" s="2296"/>
      <c r="D119" s="1873" t="str">
        <f>IF('Input '!$E$1="FR","","x")</f>
        <v>x</v>
      </c>
      <c r="G119" s="2671"/>
      <c r="H119" s="2641" t="s">
        <v>995</v>
      </c>
      <c r="I119" s="2640"/>
      <c r="J119" s="2640"/>
      <c r="K119" s="2640"/>
      <c r="L119" s="2669"/>
      <c r="AB119" s="104"/>
      <c r="AC119" s="104"/>
      <c r="AD119" s="104"/>
      <c r="AE119" s="104"/>
      <c r="AF119" s="2297"/>
      <c r="AG119" s="2298"/>
      <c r="AH119" s="229"/>
      <c r="AI119" s="229"/>
      <c r="AJ119" s="229"/>
      <c r="AK119" s="229"/>
      <c r="AL119" s="229"/>
      <c r="AM119" s="229"/>
      <c r="AN119" s="229"/>
      <c r="AO119" s="229"/>
      <c r="AP119" s="229"/>
      <c r="AQ119" s="229"/>
      <c r="AR119" s="229"/>
      <c r="AS119" s="229"/>
      <c r="AT119" s="229"/>
      <c r="AU119" s="229"/>
      <c r="AV119" s="229"/>
    </row>
    <row r="120" spans="2:48" s="2243" customFormat="1" ht="32.25" customHeight="1">
      <c r="B120" s="2296"/>
      <c r="C120" s="2296"/>
      <c r="D120" s="1873" t="str">
        <f>IF('Input '!$E$1="FR","","x")</f>
        <v>x</v>
      </c>
      <c r="G120" s="2671"/>
      <c r="H120" s="2641" t="s">
        <v>996</v>
      </c>
      <c r="I120" s="2640"/>
      <c r="J120" s="2640"/>
      <c r="K120" s="2640"/>
      <c r="L120" s="2669"/>
      <c r="AB120" s="104"/>
      <c r="AC120" s="104"/>
      <c r="AD120" s="104"/>
      <c r="AE120" s="104"/>
      <c r="AF120" s="2297"/>
      <c r="AG120" s="2298"/>
      <c r="AH120" s="229"/>
      <c r="AI120" s="229"/>
      <c r="AJ120" s="229"/>
      <c r="AK120" s="229"/>
      <c r="AL120" s="229"/>
      <c r="AM120" s="229"/>
      <c r="AN120" s="229"/>
      <c r="AO120" s="229"/>
      <c r="AP120" s="229"/>
      <c r="AQ120" s="229"/>
      <c r="AR120" s="229"/>
      <c r="AS120" s="229"/>
      <c r="AT120" s="229"/>
      <c r="AU120" s="229"/>
      <c r="AV120" s="229"/>
    </row>
    <row r="121" spans="2:48" s="2243" customFormat="1" ht="32.25" customHeight="1">
      <c r="B121" s="2296"/>
      <c r="C121" s="2296"/>
      <c r="D121" s="1873" t="str">
        <f>IF('Input '!$E$1="FR","","x")</f>
        <v>x</v>
      </c>
      <c r="G121" s="2671"/>
      <c r="H121" s="2641" t="s">
        <v>997</v>
      </c>
      <c r="I121" s="2640"/>
      <c r="J121" s="2640"/>
      <c r="K121" s="2640"/>
      <c r="L121" s="2669"/>
      <c r="AB121" s="104"/>
      <c r="AC121" s="104"/>
      <c r="AD121" s="104"/>
      <c r="AE121" s="104"/>
      <c r="AF121" s="2297"/>
      <c r="AG121" s="2298"/>
      <c r="AH121" s="229"/>
      <c r="AI121" s="229"/>
      <c r="AJ121" s="229"/>
      <c r="AK121" s="229"/>
      <c r="AL121" s="229"/>
      <c r="AM121" s="229"/>
      <c r="AN121" s="229"/>
      <c r="AO121" s="229"/>
      <c r="AP121" s="229"/>
      <c r="AQ121" s="229"/>
      <c r="AR121" s="229"/>
      <c r="AS121" s="229"/>
      <c r="AT121" s="229"/>
      <c r="AU121" s="229"/>
      <c r="AV121" s="229"/>
    </row>
    <row r="122" spans="2:48" s="2243" customFormat="1" ht="32.25" customHeight="1">
      <c r="B122" s="2296"/>
      <c r="C122" s="2296"/>
      <c r="D122" s="1873" t="str">
        <f>IF('Input '!$E$1="FR","","x")</f>
        <v>x</v>
      </c>
      <c r="G122" s="2671"/>
      <c r="H122" s="2641" t="s">
        <v>4300</v>
      </c>
      <c r="I122" s="2640"/>
      <c r="J122" s="2640"/>
      <c r="K122" s="2640"/>
      <c r="L122" s="2669"/>
      <c r="AB122" s="104"/>
      <c r="AC122" s="104"/>
      <c r="AD122" s="104"/>
      <c r="AE122" s="104"/>
      <c r="AF122" s="2297"/>
      <c r="AG122" s="2298"/>
      <c r="AH122" s="229"/>
      <c r="AI122" s="229"/>
      <c r="AJ122" s="229"/>
      <c r="AK122" s="229"/>
      <c r="AL122" s="229"/>
      <c r="AM122" s="229"/>
      <c r="AN122" s="229"/>
      <c r="AO122" s="229"/>
      <c r="AP122" s="229"/>
      <c r="AQ122" s="229"/>
      <c r="AR122" s="229"/>
      <c r="AS122" s="229"/>
      <c r="AT122" s="229"/>
      <c r="AU122" s="229"/>
      <c r="AV122" s="229"/>
    </row>
    <row r="123" spans="2:48" s="2243" customFormat="1" ht="32.25" customHeight="1">
      <c r="B123" s="2296"/>
      <c r="C123" s="2296"/>
      <c r="D123" s="1873" t="str">
        <f>IF('Input '!$E$1="FR","","x")</f>
        <v>x</v>
      </c>
      <c r="G123" s="2671"/>
      <c r="H123" s="2641" t="s">
        <v>3736</v>
      </c>
      <c r="I123" s="2640"/>
      <c r="J123" s="2640"/>
      <c r="K123" s="2640"/>
      <c r="L123" s="2669"/>
      <c r="AB123" s="104"/>
      <c r="AC123" s="104"/>
      <c r="AD123" s="104"/>
      <c r="AE123" s="104"/>
      <c r="AF123" s="2297"/>
      <c r="AG123" s="2298"/>
      <c r="AH123" s="229"/>
      <c r="AI123" s="229"/>
      <c r="AJ123" s="229"/>
      <c r="AK123" s="229"/>
      <c r="AL123" s="229"/>
      <c r="AM123" s="229"/>
      <c r="AN123" s="229"/>
      <c r="AO123" s="229"/>
      <c r="AP123" s="229"/>
      <c r="AQ123" s="229"/>
      <c r="AR123" s="229"/>
      <c r="AS123" s="229"/>
      <c r="AT123" s="229"/>
      <c r="AU123" s="229"/>
      <c r="AV123" s="229"/>
    </row>
    <row r="124" spans="2:48" s="2243" customFormat="1" ht="32.25" customHeight="1">
      <c r="B124" s="2296"/>
      <c r="C124" s="2296"/>
      <c r="D124" s="1873" t="str">
        <f>IF('Input '!$E$1="FR","","x")</f>
        <v>x</v>
      </c>
      <c r="G124" s="2671"/>
      <c r="H124" s="2641" t="s">
        <v>998</v>
      </c>
      <c r="I124" s="2640"/>
      <c r="J124" s="2640"/>
      <c r="K124" s="2640"/>
      <c r="L124" s="2669"/>
      <c r="AB124" s="104"/>
      <c r="AC124" s="104"/>
      <c r="AD124" s="104"/>
      <c r="AE124" s="104"/>
      <c r="AF124" s="2297"/>
      <c r="AG124" s="2298"/>
      <c r="AH124" s="229"/>
      <c r="AI124" s="229"/>
      <c r="AJ124" s="229"/>
      <c r="AK124" s="229"/>
      <c r="AL124" s="229"/>
      <c r="AM124" s="229"/>
      <c r="AN124" s="229"/>
      <c r="AO124" s="229"/>
      <c r="AP124" s="229"/>
      <c r="AQ124" s="229"/>
      <c r="AR124" s="229"/>
      <c r="AS124" s="229"/>
      <c r="AT124" s="229"/>
      <c r="AU124" s="229"/>
      <c r="AV124" s="229"/>
    </row>
    <row r="125" spans="2:48" s="2243" customFormat="1" ht="32.25" customHeight="1">
      <c r="B125" s="2296"/>
      <c r="C125" s="2296"/>
      <c r="D125" s="1873" t="str">
        <f>IF('Input '!$E$1="FR","","x")</f>
        <v>x</v>
      </c>
      <c r="G125" s="2671"/>
      <c r="H125" s="2641" t="s">
        <v>999</v>
      </c>
      <c r="I125" s="2640"/>
      <c r="J125" s="2640"/>
      <c r="K125" s="2640"/>
      <c r="L125" s="2669"/>
      <c r="AB125" s="104"/>
      <c r="AC125" s="104"/>
      <c r="AD125" s="104"/>
      <c r="AE125" s="104"/>
      <c r="AF125" s="2297"/>
      <c r="AG125" s="2298"/>
      <c r="AH125" s="229"/>
      <c r="AI125" s="229"/>
      <c r="AJ125" s="229"/>
      <c r="AK125" s="229"/>
      <c r="AL125" s="229"/>
      <c r="AM125" s="229"/>
      <c r="AN125" s="229"/>
      <c r="AO125" s="229"/>
      <c r="AP125" s="229"/>
      <c r="AQ125" s="229"/>
      <c r="AR125" s="229"/>
      <c r="AS125" s="229"/>
      <c r="AT125" s="229"/>
      <c r="AU125" s="229"/>
      <c r="AV125" s="229"/>
    </row>
    <row r="126" spans="2:48" s="2243" customFormat="1" ht="32.25" customHeight="1">
      <c r="B126" s="2296"/>
      <c r="C126" s="2296"/>
      <c r="D126" s="1873" t="str">
        <f>IF('Input '!$E$1="FR","","x")</f>
        <v>x</v>
      </c>
      <c r="G126" s="2671"/>
      <c r="H126" s="2641" t="s">
        <v>1007</v>
      </c>
      <c r="I126" s="2640"/>
      <c r="J126" s="2640"/>
      <c r="K126" s="2640"/>
      <c r="L126" s="2669"/>
      <c r="AB126" s="104"/>
      <c r="AC126" s="104"/>
      <c r="AD126" s="104"/>
      <c r="AE126" s="104"/>
      <c r="AF126" s="2297"/>
      <c r="AG126" s="2298"/>
      <c r="AH126" s="229"/>
      <c r="AI126" s="229"/>
      <c r="AJ126" s="229"/>
      <c r="AK126" s="229"/>
      <c r="AL126" s="229"/>
      <c r="AM126" s="229"/>
      <c r="AN126" s="229"/>
      <c r="AO126" s="229"/>
      <c r="AP126" s="229"/>
      <c r="AQ126" s="229"/>
      <c r="AR126" s="229"/>
      <c r="AS126" s="229"/>
      <c r="AT126" s="229"/>
      <c r="AU126" s="229"/>
      <c r="AV126" s="229"/>
    </row>
    <row r="127" spans="2:48" s="2243" customFormat="1" ht="32.25" customHeight="1">
      <c r="B127" s="2296"/>
      <c r="C127" s="2296"/>
      <c r="D127" s="1873" t="str">
        <f>IF('Input '!$E$1="FR","","x")</f>
        <v>x</v>
      </c>
      <c r="G127" s="2671"/>
      <c r="H127" s="2641" t="s">
        <v>972</v>
      </c>
      <c r="I127" s="2640"/>
      <c r="J127" s="2640"/>
      <c r="K127" s="2640"/>
      <c r="L127" s="2669"/>
      <c r="AB127" s="104"/>
      <c r="AC127" s="104"/>
      <c r="AD127" s="104"/>
      <c r="AE127" s="104"/>
      <c r="AF127" s="2297"/>
      <c r="AG127" s="2298"/>
      <c r="AH127" s="229"/>
      <c r="AI127" s="229"/>
      <c r="AJ127" s="229"/>
      <c r="AK127" s="229"/>
      <c r="AL127" s="229"/>
      <c r="AM127" s="229"/>
      <c r="AN127" s="229"/>
      <c r="AO127" s="229"/>
      <c r="AP127" s="229"/>
      <c r="AQ127" s="229"/>
      <c r="AR127" s="229"/>
      <c r="AS127" s="229"/>
      <c r="AT127" s="229"/>
      <c r="AU127" s="229"/>
      <c r="AV127" s="229"/>
    </row>
    <row r="128" spans="2:48" s="2243" customFormat="1" ht="32.25" customHeight="1">
      <c r="B128" s="2296"/>
      <c r="C128" s="2296"/>
      <c r="D128" s="1873" t="str">
        <f>IF('Input '!$E$1="FR","","x")</f>
        <v>x</v>
      </c>
      <c r="G128" s="2671"/>
      <c r="H128" s="2641" t="s">
        <v>973</v>
      </c>
      <c r="I128" s="2640"/>
      <c r="J128" s="2640"/>
      <c r="K128" s="2640"/>
      <c r="L128" s="2669"/>
      <c r="AB128" s="104"/>
      <c r="AC128" s="104"/>
      <c r="AD128" s="104"/>
      <c r="AE128" s="104"/>
      <c r="AF128" s="2297"/>
      <c r="AG128" s="2298"/>
      <c r="AH128" s="229"/>
      <c r="AI128" s="229"/>
      <c r="AJ128" s="229"/>
      <c r="AK128" s="229"/>
      <c r="AL128" s="229"/>
      <c r="AM128" s="229"/>
      <c r="AN128" s="229"/>
      <c r="AO128" s="229"/>
      <c r="AP128" s="229"/>
      <c r="AQ128" s="229"/>
      <c r="AR128" s="229"/>
      <c r="AS128" s="229"/>
      <c r="AT128" s="229"/>
      <c r="AU128" s="229"/>
      <c r="AV128" s="229"/>
    </row>
    <row r="129" spans="2:48" s="2243" customFormat="1" ht="32.25" customHeight="1">
      <c r="B129" s="2296"/>
      <c r="C129" s="2296"/>
      <c r="D129" s="1873" t="str">
        <f>IF('Input '!$E$1="FR","","x")</f>
        <v>x</v>
      </c>
      <c r="G129" s="2671"/>
      <c r="H129" s="2641" t="s">
        <v>974</v>
      </c>
      <c r="I129" s="2640"/>
      <c r="J129" s="2640"/>
      <c r="K129" s="2640"/>
      <c r="L129" s="2669"/>
      <c r="AB129" s="104"/>
      <c r="AC129" s="104"/>
      <c r="AD129" s="104"/>
      <c r="AE129" s="104"/>
      <c r="AF129" s="2297"/>
      <c r="AG129" s="2298"/>
      <c r="AH129" s="229"/>
      <c r="AI129" s="229"/>
      <c r="AJ129" s="229"/>
      <c r="AK129" s="229"/>
      <c r="AL129" s="229"/>
      <c r="AM129" s="229"/>
      <c r="AN129" s="229"/>
      <c r="AO129" s="229"/>
      <c r="AP129" s="229"/>
      <c r="AQ129" s="229"/>
      <c r="AR129" s="229"/>
      <c r="AS129" s="229"/>
      <c r="AT129" s="229"/>
      <c r="AU129" s="229"/>
      <c r="AV129" s="229"/>
    </row>
    <row r="130" spans="2:48" s="2243" customFormat="1" ht="32.25" customHeight="1">
      <c r="B130" s="2296"/>
      <c r="C130" s="2296"/>
      <c r="D130" s="1873" t="str">
        <f>IF('Input '!$E$1="FR","","x")</f>
        <v>x</v>
      </c>
      <c r="G130" s="2671"/>
      <c r="H130" s="2641" t="s">
        <v>975</v>
      </c>
      <c r="I130" s="2640"/>
      <c r="J130" s="2640"/>
      <c r="K130" s="2640"/>
      <c r="L130" s="2669"/>
      <c r="AB130" s="104"/>
      <c r="AC130" s="104"/>
      <c r="AD130" s="104"/>
      <c r="AE130" s="104"/>
      <c r="AF130" s="2297"/>
      <c r="AG130" s="2298"/>
      <c r="AH130" s="229"/>
      <c r="AI130" s="229"/>
      <c r="AJ130" s="229"/>
      <c r="AK130" s="229"/>
      <c r="AL130" s="229"/>
      <c r="AM130" s="229"/>
      <c r="AN130" s="229"/>
      <c r="AO130" s="229"/>
      <c r="AP130" s="229"/>
      <c r="AQ130" s="229"/>
      <c r="AR130" s="229"/>
      <c r="AS130" s="229"/>
      <c r="AT130" s="229"/>
      <c r="AU130" s="229"/>
      <c r="AV130" s="229"/>
    </row>
    <row r="131" spans="2:48" s="2243" customFormat="1" ht="32.25" customHeight="1">
      <c r="B131" s="2296"/>
      <c r="C131" s="2296"/>
      <c r="D131" s="1873" t="str">
        <f>IF('Input '!$E$1="FR","","x")</f>
        <v>x</v>
      </c>
      <c r="G131" s="2671"/>
      <c r="H131" s="2641" t="s">
        <v>982</v>
      </c>
      <c r="I131" s="2640"/>
      <c r="J131" s="2640"/>
      <c r="K131" s="2640"/>
      <c r="L131" s="2669"/>
      <c r="AB131" s="104"/>
      <c r="AC131" s="104"/>
      <c r="AD131" s="104"/>
      <c r="AE131" s="104"/>
      <c r="AF131" s="2297"/>
      <c r="AG131" s="2298"/>
      <c r="AH131" s="229"/>
      <c r="AI131" s="229"/>
      <c r="AJ131" s="229"/>
      <c r="AK131" s="229"/>
      <c r="AL131" s="229"/>
      <c r="AM131" s="229"/>
      <c r="AN131" s="229"/>
      <c r="AO131" s="229"/>
      <c r="AP131" s="229"/>
      <c r="AQ131" s="229"/>
      <c r="AR131" s="229"/>
      <c r="AS131" s="229"/>
      <c r="AT131" s="229"/>
      <c r="AU131" s="229"/>
      <c r="AV131" s="229"/>
    </row>
    <row r="132" spans="2:48" s="2243" customFormat="1" ht="32.25" customHeight="1">
      <c r="B132" s="2296"/>
      <c r="C132" s="2296"/>
      <c r="D132" s="1873" t="str">
        <f>IF('Input '!$E$1="FR","","x")</f>
        <v>x</v>
      </c>
      <c r="G132" s="2671"/>
      <c r="H132" s="2641" t="s">
        <v>983</v>
      </c>
      <c r="I132" s="2640"/>
      <c r="J132" s="2640"/>
      <c r="K132" s="2640"/>
      <c r="L132" s="2669"/>
      <c r="AB132" s="104"/>
      <c r="AC132" s="104"/>
      <c r="AD132" s="104"/>
      <c r="AE132" s="104"/>
      <c r="AF132" s="2297"/>
      <c r="AG132" s="2298"/>
      <c r="AH132" s="229"/>
      <c r="AI132" s="229"/>
      <c r="AJ132" s="229"/>
      <c r="AK132" s="229"/>
      <c r="AL132" s="229"/>
      <c r="AM132" s="229"/>
      <c r="AN132" s="229"/>
      <c r="AO132" s="229"/>
      <c r="AP132" s="229"/>
      <c r="AQ132" s="229"/>
      <c r="AR132" s="229"/>
      <c r="AS132" s="229"/>
      <c r="AT132" s="229"/>
      <c r="AU132" s="229"/>
      <c r="AV132" s="229"/>
    </row>
    <row r="133" spans="2:48" s="2243" customFormat="1" ht="32.25" customHeight="1">
      <c r="B133" s="2296"/>
      <c r="C133" s="2296"/>
      <c r="D133" s="1873" t="str">
        <f>IF('Input '!$E$1="FR","","x")</f>
        <v>x</v>
      </c>
      <c r="G133" s="2671"/>
      <c r="H133" s="2641" t="s">
        <v>3735</v>
      </c>
      <c r="I133" s="2640"/>
      <c r="J133" s="2640"/>
      <c r="K133" s="2640"/>
      <c r="L133" s="2669"/>
      <c r="AB133" s="104"/>
      <c r="AC133" s="104"/>
      <c r="AD133" s="104"/>
      <c r="AE133" s="104"/>
      <c r="AF133" s="2297"/>
      <c r="AG133" s="2298"/>
      <c r="AH133" s="229"/>
      <c r="AI133" s="229"/>
      <c r="AJ133" s="229"/>
      <c r="AK133" s="229"/>
      <c r="AL133" s="229"/>
      <c r="AM133" s="229"/>
      <c r="AN133" s="229"/>
      <c r="AO133" s="229"/>
      <c r="AP133" s="229"/>
      <c r="AQ133" s="229"/>
      <c r="AR133" s="229"/>
      <c r="AS133" s="229"/>
      <c r="AT133" s="229"/>
      <c r="AU133" s="229"/>
      <c r="AV133" s="229"/>
    </row>
    <row r="134" spans="2:48" s="2243" customFormat="1" ht="32.25" customHeight="1">
      <c r="B134" s="2296"/>
      <c r="C134" s="2296"/>
      <c r="D134" s="1873" t="str">
        <f>IF('Input '!$E$1="FR","","x")</f>
        <v>x</v>
      </c>
      <c r="G134" s="2671"/>
      <c r="H134" s="2641" t="s">
        <v>1001</v>
      </c>
      <c r="I134" s="2640"/>
      <c r="J134" s="2640"/>
      <c r="K134" s="2640"/>
      <c r="L134" s="2669"/>
      <c r="AB134" s="104"/>
      <c r="AC134" s="104"/>
      <c r="AD134" s="104"/>
      <c r="AE134" s="104"/>
      <c r="AF134" s="2297"/>
      <c r="AG134" s="2298"/>
      <c r="AH134" s="229"/>
      <c r="AI134" s="229"/>
      <c r="AJ134" s="229"/>
      <c r="AK134" s="229"/>
      <c r="AL134" s="229"/>
      <c r="AM134" s="229"/>
      <c r="AN134" s="229"/>
      <c r="AO134" s="229"/>
      <c r="AP134" s="229"/>
      <c r="AQ134" s="229"/>
      <c r="AR134" s="229"/>
      <c r="AS134" s="229"/>
      <c r="AT134" s="229"/>
      <c r="AU134" s="229"/>
      <c r="AV134" s="229"/>
    </row>
    <row r="135" spans="2:48" s="2243" customFormat="1" ht="32.25" customHeight="1">
      <c r="B135" s="2296"/>
      <c r="C135" s="2296"/>
      <c r="D135" s="1873" t="str">
        <f>IF('Input '!$E$1="FR","","x")</f>
        <v>x</v>
      </c>
      <c r="G135" s="2671"/>
      <c r="H135" s="2641" t="s">
        <v>1002</v>
      </c>
      <c r="I135" s="2640"/>
      <c r="J135" s="2640"/>
      <c r="K135" s="2640"/>
      <c r="L135" s="2669"/>
      <c r="AB135" s="104"/>
      <c r="AC135" s="104"/>
      <c r="AD135" s="104"/>
      <c r="AE135" s="104"/>
      <c r="AF135" s="2297"/>
      <c r="AG135" s="2298"/>
      <c r="AH135" s="229"/>
      <c r="AI135" s="229"/>
      <c r="AJ135" s="229"/>
      <c r="AK135" s="229"/>
      <c r="AL135" s="229"/>
      <c r="AM135" s="229"/>
      <c r="AN135" s="229"/>
      <c r="AO135" s="229"/>
      <c r="AP135" s="229"/>
      <c r="AQ135" s="229"/>
      <c r="AR135" s="229"/>
      <c r="AS135" s="229"/>
      <c r="AT135" s="229"/>
      <c r="AU135" s="229"/>
      <c r="AV135" s="229"/>
    </row>
    <row r="136" spans="2:48" s="2243" customFormat="1" ht="32.25" customHeight="1">
      <c r="B136" s="2296"/>
      <c r="C136" s="2296"/>
      <c r="D136" s="1873" t="str">
        <f>IF('Input '!$E$1="FR","","x")</f>
        <v>x</v>
      </c>
      <c r="G136" s="2671"/>
      <c r="H136" s="2641" t="s">
        <v>1004</v>
      </c>
      <c r="I136" s="2640"/>
      <c r="J136" s="2640"/>
      <c r="K136" s="2640"/>
      <c r="L136" s="2669"/>
      <c r="AB136" s="104"/>
      <c r="AC136" s="104"/>
      <c r="AD136" s="104"/>
      <c r="AE136" s="104"/>
      <c r="AF136" s="2297"/>
      <c r="AG136" s="2298"/>
      <c r="AH136" s="229"/>
      <c r="AI136" s="229"/>
      <c r="AJ136" s="229"/>
      <c r="AK136" s="229"/>
      <c r="AL136" s="229"/>
      <c r="AM136" s="229"/>
      <c r="AN136" s="229"/>
      <c r="AO136" s="229"/>
      <c r="AP136" s="229"/>
      <c r="AQ136" s="229"/>
      <c r="AR136" s="229"/>
      <c r="AS136" s="229"/>
      <c r="AT136" s="229"/>
      <c r="AU136" s="229"/>
      <c r="AV136" s="229"/>
    </row>
    <row r="137" spans="2:48" s="2243" customFormat="1" ht="32.25" customHeight="1">
      <c r="B137" s="2296"/>
      <c r="C137" s="2296"/>
      <c r="D137" s="1873" t="str">
        <f>IF('Input '!$E$1="FR","","x")</f>
        <v>x</v>
      </c>
      <c r="G137" s="2671"/>
      <c r="H137" s="2641" t="s">
        <v>1003</v>
      </c>
      <c r="I137" s="2640"/>
      <c r="J137" s="2640"/>
      <c r="K137" s="2640"/>
      <c r="L137" s="2669"/>
      <c r="AB137" s="104"/>
      <c r="AC137" s="104"/>
      <c r="AD137" s="104"/>
      <c r="AE137" s="104"/>
      <c r="AF137" s="2297"/>
      <c r="AG137" s="2298"/>
      <c r="AH137" s="229"/>
      <c r="AI137" s="229"/>
      <c r="AJ137" s="229"/>
      <c r="AK137" s="229"/>
      <c r="AL137" s="229"/>
      <c r="AM137" s="229"/>
      <c r="AN137" s="229"/>
      <c r="AO137" s="229"/>
      <c r="AP137" s="229"/>
      <c r="AQ137" s="229"/>
      <c r="AR137" s="229"/>
      <c r="AS137" s="229"/>
      <c r="AT137" s="229"/>
      <c r="AU137" s="229"/>
      <c r="AV137" s="229"/>
    </row>
    <row r="138" spans="2:48" s="2243" customFormat="1" ht="32.25" customHeight="1">
      <c r="B138" s="2296"/>
      <c r="C138" s="2296"/>
      <c r="D138" s="1873" t="str">
        <f>IF('Input '!$E$1="FR","","x")</f>
        <v>x</v>
      </c>
      <c r="G138" s="2671"/>
      <c r="H138" s="2641" t="s">
        <v>3703</v>
      </c>
      <c r="I138" s="2640"/>
      <c r="J138" s="2640"/>
      <c r="K138" s="2640"/>
      <c r="L138" s="2669"/>
      <c r="AB138" s="104"/>
      <c r="AC138" s="104"/>
      <c r="AD138" s="104"/>
      <c r="AE138" s="104"/>
      <c r="AF138" s="2297"/>
      <c r="AG138" s="2298"/>
      <c r="AH138" s="229"/>
      <c r="AI138" s="229"/>
      <c r="AJ138" s="229"/>
      <c r="AK138" s="229"/>
      <c r="AL138" s="229"/>
      <c r="AM138" s="229"/>
      <c r="AN138" s="229"/>
      <c r="AO138" s="229"/>
      <c r="AP138" s="229"/>
      <c r="AQ138" s="229"/>
      <c r="AR138" s="229"/>
      <c r="AS138" s="229"/>
      <c r="AT138" s="229"/>
      <c r="AU138" s="229"/>
      <c r="AV138" s="229"/>
    </row>
    <row r="139" spans="2:48" s="2243" customFormat="1" ht="32.25" customHeight="1">
      <c r="B139" s="2296"/>
      <c r="C139" s="2296"/>
      <c r="D139" s="1873" t="str">
        <f>IF('Input '!$E$1="FR","","x")</f>
        <v>x</v>
      </c>
      <c r="G139" s="2671"/>
      <c r="H139" s="2641" t="s">
        <v>1005</v>
      </c>
      <c r="I139" s="2640"/>
      <c r="J139" s="2640"/>
      <c r="K139" s="2640"/>
      <c r="L139" s="2669"/>
      <c r="AB139" s="104"/>
      <c r="AC139" s="104"/>
      <c r="AD139" s="104"/>
      <c r="AE139" s="104"/>
      <c r="AF139" s="2297"/>
      <c r="AG139" s="2298"/>
      <c r="AH139" s="229"/>
      <c r="AI139" s="229"/>
      <c r="AJ139" s="229"/>
      <c r="AK139" s="229"/>
      <c r="AL139" s="229"/>
      <c r="AM139" s="229"/>
      <c r="AN139" s="229"/>
      <c r="AO139" s="229"/>
      <c r="AP139" s="229"/>
      <c r="AQ139" s="229"/>
      <c r="AR139" s="229"/>
      <c r="AS139" s="229"/>
      <c r="AT139" s="229"/>
      <c r="AU139" s="229"/>
      <c r="AV139" s="229"/>
    </row>
    <row r="140" spans="2:48" s="2243" customFormat="1" ht="32.25" customHeight="1">
      <c r="B140" s="2296"/>
      <c r="C140" s="2296"/>
      <c r="D140" s="1873" t="str">
        <f>IF('Input '!$E$1="FR","","x")</f>
        <v>x</v>
      </c>
      <c r="G140" s="2671"/>
      <c r="H140" s="2641" t="s">
        <v>1006</v>
      </c>
      <c r="I140" s="2640"/>
      <c r="J140" s="2640"/>
      <c r="K140" s="2640"/>
      <c r="L140" s="2669"/>
      <c r="AB140" s="104"/>
      <c r="AC140" s="104"/>
      <c r="AD140" s="104"/>
      <c r="AE140" s="104"/>
      <c r="AF140" s="2297"/>
      <c r="AG140" s="2298"/>
      <c r="AH140" s="229"/>
      <c r="AI140" s="229"/>
      <c r="AJ140" s="229"/>
      <c r="AK140" s="229"/>
      <c r="AL140" s="229"/>
      <c r="AM140" s="229"/>
      <c r="AN140" s="229"/>
      <c r="AO140" s="229"/>
      <c r="AP140" s="229"/>
      <c r="AQ140" s="229"/>
      <c r="AR140" s="229"/>
      <c r="AS140" s="229"/>
      <c r="AT140" s="229"/>
      <c r="AU140" s="229"/>
      <c r="AV140" s="229"/>
    </row>
    <row r="141" spans="2:48" s="2243" customFormat="1" ht="32.25" customHeight="1">
      <c r="B141" s="2296"/>
      <c r="C141" s="2296"/>
      <c r="D141" s="1873"/>
      <c r="G141" s="2671"/>
      <c r="H141" s="2641" t="s">
        <v>3346</v>
      </c>
      <c r="I141" s="2302"/>
      <c r="J141" s="2302"/>
      <c r="K141" s="2302"/>
      <c r="L141" s="2669"/>
      <c r="AB141" s="104"/>
      <c r="AC141" s="104"/>
      <c r="AD141" s="104"/>
      <c r="AE141" s="104"/>
      <c r="AF141" s="2297"/>
      <c r="AG141" s="2298"/>
      <c r="AH141" s="229"/>
      <c r="AI141" s="229"/>
      <c r="AJ141" s="229"/>
      <c r="AK141" s="229"/>
      <c r="AL141" s="229"/>
      <c r="AM141" s="229"/>
      <c r="AN141" s="229"/>
      <c r="AO141" s="229"/>
      <c r="AP141" s="229"/>
      <c r="AQ141" s="229"/>
      <c r="AR141" s="229"/>
      <c r="AS141" s="229"/>
      <c r="AT141" s="229"/>
      <c r="AU141" s="229"/>
      <c r="AV141" s="229"/>
    </row>
    <row r="142" spans="2:48" s="2243" customFormat="1" ht="32.25" customHeight="1">
      <c r="B142" s="2296"/>
      <c r="C142" s="2296"/>
      <c r="D142" s="1873"/>
      <c r="G142" s="2671"/>
      <c r="H142" s="2641" t="s">
        <v>991</v>
      </c>
      <c r="I142" s="2302"/>
      <c r="J142" s="2302"/>
      <c r="K142" s="2302"/>
      <c r="L142" s="2669"/>
      <c r="AB142" s="104"/>
      <c r="AC142" s="104"/>
      <c r="AD142" s="104"/>
      <c r="AE142" s="104"/>
      <c r="AF142" s="2297"/>
      <c r="AG142" s="2298"/>
      <c r="AH142" s="229"/>
      <c r="AI142" s="229"/>
      <c r="AJ142" s="229"/>
      <c r="AK142" s="229"/>
      <c r="AL142" s="229"/>
      <c r="AM142" s="229"/>
      <c r="AN142" s="229"/>
      <c r="AO142" s="229"/>
      <c r="AP142" s="229"/>
      <c r="AQ142" s="229"/>
      <c r="AR142" s="229"/>
      <c r="AS142" s="229"/>
      <c r="AT142" s="229"/>
      <c r="AU142" s="229"/>
      <c r="AV142" s="229"/>
    </row>
    <row r="143" spans="2:48" s="2243" customFormat="1" ht="32.25" customHeight="1">
      <c r="B143" s="2296"/>
      <c r="C143" s="2296"/>
      <c r="D143" s="1873"/>
      <c r="G143" s="2671"/>
      <c r="H143" s="2641" t="s">
        <v>3667</v>
      </c>
      <c r="I143" s="2302"/>
      <c r="J143" s="2302"/>
      <c r="K143" s="2302"/>
      <c r="L143" s="2669"/>
      <c r="AB143" s="104"/>
      <c r="AC143" s="104"/>
      <c r="AD143" s="104"/>
      <c r="AE143" s="104"/>
      <c r="AF143" s="2297"/>
      <c r="AG143" s="2298"/>
      <c r="AH143" s="229"/>
      <c r="AI143" s="229"/>
      <c r="AJ143" s="229"/>
      <c r="AK143" s="229"/>
      <c r="AL143" s="229"/>
      <c r="AM143" s="229"/>
      <c r="AN143" s="229"/>
      <c r="AO143" s="229"/>
      <c r="AP143" s="229"/>
      <c r="AQ143" s="229"/>
      <c r="AR143" s="229"/>
      <c r="AS143" s="229"/>
      <c r="AT143" s="229"/>
      <c r="AU143" s="229"/>
      <c r="AV143" s="229"/>
    </row>
    <row r="144" spans="2:48" s="2243" customFormat="1" ht="32.25" customHeight="1">
      <c r="B144" s="2296"/>
      <c r="C144" s="2296"/>
      <c r="D144" s="1873"/>
      <c r="G144" s="2671"/>
      <c r="H144" s="2641" t="s">
        <v>4015</v>
      </c>
      <c r="I144" s="2302"/>
      <c r="J144" s="2302"/>
      <c r="K144" s="2302"/>
      <c r="L144" s="2669"/>
      <c r="AB144" s="104"/>
      <c r="AC144" s="104"/>
      <c r="AD144" s="104"/>
      <c r="AE144" s="104"/>
      <c r="AF144" s="2297"/>
      <c r="AG144" s="2298"/>
      <c r="AH144" s="229"/>
      <c r="AI144" s="229"/>
      <c r="AJ144" s="229"/>
      <c r="AK144" s="229"/>
      <c r="AL144" s="229"/>
      <c r="AM144" s="229"/>
      <c r="AN144" s="229"/>
      <c r="AO144" s="229"/>
      <c r="AP144" s="229"/>
      <c r="AQ144" s="229"/>
      <c r="AR144" s="229"/>
      <c r="AS144" s="229"/>
      <c r="AT144" s="229"/>
      <c r="AU144" s="229"/>
      <c r="AV144" s="229"/>
    </row>
    <row r="145" spans="2:48" s="2243" customFormat="1" ht="32.25" customHeight="1">
      <c r="B145" s="2296"/>
      <c r="C145" s="2296"/>
      <c r="D145" s="1873"/>
      <c r="G145" s="2671"/>
      <c r="H145" s="2639" t="s">
        <v>4193</v>
      </c>
      <c r="I145" s="2302"/>
      <c r="J145" s="2302"/>
      <c r="K145" s="2302"/>
      <c r="L145" s="2669"/>
      <c r="AB145" s="104"/>
      <c r="AC145" s="104"/>
      <c r="AD145" s="104"/>
      <c r="AE145" s="104"/>
      <c r="AF145" s="2297"/>
      <c r="AG145" s="2298"/>
      <c r="AH145" s="229"/>
      <c r="AI145" s="229"/>
      <c r="AJ145" s="229"/>
      <c r="AK145" s="229"/>
      <c r="AL145" s="229"/>
      <c r="AM145" s="229"/>
      <c r="AN145" s="229"/>
      <c r="AO145" s="229"/>
      <c r="AP145" s="229"/>
      <c r="AQ145" s="229"/>
      <c r="AR145" s="229"/>
      <c r="AS145" s="229"/>
      <c r="AT145" s="229"/>
      <c r="AU145" s="229"/>
      <c r="AV145" s="229"/>
    </row>
    <row r="146" spans="2:48" s="2243" customFormat="1" ht="32.25" customHeight="1">
      <c r="B146" s="2296"/>
      <c r="C146" s="2296"/>
      <c r="D146" s="1873"/>
      <c r="G146" s="2671"/>
      <c r="H146" s="2641" t="s">
        <v>4194</v>
      </c>
      <c r="I146" s="2302"/>
      <c r="J146" s="2302"/>
      <c r="K146" s="2302"/>
      <c r="L146" s="2669"/>
      <c r="AB146" s="104"/>
      <c r="AC146" s="104"/>
      <c r="AD146" s="104"/>
      <c r="AE146" s="104"/>
      <c r="AF146" s="2297"/>
      <c r="AG146" s="2298"/>
      <c r="AH146" s="229"/>
      <c r="AI146" s="229"/>
      <c r="AJ146" s="229"/>
      <c r="AK146" s="229"/>
      <c r="AL146" s="229"/>
      <c r="AM146" s="229"/>
      <c r="AN146" s="229"/>
      <c r="AO146" s="229"/>
      <c r="AP146" s="229"/>
      <c r="AQ146" s="229"/>
      <c r="AR146" s="229"/>
      <c r="AS146" s="229"/>
      <c r="AT146" s="229"/>
      <c r="AU146" s="229"/>
      <c r="AV146" s="229"/>
    </row>
    <row r="147" spans="2:48" s="2243" customFormat="1" ht="32.25" customHeight="1">
      <c r="B147" s="2296"/>
      <c r="C147" s="2296"/>
      <c r="D147" s="1873"/>
      <c r="G147" s="2671"/>
      <c r="H147" s="2641" t="s">
        <v>4195</v>
      </c>
      <c r="I147" s="2302"/>
      <c r="J147" s="2302"/>
      <c r="K147" s="2302"/>
      <c r="L147" s="2669"/>
      <c r="AB147" s="104"/>
      <c r="AC147" s="104"/>
      <c r="AD147" s="104"/>
      <c r="AE147" s="104"/>
      <c r="AF147" s="2297"/>
      <c r="AG147" s="2298"/>
      <c r="AH147" s="229"/>
      <c r="AI147" s="229"/>
      <c r="AJ147" s="229"/>
      <c r="AK147" s="229"/>
      <c r="AL147" s="229"/>
      <c r="AM147" s="229"/>
      <c r="AN147" s="229"/>
      <c r="AO147" s="229"/>
      <c r="AP147" s="229"/>
      <c r="AQ147" s="229"/>
      <c r="AR147" s="229"/>
      <c r="AS147" s="229"/>
      <c r="AT147" s="229"/>
      <c r="AU147" s="229"/>
      <c r="AV147" s="229"/>
    </row>
    <row r="148" spans="2:48" s="2243" customFormat="1" ht="32.25" customHeight="1">
      <c r="B148" s="2296"/>
      <c r="C148" s="2296"/>
      <c r="D148" s="1873"/>
      <c r="G148" s="2671"/>
      <c r="H148" s="2641" t="s">
        <v>4196</v>
      </c>
      <c r="I148" s="2302"/>
      <c r="J148" s="2302"/>
      <c r="K148" s="2302"/>
      <c r="L148" s="2669"/>
      <c r="AB148" s="104"/>
      <c r="AC148" s="104"/>
      <c r="AD148" s="104"/>
      <c r="AE148" s="104"/>
      <c r="AF148" s="2297"/>
      <c r="AG148" s="2298"/>
      <c r="AH148" s="229"/>
      <c r="AI148" s="229"/>
      <c r="AJ148" s="229"/>
      <c r="AK148" s="229"/>
      <c r="AL148" s="229"/>
      <c r="AM148" s="229"/>
      <c r="AN148" s="229"/>
      <c r="AO148" s="229"/>
      <c r="AP148" s="229"/>
      <c r="AQ148" s="229"/>
      <c r="AR148" s="229"/>
      <c r="AS148" s="229"/>
      <c r="AT148" s="229"/>
      <c r="AU148" s="229"/>
      <c r="AV148" s="229"/>
    </row>
    <row r="149" spans="2:48" s="2243" customFormat="1" ht="32.25" customHeight="1">
      <c r="B149" s="2296"/>
      <c r="C149" s="2296"/>
      <c r="D149" s="1873"/>
      <c r="G149" s="2671"/>
      <c r="H149" s="2641" t="s">
        <v>4197</v>
      </c>
      <c r="I149" s="2302"/>
      <c r="J149" s="2302"/>
      <c r="K149" s="2302"/>
      <c r="L149" s="2669"/>
      <c r="AB149" s="104"/>
      <c r="AC149" s="104"/>
      <c r="AD149" s="104"/>
      <c r="AE149" s="104"/>
      <c r="AF149" s="2297"/>
      <c r="AG149" s="2298"/>
      <c r="AH149" s="229"/>
      <c r="AI149" s="229"/>
      <c r="AJ149" s="229"/>
      <c r="AK149" s="229"/>
      <c r="AL149" s="229"/>
      <c r="AM149" s="229"/>
      <c r="AN149" s="229"/>
      <c r="AO149" s="229"/>
      <c r="AP149" s="229"/>
      <c r="AQ149" s="229"/>
      <c r="AR149" s="229"/>
      <c r="AS149" s="229"/>
      <c r="AT149" s="229"/>
      <c r="AU149" s="229"/>
      <c r="AV149" s="229"/>
    </row>
    <row r="150" spans="2:48" s="2243" customFormat="1" ht="32.25" customHeight="1">
      <c r="B150" s="2296"/>
      <c r="C150" s="2296"/>
      <c r="D150" s="1873"/>
      <c r="G150" s="2671"/>
      <c r="H150" s="2641" t="s">
        <v>4198</v>
      </c>
      <c r="I150" s="2302"/>
      <c r="J150" s="2302"/>
      <c r="K150" s="2302"/>
      <c r="L150" s="2669"/>
      <c r="AB150" s="104"/>
      <c r="AC150" s="104"/>
      <c r="AD150" s="104"/>
      <c r="AE150" s="104"/>
      <c r="AF150" s="2297"/>
      <c r="AG150" s="2298"/>
      <c r="AH150" s="229"/>
      <c r="AI150" s="229"/>
      <c r="AJ150" s="229"/>
      <c r="AK150" s="229"/>
      <c r="AL150" s="229"/>
      <c r="AM150" s="229"/>
      <c r="AN150" s="229"/>
      <c r="AO150" s="229"/>
      <c r="AP150" s="229"/>
      <c r="AQ150" s="229"/>
      <c r="AR150" s="229"/>
      <c r="AS150" s="229"/>
      <c r="AT150" s="229"/>
      <c r="AU150" s="229"/>
      <c r="AV150" s="229"/>
    </row>
    <row r="151" spans="2:48" s="2243" customFormat="1" ht="32.25" customHeight="1">
      <c r="B151" s="2296"/>
      <c r="C151" s="2296"/>
      <c r="D151" s="1873"/>
      <c r="G151" s="2671"/>
      <c r="H151" s="2641" t="s">
        <v>4199</v>
      </c>
      <c r="I151" s="2302"/>
      <c r="J151" s="2302"/>
      <c r="K151" s="2302"/>
      <c r="L151" s="2669"/>
      <c r="AB151" s="104"/>
      <c r="AC151" s="104"/>
      <c r="AD151" s="104"/>
      <c r="AE151" s="104"/>
      <c r="AF151" s="2297"/>
      <c r="AG151" s="2298"/>
      <c r="AH151" s="229"/>
      <c r="AI151" s="229"/>
      <c r="AJ151" s="229"/>
      <c r="AK151" s="229"/>
      <c r="AL151" s="229"/>
      <c r="AM151" s="229"/>
      <c r="AN151" s="229"/>
      <c r="AO151" s="229"/>
      <c r="AP151" s="229"/>
      <c r="AQ151" s="229"/>
      <c r="AR151" s="229"/>
      <c r="AS151" s="229"/>
      <c r="AT151" s="229"/>
      <c r="AU151" s="229"/>
      <c r="AV151" s="229"/>
    </row>
    <row r="152" spans="2:48" s="2243" customFormat="1" ht="32.25" customHeight="1">
      <c r="B152" s="2296"/>
      <c r="C152" s="2296"/>
      <c r="D152" s="1873"/>
      <c r="G152" s="2671"/>
      <c r="H152" s="2641" t="s">
        <v>4200</v>
      </c>
      <c r="I152" s="2302"/>
      <c r="J152" s="2302"/>
      <c r="K152" s="2302"/>
      <c r="L152" s="2669"/>
      <c r="AB152" s="104"/>
      <c r="AC152" s="104"/>
      <c r="AD152" s="104"/>
      <c r="AE152" s="104"/>
      <c r="AF152" s="2297"/>
      <c r="AG152" s="2298"/>
      <c r="AH152" s="229"/>
      <c r="AI152" s="229"/>
      <c r="AJ152" s="229"/>
      <c r="AK152" s="229"/>
      <c r="AL152" s="229"/>
      <c r="AM152" s="229"/>
      <c r="AN152" s="229"/>
      <c r="AO152" s="229"/>
      <c r="AP152" s="229"/>
      <c r="AQ152" s="229"/>
      <c r="AR152" s="229"/>
      <c r="AS152" s="229"/>
      <c r="AT152" s="229"/>
      <c r="AU152" s="229"/>
      <c r="AV152" s="229"/>
    </row>
    <row r="153" spans="2:48" s="2243" customFormat="1" ht="32.25" customHeight="1">
      <c r="B153" s="2296"/>
      <c r="C153" s="2296"/>
      <c r="D153" s="1873"/>
      <c r="G153" s="2671"/>
      <c r="H153" s="2641" t="s">
        <v>4201</v>
      </c>
      <c r="I153" s="2302"/>
      <c r="J153" s="2302"/>
      <c r="K153" s="2302"/>
      <c r="L153" s="2669"/>
      <c r="AB153" s="104"/>
      <c r="AC153" s="104"/>
      <c r="AD153" s="104"/>
      <c r="AE153" s="104"/>
      <c r="AF153" s="2297"/>
      <c r="AG153" s="2298"/>
      <c r="AH153" s="229"/>
      <c r="AI153" s="229"/>
      <c r="AJ153" s="229"/>
      <c r="AK153" s="229"/>
      <c r="AL153" s="229"/>
      <c r="AM153" s="229"/>
      <c r="AN153" s="229"/>
      <c r="AO153" s="229"/>
      <c r="AP153" s="229"/>
      <c r="AQ153" s="229"/>
      <c r="AR153" s="229"/>
      <c r="AS153" s="229"/>
      <c r="AT153" s="229"/>
      <c r="AU153" s="229"/>
      <c r="AV153" s="229"/>
    </row>
    <row r="154" spans="2:48" s="2243" customFormat="1" ht="32.25" customHeight="1">
      <c r="B154" s="2296"/>
      <c r="C154" s="2296"/>
      <c r="D154" s="1873"/>
      <c r="G154" s="2671"/>
      <c r="H154" s="2641" t="s">
        <v>4202</v>
      </c>
      <c r="I154" s="2302"/>
      <c r="J154" s="2302"/>
      <c r="K154" s="2302"/>
      <c r="L154" s="2669"/>
      <c r="AB154" s="104"/>
      <c r="AC154" s="104"/>
      <c r="AD154" s="104"/>
      <c r="AE154" s="104"/>
      <c r="AF154" s="2297"/>
      <c r="AG154" s="2298"/>
      <c r="AH154" s="229"/>
      <c r="AI154" s="229"/>
      <c r="AJ154" s="229"/>
      <c r="AK154" s="229"/>
      <c r="AL154" s="229"/>
      <c r="AM154" s="229"/>
      <c r="AN154" s="229"/>
      <c r="AO154" s="229"/>
      <c r="AP154" s="229"/>
      <c r="AQ154" s="229"/>
      <c r="AR154" s="229"/>
      <c r="AS154" s="229"/>
      <c r="AT154" s="229"/>
      <c r="AU154" s="229"/>
      <c r="AV154" s="229"/>
    </row>
    <row r="155" spans="2:48" s="2243" customFormat="1" ht="32.25" customHeight="1">
      <c r="B155" s="2296"/>
      <c r="C155" s="2296"/>
      <c r="D155" s="1873"/>
      <c r="G155" s="2671"/>
      <c r="H155" s="2641" t="s">
        <v>4203</v>
      </c>
      <c r="I155" s="2302"/>
      <c r="J155" s="2302"/>
      <c r="K155" s="2302"/>
      <c r="L155" s="2669"/>
      <c r="AB155" s="104"/>
      <c r="AC155" s="104"/>
      <c r="AD155" s="104"/>
      <c r="AE155" s="104"/>
      <c r="AF155" s="2297"/>
      <c r="AG155" s="2298"/>
      <c r="AH155" s="229"/>
      <c r="AI155" s="229"/>
      <c r="AJ155" s="229"/>
      <c r="AK155" s="229"/>
      <c r="AL155" s="229"/>
      <c r="AM155" s="229"/>
      <c r="AN155" s="229"/>
      <c r="AO155" s="229"/>
      <c r="AP155" s="229"/>
      <c r="AQ155" s="229"/>
      <c r="AR155" s="229"/>
      <c r="AS155" s="229"/>
      <c r="AT155" s="229"/>
      <c r="AU155" s="229"/>
      <c r="AV155" s="229"/>
    </row>
    <row r="156" spans="2:48" s="2243" customFormat="1" ht="32.25" customHeight="1">
      <c r="B156" s="2296"/>
      <c r="C156" s="2296"/>
      <c r="D156" s="1873"/>
      <c r="G156" s="2671"/>
      <c r="H156" s="2641" t="s">
        <v>4214</v>
      </c>
      <c r="I156" s="2302"/>
      <c r="J156" s="2302"/>
      <c r="K156" s="2302"/>
      <c r="L156" s="2669"/>
      <c r="AB156" s="104"/>
      <c r="AC156" s="104"/>
      <c r="AD156" s="104"/>
      <c r="AE156" s="104"/>
      <c r="AF156" s="2297"/>
      <c r="AG156" s="2298"/>
      <c r="AH156" s="229"/>
      <c r="AI156" s="229"/>
      <c r="AJ156" s="229"/>
      <c r="AK156" s="229"/>
      <c r="AL156" s="229"/>
      <c r="AM156" s="229"/>
      <c r="AN156" s="229"/>
      <c r="AO156" s="229"/>
      <c r="AP156" s="229"/>
      <c r="AQ156" s="229"/>
      <c r="AR156" s="229"/>
      <c r="AS156" s="229"/>
      <c r="AT156" s="229"/>
      <c r="AU156" s="229"/>
      <c r="AV156" s="229"/>
    </row>
    <row r="157" spans="2:48" s="2243" customFormat="1" ht="32.25" customHeight="1">
      <c r="B157" s="2296"/>
      <c r="C157" s="2296"/>
      <c r="D157" s="1873"/>
      <c r="G157" s="2671"/>
      <c r="H157" s="2641" t="s">
        <v>4129</v>
      </c>
      <c r="I157" s="2302"/>
      <c r="J157" s="2302"/>
      <c r="K157" s="2302"/>
      <c r="L157" s="2669"/>
      <c r="AB157" s="104"/>
      <c r="AC157" s="104"/>
      <c r="AD157" s="104"/>
      <c r="AE157" s="104"/>
      <c r="AF157" s="2297"/>
      <c r="AG157" s="2298"/>
      <c r="AH157" s="229"/>
      <c r="AI157" s="229"/>
      <c r="AJ157" s="229"/>
      <c r="AK157" s="229"/>
      <c r="AL157" s="229"/>
      <c r="AM157" s="229"/>
      <c r="AN157" s="229"/>
      <c r="AO157" s="229"/>
      <c r="AP157" s="229"/>
      <c r="AQ157" s="229"/>
      <c r="AR157" s="229"/>
      <c r="AS157" s="229"/>
      <c r="AT157" s="229"/>
      <c r="AU157" s="229"/>
      <c r="AV157" s="229"/>
    </row>
    <row r="158" spans="2:48" s="2243" customFormat="1" ht="32.25" customHeight="1">
      <c r="B158" s="2296"/>
      <c r="C158" s="2296"/>
      <c r="D158" s="1873"/>
      <c r="G158" s="2671"/>
      <c r="H158" s="2641" t="s">
        <v>4130</v>
      </c>
      <c r="I158" s="2302"/>
      <c r="J158" s="2302"/>
      <c r="K158" s="2302"/>
      <c r="L158" s="2669"/>
      <c r="AB158" s="104"/>
      <c r="AC158" s="104"/>
      <c r="AD158" s="104"/>
      <c r="AE158" s="104"/>
      <c r="AF158" s="2297"/>
      <c r="AG158" s="2298"/>
      <c r="AH158" s="229"/>
      <c r="AI158" s="229"/>
      <c r="AJ158" s="229"/>
      <c r="AK158" s="229"/>
      <c r="AL158" s="229"/>
      <c r="AM158" s="229"/>
      <c r="AN158" s="229"/>
      <c r="AO158" s="229"/>
      <c r="AP158" s="229"/>
      <c r="AQ158" s="229"/>
      <c r="AR158" s="229"/>
      <c r="AS158" s="229"/>
      <c r="AT158" s="229"/>
      <c r="AU158" s="229"/>
      <c r="AV158" s="229"/>
    </row>
    <row r="159" spans="2:48" s="2243" customFormat="1" ht="32.25" customHeight="1">
      <c r="B159" s="2296"/>
      <c r="C159" s="2296"/>
      <c r="D159" s="2296"/>
      <c r="G159" s="2672"/>
      <c r="H159" s="2299"/>
      <c r="I159" s="2299"/>
      <c r="J159" s="2299"/>
      <c r="K159" s="2299"/>
      <c r="L159" s="2620"/>
      <c r="AB159" s="104"/>
      <c r="AC159" s="104"/>
      <c r="AD159" s="104"/>
      <c r="AE159" s="104"/>
      <c r="AF159" s="2297"/>
      <c r="AG159" s="2298"/>
      <c r="AH159" s="229"/>
      <c r="AI159" s="229"/>
      <c r="AJ159" s="229"/>
      <c r="AK159" s="229"/>
      <c r="AL159" s="229"/>
      <c r="AM159" s="229"/>
      <c r="AN159" s="229"/>
      <c r="AO159" s="229"/>
      <c r="AP159" s="229"/>
      <c r="AQ159" s="229"/>
      <c r="AR159" s="229"/>
      <c r="AS159" s="229"/>
      <c r="AT159" s="229"/>
      <c r="AU159" s="229"/>
      <c r="AV159" s="229"/>
    </row>
    <row r="160" spans="2:48" ht="18">
      <c r="G160" s="2672"/>
      <c r="L160" s="2620"/>
    </row>
    <row r="161" spans="2:48" ht="39.75" customHeight="1">
      <c r="D161" s="1873" t="str">
        <f>IF('Input '!$E$1="EN","","x")</f>
        <v/>
      </c>
      <c r="G161" s="2674" t="s">
        <v>4216</v>
      </c>
      <c r="H161" s="1481" t="s">
        <v>4086</v>
      </c>
      <c r="L161" s="2620"/>
    </row>
    <row r="162" spans="2:48" s="2243" customFormat="1" ht="32.25" customHeight="1">
      <c r="B162" s="2296"/>
      <c r="C162" s="2296"/>
      <c r="D162" s="1873" t="str">
        <f>IF('Input '!$E$1="EN","","x")</f>
        <v/>
      </c>
      <c r="G162" s="2671"/>
      <c r="H162" s="2639" t="s">
        <v>3601</v>
      </c>
      <c r="I162" s="2640"/>
      <c r="J162" s="2640"/>
      <c r="K162" s="2640"/>
      <c r="L162" s="2669"/>
      <c r="AB162" s="104"/>
      <c r="AC162" s="104"/>
      <c r="AD162" s="104"/>
      <c r="AE162" s="104"/>
      <c r="AF162" s="2297"/>
      <c r="AG162" s="2298"/>
      <c r="AH162" s="229"/>
      <c r="AI162" s="229"/>
      <c r="AJ162" s="229"/>
      <c r="AK162" s="229"/>
      <c r="AL162" s="229"/>
      <c r="AM162" s="229"/>
      <c r="AN162" s="229"/>
      <c r="AO162" s="229"/>
      <c r="AP162" s="229"/>
      <c r="AQ162" s="229"/>
      <c r="AR162" s="229"/>
      <c r="AS162" s="229"/>
      <c r="AT162" s="229"/>
      <c r="AU162" s="229"/>
      <c r="AV162" s="229"/>
    </row>
    <row r="163" spans="2:48" s="2243" customFormat="1" ht="32.25" customHeight="1">
      <c r="B163" s="2296"/>
      <c r="C163" s="2296"/>
      <c r="D163" s="1873" t="str">
        <f>IF('Input '!$E$1="EN","","x")</f>
        <v/>
      </c>
      <c r="G163" s="2671"/>
      <c r="H163" s="2641" t="s">
        <v>4088</v>
      </c>
      <c r="I163" s="2640"/>
      <c r="J163" s="2640"/>
      <c r="K163" s="2640"/>
      <c r="L163" s="2669"/>
      <c r="AB163" s="104"/>
      <c r="AC163" s="104"/>
      <c r="AD163" s="104"/>
      <c r="AE163" s="104"/>
      <c r="AF163" s="2297"/>
      <c r="AG163" s="2298"/>
      <c r="AH163" s="229"/>
      <c r="AI163" s="229"/>
      <c r="AJ163" s="229"/>
      <c r="AK163" s="229"/>
      <c r="AL163" s="229"/>
      <c r="AM163" s="229"/>
      <c r="AN163" s="229"/>
      <c r="AO163" s="229"/>
      <c r="AP163" s="229"/>
      <c r="AQ163" s="229"/>
      <c r="AR163" s="229"/>
      <c r="AS163" s="229"/>
      <c r="AT163" s="229"/>
      <c r="AU163" s="229"/>
      <c r="AV163" s="229"/>
    </row>
    <row r="164" spans="2:48" s="2243" customFormat="1" ht="32.25" customHeight="1">
      <c r="B164" s="2296"/>
      <c r="C164" s="2296"/>
      <c r="D164" s="1873" t="str">
        <f>IF('Input '!$E$1="EN","","x")</f>
        <v/>
      </c>
      <c r="G164" s="2671"/>
      <c r="H164" s="2641" t="s">
        <v>4111</v>
      </c>
      <c r="I164" s="2640"/>
      <c r="J164" s="2640"/>
      <c r="K164" s="2640"/>
      <c r="L164" s="2669"/>
      <c r="AB164" s="104"/>
      <c r="AC164" s="104"/>
      <c r="AD164" s="104"/>
      <c r="AE164" s="104"/>
      <c r="AF164" s="2297"/>
      <c r="AG164" s="2298"/>
      <c r="AH164" s="229"/>
      <c r="AI164" s="229"/>
      <c r="AJ164" s="229"/>
      <c r="AK164" s="229"/>
      <c r="AL164" s="229"/>
      <c r="AM164" s="229"/>
      <c r="AN164" s="229"/>
      <c r="AO164" s="229"/>
      <c r="AP164" s="229"/>
      <c r="AQ164" s="229"/>
      <c r="AR164" s="229"/>
      <c r="AS164" s="229"/>
      <c r="AT164" s="229"/>
      <c r="AU164" s="229"/>
      <c r="AV164" s="229"/>
    </row>
    <row r="165" spans="2:48" s="2243" customFormat="1" ht="32.25" customHeight="1">
      <c r="B165" s="2296"/>
      <c r="C165" s="2296"/>
      <c r="D165" s="1873" t="str">
        <f>IF('Input '!$E$1="EN","","x")</f>
        <v/>
      </c>
      <c r="G165" s="2671"/>
      <c r="H165" s="2641" t="s">
        <v>4116</v>
      </c>
      <c r="I165" s="2640"/>
      <c r="J165" s="2640"/>
      <c r="K165" s="2640"/>
      <c r="L165" s="2669"/>
      <c r="AB165" s="104"/>
      <c r="AC165" s="104"/>
      <c r="AD165" s="104"/>
      <c r="AE165" s="104"/>
      <c r="AF165" s="2297"/>
      <c r="AG165" s="2298"/>
      <c r="AH165" s="229"/>
      <c r="AI165" s="229"/>
      <c r="AJ165" s="229"/>
      <c r="AK165" s="229"/>
      <c r="AL165" s="229"/>
      <c r="AM165" s="229"/>
      <c r="AN165" s="229"/>
      <c r="AO165" s="229"/>
      <c r="AP165" s="229"/>
      <c r="AQ165" s="229"/>
      <c r="AR165" s="229"/>
      <c r="AS165" s="229"/>
      <c r="AT165" s="229"/>
      <c r="AU165" s="229"/>
      <c r="AV165" s="229"/>
    </row>
    <row r="166" spans="2:48" s="2243" customFormat="1" ht="32.25" customHeight="1">
      <c r="B166" s="2296"/>
      <c r="C166" s="2296"/>
      <c r="D166" s="1873" t="str">
        <f>IF('Input '!$E$1="EN","","x")</f>
        <v/>
      </c>
      <c r="G166" s="2671"/>
      <c r="H166" s="2641" t="s">
        <v>4113</v>
      </c>
      <c r="I166" s="2640"/>
      <c r="J166" s="2640"/>
      <c r="K166" s="2640"/>
      <c r="L166" s="2669"/>
      <c r="AB166" s="104"/>
      <c r="AC166" s="104"/>
      <c r="AD166" s="104"/>
      <c r="AE166" s="104"/>
      <c r="AF166" s="2297"/>
      <c r="AG166" s="2298"/>
      <c r="AH166" s="229"/>
      <c r="AI166" s="229"/>
      <c r="AJ166" s="229"/>
      <c r="AK166" s="229"/>
      <c r="AL166" s="229"/>
      <c r="AM166" s="229"/>
      <c r="AN166" s="229"/>
      <c r="AO166" s="229"/>
      <c r="AP166" s="229"/>
      <c r="AQ166" s="229"/>
      <c r="AR166" s="229"/>
      <c r="AS166" s="229"/>
      <c r="AT166" s="229"/>
      <c r="AU166" s="229"/>
      <c r="AV166" s="229"/>
    </row>
    <row r="167" spans="2:48" s="2243" customFormat="1" ht="32.25" customHeight="1">
      <c r="B167" s="2296"/>
      <c r="C167" s="2296"/>
      <c r="D167" s="1873" t="str">
        <f>IF('Input '!$E$1="EN","","x")</f>
        <v/>
      </c>
      <c r="G167" s="2671"/>
      <c r="H167" s="2641" t="s">
        <v>4118</v>
      </c>
      <c r="I167" s="2640"/>
      <c r="J167" s="2640"/>
      <c r="K167" s="2640"/>
      <c r="L167" s="2669"/>
      <c r="AB167" s="104"/>
      <c r="AC167" s="104"/>
      <c r="AD167" s="104"/>
      <c r="AE167" s="104"/>
      <c r="AF167" s="2297"/>
      <c r="AG167" s="2298"/>
      <c r="AH167" s="229"/>
      <c r="AI167" s="229"/>
      <c r="AJ167" s="229"/>
      <c r="AK167" s="229"/>
      <c r="AL167" s="229"/>
      <c r="AM167" s="229"/>
      <c r="AN167" s="229"/>
      <c r="AO167" s="229"/>
      <c r="AP167" s="229"/>
      <c r="AQ167" s="229"/>
      <c r="AR167" s="229"/>
      <c r="AS167" s="229"/>
      <c r="AT167" s="229"/>
      <c r="AU167" s="229"/>
      <c r="AV167" s="229"/>
    </row>
    <row r="168" spans="2:48" s="2243" customFormat="1" ht="32.25" customHeight="1">
      <c r="B168" s="2296"/>
      <c r="C168" s="2296"/>
      <c r="D168" s="1873" t="str">
        <f>IF('Input '!$E$1="EN","","x")</f>
        <v/>
      </c>
      <c r="G168" s="2671"/>
      <c r="H168" s="2641" t="s">
        <v>3616</v>
      </c>
      <c r="I168" s="2640"/>
      <c r="J168" s="2640"/>
      <c r="K168" s="2640"/>
      <c r="L168" s="2669"/>
      <c r="AB168" s="104"/>
      <c r="AC168" s="104"/>
      <c r="AD168" s="104"/>
      <c r="AE168" s="104"/>
      <c r="AF168" s="2297"/>
      <c r="AG168" s="2298"/>
      <c r="AH168" s="229"/>
      <c r="AI168" s="229"/>
      <c r="AJ168" s="229"/>
      <c r="AK168" s="229"/>
      <c r="AL168" s="229"/>
      <c r="AM168" s="229"/>
      <c r="AN168" s="229"/>
      <c r="AO168" s="229"/>
      <c r="AP168" s="229"/>
      <c r="AQ168" s="229"/>
      <c r="AR168" s="229"/>
      <c r="AS168" s="229"/>
      <c r="AT168" s="229"/>
      <c r="AU168" s="229"/>
      <c r="AV168" s="229"/>
    </row>
    <row r="169" spans="2:48" s="2243" customFormat="1" ht="32.25" customHeight="1">
      <c r="B169" s="2296"/>
      <c r="C169" s="2296"/>
      <c r="D169" s="1873" t="str">
        <f>IF('Input '!$E$1="EN","","x")</f>
        <v/>
      </c>
      <c r="G169" s="2671"/>
      <c r="H169" s="2641" t="s">
        <v>3656</v>
      </c>
      <c r="I169" s="2640"/>
      <c r="J169" s="2640"/>
      <c r="K169" s="2640"/>
      <c r="L169" s="2669"/>
      <c r="AB169" s="104"/>
      <c r="AC169" s="104"/>
      <c r="AD169" s="104"/>
      <c r="AE169" s="104"/>
      <c r="AF169" s="2297"/>
      <c r="AG169" s="2298"/>
      <c r="AH169" s="229"/>
      <c r="AI169" s="229"/>
      <c r="AJ169" s="229"/>
      <c r="AK169" s="229"/>
      <c r="AL169" s="229"/>
      <c r="AM169" s="229"/>
      <c r="AN169" s="229"/>
      <c r="AO169" s="229"/>
      <c r="AP169" s="229"/>
      <c r="AQ169" s="229"/>
      <c r="AR169" s="229"/>
      <c r="AS169" s="229"/>
      <c r="AT169" s="229"/>
      <c r="AU169" s="229"/>
      <c r="AV169" s="229"/>
    </row>
    <row r="170" spans="2:48" s="2243" customFormat="1" ht="32.25" customHeight="1">
      <c r="B170" s="2296"/>
      <c r="C170" s="2296"/>
      <c r="D170" s="1873" t="str">
        <f>IF('Input '!$E$1="EN","","x")</f>
        <v/>
      </c>
      <c r="G170" s="2671"/>
      <c r="H170" s="2641" t="s">
        <v>3614</v>
      </c>
      <c r="I170" s="2640"/>
      <c r="J170" s="2640"/>
      <c r="K170" s="2640"/>
      <c r="L170" s="2669"/>
      <c r="AB170" s="104"/>
      <c r="AC170" s="104"/>
      <c r="AD170" s="104"/>
      <c r="AE170" s="104"/>
      <c r="AF170" s="2297"/>
      <c r="AG170" s="2298"/>
      <c r="AH170" s="229"/>
      <c r="AI170" s="229"/>
      <c r="AJ170" s="229"/>
      <c r="AK170" s="229"/>
      <c r="AL170" s="229"/>
      <c r="AM170" s="229"/>
      <c r="AN170" s="229"/>
      <c r="AO170" s="229"/>
      <c r="AP170" s="229"/>
      <c r="AQ170" s="229"/>
      <c r="AR170" s="229"/>
      <c r="AS170" s="229"/>
      <c r="AT170" s="229"/>
      <c r="AU170" s="229"/>
      <c r="AV170" s="229"/>
    </row>
    <row r="171" spans="2:48" s="2243" customFormat="1" ht="32.25" customHeight="1">
      <c r="B171" s="2296"/>
      <c r="C171" s="2296"/>
      <c r="D171" s="1873" t="str">
        <f>IF('Input '!$E$1="EN","","x")</f>
        <v/>
      </c>
      <c r="G171" s="2671"/>
      <c r="H171" s="2641" t="s">
        <v>3613</v>
      </c>
      <c r="I171" s="2640"/>
      <c r="J171" s="2640"/>
      <c r="K171" s="2640"/>
      <c r="L171" s="2669"/>
      <c r="AB171" s="104"/>
      <c r="AC171" s="104"/>
      <c r="AD171" s="104"/>
      <c r="AE171" s="104"/>
      <c r="AF171" s="2297"/>
      <c r="AG171" s="2298"/>
      <c r="AH171" s="229"/>
      <c r="AI171" s="229"/>
      <c r="AJ171" s="229"/>
      <c r="AK171" s="229"/>
      <c r="AL171" s="229"/>
      <c r="AM171" s="229"/>
      <c r="AN171" s="229"/>
      <c r="AO171" s="229"/>
      <c r="AP171" s="229"/>
      <c r="AQ171" s="229"/>
      <c r="AR171" s="229"/>
      <c r="AS171" s="229"/>
      <c r="AT171" s="229"/>
      <c r="AU171" s="229"/>
      <c r="AV171" s="229"/>
    </row>
    <row r="172" spans="2:48" s="2243" customFormat="1" ht="32.25" customHeight="1">
      <c r="B172" s="2296"/>
      <c r="C172" s="2296"/>
      <c r="D172" s="1873" t="str">
        <f>IF('Input '!$E$1="EN","","x")</f>
        <v/>
      </c>
      <c r="G172" s="2671"/>
      <c r="H172" s="2641" t="s">
        <v>3620</v>
      </c>
      <c r="I172" s="2640"/>
      <c r="J172" s="2640"/>
      <c r="K172" s="2640"/>
      <c r="L172" s="2669"/>
      <c r="AB172" s="104"/>
      <c r="AC172" s="104"/>
      <c r="AD172" s="104"/>
      <c r="AE172" s="104"/>
      <c r="AF172" s="2297"/>
      <c r="AG172" s="2298"/>
      <c r="AH172" s="229"/>
      <c r="AI172" s="229"/>
      <c r="AJ172" s="229"/>
      <c r="AK172" s="229"/>
      <c r="AL172" s="229"/>
      <c r="AM172" s="229"/>
      <c r="AN172" s="229"/>
      <c r="AO172" s="229"/>
      <c r="AP172" s="229"/>
      <c r="AQ172" s="229"/>
      <c r="AR172" s="229"/>
      <c r="AS172" s="229"/>
      <c r="AT172" s="229"/>
      <c r="AU172" s="229"/>
      <c r="AV172" s="229"/>
    </row>
    <row r="173" spans="2:48" s="2243" customFormat="1" ht="32.25" customHeight="1">
      <c r="B173" s="2296"/>
      <c r="C173" s="2296"/>
      <c r="D173" s="1873" t="str">
        <f>IF('Input '!$E$1="EN","","x")</f>
        <v/>
      </c>
      <c r="G173" s="2671"/>
      <c r="H173" s="2641" t="s">
        <v>3612</v>
      </c>
      <c r="I173" s="2640"/>
      <c r="J173" s="2640"/>
      <c r="K173" s="2640"/>
      <c r="L173" s="2669"/>
      <c r="AB173" s="104"/>
      <c r="AC173" s="104"/>
      <c r="AD173" s="104"/>
      <c r="AE173" s="104"/>
      <c r="AF173" s="2297"/>
      <c r="AG173" s="2298"/>
      <c r="AH173" s="229"/>
      <c r="AI173" s="229"/>
      <c r="AJ173" s="229"/>
      <c r="AK173" s="229"/>
      <c r="AL173" s="229"/>
      <c r="AM173" s="229"/>
      <c r="AN173" s="229"/>
      <c r="AO173" s="229"/>
      <c r="AP173" s="229"/>
      <c r="AQ173" s="229"/>
      <c r="AR173" s="229"/>
      <c r="AS173" s="229"/>
      <c r="AT173" s="229"/>
      <c r="AU173" s="229"/>
      <c r="AV173" s="229"/>
    </row>
    <row r="174" spans="2:48" s="2243" customFormat="1" ht="32.25" customHeight="1">
      <c r="B174" s="2296"/>
      <c r="C174" s="2296"/>
      <c r="D174" s="1873" t="str">
        <f>IF('Input '!$E$1="EN","","x")</f>
        <v/>
      </c>
      <c r="G174" s="2671"/>
      <c r="H174" s="2641" t="s">
        <v>3611</v>
      </c>
      <c r="I174" s="2640"/>
      <c r="J174" s="2640"/>
      <c r="K174" s="2640"/>
      <c r="L174" s="2669"/>
      <c r="AB174" s="104"/>
      <c r="AC174" s="104"/>
      <c r="AD174" s="104"/>
      <c r="AE174" s="104"/>
      <c r="AF174" s="2297"/>
      <c r="AG174" s="2298"/>
      <c r="AH174" s="229"/>
      <c r="AI174" s="229"/>
      <c r="AJ174" s="229"/>
      <c r="AK174" s="229"/>
      <c r="AL174" s="229"/>
      <c r="AM174" s="229"/>
      <c r="AN174" s="229"/>
      <c r="AO174" s="229"/>
      <c r="AP174" s="229"/>
      <c r="AQ174" s="229"/>
      <c r="AR174" s="229"/>
      <c r="AS174" s="229"/>
      <c r="AT174" s="229"/>
      <c r="AU174" s="229"/>
      <c r="AV174" s="229"/>
    </row>
    <row r="175" spans="2:48" s="2243" customFormat="1" ht="32.25" customHeight="1">
      <c r="B175" s="2296"/>
      <c r="C175" s="2296"/>
      <c r="D175" s="1873" t="str">
        <f>IF('Input '!$E$1="EN","","x")</f>
        <v/>
      </c>
      <c r="G175" s="2671"/>
      <c r="H175" s="2641" t="s">
        <v>3610</v>
      </c>
      <c r="I175" s="2640"/>
      <c r="J175" s="2640"/>
      <c r="K175" s="2640"/>
      <c r="L175" s="2669"/>
      <c r="AB175" s="104"/>
      <c r="AC175" s="104"/>
      <c r="AD175" s="104"/>
      <c r="AE175" s="104"/>
      <c r="AF175" s="2297"/>
      <c r="AG175" s="2298"/>
      <c r="AH175" s="229"/>
      <c r="AI175" s="229"/>
      <c r="AJ175" s="229"/>
      <c r="AK175" s="229"/>
      <c r="AL175" s="229"/>
      <c r="AM175" s="229"/>
      <c r="AN175" s="229"/>
      <c r="AO175" s="229"/>
      <c r="AP175" s="229"/>
      <c r="AQ175" s="229"/>
      <c r="AR175" s="229"/>
      <c r="AS175" s="229"/>
      <c r="AT175" s="229"/>
      <c r="AU175" s="229"/>
      <c r="AV175" s="229"/>
    </row>
    <row r="176" spans="2:48" s="2243" customFormat="1" ht="32.25" customHeight="1">
      <c r="B176" s="2296"/>
      <c r="C176" s="2296"/>
      <c r="D176" s="1873" t="str">
        <f>IF('Input '!$E$1="EN","","x")</f>
        <v/>
      </c>
      <c r="G176" s="2671"/>
      <c r="H176" s="2641" t="s">
        <v>3630</v>
      </c>
      <c r="I176" s="2640"/>
      <c r="J176" s="2640"/>
      <c r="K176" s="2640"/>
      <c r="L176" s="2669"/>
      <c r="AB176" s="104"/>
      <c r="AC176" s="104"/>
      <c r="AD176" s="104"/>
      <c r="AE176" s="104"/>
      <c r="AF176" s="2297"/>
      <c r="AG176" s="2298"/>
      <c r="AH176" s="229"/>
      <c r="AI176" s="229"/>
      <c r="AJ176" s="229"/>
      <c r="AK176" s="229"/>
      <c r="AL176" s="229"/>
      <c r="AM176" s="229"/>
      <c r="AN176" s="229"/>
      <c r="AO176" s="229"/>
      <c r="AP176" s="229"/>
      <c r="AQ176" s="229"/>
      <c r="AR176" s="229"/>
      <c r="AS176" s="229"/>
      <c r="AT176" s="229"/>
      <c r="AU176" s="229"/>
      <c r="AV176" s="229"/>
    </row>
    <row r="177" spans="2:48" s="2243" customFormat="1" ht="32.25" customHeight="1">
      <c r="B177" s="2296"/>
      <c r="C177" s="2296"/>
      <c r="D177" s="1873" t="str">
        <f>IF('Input '!$E$1="EN","","x")</f>
        <v/>
      </c>
      <c r="G177" s="2671"/>
      <c r="H177" s="2641" t="s">
        <v>3631</v>
      </c>
      <c r="I177" s="2640"/>
      <c r="J177" s="2640"/>
      <c r="K177" s="2640"/>
      <c r="L177" s="2669"/>
      <c r="AB177" s="104"/>
      <c r="AC177" s="104"/>
      <c r="AD177" s="104"/>
      <c r="AE177" s="104"/>
      <c r="AF177" s="2297"/>
      <c r="AG177" s="2298"/>
      <c r="AH177" s="229"/>
      <c r="AI177" s="229"/>
      <c r="AJ177" s="229"/>
      <c r="AK177" s="229"/>
      <c r="AL177" s="229"/>
      <c r="AM177" s="229"/>
      <c r="AN177" s="229"/>
      <c r="AO177" s="229"/>
      <c r="AP177" s="229"/>
      <c r="AQ177" s="229"/>
      <c r="AR177" s="229"/>
      <c r="AS177" s="229"/>
      <c r="AT177" s="229"/>
      <c r="AU177" s="229"/>
      <c r="AV177" s="229"/>
    </row>
    <row r="178" spans="2:48" s="2243" customFormat="1" ht="32.25" customHeight="1">
      <c r="B178" s="2296"/>
      <c r="C178" s="2296"/>
      <c r="D178" s="1873" t="str">
        <f>IF('Input '!$E$1="EN","","x")</f>
        <v/>
      </c>
      <c r="G178" s="2671"/>
      <c r="H178" s="2641" t="s">
        <v>3638</v>
      </c>
      <c r="I178" s="2640"/>
      <c r="J178" s="2640"/>
      <c r="K178" s="2640"/>
      <c r="L178" s="2669"/>
      <c r="AB178" s="104"/>
      <c r="AC178" s="104"/>
      <c r="AD178" s="104"/>
      <c r="AE178" s="104"/>
      <c r="AF178" s="2297"/>
      <c r="AG178" s="2298"/>
      <c r="AH178" s="229"/>
      <c r="AI178" s="229"/>
      <c r="AJ178" s="229"/>
      <c r="AK178" s="229"/>
      <c r="AL178" s="229"/>
      <c r="AM178" s="229"/>
      <c r="AN178" s="229"/>
      <c r="AO178" s="229"/>
      <c r="AP178" s="229"/>
      <c r="AQ178" s="229"/>
      <c r="AR178" s="229"/>
      <c r="AS178" s="229"/>
      <c r="AT178" s="229"/>
      <c r="AU178" s="229"/>
      <c r="AV178" s="229"/>
    </row>
    <row r="179" spans="2:48" s="2243" customFormat="1" ht="32.25" customHeight="1">
      <c r="B179" s="2296"/>
      <c r="C179" s="2296"/>
      <c r="D179" s="1873" t="str">
        <f>IF('Input '!$E$1="EN","","x")</f>
        <v/>
      </c>
      <c r="G179" s="2671"/>
      <c r="H179" s="2641" t="s">
        <v>3608</v>
      </c>
      <c r="I179" s="2640"/>
      <c r="J179" s="2640"/>
      <c r="K179" s="2640"/>
      <c r="L179" s="2669"/>
      <c r="AB179" s="104"/>
      <c r="AC179" s="104"/>
      <c r="AD179" s="104"/>
      <c r="AE179" s="104"/>
      <c r="AF179" s="2297"/>
      <c r="AG179" s="2298"/>
      <c r="AH179" s="229"/>
      <c r="AI179" s="229"/>
      <c r="AJ179" s="229"/>
      <c r="AK179" s="229"/>
      <c r="AL179" s="229"/>
      <c r="AM179" s="229"/>
      <c r="AN179" s="229"/>
      <c r="AO179" s="229"/>
      <c r="AP179" s="229"/>
      <c r="AQ179" s="229"/>
      <c r="AR179" s="229"/>
      <c r="AS179" s="229"/>
      <c r="AT179" s="229"/>
      <c r="AU179" s="229"/>
      <c r="AV179" s="229"/>
    </row>
    <row r="180" spans="2:48" s="2243" customFormat="1" ht="32.25" customHeight="1">
      <c r="B180" s="2296"/>
      <c r="C180" s="2296"/>
      <c r="D180" s="1873" t="str">
        <f>IF('Input '!$E$1="EN","","x")</f>
        <v/>
      </c>
      <c r="G180" s="2671"/>
      <c r="H180" s="2641" t="s">
        <v>3657</v>
      </c>
      <c r="I180" s="2640"/>
      <c r="J180" s="2640"/>
      <c r="K180" s="2640"/>
      <c r="L180" s="2669"/>
      <c r="AB180" s="104"/>
      <c r="AC180" s="104"/>
      <c r="AD180" s="104"/>
      <c r="AE180" s="104"/>
      <c r="AF180" s="2297"/>
      <c r="AG180" s="2298"/>
      <c r="AH180" s="229"/>
      <c r="AI180" s="229"/>
      <c r="AJ180" s="229"/>
      <c r="AK180" s="229"/>
      <c r="AL180" s="229"/>
      <c r="AM180" s="229"/>
      <c r="AN180" s="229"/>
      <c r="AO180" s="229"/>
      <c r="AP180" s="229"/>
      <c r="AQ180" s="229"/>
      <c r="AR180" s="229"/>
      <c r="AS180" s="229"/>
      <c r="AT180" s="229"/>
      <c r="AU180" s="229"/>
      <c r="AV180" s="229"/>
    </row>
    <row r="181" spans="2:48" s="2243" customFormat="1" ht="32.25" customHeight="1">
      <c r="B181" s="2296"/>
      <c r="C181" s="2296"/>
      <c r="D181" s="1873" t="str">
        <f>IF('Input '!$E$1="EN","","x")</f>
        <v/>
      </c>
      <c r="G181" s="2671"/>
      <c r="H181" s="2641" t="s">
        <v>3658</v>
      </c>
      <c r="I181" s="2640"/>
      <c r="J181" s="2640"/>
      <c r="K181" s="2640"/>
      <c r="L181" s="2669"/>
      <c r="AB181" s="104"/>
      <c r="AC181" s="104"/>
      <c r="AD181" s="104"/>
      <c r="AE181" s="104"/>
      <c r="AF181" s="2297"/>
      <c r="AG181" s="2298"/>
      <c r="AH181" s="229"/>
      <c r="AI181" s="229"/>
      <c r="AJ181" s="229"/>
      <c r="AK181" s="229"/>
      <c r="AL181" s="229"/>
      <c r="AM181" s="229"/>
      <c r="AN181" s="229"/>
      <c r="AO181" s="229"/>
      <c r="AP181" s="229"/>
      <c r="AQ181" s="229"/>
      <c r="AR181" s="229"/>
      <c r="AS181" s="229"/>
      <c r="AT181" s="229"/>
      <c r="AU181" s="229"/>
      <c r="AV181" s="229"/>
    </row>
    <row r="182" spans="2:48" s="2243" customFormat="1" ht="32.25" customHeight="1">
      <c r="B182" s="2296"/>
      <c r="C182" s="2296"/>
      <c r="D182" s="1873" t="str">
        <f>IF('Input '!$E$1="EN","","x")</f>
        <v/>
      </c>
      <c r="G182" s="2671"/>
      <c r="H182" s="2641" t="s">
        <v>3607</v>
      </c>
      <c r="I182" s="2640"/>
      <c r="J182" s="2640"/>
      <c r="K182" s="2640"/>
      <c r="L182" s="2669"/>
      <c r="AB182" s="104"/>
      <c r="AC182" s="104"/>
      <c r="AD182" s="104"/>
      <c r="AE182" s="104"/>
      <c r="AF182" s="2297"/>
      <c r="AG182" s="2298"/>
      <c r="AH182" s="229"/>
      <c r="AI182" s="229"/>
      <c r="AJ182" s="229"/>
      <c r="AK182" s="229"/>
      <c r="AL182" s="229"/>
      <c r="AM182" s="229"/>
      <c r="AN182" s="229"/>
      <c r="AO182" s="229"/>
      <c r="AP182" s="229"/>
      <c r="AQ182" s="229"/>
      <c r="AR182" s="229"/>
      <c r="AS182" s="229"/>
      <c r="AT182" s="229"/>
      <c r="AU182" s="229"/>
      <c r="AV182" s="229"/>
    </row>
    <row r="183" spans="2:48" s="2243" customFormat="1" ht="32.25" customHeight="1">
      <c r="B183" s="2296"/>
      <c r="C183" s="2296"/>
      <c r="D183" s="1873" t="str">
        <f>IF('Input '!$E$1="EN","","x")</f>
        <v/>
      </c>
      <c r="G183" s="2671"/>
      <c r="H183" s="2641" t="s">
        <v>3640</v>
      </c>
      <c r="I183" s="2640"/>
      <c r="J183" s="2640"/>
      <c r="K183" s="2640"/>
      <c r="L183" s="2669"/>
      <c r="AB183" s="104"/>
      <c r="AC183" s="104"/>
      <c r="AD183" s="104"/>
      <c r="AE183" s="104"/>
      <c r="AF183" s="2297"/>
      <c r="AG183" s="2298"/>
      <c r="AH183" s="229"/>
      <c r="AI183" s="229"/>
      <c r="AJ183" s="229"/>
      <c r="AK183" s="229"/>
      <c r="AL183" s="229"/>
      <c r="AM183" s="229"/>
      <c r="AN183" s="229"/>
      <c r="AO183" s="229"/>
      <c r="AP183" s="229"/>
      <c r="AQ183" s="229"/>
      <c r="AR183" s="229"/>
      <c r="AS183" s="229"/>
      <c r="AT183" s="229"/>
      <c r="AU183" s="229"/>
      <c r="AV183" s="229"/>
    </row>
    <row r="184" spans="2:48" s="2243" customFormat="1" ht="32.25" customHeight="1">
      <c r="B184" s="2296"/>
      <c r="C184" s="2296"/>
      <c r="D184" s="1873" t="str">
        <f>IF('Input '!$E$1="EN","","x")</f>
        <v/>
      </c>
      <c r="G184" s="2671"/>
      <c r="H184" s="2641" t="s">
        <v>3606</v>
      </c>
      <c r="I184" s="2640"/>
      <c r="J184" s="2640"/>
      <c r="K184" s="2640"/>
      <c r="L184" s="2669"/>
      <c r="AB184" s="104"/>
      <c r="AC184" s="104"/>
      <c r="AD184" s="104"/>
      <c r="AE184" s="104"/>
      <c r="AF184" s="2297"/>
      <c r="AG184" s="2298"/>
      <c r="AH184" s="229"/>
      <c r="AI184" s="229"/>
      <c r="AJ184" s="229"/>
      <c r="AK184" s="229"/>
      <c r="AL184" s="229"/>
      <c r="AM184" s="229"/>
      <c r="AN184" s="229"/>
      <c r="AO184" s="229"/>
      <c r="AP184" s="229"/>
      <c r="AQ184" s="229"/>
      <c r="AR184" s="229"/>
      <c r="AS184" s="229"/>
      <c r="AT184" s="229"/>
      <c r="AU184" s="229"/>
      <c r="AV184" s="229"/>
    </row>
    <row r="185" spans="2:48" s="2243" customFormat="1" ht="32.25" customHeight="1">
      <c r="B185" s="2296"/>
      <c r="C185" s="2296"/>
      <c r="D185" s="1873" t="str">
        <f>IF('Input '!$E$1="EN","","x")</f>
        <v/>
      </c>
      <c r="G185" s="2671"/>
      <c r="H185" s="2641" t="s">
        <v>3605</v>
      </c>
      <c r="I185" s="2640"/>
      <c r="J185" s="2640"/>
      <c r="K185" s="2640"/>
      <c r="L185" s="2669"/>
      <c r="AB185" s="104"/>
      <c r="AC185" s="104"/>
      <c r="AD185" s="104"/>
      <c r="AE185" s="104"/>
      <c r="AF185" s="2297"/>
      <c r="AG185" s="2298"/>
      <c r="AH185" s="229"/>
      <c r="AI185" s="229"/>
      <c r="AJ185" s="229"/>
      <c r="AK185" s="229"/>
      <c r="AL185" s="229"/>
      <c r="AM185" s="229"/>
      <c r="AN185" s="229"/>
      <c r="AO185" s="229"/>
      <c r="AP185" s="229"/>
      <c r="AQ185" s="229"/>
      <c r="AR185" s="229"/>
      <c r="AS185" s="229"/>
      <c r="AT185" s="229"/>
      <c r="AU185" s="229"/>
      <c r="AV185" s="229"/>
    </row>
    <row r="186" spans="2:48" s="2243" customFormat="1" ht="32.25" customHeight="1">
      <c r="B186" s="2296"/>
      <c r="C186" s="2296"/>
      <c r="D186" s="1873" t="str">
        <f>IF('Input '!$E$1="EN","","x")</f>
        <v/>
      </c>
      <c r="G186" s="2671"/>
      <c r="H186" s="2641" t="s">
        <v>3604</v>
      </c>
      <c r="I186" s="2640"/>
      <c r="J186" s="2640"/>
      <c r="K186" s="2640"/>
      <c r="L186" s="2669"/>
      <c r="AB186" s="104"/>
      <c r="AC186" s="104"/>
      <c r="AD186" s="104"/>
      <c r="AE186" s="104"/>
      <c r="AF186" s="2297"/>
      <c r="AG186" s="2298"/>
      <c r="AH186" s="229"/>
      <c r="AI186" s="229"/>
      <c r="AJ186" s="229"/>
      <c r="AK186" s="229"/>
      <c r="AL186" s="229"/>
      <c r="AM186" s="229"/>
      <c r="AN186" s="229"/>
      <c r="AO186" s="229"/>
      <c r="AP186" s="229"/>
      <c r="AQ186" s="229"/>
      <c r="AR186" s="229"/>
      <c r="AS186" s="229"/>
      <c r="AT186" s="229"/>
      <c r="AU186" s="229"/>
      <c r="AV186" s="229"/>
    </row>
    <row r="187" spans="2:48" s="2243" customFormat="1" ht="32.25" customHeight="1">
      <c r="B187" s="2296"/>
      <c r="C187" s="2296"/>
      <c r="D187" s="1873" t="str">
        <f>IF('Input '!$E$1="EN","","x")</f>
        <v/>
      </c>
      <c r="G187" s="2671"/>
      <c r="H187" s="2641" t="s">
        <v>3603</v>
      </c>
      <c r="I187" s="2640"/>
      <c r="J187" s="2640"/>
      <c r="K187" s="2640"/>
      <c r="L187" s="2669"/>
      <c r="AB187" s="104"/>
      <c r="AC187" s="104"/>
      <c r="AD187" s="104"/>
      <c r="AE187" s="104"/>
      <c r="AF187" s="2297"/>
      <c r="AG187" s="2298"/>
      <c r="AH187" s="229"/>
      <c r="AI187" s="229"/>
      <c r="AJ187" s="229"/>
      <c r="AK187" s="229"/>
      <c r="AL187" s="229"/>
      <c r="AM187" s="229"/>
      <c r="AN187" s="229"/>
      <c r="AO187" s="229"/>
      <c r="AP187" s="229"/>
      <c r="AQ187" s="229"/>
      <c r="AR187" s="229"/>
      <c r="AS187" s="229"/>
      <c r="AT187" s="229"/>
      <c r="AU187" s="229"/>
      <c r="AV187" s="229"/>
    </row>
    <row r="188" spans="2:48" s="2243" customFormat="1" ht="32.25" customHeight="1">
      <c r="B188" s="2296"/>
      <c r="C188" s="2296"/>
      <c r="D188" s="1873" t="str">
        <f>IF('Input '!$E$1="EN","","x")</f>
        <v/>
      </c>
      <c r="G188" s="2671"/>
      <c r="H188" s="2641" t="s">
        <v>3602</v>
      </c>
      <c r="I188" s="2640"/>
      <c r="J188" s="2640"/>
      <c r="K188" s="2640"/>
      <c r="L188" s="2669"/>
      <c r="AB188" s="104"/>
      <c r="AC188" s="104"/>
      <c r="AD188" s="104"/>
      <c r="AE188" s="104"/>
      <c r="AF188" s="2297"/>
      <c r="AG188" s="2298"/>
      <c r="AH188" s="229"/>
      <c r="AI188" s="229"/>
      <c r="AJ188" s="229"/>
      <c r="AK188" s="229"/>
      <c r="AL188" s="229"/>
      <c r="AM188" s="229"/>
      <c r="AN188" s="229"/>
      <c r="AO188" s="229"/>
      <c r="AP188" s="229"/>
      <c r="AQ188" s="229"/>
      <c r="AR188" s="229"/>
      <c r="AS188" s="229"/>
      <c r="AT188" s="229"/>
      <c r="AU188" s="229"/>
      <c r="AV188" s="229"/>
    </row>
    <row r="189" spans="2:48" s="2243" customFormat="1" ht="32.25" customHeight="1">
      <c r="B189" s="2296"/>
      <c r="C189" s="2296"/>
      <c r="D189" s="1873" t="str">
        <f>IF('Input '!$E$1="EN","","x")</f>
        <v/>
      </c>
      <c r="G189" s="2671"/>
      <c r="H189" s="2641" t="s">
        <v>3600</v>
      </c>
      <c r="I189" s="2640"/>
      <c r="J189" s="2640"/>
      <c r="K189" s="2640"/>
      <c r="L189" s="2669"/>
      <c r="AB189" s="104"/>
      <c r="AC189" s="104"/>
      <c r="AD189" s="104"/>
      <c r="AE189" s="104"/>
      <c r="AF189" s="2297"/>
      <c r="AG189" s="2298"/>
      <c r="AH189" s="229"/>
      <c r="AI189" s="229"/>
      <c r="AJ189" s="229"/>
      <c r="AK189" s="229"/>
      <c r="AL189" s="229"/>
      <c r="AM189" s="229"/>
      <c r="AN189" s="229"/>
      <c r="AO189" s="229"/>
      <c r="AP189" s="229"/>
      <c r="AQ189" s="229"/>
      <c r="AR189" s="229"/>
      <c r="AS189" s="229"/>
      <c r="AT189" s="229"/>
      <c r="AU189" s="229"/>
      <c r="AV189" s="229"/>
    </row>
    <row r="190" spans="2:48" s="2243" customFormat="1" ht="32.25" customHeight="1">
      <c r="B190" s="2296"/>
      <c r="C190" s="2296"/>
      <c r="D190" s="1873" t="str">
        <f>IF('Input '!$E$1="EN","","x")</f>
        <v/>
      </c>
      <c r="G190" s="2671"/>
      <c r="H190" s="2641" t="s">
        <v>3599</v>
      </c>
      <c r="I190" s="2640"/>
      <c r="J190" s="2640"/>
      <c r="K190" s="2640"/>
      <c r="L190" s="2669"/>
      <c r="AB190" s="104"/>
      <c r="AC190" s="104"/>
      <c r="AD190" s="104"/>
      <c r="AE190" s="104"/>
      <c r="AF190" s="2297"/>
      <c r="AG190" s="2298"/>
      <c r="AH190" s="229"/>
      <c r="AI190" s="229"/>
      <c r="AJ190" s="229"/>
      <c r="AK190" s="229"/>
      <c r="AL190" s="229"/>
      <c r="AM190" s="229"/>
      <c r="AN190" s="229"/>
      <c r="AO190" s="229"/>
      <c r="AP190" s="229"/>
      <c r="AQ190" s="229"/>
      <c r="AR190" s="229"/>
      <c r="AS190" s="229"/>
      <c r="AT190" s="229"/>
      <c r="AU190" s="229"/>
      <c r="AV190" s="229"/>
    </row>
    <row r="191" spans="2:48" s="2243" customFormat="1" ht="32.25" customHeight="1">
      <c r="B191" s="2296"/>
      <c r="C191" s="2296"/>
      <c r="D191" s="1873" t="str">
        <f>IF('Input '!$E$1="EN","","x")</f>
        <v/>
      </c>
      <c r="G191" s="2671"/>
      <c r="H191" s="2641" t="s">
        <v>3598</v>
      </c>
      <c r="I191" s="2640"/>
      <c r="J191" s="2640"/>
      <c r="K191" s="2640"/>
      <c r="L191" s="2669"/>
      <c r="AB191" s="104"/>
      <c r="AC191" s="104"/>
      <c r="AD191" s="104"/>
      <c r="AE191" s="104"/>
      <c r="AF191" s="2297"/>
      <c r="AG191" s="2298"/>
      <c r="AH191" s="229"/>
      <c r="AI191" s="229"/>
      <c r="AJ191" s="229"/>
      <c r="AK191" s="229"/>
      <c r="AL191" s="229"/>
      <c r="AM191" s="229"/>
      <c r="AN191" s="229"/>
      <c r="AO191" s="229"/>
      <c r="AP191" s="229"/>
      <c r="AQ191" s="229"/>
      <c r="AR191" s="229"/>
      <c r="AS191" s="229"/>
      <c r="AT191" s="229"/>
      <c r="AU191" s="229"/>
      <c r="AV191" s="229"/>
    </row>
    <row r="192" spans="2:48" s="2243" customFormat="1" ht="32.25" customHeight="1">
      <c r="B192" s="2296"/>
      <c r="C192" s="2296"/>
      <c r="D192" s="1873" t="str">
        <f>IF('Input '!$E$1="EN","","x")</f>
        <v/>
      </c>
      <c r="G192" s="2671"/>
      <c r="H192" s="2641" t="s">
        <v>3597</v>
      </c>
      <c r="I192" s="2640"/>
      <c r="J192" s="2640"/>
      <c r="K192" s="2640"/>
      <c r="L192" s="2669"/>
      <c r="AB192" s="104"/>
      <c r="AC192" s="104"/>
      <c r="AD192" s="104"/>
      <c r="AE192" s="104"/>
      <c r="AF192" s="2297"/>
      <c r="AG192" s="2298"/>
      <c r="AH192" s="229"/>
      <c r="AI192" s="229"/>
      <c r="AJ192" s="229"/>
      <c r="AK192" s="229"/>
      <c r="AL192" s="229"/>
      <c r="AM192" s="229"/>
      <c r="AN192" s="229"/>
      <c r="AO192" s="229"/>
      <c r="AP192" s="229"/>
      <c r="AQ192" s="229"/>
      <c r="AR192" s="229"/>
      <c r="AS192" s="229"/>
      <c r="AT192" s="229"/>
      <c r="AU192" s="229"/>
      <c r="AV192" s="229"/>
    </row>
    <row r="193" spans="2:48" s="2243" customFormat="1" ht="32.25" customHeight="1">
      <c r="B193" s="2296"/>
      <c r="C193" s="2296"/>
      <c r="D193" s="1873" t="str">
        <f>IF('Input '!$E$1="EN","","x")</f>
        <v/>
      </c>
      <c r="G193" s="2671"/>
      <c r="H193" s="2641" t="s">
        <v>3596</v>
      </c>
      <c r="I193" s="2640"/>
      <c r="J193" s="2640"/>
      <c r="K193" s="2640"/>
      <c r="L193" s="2669"/>
      <c r="AB193" s="104"/>
      <c r="AC193" s="104"/>
      <c r="AD193" s="104"/>
      <c r="AE193" s="104"/>
      <c r="AF193" s="2297"/>
      <c r="AG193" s="2298"/>
      <c r="AH193" s="229"/>
      <c r="AI193" s="229"/>
      <c r="AJ193" s="229"/>
      <c r="AK193" s="229"/>
      <c r="AL193" s="229"/>
      <c r="AM193" s="229"/>
      <c r="AN193" s="229"/>
      <c r="AO193" s="229"/>
      <c r="AP193" s="229"/>
      <c r="AQ193" s="229"/>
      <c r="AR193" s="229"/>
      <c r="AS193" s="229"/>
      <c r="AT193" s="229"/>
      <c r="AU193" s="229"/>
      <c r="AV193" s="229"/>
    </row>
    <row r="194" spans="2:48" s="2243" customFormat="1" ht="32.25" customHeight="1">
      <c r="B194" s="2296"/>
      <c r="C194" s="2296"/>
      <c r="D194" s="1873" t="str">
        <f>IF('Input '!$E$1="EN","","x")</f>
        <v/>
      </c>
      <c r="G194" s="2671"/>
      <c r="H194" s="2641" t="s">
        <v>3642</v>
      </c>
      <c r="I194" s="2640"/>
      <c r="J194" s="2640"/>
      <c r="K194" s="2640"/>
      <c r="L194" s="2669"/>
      <c r="AB194" s="104"/>
      <c r="AC194" s="104"/>
      <c r="AD194" s="104"/>
      <c r="AE194" s="104"/>
      <c r="AF194" s="2297"/>
      <c r="AG194" s="2298"/>
      <c r="AH194" s="229"/>
      <c r="AI194" s="229"/>
      <c r="AJ194" s="229"/>
      <c r="AK194" s="229"/>
      <c r="AL194" s="229"/>
      <c r="AM194" s="229"/>
      <c r="AN194" s="229"/>
      <c r="AO194" s="229"/>
      <c r="AP194" s="229"/>
      <c r="AQ194" s="229"/>
      <c r="AR194" s="229"/>
      <c r="AS194" s="229"/>
      <c r="AT194" s="229"/>
      <c r="AU194" s="229"/>
      <c r="AV194" s="229"/>
    </row>
    <row r="195" spans="2:48" s="2243" customFormat="1" ht="32.25" customHeight="1">
      <c r="B195" s="2296"/>
      <c r="C195" s="2296"/>
      <c r="D195" s="1873" t="str">
        <f>IF('Input '!$E$1="EN","","x")</f>
        <v/>
      </c>
      <c r="G195" s="2671"/>
      <c r="H195" s="2641" t="s">
        <v>3643</v>
      </c>
      <c r="I195" s="2640"/>
      <c r="J195" s="2640"/>
      <c r="K195" s="2640"/>
      <c r="L195" s="2669"/>
      <c r="AB195" s="104"/>
      <c r="AC195" s="104"/>
      <c r="AD195" s="104"/>
      <c r="AE195" s="104"/>
      <c r="AF195" s="2297"/>
      <c r="AG195" s="2298"/>
      <c r="AH195" s="229"/>
      <c r="AI195" s="229"/>
      <c r="AJ195" s="229"/>
      <c r="AK195" s="229"/>
      <c r="AL195" s="229"/>
      <c r="AM195" s="229"/>
      <c r="AN195" s="229"/>
      <c r="AO195" s="229"/>
      <c r="AP195" s="229"/>
      <c r="AQ195" s="229"/>
      <c r="AR195" s="229"/>
      <c r="AS195" s="229"/>
      <c r="AT195" s="229"/>
      <c r="AU195" s="229"/>
      <c r="AV195" s="229"/>
    </row>
    <row r="196" spans="2:48" s="2243" customFormat="1" ht="32.25" customHeight="1">
      <c r="B196" s="2296"/>
      <c r="C196" s="2296"/>
      <c r="D196" s="1873" t="str">
        <f>IF('Input '!$E$1="EN","","x")</f>
        <v/>
      </c>
      <c r="G196" s="2671"/>
      <c r="H196" s="2641" t="s">
        <v>3589</v>
      </c>
      <c r="I196" s="2640"/>
      <c r="J196" s="2640"/>
      <c r="K196" s="2640"/>
      <c r="L196" s="2669"/>
      <c r="AB196" s="104"/>
      <c r="AC196" s="104"/>
      <c r="AD196" s="104"/>
      <c r="AE196" s="104"/>
      <c r="AF196" s="2297"/>
      <c r="AG196" s="2298"/>
      <c r="AH196" s="229"/>
      <c r="AI196" s="229"/>
      <c r="AJ196" s="229"/>
      <c r="AK196" s="229"/>
      <c r="AL196" s="229"/>
      <c r="AM196" s="229"/>
      <c r="AN196" s="229"/>
      <c r="AO196" s="229"/>
      <c r="AP196" s="229"/>
      <c r="AQ196" s="229"/>
      <c r="AR196" s="229"/>
      <c r="AS196" s="229"/>
      <c r="AT196" s="229"/>
      <c r="AU196" s="229"/>
      <c r="AV196" s="229"/>
    </row>
    <row r="197" spans="2:48" s="2243" customFormat="1" ht="32.25" customHeight="1">
      <c r="B197" s="2296"/>
      <c r="C197" s="2296"/>
      <c r="D197" s="1873" t="str">
        <f>IF('Input '!$E$1="EN","","x")</f>
        <v/>
      </c>
      <c r="G197" s="2671"/>
      <c r="H197" s="2641" t="s">
        <v>3609</v>
      </c>
      <c r="I197" s="2640"/>
      <c r="J197" s="2640"/>
      <c r="K197" s="2640"/>
      <c r="L197" s="2669"/>
      <c r="AB197" s="104"/>
      <c r="AC197" s="104"/>
      <c r="AD197" s="104"/>
      <c r="AE197" s="104"/>
      <c r="AF197" s="2297"/>
      <c r="AG197" s="2298"/>
      <c r="AH197" s="229"/>
      <c r="AI197" s="229"/>
      <c r="AJ197" s="229"/>
      <c r="AK197" s="229"/>
      <c r="AL197" s="229"/>
      <c r="AM197" s="229"/>
      <c r="AN197" s="229"/>
      <c r="AO197" s="229"/>
      <c r="AP197" s="229"/>
      <c r="AQ197" s="229"/>
      <c r="AR197" s="229"/>
      <c r="AS197" s="229"/>
      <c r="AT197" s="229"/>
      <c r="AU197" s="229"/>
      <c r="AV197" s="229"/>
    </row>
    <row r="198" spans="2:48" s="2243" customFormat="1" ht="32.25" customHeight="1">
      <c r="B198" s="2296"/>
      <c r="C198" s="2296"/>
      <c r="D198" s="2296"/>
      <c r="G198" s="2671"/>
      <c r="H198" s="2639" t="s">
        <v>3617</v>
      </c>
      <c r="I198" s="2640"/>
      <c r="J198" s="2640"/>
      <c r="K198" s="2640"/>
      <c r="L198" s="2669"/>
      <c r="AB198" s="104"/>
      <c r="AC198" s="104"/>
      <c r="AD198" s="104"/>
      <c r="AE198" s="104"/>
      <c r="AF198" s="2297"/>
      <c r="AG198" s="2298"/>
      <c r="AH198" s="229"/>
      <c r="AI198" s="229"/>
      <c r="AJ198" s="229"/>
      <c r="AK198" s="229"/>
      <c r="AL198" s="229"/>
      <c r="AM198" s="229"/>
      <c r="AN198" s="229"/>
      <c r="AO198" s="229"/>
      <c r="AP198" s="229"/>
      <c r="AQ198" s="229"/>
      <c r="AR198" s="229"/>
      <c r="AS198" s="229"/>
      <c r="AT198" s="229"/>
      <c r="AU198" s="229"/>
      <c r="AV198" s="229"/>
    </row>
    <row r="199" spans="2:48" s="2243" customFormat="1" ht="32.25" customHeight="1">
      <c r="B199" s="2296"/>
      <c r="C199" s="2296"/>
      <c r="D199" s="2296"/>
      <c r="G199" s="2671"/>
      <c r="H199" s="2639" t="s">
        <v>3615</v>
      </c>
      <c r="I199" s="2640"/>
      <c r="J199" s="2640"/>
      <c r="K199" s="2640"/>
      <c r="L199" s="2669"/>
      <c r="AB199" s="104"/>
      <c r="AC199" s="104"/>
      <c r="AD199" s="104"/>
      <c r="AE199" s="104"/>
      <c r="AF199" s="2297"/>
      <c r="AG199" s="2298"/>
      <c r="AH199" s="229"/>
      <c r="AI199" s="229"/>
      <c r="AJ199" s="229"/>
      <c r="AK199" s="229"/>
      <c r="AL199" s="229"/>
      <c r="AM199" s="229"/>
      <c r="AN199" s="229"/>
      <c r="AO199" s="229"/>
      <c r="AP199" s="229"/>
      <c r="AQ199" s="229"/>
      <c r="AR199" s="229"/>
      <c r="AS199" s="229"/>
      <c r="AT199" s="229"/>
      <c r="AU199" s="229"/>
      <c r="AV199" s="229"/>
    </row>
    <row r="200" spans="2:48" s="2243" customFormat="1" ht="32.25" customHeight="1">
      <c r="B200" s="2296"/>
      <c r="C200" s="2296"/>
      <c r="D200" s="2296"/>
      <c r="G200" s="2671"/>
      <c r="H200" s="2639" t="s">
        <v>3671</v>
      </c>
      <c r="I200" s="2640"/>
      <c r="J200" s="2640"/>
      <c r="K200" s="2640"/>
      <c r="AB200" s="104"/>
      <c r="AC200" s="104"/>
      <c r="AD200" s="104"/>
      <c r="AE200" s="104"/>
      <c r="AF200" s="2297"/>
      <c r="AG200" s="2298"/>
      <c r="AH200" s="229"/>
      <c r="AI200" s="229"/>
      <c r="AJ200" s="229"/>
      <c r="AK200" s="229"/>
      <c r="AL200" s="229"/>
      <c r="AM200" s="229"/>
      <c r="AN200" s="229"/>
      <c r="AO200" s="229"/>
      <c r="AP200" s="229"/>
      <c r="AQ200" s="229"/>
      <c r="AR200" s="229"/>
      <c r="AS200" s="229"/>
      <c r="AT200" s="229"/>
      <c r="AU200" s="229"/>
      <c r="AV200" s="229"/>
    </row>
    <row r="201" spans="2:48" s="2243" customFormat="1" ht="32.25" customHeight="1">
      <c r="B201" s="2296"/>
      <c r="C201" s="2296"/>
      <c r="D201" s="2296"/>
      <c r="G201" s="2671"/>
      <c r="H201" s="2639" t="s">
        <v>3687</v>
      </c>
      <c r="I201" s="2640"/>
      <c r="J201" s="2640"/>
      <c r="K201" s="2640"/>
      <c r="AB201" s="104"/>
      <c r="AC201" s="104"/>
      <c r="AD201" s="104"/>
      <c r="AE201" s="104"/>
      <c r="AF201" s="2297"/>
      <c r="AG201" s="2298"/>
      <c r="AH201" s="229"/>
      <c r="AI201" s="229"/>
      <c r="AJ201" s="229"/>
      <c r="AK201" s="229"/>
      <c r="AL201" s="229"/>
      <c r="AM201" s="229"/>
      <c r="AN201" s="229"/>
      <c r="AO201" s="229"/>
      <c r="AP201" s="229"/>
      <c r="AQ201" s="229"/>
      <c r="AR201" s="229"/>
      <c r="AS201" s="229"/>
      <c r="AT201" s="229"/>
      <c r="AU201" s="229"/>
      <c r="AV201" s="229"/>
    </row>
    <row r="202" spans="2:48" s="2243" customFormat="1" ht="32.25" customHeight="1">
      <c r="B202" s="2296"/>
      <c r="C202" s="2296"/>
      <c r="D202" s="2296"/>
      <c r="G202" s="2671"/>
      <c r="H202" s="2639" t="s">
        <v>3672</v>
      </c>
      <c r="I202" s="2640"/>
      <c r="J202" s="2640"/>
      <c r="K202" s="2640"/>
      <c r="AB202" s="104"/>
      <c r="AC202" s="104"/>
      <c r="AD202" s="104"/>
      <c r="AE202" s="104"/>
      <c r="AF202" s="2297"/>
      <c r="AG202" s="2298"/>
      <c r="AH202" s="229"/>
      <c r="AI202" s="229"/>
      <c r="AJ202" s="229"/>
      <c r="AK202" s="229"/>
      <c r="AL202" s="229"/>
      <c r="AM202" s="229"/>
      <c r="AN202" s="229"/>
      <c r="AO202" s="229"/>
      <c r="AP202" s="229"/>
      <c r="AQ202" s="229"/>
      <c r="AR202" s="229"/>
      <c r="AS202" s="229"/>
      <c r="AT202" s="229"/>
      <c r="AU202" s="229"/>
      <c r="AV202" s="229"/>
    </row>
    <row r="203" spans="2:48" s="2243" customFormat="1" ht="32.25" customHeight="1">
      <c r="B203" s="2296"/>
      <c r="C203" s="2296"/>
      <c r="D203" s="2296"/>
      <c r="G203" s="2671"/>
      <c r="H203" s="2639" t="s">
        <v>4021</v>
      </c>
      <c r="I203" s="2640"/>
      <c r="J203" s="2640"/>
      <c r="K203" s="2640"/>
      <c r="AB203" s="104"/>
      <c r="AC203" s="104"/>
      <c r="AD203" s="104"/>
      <c r="AE203" s="104"/>
      <c r="AF203" s="2297"/>
      <c r="AG203" s="2298"/>
      <c r="AH203" s="229"/>
      <c r="AI203" s="229"/>
      <c r="AJ203" s="229"/>
      <c r="AK203" s="229"/>
      <c r="AL203" s="229"/>
      <c r="AM203" s="229"/>
      <c r="AN203" s="229"/>
      <c r="AO203" s="229"/>
      <c r="AP203" s="229"/>
      <c r="AQ203" s="229"/>
      <c r="AR203" s="229"/>
      <c r="AS203" s="229"/>
      <c r="AT203" s="229"/>
      <c r="AU203" s="229"/>
      <c r="AV203" s="229"/>
    </row>
    <row r="204" spans="2:48" s="2243" customFormat="1" ht="18">
      <c r="B204" s="2296"/>
      <c r="C204" s="2296"/>
      <c r="D204" s="2296"/>
      <c r="G204" s="2671"/>
      <c r="H204" s="2639" t="s">
        <v>4141</v>
      </c>
      <c r="I204" s="2640"/>
      <c r="J204" s="2640"/>
      <c r="K204" s="2640"/>
      <c r="AB204" s="104"/>
      <c r="AC204" s="104"/>
      <c r="AD204" s="104"/>
      <c r="AE204" s="104"/>
      <c r="AF204" s="2297"/>
      <c r="AG204" s="2298"/>
      <c r="AH204" s="229"/>
      <c r="AI204" s="229"/>
      <c r="AJ204" s="229"/>
      <c r="AK204" s="229"/>
      <c r="AL204" s="229"/>
      <c r="AM204" s="229"/>
      <c r="AN204" s="229"/>
      <c r="AO204" s="229"/>
      <c r="AP204" s="229"/>
      <c r="AQ204" s="229"/>
      <c r="AR204" s="229"/>
      <c r="AS204" s="229"/>
      <c r="AT204" s="229"/>
      <c r="AU204" s="229"/>
      <c r="AV204" s="229"/>
    </row>
    <row r="205" spans="2:48" ht="22.5" customHeight="1">
      <c r="F205" s="2243"/>
      <c r="G205" s="2671"/>
      <c r="H205" s="2639" t="s">
        <v>4142</v>
      </c>
      <c r="I205" s="2640"/>
      <c r="J205" s="2640"/>
      <c r="K205" s="2640"/>
    </row>
    <row r="206" spans="2:48" ht="22.5" customHeight="1">
      <c r="F206" s="2243"/>
      <c r="G206" s="2671"/>
      <c r="H206" s="2639" t="s">
        <v>4213</v>
      </c>
      <c r="I206" s="2640"/>
      <c r="J206" s="2640"/>
      <c r="K206" s="2640"/>
    </row>
    <row r="207" spans="2:48" ht="22.5" customHeight="1">
      <c r="F207" s="2243"/>
      <c r="G207" s="2671"/>
      <c r="H207" s="2639" t="s">
        <v>3597</v>
      </c>
      <c r="I207" s="2640"/>
      <c r="J207" s="2640"/>
      <c r="K207" s="2640"/>
    </row>
    <row r="208" spans="2:48" ht="22.5" customHeight="1">
      <c r="F208" s="2243"/>
      <c r="G208" s="2671"/>
      <c r="H208" s="2639" t="s">
        <v>4204</v>
      </c>
      <c r="I208" s="2640"/>
      <c r="J208" s="2640"/>
      <c r="K208" s="2640"/>
    </row>
    <row r="209" spans="6:11" ht="22.5" customHeight="1">
      <c r="F209" s="2243"/>
      <c r="G209" s="2671"/>
      <c r="H209" s="2639" t="s">
        <v>4205</v>
      </c>
      <c r="I209" s="2640"/>
      <c r="J209" s="2640"/>
      <c r="K209" s="2640"/>
    </row>
    <row r="210" spans="6:11" ht="22.5" customHeight="1">
      <c r="F210" s="2243"/>
      <c r="G210" s="2671"/>
      <c r="H210" s="2639" t="s">
        <v>4206</v>
      </c>
      <c r="I210" s="2640"/>
      <c r="J210" s="2640"/>
      <c r="K210" s="2640"/>
    </row>
    <row r="211" spans="6:11" ht="22.5" customHeight="1">
      <c r="F211" s="2243"/>
      <c r="G211" s="2671"/>
      <c r="H211" s="2639" t="s">
        <v>4207</v>
      </c>
      <c r="I211" s="2640"/>
      <c r="J211" s="2640"/>
      <c r="K211" s="2640"/>
    </row>
    <row r="212" spans="6:11" ht="22.5" customHeight="1">
      <c r="F212" s="2243"/>
      <c r="G212" s="2671"/>
      <c r="H212" s="2639" t="s">
        <v>4208</v>
      </c>
      <c r="I212" s="2640"/>
      <c r="J212" s="2640"/>
      <c r="K212" s="2640"/>
    </row>
    <row r="213" spans="6:11" ht="22.5" customHeight="1">
      <c r="F213" s="2243"/>
      <c r="G213" s="2671"/>
      <c r="H213" s="2639" t="s">
        <v>4209</v>
      </c>
      <c r="I213" s="2640"/>
      <c r="J213" s="2640"/>
      <c r="K213" s="2640"/>
    </row>
    <row r="214" spans="6:11" ht="22.5" customHeight="1">
      <c r="F214" s="2243"/>
      <c r="G214" s="2671"/>
      <c r="H214" s="2639" t="s">
        <v>4210</v>
      </c>
      <c r="I214" s="2640"/>
      <c r="J214" s="2640"/>
      <c r="K214" s="2640"/>
    </row>
    <row r="215" spans="6:11" ht="22.5" customHeight="1">
      <c r="F215" s="2243"/>
      <c r="G215" s="2671"/>
      <c r="H215" s="2641" t="s">
        <v>4211</v>
      </c>
      <c r="I215" s="2640"/>
      <c r="J215" s="2640"/>
      <c r="K215" s="2640"/>
    </row>
    <row r="216" spans="6:11" ht="22.5" customHeight="1">
      <c r="F216" s="2243"/>
      <c r="G216" s="2671"/>
      <c r="H216" s="2639" t="s">
        <v>4212</v>
      </c>
      <c r="I216" s="2640"/>
      <c r="J216" s="2640"/>
      <c r="K216" s="2640"/>
    </row>
    <row r="217" spans="6:11" ht="22.5" customHeight="1">
      <c r="F217" s="2243"/>
      <c r="G217" s="2671"/>
      <c r="H217" s="2639" t="s">
        <v>4215</v>
      </c>
      <c r="I217" s="2640"/>
      <c r="J217" s="2640"/>
      <c r="K217" s="2640"/>
    </row>
    <row r="218" spans="6:11" ht="27" customHeight="1"/>
    <row r="219" spans="6:11" ht="27" customHeight="1"/>
  </sheetData>
  <mergeCells count="3">
    <mergeCell ref="AA26:AE26"/>
    <mergeCell ref="AC12:AD12"/>
    <mergeCell ref="BD18:BE18"/>
  </mergeCells>
  <conditionalFormatting sqref="AX18:AY24 AX32:AX36 L32 I50 K32:K36 K18:K22 J18:J23">
    <cfRule type="containsText" dxfId="62" priority="62" operator="containsText" text="Refus -Revenus hors limite">
      <formula>NOT(ISERROR(SEARCH("Refus -Revenus hors limite",I18)))</formula>
    </cfRule>
  </conditionalFormatting>
  <conditionalFormatting sqref="P32:X32 N32:N36">
    <cfRule type="iconSet" priority="59">
      <iconSet iconSet="3Symbols">
        <cfvo type="percent" val="0"/>
        <cfvo type="num" val="0"/>
        <cfvo type="num" val="1"/>
      </iconSet>
    </cfRule>
  </conditionalFormatting>
  <conditionalFormatting sqref="D161:D197 P32:Q36 V18:X18 AH18:AH24 O18:O22 Y18:Y22 AK18:AL24 AN18:AN25 AO18:AO24 AQ18:AQ25 AR18:AR24 AT18:AT25 AU18:AU24 D98:D158 AA33:AA36 Y33:Y36 U23 N18:N21 A17:A24 A31:A36 A49:A95 R18:R22 P18:Q21 S18:U21 AA19:AA22 W23:X23 N23 Z23 K23 I22:I23 I25 K25 Z25">
    <cfRule type="cellIs" dxfId="61" priority="58" operator="equal">
      <formula>0</formula>
    </cfRule>
  </conditionalFormatting>
  <conditionalFormatting sqref="AW49 F94 F68:F74 F63:F66 F76:F92 F50:F52 F54:F61 F18:F26 F28:F30 F32:F48 B95 F2:F16 F96:F1048576">
    <cfRule type="containsText" dxfId="60" priority="57" operator="containsText" text="Y">
      <formula>NOT(ISERROR(SEARCH("Y",B2)))</formula>
    </cfRule>
  </conditionalFormatting>
  <conditionalFormatting sqref="M18:M23">
    <cfRule type="iconSet" priority="55">
      <iconSet iconSet="3Symbols">
        <cfvo type="percent" val="0"/>
        <cfvo type="num" val="0"/>
        <cfvo type="num" val="1"/>
      </iconSet>
    </cfRule>
  </conditionalFormatting>
  <conditionalFormatting sqref="N36">
    <cfRule type="iconSet" priority="54">
      <iconSet iconSet="3Symbols">
        <cfvo type="percent" val="0"/>
        <cfvo type="num" val="1"/>
        <cfvo type="num" val="2"/>
      </iconSet>
    </cfRule>
  </conditionalFormatting>
  <conditionalFormatting sqref="M22:M23">
    <cfRule type="iconSet" priority="53">
      <iconSet iconSet="3Symbols">
        <cfvo type="percent" val="0"/>
        <cfvo type="num" val="1"/>
        <cfvo type="num" val="2"/>
      </iconSet>
    </cfRule>
  </conditionalFormatting>
  <conditionalFormatting sqref="AA55 AA57:AA58 K55 K57:K58 G55 G50 AD54:AE54 G47 K54:AB54 G37">
    <cfRule type="containsErrors" dxfId="59" priority="52">
      <formula>ISERROR(G37)</formula>
    </cfRule>
  </conditionalFormatting>
  <conditionalFormatting sqref="I50 K22">
    <cfRule type="containsText" dxfId="58" priority="50" operator="containsText" text="ok">
      <formula>NOT(ISERROR(SEARCH("ok",I22)))</formula>
    </cfRule>
    <cfRule type="notContainsBlanks" dxfId="57" priority="51">
      <formula>LEN(TRIM(I22))&gt;0</formula>
    </cfRule>
  </conditionalFormatting>
  <conditionalFormatting sqref="H50">
    <cfRule type="containsText" dxfId="56" priority="49" operator="containsText" text="&quot;REFER&quot;">
      <formula>NOT(ISERROR(SEARCH("""REFER""",H50)))</formula>
    </cfRule>
  </conditionalFormatting>
  <conditionalFormatting sqref="N32">
    <cfRule type="iconSet" priority="47">
      <iconSet iconSet="3Symbols">
        <cfvo type="percent" val="0"/>
        <cfvo type="num" val="0"/>
        <cfvo type="num" val="1"/>
      </iconSet>
    </cfRule>
  </conditionalFormatting>
  <conditionalFormatting sqref="H18">
    <cfRule type="containsText" dxfId="55" priority="46" operator="containsText" text="COC NOT ALLOWED">
      <formula>NOT(ISERROR(SEARCH("COC NOT ALLOWED",H18)))</formula>
    </cfRule>
  </conditionalFormatting>
  <conditionalFormatting sqref="F18">
    <cfRule type="cellIs" dxfId="54" priority="45" operator="equal">
      <formula>1830</formula>
    </cfRule>
  </conditionalFormatting>
  <conditionalFormatting sqref="BI11">
    <cfRule type="containsText" dxfId="53" priority="23" operator="containsText" text="Aucune capacité en bien avec Intact">
      <formula>NOT(ISERROR(SEARCH("Aucune capacité en bien avec Intact",BI11)))</formula>
    </cfRule>
  </conditionalFormatting>
  <conditionalFormatting sqref="H24:Z24 H25:I25 K25">
    <cfRule type="containsBlanks" dxfId="52" priority="63">
      <formula>LEN(TRIM(H24))=0</formula>
    </cfRule>
  </conditionalFormatting>
  <conditionalFormatting sqref="N25:Z25">
    <cfRule type="cellIs" dxfId="51" priority="4" operator="equal">
      <formula>0</formula>
    </cfRule>
  </conditionalFormatting>
  <conditionalFormatting sqref="I25:K25">
    <cfRule type="expression" dxfId="50" priority="3">
      <formula>$H$25=""</formula>
    </cfRule>
  </conditionalFormatting>
  <conditionalFormatting sqref="U28">
    <cfRule type="cellIs" dxfId="49" priority="1" operator="equal">
      <formula>0</formula>
    </cfRule>
  </conditionalFormatting>
  <dataValidations count="12">
    <dataValidation type="decimal" allowBlank="1" showInputMessage="1" showErrorMessage="1" errorTitle="Not Authorized" error="Max flex = 10% on new business Low risk only Ontario" promptTitle="Max Flex" prompt="Max flex = 10% on new business Low risk only Ontario" sqref="X22:X23" xr:uid="{00000000-0002-0000-0200-000000000000}">
      <formula1>0</formula1>
      <formula2>AA12</formula2>
    </dataValidation>
    <dataValidation type="decimal" allowBlank="1" showInputMessage="1" showErrorMessage="1" sqref="Y12" xr:uid="{00000000-0002-0000-0200-000001000000}">
      <formula1>0</formula1>
      <formula2>AA12</formula2>
    </dataValidation>
    <dataValidation type="list" allowBlank="1" showInputMessage="1" showErrorMessage="1" sqref="I5 I76:J77" xr:uid="{00000000-0002-0000-0200-000002000000}">
      <formula1>CGL_Limite</formula1>
    </dataValidation>
    <dataValidation type="list" allowBlank="1" showInputMessage="1" showErrorMessage="1" sqref="I68" xr:uid="{00000000-0002-0000-0200-000003000000}">
      <formula1>Up_to100K</formula1>
    </dataValidation>
    <dataValidation type="list" allowBlank="1" showInputMessage="1" showErrorMessage="1" sqref="AC12:AD12" xr:uid="{00000000-0002-0000-0200-000004000000}">
      <formula1>List_ApprovedCGL</formula1>
    </dataValidation>
    <dataValidation type="list" allowBlank="1" showInputMessage="1" showErrorMessage="1" sqref="I73:J73" xr:uid="{00000000-0002-0000-0200-000005000000}">
      <formula1>up_to_500</formula1>
    </dataValidation>
    <dataValidation type="list" allowBlank="1" showInputMessage="1" showErrorMessage="1" sqref="I71:J71" xr:uid="{00000000-0002-0000-0200-000006000000}">
      <formula1>up_to_1000</formula1>
    </dataValidation>
    <dataValidation type="list" allowBlank="1" showInputMessage="1" showErrorMessage="1" sqref="I72:J72 J68" xr:uid="{00000000-0002-0000-0200-000007000000}">
      <formula1>up_to_50K</formula1>
    </dataValidation>
    <dataValidation type="list" allowBlank="1" showInputMessage="1" showErrorMessage="1" sqref="I69:J70" xr:uid="{00000000-0002-0000-0200-000008000000}">
      <formula1>up_to_250</formula1>
    </dataValidation>
    <dataValidation type="list" allowBlank="1" showInputMessage="1" showErrorMessage="1" sqref="L33:L36 F11 F98:F106 F141:F158 F162:F206" xr:uid="{00000000-0002-0000-0200-000009000000}">
      <formula1>Y_N</formula1>
    </dataValidation>
    <dataValidation type="list" allowBlank="1" showInputMessage="1" showErrorMessage="1" sqref="W3:X3" xr:uid="{00000000-0002-0000-0200-00000A000000}">
      <formula1>"Quebec,Hors Quebec"</formula1>
    </dataValidation>
    <dataValidation type="list" allowBlank="1" showInputMessage="1" showErrorMessage="1" sqref="J1" xr:uid="{00000000-0002-0000-0200-00000B000000}">
      <formula1>Language</formula1>
    </dataValidation>
  </dataValidations>
  <printOptions horizontalCentered="1" verticalCentered="1"/>
  <pageMargins left="0" right="0" top="0" bottom="0" header="0.3" footer="0.3"/>
  <pageSetup scale="38" fitToHeight="2" orientation="landscape" horizontalDpi="90" verticalDpi="90" r:id="rId1"/>
  <rowBreaks count="1" manualBreakCount="1">
    <brk id="62" min="4"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anchor moveWithCells="1">
                  <from>
                    <xdr:col>6</xdr:col>
                    <xdr:colOff>66675</xdr:colOff>
                    <xdr:row>67</xdr:row>
                    <xdr:rowOff>0</xdr:rowOff>
                  </from>
                  <to>
                    <xdr:col>6</xdr:col>
                    <xdr:colOff>438150</xdr:colOff>
                    <xdr:row>68</xdr:row>
                    <xdr:rowOff>9525</xdr:rowOff>
                  </to>
                </anchor>
              </controlPr>
            </control>
          </mc:Choice>
        </mc:AlternateContent>
        <mc:AlternateContent xmlns:mc="http://schemas.openxmlformats.org/markup-compatibility/2006">
          <mc:Choice Requires="x14">
            <control shapeId="11266" r:id="rId5" name="Check Box 2">
              <controlPr defaultSize="0" autoFill="0" autoLine="0" autoPict="0">
                <anchor moveWithCells="1">
                  <from>
                    <xdr:col>6</xdr:col>
                    <xdr:colOff>57150</xdr:colOff>
                    <xdr:row>68</xdr:row>
                    <xdr:rowOff>57150</xdr:rowOff>
                  </from>
                  <to>
                    <xdr:col>6</xdr:col>
                    <xdr:colOff>438150</xdr:colOff>
                    <xdr:row>68</xdr:row>
                    <xdr:rowOff>333375</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6</xdr:col>
                    <xdr:colOff>47625</xdr:colOff>
                    <xdr:row>69</xdr:row>
                    <xdr:rowOff>76200</xdr:rowOff>
                  </from>
                  <to>
                    <xdr:col>6</xdr:col>
                    <xdr:colOff>419100</xdr:colOff>
                    <xdr:row>69</xdr:row>
                    <xdr:rowOff>295275</xdr:rowOff>
                  </to>
                </anchor>
              </controlPr>
            </control>
          </mc:Choice>
        </mc:AlternateContent>
        <mc:AlternateContent xmlns:mc="http://schemas.openxmlformats.org/markup-compatibility/2006">
          <mc:Choice Requires="x14">
            <control shapeId="11268" r:id="rId7" name="Check Box 4">
              <controlPr defaultSize="0" autoFill="0" autoLine="0" autoPict="0">
                <anchor moveWithCells="1">
                  <from>
                    <xdr:col>6</xdr:col>
                    <xdr:colOff>38100</xdr:colOff>
                    <xdr:row>70</xdr:row>
                    <xdr:rowOff>0</xdr:rowOff>
                  </from>
                  <to>
                    <xdr:col>6</xdr:col>
                    <xdr:colOff>409575</xdr:colOff>
                    <xdr:row>71</xdr:row>
                    <xdr:rowOff>0</xdr:rowOff>
                  </to>
                </anchor>
              </controlPr>
            </control>
          </mc:Choice>
        </mc:AlternateContent>
        <mc:AlternateContent xmlns:mc="http://schemas.openxmlformats.org/markup-compatibility/2006">
          <mc:Choice Requires="x14">
            <control shapeId="11269" r:id="rId8" name="Check Box 5">
              <controlPr defaultSize="0" autoFill="0" autoLine="0" autoPict="0">
                <anchor moveWithCells="1">
                  <from>
                    <xdr:col>6</xdr:col>
                    <xdr:colOff>47625</xdr:colOff>
                    <xdr:row>71</xdr:row>
                    <xdr:rowOff>76200</xdr:rowOff>
                  </from>
                  <to>
                    <xdr:col>6</xdr:col>
                    <xdr:colOff>428625</xdr:colOff>
                    <xdr:row>72</xdr:row>
                    <xdr:rowOff>19050</xdr:rowOff>
                  </to>
                </anchor>
              </controlPr>
            </control>
          </mc:Choice>
        </mc:AlternateContent>
        <mc:AlternateContent xmlns:mc="http://schemas.openxmlformats.org/markup-compatibility/2006">
          <mc:Choice Requires="x14">
            <control shapeId="11270" r:id="rId9" name="Check Box 6">
              <controlPr defaultSize="0" autoFill="0" autoLine="0" autoPict="0">
                <anchor moveWithCells="1">
                  <from>
                    <xdr:col>6</xdr:col>
                    <xdr:colOff>57150</xdr:colOff>
                    <xdr:row>71</xdr:row>
                    <xdr:rowOff>381000</xdr:rowOff>
                  </from>
                  <to>
                    <xdr:col>6</xdr:col>
                    <xdr:colOff>428625</xdr:colOff>
                    <xdr:row>72</xdr:row>
                    <xdr:rowOff>304800</xdr:rowOff>
                  </to>
                </anchor>
              </controlPr>
            </control>
          </mc:Choice>
        </mc:AlternateContent>
        <mc:AlternateContent xmlns:mc="http://schemas.openxmlformats.org/markup-compatibility/2006">
          <mc:Choice Requires="x14">
            <control shapeId="11271" r:id="rId10" name="Check Box 7">
              <controlPr defaultSize="0" autoFill="0" autoLine="0" autoPict="0">
                <anchor moveWithCells="1">
                  <from>
                    <xdr:col>6</xdr:col>
                    <xdr:colOff>28575</xdr:colOff>
                    <xdr:row>74</xdr:row>
                    <xdr:rowOff>552450</xdr:rowOff>
                  </from>
                  <to>
                    <xdr:col>6</xdr:col>
                    <xdr:colOff>409575</xdr:colOff>
                    <xdr:row>75</xdr:row>
                    <xdr:rowOff>342900</xdr:rowOff>
                  </to>
                </anchor>
              </controlPr>
            </control>
          </mc:Choice>
        </mc:AlternateContent>
        <mc:AlternateContent xmlns:mc="http://schemas.openxmlformats.org/markup-compatibility/2006">
          <mc:Choice Requires="x14">
            <control shapeId="11272" r:id="rId11" name="Check Box 8">
              <controlPr defaultSize="0" autoFill="0" autoLine="0" autoPict="0">
                <anchor moveWithCells="1">
                  <from>
                    <xdr:col>6</xdr:col>
                    <xdr:colOff>19050</xdr:colOff>
                    <xdr:row>76</xdr:row>
                    <xdr:rowOff>9525</xdr:rowOff>
                  </from>
                  <to>
                    <xdr:col>6</xdr:col>
                    <xdr:colOff>390525</xdr:colOff>
                    <xdr:row>77</xdr:row>
                    <xdr:rowOff>0</xdr:rowOff>
                  </to>
                </anchor>
              </controlPr>
            </control>
          </mc:Choice>
        </mc:AlternateContent>
        <mc:AlternateContent xmlns:mc="http://schemas.openxmlformats.org/markup-compatibility/2006">
          <mc:Choice Requires="x14">
            <control shapeId="11273" r:id="rId12" name="Check Box 9">
              <controlPr defaultSize="0" autoFill="0" autoLine="0" autoPict="0">
                <anchor moveWithCells="1">
                  <from>
                    <xdr:col>6</xdr:col>
                    <xdr:colOff>19050</xdr:colOff>
                    <xdr:row>77</xdr:row>
                    <xdr:rowOff>28575</xdr:rowOff>
                  </from>
                  <to>
                    <xdr:col>6</xdr:col>
                    <xdr:colOff>390525</xdr:colOff>
                    <xdr:row>78</xdr:row>
                    <xdr:rowOff>0</xdr:rowOff>
                  </to>
                </anchor>
              </controlPr>
            </control>
          </mc:Choice>
        </mc:AlternateContent>
        <mc:AlternateContent xmlns:mc="http://schemas.openxmlformats.org/markup-compatibility/2006">
          <mc:Choice Requires="x14">
            <control shapeId="11274" r:id="rId13" name="Check Box 10">
              <controlPr defaultSize="0" autoFill="0" autoLine="0" autoPict="0">
                <anchor moveWithCells="1">
                  <from>
                    <xdr:col>6</xdr:col>
                    <xdr:colOff>9525</xdr:colOff>
                    <xdr:row>78</xdr:row>
                    <xdr:rowOff>28575</xdr:rowOff>
                  </from>
                  <to>
                    <xdr:col>6</xdr:col>
                    <xdr:colOff>390525</xdr:colOff>
                    <xdr:row>79</xdr:row>
                    <xdr:rowOff>0</xdr:rowOff>
                  </to>
                </anchor>
              </controlPr>
            </control>
          </mc:Choice>
        </mc:AlternateContent>
        <mc:AlternateContent xmlns:mc="http://schemas.openxmlformats.org/markup-compatibility/2006">
          <mc:Choice Requires="x14">
            <control shapeId="11275" r:id="rId14" name="Check Box 11">
              <controlPr defaultSize="0" autoFill="0" autoLine="0" autoPict="0">
                <anchor moveWithCells="1">
                  <from>
                    <xdr:col>6</xdr:col>
                    <xdr:colOff>28575</xdr:colOff>
                    <xdr:row>79</xdr:row>
                    <xdr:rowOff>38100</xdr:rowOff>
                  </from>
                  <to>
                    <xdr:col>6</xdr:col>
                    <xdr:colOff>409575</xdr:colOff>
                    <xdr:row>80</xdr:row>
                    <xdr:rowOff>0</xdr:rowOff>
                  </to>
                </anchor>
              </controlPr>
            </control>
          </mc:Choice>
        </mc:AlternateContent>
        <mc:AlternateContent xmlns:mc="http://schemas.openxmlformats.org/markup-compatibility/2006">
          <mc:Choice Requires="x14">
            <control shapeId="11276" r:id="rId15" name="Check Box 12">
              <controlPr defaultSize="0" autoFill="0" autoLine="0" autoPict="0">
                <anchor moveWithCells="1">
                  <from>
                    <xdr:col>6</xdr:col>
                    <xdr:colOff>47625</xdr:colOff>
                    <xdr:row>79</xdr:row>
                    <xdr:rowOff>390525</xdr:rowOff>
                  </from>
                  <to>
                    <xdr:col>6</xdr:col>
                    <xdr:colOff>428625</xdr:colOff>
                    <xdr:row>80</xdr:row>
                    <xdr:rowOff>371475</xdr:rowOff>
                  </to>
                </anchor>
              </controlPr>
            </control>
          </mc:Choice>
        </mc:AlternateContent>
        <mc:AlternateContent xmlns:mc="http://schemas.openxmlformats.org/markup-compatibility/2006">
          <mc:Choice Requires="x14">
            <control shapeId="11277" r:id="rId16" name="Check Box 13">
              <controlPr defaultSize="0" autoFill="0" autoLine="0" autoPict="0">
                <anchor moveWithCells="1">
                  <from>
                    <xdr:col>6</xdr:col>
                    <xdr:colOff>57150</xdr:colOff>
                    <xdr:row>81</xdr:row>
                    <xdr:rowOff>28575</xdr:rowOff>
                  </from>
                  <to>
                    <xdr:col>6</xdr:col>
                    <xdr:colOff>428625</xdr:colOff>
                    <xdr:row>82</xdr:row>
                    <xdr:rowOff>0</xdr:rowOff>
                  </to>
                </anchor>
              </controlPr>
            </control>
          </mc:Choice>
        </mc:AlternateContent>
        <mc:AlternateContent xmlns:mc="http://schemas.openxmlformats.org/markup-compatibility/2006">
          <mc:Choice Requires="x14">
            <control shapeId="11278" r:id="rId17" name="Check Box 14">
              <controlPr defaultSize="0" autoFill="0" autoLine="0" autoPict="0">
                <anchor moveWithCells="1">
                  <from>
                    <xdr:col>6</xdr:col>
                    <xdr:colOff>95250</xdr:colOff>
                    <xdr:row>82</xdr:row>
                    <xdr:rowOff>85725</xdr:rowOff>
                  </from>
                  <to>
                    <xdr:col>6</xdr:col>
                    <xdr:colOff>466725</xdr:colOff>
                    <xdr:row>83</xdr:row>
                    <xdr:rowOff>0</xdr:rowOff>
                  </to>
                </anchor>
              </controlPr>
            </control>
          </mc:Choice>
        </mc:AlternateContent>
        <mc:AlternateContent xmlns:mc="http://schemas.openxmlformats.org/markup-compatibility/2006">
          <mc:Choice Requires="x14">
            <control shapeId="11279" r:id="rId18" name="Check Box 15">
              <controlPr defaultSize="0" autoFill="0" autoLine="0" autoPict="0">
                <anchor moveWithCells="1">
                  <from>
                    <xdr:col>6</xdr:col>
                    <xdr:colOff>95250</xdr:colOff>
                    <xdr:row>82</xdr:row>
                    <xdr:rowOff>609600</xdr:rowOff>
                  </from>
                  <to>
                    <xdr:col>6</xdr:col>
                    <xdr:colOff>466725</xdr:colOff>
                    <xdr:row>83</xdr:row>
                    <xdr:rowOff>342900</xdr:rowOff>
                  </to>
                </anchor>
              </controlPr>
            </control>
          </mc:Choice>
        </mc:AlternateContent>
        <mc:AlternateContent xmlns:mc="http://schemas.openxmlformats.org/markup-compatibility/2006">
          <mc:Choice Requires="x14">
            <control shapeId="11292" r:id="rId19" name="Check Box 28">
              <controlPr defaultSize="0" autoFill="0" autoLine="0" autoPict="0">
                <anchor moveWithCells="1">
                  <from>
                    <xdr:col>6</xdr:col>
                    <xdr:colOff>47625</xdr:colOff>
                    <xdr:row>85</xdr:row>
                    <xdr:rowOff>0</xdr:rowOff>
                  </from>
                  <to>
                    <xdr:col>6</xdr:col>
                    <xdr:colOff>419100</xdr:colOff>
                    <xdr:row>85</xdr:row>
                    <xdr:rowOff>371475</xdr:rowOff>
                  </to>
                </anchor>
              </controlPr>
            </control>
          </mc:Choice>
        </mc:AlternateContent>
        <mc:AlternateContent xmlns:mc="http://schemas.openxmlformats.org/markup-compatibility/2006">
          <mc:Choice Requires="x14">
            <control shapeId="11293" r:id="rId20" name="Check Box 29">
              <controlPr defaultSize="0" autoFill="0" autoLine="0" autoPict="0">
                <anchor moveWithCells="1">
                  <from>
                    <xdr:col>6</xdr:col>
                    <xdr:colOff>57150</xdr:colOff>
                    <xdr:row>84</xdr:row>
                    <xdr:rowOff>85725</xdr:rowOff>
                  </from>
                  <to>
                    <xdr:col>6</xdr:col>
                    <xdr:colOff>438150</xdr:colOff>
                    <xdr:row>85</xdr:row>
                    <xdr:rowOff>0</xdr:rowOff>
                  </to>
                </anchor>
              </controlPr>
            </control>
          </mc:Choice>
        </mc:AlternateContent>
        <mc:AlternateContent xmlns:mc="http://schemas.openxmlformats.org/markup-compatibility/2006">
          <mc:Choice Requires="x14">
            <control shapeId="11294" r:id="rId21" name="Check Box 30">
              <controlPr defaultSize="0" autoFill="0" autoLine="0" autoPict="0">
                <anchor moveWithCells="1">
                  <from>
                    <xdr:col>6</xdr:col>
                    <xdr:colOff>47625</xdr:colOff>
                    <xdr:row>58</xdr:row>
                    <xdr:rowOff>0</xdr:rowOff>
                  </from>
                  <to>
                    <xdr:col>6</xdr:col>
                    <xdr:colOff>419100</xdr:colOff>
                    <xdr:row>59</xdr:row>
                    <xdr:rowOff>0</xdr:rowOff>
                  </to>
                </anchor>
              </controlPr>
            </control>
          </mc:Choice>
        </mc:AlternateContent>
        <mc:AlternateContent xmlns:mc="http://schemas.openxmlformats.org/markup-compatibility/2006">
          <mc:Choice Requires="x14">
            <control shapeId="11295" r:id="rId22" name="Check Box 31">
              <controlPr defaultSize="0" autoFill="0" autoLine="0" autoPict="0">
                <anchor moveWithCells="1">
                  <from>
                    <xdr:col>6</xdr:col>
                    <xdr:colOff>47625</xdr:colOff>
                    <xdr:row>59</xdr:row>
                    <xdr:rowOff>0</xdr:rowOff>
                  </from>
                  <to>
                    <xdr:col>6</xdr:col>
                    <xdr:colOff>419100</xdr:colOff>
                    <xdr:row>60</xdr:row>
                    <xdr:rowOff>0</xdr:rowOff>
                  </to>
                </anchor>
              </controlPr>
            </control>
          </mc:Choice>
        </mc:AlternateContent>
        <mc:AlternateContent xmlns:mc="http://schemas.openxmlformats.org/markup-compatibility/2006">
          <mc:Choice Requires="x14">
            <control shapeId="11297" r:id="rId23" name="Check Box 33">
              <controlPr defaultSize="0" autoFill="0" autoLine="0" autoPict="0">
                <anchor moveWithCells="1">
                  <from>
                    <xdr:col>6</xdr:col>
                    <xdr:colOff>47625</xdr:colOff>
                    <xdr:row>86</xdr:row>
                    <xdr:rowOff>0</xdr:rowOff>
                  </from>
                  <to>
                    <xdr:col>6</xdr:col>
                    <xdr:colOff>419100</xdr:colOff>
                    <xdr:row>86</xdr:row>
                    <xdr:rowOff>371475</xdr:rowOff>
                  </to>
                </anchor>
              </controlPr>
            </control>
          </mc:Choice>
        </mc:AlternateContent>
        <mc:AlternateContent xmlns:mc="http://schemas.openxmlformats.org/markup-compatibility/2006">
          <mc:Choice Requires="x14">
            <control shapeId="11298" r:id="rId24" name="Check Box 34">
              <controlPr defaultSize="0" autoFill="0" autoLine="0" autoPict="0">
                <anchor moveWithCells="1">
                  <from>
                    <xdr:col>6</xdr:col>
                    <xdr:colOff>47625</xdr:colOff>
                    <xdr:row>87</xdr:row>
                    <xdr:rowOff>0</xdr:rowOff>
                  </from>
                  <to>
                    <xdr:col>6</xdr:col>
                    <xdr:colOff>419100</xdr:colOff>
                    <xdr:row>87</xdr:row>
                    <xdr:rowOff>371475</xdr:rowOff>
                  </to>
                </anchor>
              </controlPr>
            </control>
          </mc:Choice>
        </mc:AlternateContent>
        <mc:AlternateContent xmlns:mc="http://schemas.openxmlformats.org/markup-compatibility/2006">
          <mc:Choice Requires="x14">
            <control shapeId="11299" r:id="rId25" name="Check Box 35">
              <controlPr defaultSize="0" autoFill="0" autoLine="0" autoPict="0" macro="[0]!CheckBox95_Click">
                <anchor moveWithCells="1">
                  <from>
                    <xdr:col>6</xdr:col>
                    <xdr:colOff>47625</xdr:colOff>
                    <xdr:row>88</xdr:row>
                    <xdr:rowOff>0</xdr:rowOff>
                  </from>
                  <to>
                    <xdr:col>6</xdr:col>
                    <xdr:colOff>419100</xdr:colOff>
                    <xdr:row>88</xdr:row>
                    <xdr:rowOff>371475</xdr:rowOff>
                  </to>
                </anchor>
              </controlPr>
            </control>
          </mc:Choice>
        </mc:AlternateContent>
        <mc:AlternateContent xmlns:mc="http://schemas.openxmlformats.org/markup-compatibility/2006">
          <mc:Choice Requires="x14">
            <control shapeId="11300" r:id="rId26" name="Check Box 36">
              <controlPr defaultSize="0" autoFill="0" autoLine="0" autoPict="0" macro="[0]!CheckBox95_Click">
                <anchor moveWithCells="1">
                  <from>
                    <xdr:col>6</xdr:col>
                    <xdr:colOff>47625</xdr:colOff>
                    <xdr:row>89</xdr:row>
                    <xdr:rowOff>0</xdr:rowOff>
                  </from>
                  <to>
                    <xdr:col>6</xdr:col>
                    <xdr:colOff>419100</xdr:colOff>
                    <xdr:row>89</xdr:row>
                    <xdr:rowOff>371475</xdr:rowOff>
                  </to>
                </anchor>
              </controlPr>
            </control>
          </mc:Choice>
        </mc:AlternateContent>
        <mc:AlternateContent xmlns:mc="http://schemas.openxmlformats.org/markup-compatibility/2006">
          <mc:Choice Requires="x14">
            <control shapeId="11301" r:id="rId27" name="Check Box 37">
              <controlPr defaultSize="0" autoFill="0" autoLine="0" autoPict="0" macro="[0]!CheckBox95_Click">
                <anchor moveWithCells="1">
                  <from>
                    <xdr:col>6</xdr:col>
                    <xdr:colOff>47625</xdr:colOff>
                    <xdr:row>90</xdr:row>
                    <xdr:rowOff>0</xdr:rowOff>
                  </from>
                  <to>
                    <xdr:col>6</xdr:col>
                    <xdr:colOff>419100</xdr:colOff>
                    <xdr:row>90</xdr:row>
                    <xdr:rowOff>371475</xdr:rowOff>
                  </to>
                </anchor>
              </controlPr>
            </control>
          </mc:Choice>
        </mc:AlternateContent>
        <mc:AlternateContent xmlns:mc="http://schemas.openxmlformats.org/markup-compatibility/2006">
          <mc:Choice Requires="x14">
            <control shapeId="11302" r:id="rId28" name="Check Box 38">
              <controlPr defaultSize="0" autoFill="0" autoLine="0" autoPict="0" macro="[0]!CheckBox95_Click">
                <anchor moveWithCells="1">
                  <from>
                    <xdr:col>6</xdr:col>
                    <xdr:colOff>47625</xdr:colOff>
                    <xdr:row>91</xdr:row>
                    <xdr:rowOff>0</xdr:rowOff>
                  </from>
                  <to>
                    <xdr:col>6</xdr:col>
                    <xdr:colOff>419100</xdr:colOff>
                    <xdr:row>91</xdr:row>
                    <xdr:rowOff>371475</xdr:rowOff>
                  </to>
                </anchor>
              </controlPr>
            </control>
          </mc:Choice>
        </mc:AlternateContent>
        <mc:AlternateContent xmlns:mc="http://schemas.openxmlformats.org/markup-compatibility/2006">
          <mc:Choice Requires="x14">
            <control shapeId="11305" r:id="rId29" name="Check Box 41">
              <controlPr defaultSize="0" autoFill="0" autoLine="0" autoPict="0">
                <anchor moveWithCells="1">
                  <from>
                    <xdr:col>6</xdr:col>
                    <xdr:colOff>47625</xdr:colOff>
                    <xdr:row>53</xdr:row>
                    <xdr:rowOff>0</xdr:rowOff>
                  </from>
                  <to>
                    <xdr:col>6</xdr:col>
                    <xdr:colOff>419100</xdr:colOff>
                    <xdr:row>53</xdr:row>
                    <xdr:rowOff>371475</xdr:rowOff>
                  </to>
                </anchor>
              </controlPr>
            </control>
          </mc:Choice>
        </mc:AlternateContent>
        <mc:AlternateContent xmlns:mc="http://schemas.openxmlformats.org/markup-compatibility/2006">
          <mc:Choice Requires="x14">
            <control shapeId="11307" r:id="rId30" name="Check Box 43">
              <controlPr defaultSize="0" autoFill="0" autoLine="0" autoPict="0">
                <anchor moveWithCells="1">
                  <from>
                    <xdr:col>6</xdr:col>
                    <xdr:colOff>95250</xdr:colOff>
                    <xdr:row>38</xdr:row>
                    <xdr:rowOff>85725</xdr:rowOff>
                  </from>
                  <to>
                    <xdr:col>6</xdr:col>
                    <xdr:colOff>409575</xdr:colOff>
                    <xdr:row>38</xdr:row>
                    <xdr:rowOff>295275</xdr:rowOff>
                  </to>
                </anchor>
              </controlPr>
            </control>
          </mc:Choice>
        </mc:AlternateContent>
        <mc:AlternateContent xmlns:mc="http://schemas.openxmlformats.org/markup-compatibility/2006">
          <mc:Choice Requires="x14">
            <control shapeId="11308" r:id="rId31" name="Check Box 44">
              <controlPr defaultSize="0" autoFill="0" autoLine="0" autoPict="0">
                <anchor moveWithCells="1">
                  <from>
                    <xdr:col>6</xdr:col>
                    <xdr:colOff>95250</xdr:colOff>
                    <xdr:row>39</xdr:row>
                    <xdr:rowOff>85725</xdr:rowOff>
                  </from>
                  <to>
                    <xdr:col>6</xdr:col>
                    <xdr:colOff>409575</xdr:colOff>
                    <xdr:row>39</xdr:row>
                    <xdr:rowOff>295275</xdr:rowOff>
                  </to>
                </anchor>
              </controlPr>
            </control>
          </mc:Choice>
        </mc:AlternateContent>
        <mc:AlternateContent xmlns:mc="http://schemas.openxmlformats.org/markup-compatibility/2006">
          <mc:Choice Requires="x14">
            <control shapeId="11335" r:id="rId32" name="Check Box 71">
              <controlPr defaultSize="0" autoFill="0" autoLine="0" autoPict="0">
                <anchor moveWithCells="1">
                  <from>
                    <xdr:col>6</xdr:col>
                    <xdr:colOff>85725</xdr:colOff>
                    <xdr:row>37</xdr:row>
                    <xdr:rowOff>47625</xdr:rowOff>
                  </from>
                  <to>
                    <xdr:col>6</xdr:col>
                    <xdr:colOff>466725</xdr:colOff>
                    <xdr:row>37</xdr:row>
                    <xdr:rowOff>361950</xdr:rowOff>
                  </to>
                </anchor>
              </controlPr>
            </control>
          </mc:Choice>
        </mc:AlternateContent>
        <mc:AlternateContent xmlns:mc="http://schemas.openxmlformats.org/markup-compatibility/2006">
          <mc:Choice Requires="x14">
            <control shapeId="11337" r:id="rId33" name="Button 73">
              <controlPr defaultSize="0" print="0" autoFill="0" autoPict="0" macro="[0]!AfficherCGL">
                <anchor moveWithCells="1" sizeWithCells="1">
                  <from>
                    <xdr:col>60</xdr:col>
                    <xdr:colOff>828675</xdr:colOff>
                    <xdr:row>2</xdr:row>
                    <xdr:rowOff>285750</xdr:rowOff>
                  </from>
                  <to>
                    <xdr:col>64</xdr:col>
                    <xdr:colOff>85725</xdr:colOff>
                    <xdr:row>7</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70C0"/>
  </sheetPr>
  <dimension ref="A1:P234"/>
  <sheetViews>
    <sheetView showGridLines="0" workbookViewId="0">
      <selection activeCell="A5" sqref="A5"/>
    </sheetView>
  </sheetViews>
  <sheetFormatPr defaultColWidth="9.140625" defaultRowHeight="15"/>
  <cols>
    <col min="1" max="1" width="15.5703125" style="395" customWidth="1"/>
    <col min="2" max="2" width="32.140625" customWidth="1"/>
    <col min="3" max="3" width="39.42578125" style="569" customWidth="1"/>
    <col min="4" max="4" width="27.42578125" style="569" customWidth="1"/>
    <col min="5" max="5" width="19.7109375" customWidth="1"/>
    <col min="6" max="7" width="16" customWidth="1"/>
    <col min="8" max="8" width="21.5703125" customWidth="1"/>
    <col min="9" max="9" width="13.28515625" customWidth="1"/>
    <col min="10" max="10" width="17" customWidth="1"/>
    <col min="11" max="11" width="11.28515625" customWidth="1"/>
    <col min="12" max="12" width="15.7109375" customWidth="1"/>
    <col min="13" max="13" width="11.140625" customWidth="1"/>
    <col min="14" max="14" width="11" bestFit="1" customWidth="1"/>
  </cols>
  <sheetData>
    <row r="1" spans="2:10">
      <c r="B1" t="s">
        <v>1088</v>
      </c>
      <c r="E1" t="s">
        <v>1043</v>
      </c>
    </row>
    <row r="2" spans="2:10">
      <c r="E2" t="s">
        <v>1031</v>
      </c>
      <c r="G2" t="s">
        <v>1042</v>
      </c>
      <c r="I2" t="s">
        <v>3393</v>
      </c>
    </row>
    <row r="3" spans="2:10" ht="18">
      <c r="B3" s="20" t="s">
        <v>954</v>
      </c>
      <c r="C3" s="3289" t="s">
        <v>238</v>
      </c>
      <c r="D3" s="3275" t="s">
        <v>239</v>
      </c>
      <c r="E3" t="s">
        <v>1032</v>
      </c>
      <c r="F3" s="17" t="s">
        <v>239</v>
      </c>
      <c r="G3" s="3310">
        <v>0</v>
      </c>
      <c r="I3" t="s">
        <v>3394</v>
      </c>
    </row>
    <row r="4" spans="2:10" ht="18">
      <c r="B4" s="20" t="s">
        <v>955</v>
      </c>
      <c r="C4" s="3289" t="s">
        <v>240</v>
      </c>
      <c r="D4" s="3275" t="s">
        <v>241</v>
      </c>
      <c r="E4" s="17"/>
      <c r="F4" s="17" t="s">
        <v>241</v>
      </c>
      <c r="G4" s="3310">
        <v>5000</v>
      </c>
    </row>
    <row r="5" spans="2:10" ht="18">
      <c r="B5" s="20" t="s">
        <v>957</v>
      </c>
      <c r="C5" s="3289" t="s">
        <v>240</v>
      </c>
      <c r="D5" s="3275" t="s">
        <v>242</v>
      </c>
      <c r="E5" s="17"/>
      <c r="F5" s="17" t="s">
        <v>242</v>
      </c>
      <c r="G5" s="3310">
        <v>10000</v>
      </c>
      <c r="I5" t="s">
        <v>3560</v>
      </c>
    </row>
    <row r="6" spans="2:10" ht="18">
      <c r="B6" s="20" t="s">
        <v>956</v>
      </c>
      <c r="C6" s="3289" t="s">
        <v>240</v>
      </c>
      <c r="D6" s="3275" t="s">
        <v>243</v>
      </c>
      <c r="E6" s="17"/>
      <c r="F6" s="17" t="s">
        <v>243</v>
      </c>
      <c r="G6" s="3310">
        <v>25000</v>
      </c>
      <c r="I6" t="s">
        <v>3559</v>
      </c>
    </row>
    <row r="7" spans="2:10" ht="18">
      <c r="B7" s="20" t="s">
        <v>244</v>
      </c>
      <c r="C7" s="3289" t="s">
        <v>244</v>
      </c>
      <c r="D7" s="3275" t="s">
        <v>245</v>
      </c>
      <c r="E7" s="17"/>
      <c r="F7" s="17" t="s">
        <v>245</v>
      </c>
      <c r="G7" s="3310">
        <v>50000</v>
      </c>
    </row>
    <row r="8" spans="2:10" ht="18">
      <c r="B8" s="20" t="s">
        <v>246</v>
      </c>
      <c r="C8" s="3289" t="s">
        <v>246</v>
      </c>
      <c r="D8" s="3275" t="s">
        <v>247</v>
      </c>
      <c r="E8" s="17"/>
      <c r="F8" s="17" t="s">
        <v>247</v>
      </c>
      <c r="G8" s="3311">
        <v>100000</v>
      </c>
    </row>
    <row r="9" spans="2:10" ht="18">
      <c r="B9" s="20" t="s">
        <v>958</v>
      </c>
      <c r="C9" s="3289" t="s">
        <v>240</v>
      </c>
      <c r="D9" s="3275" t="s">
        <v>250</v>
      </c>
      <c r="E9" s="17"/>
      <c r="F9" s="17" t="s">
        <v>250</v>
      </c>
      <c r="G9" s="3310">
        <v>250000</v>
      </c>
      <c r="I9" s="102" t="s">
        <v>1051</v>
      </c>
      <c r="J9" s="103"/>
    </row>
    <row r="10" spans="2:10" ht="18">
      <c r="B10" s="20" t="s">
        <v>959</v>
      </c>
      <c r="C10" s="3289" t="s">
        <v>240</v>
      </c>
      <c r="D10" s="3275" t="s">
        <v>250</v>
      </c>
      <c r="E10" s="17"/>
      <c r="F10" s="17" t="s">
        <v>250</v>
      </c>
      <c r="G10" s="3310">
        <v>500000</v>
      </c>
      <c r="I10" s="101">
        <v>0</v>
      </c>
      <c r="J10" s="101" t="s">
        <v>1052</v>
      </c>
    </row>
    <row r="11" spans="2:10" ht="18">
      <c r="B11" s="20" t="s">
        <v>964</v>
      </c>
      <c r="C11" s="3289" t="s">
        <v>240</v>
      </c>
      <c r="D11" s="3275" t="s">
        <v>250</v>
      </c>
      <c r="E11" s="17"/>
      <c r="F11" s="17" t="s">
        <v>250</v>
      </c>
      <c r="G11" s="3310">
        <v>1000000</v>
      </c>
      <c r="I11" s="100">
        <v>3</v>
      </c>
      <c r="J11" s="100" t="s">
        <v>4019</v>
      </c>
    </row>
    <row r="12" spans="2:10" ht="18">
      <c r="B12" s="20" t="s">
        <v>960</v>
      </c>
      <c r="C12" s="3289" t="s">
        <v>248</v>
      </c>
      <c r="D12" s="3275" t="s">
        <v>249</v>
      </c>
      <c r="E12" s="17"/>
      <c r="F12" s="17" t="s">
        <v>249</v>
      </c>
    </row>
    <row r="13" spans="2:10" ht="18">
      <c r="B13" s="20" t="s">
        <v>961</v>
      </c>
      <c r="C13" s="3289" t="s">
        <v>248</v>
      </c>
      <c r="D13" s="3275" t="s">
        <v>249</v>
      </c>
      <c r="E13" s="17"/>
      <c r="F13" s="17" t="s">
        <v>249</v>
      </c>
      <c r="I13" s="92" t="s">
        <v>1044</v>
      </c>
      <c r="J13" s="93"/>
    </row>
    <row r="14" spans="2:10" ht="18">
      <c r="B14" s="20" t="s">
        <v>962</v>
      </c>
      <c r="C14" s="3289" t="s">
        <v>248</v>
      </c>
      <c r="D14" s="3275" t="s">
        <v>249</v>
      </c>
      <c r="E14" s="17"/>
      <c r="F14" s="17" t="s">
        <v>249</v>
      </c>
      <c r="I14" s="94">
        <v>0</v>
      </c>
      <c r="J14" s="95" t="s">
        <v>223</v>
      </c>
    </row>
    <row r="15" spans="2:10" ht="18">
      <c r="B15" s="20" t="s">
        <v>963</v>
      </c>
      <c r="C15" s="3289" t="s">
        <v>248</v>
      </c>
      <c r="D15" s="3275" t="s">
        <v>249</v>
      </c>
      <c r="E15" s="17"/>
      <c r="F15" s="17" t="s">
        <v>249</v>
      </c>
      <c r="I15" s="94">
        <v>1</v>
      </c>
      <c r="J15" s="96" t="s">
        <v>1045</v>
      </c>
    </row>
    <row r="16" spans="2:10" ht="15.75">
      <c r="I16" s="97">
        <v>500001</v>
      </c>
      <c r="J16" s="98" t="s">
        <v>1046</v>
      </c>
    </row>
    <row r="17" spans="1:12" ht="15.75">
      <c r="B17" s="20" t="s">
        <v>222</v>
      </c>
    </row>
    <row r="18" spans="1:12" ht="15.75">
      <c r="B18" s="86"/>
    </row>
    <row r="19" spans="1:12" ht="15.75">
      <c r="B19" s="21">
        <v>1000000</v>
      </c>
      <c r="C19" s="3290">
        <v>1</v>
      </c>
    </row>
    <row r="20" spans="1:12" ht="15.75">
      <c r="B20" s="22">
        <v>2000000</v>
      </c>
      <c r="C20" s="3291">
        <v>1.2</v>
      </c>
    </row>
    <row r="21" spans="1:12" ht="15.75">
      <c r="B21" s="22">
        <v>3000000</v>
      </c>
      <c r="C21" s="3291">
        <v>1.3</v>
      </c>
      <c r="E21" s="62"/>
    </row>
    <row r="22" spans="1:12" ht="15.75">
      <c r="B22" s="22">
        <v>4000000</v>
      </c>
      <c r="C22" s="3291">
        <v>1.4</v>
      </c>
    </row>
    <row r="23" spans="1:12" ht="15.75">
      <c r="B23" s="22">
        <v>5000000</v>
      </c>
      <c r="C23" s="3291">
        <v>1.5</v>
      </c>
    </row>
    <row r="25" spans="1:12" ht="28.5" customHeight="1">
      <c r="A25" s="395" t="s">
        <v>3972</v>
      </c>
      <c r="B25" s="162"/>
      <c r="C25" s="3544" t="s">
        <v>1037</v>
      </c>
      <c r="D25" s="3545"/>
      <c r="E25" s="3546"/>
      <c r="F25" s="3547" t="s">
        <v>1012</v>
      </c>
      <c r="G25" s="3548"/>
      <c r="H25" s="3549"/>
      <c r="I25" s="87"/>
    </row>
    <row r="26" spans="1:12" ht="13.5" customHeight="1">
      <c r="B26" s="163" t="s">
        <v>968</v>
      </c>
      <c r="C26" s="99" t="str">
        <f>CONCATENATE($J$11,"Y,",C27)</f>
        <v>&gt;=3 Y,&lt;500,000$</v>
      </c>
      <c r="D26" s="99" t="str">
        <f t="shared" ref="D26" si="0">CONCATENATE($J$11,"Y,",D27)</f>
        <v>&gt;=3 Y,&gt;500,001$+</v>
      </c>
      <c r="E26" s="99" t="s">
        <v>1192</v>
      </c>
      <c r="F26" s="99" t="str">
        <f>CONCATENATE($J$10,"Y,",F27)</f>
        <v>&lt;3 Y,&lt;500,000$</v>
      </c>
      <c r="G26" s="99" t="str">
        <f>CONCATENATE($J$10,"Y,",G27)</f>
        <v>&lt;3 Y,&gt;500,001$+</v>
      </c>
      <c r="H26" s="99"/>
      <c r="I26" s="87"/>
    </row>
    <row r="27" spans="1:12" ht="15.75">
      <c r="B27" s="66"/>
      <c r="C27" s="3276" t="str">
        <f>J15</f>
        <v>&lt;500,000$</v>
      </c>
      <c r="D27" s="3276" t="str">
        <f>J16</f>
        <v>&gt;500,001$+</v>
      </c>
      <c r="E27" s="28"/>
      <c r="F27" s="29" t="str">
        <f>J15</f>
        <v>&lt;500,000$</v>
      </c>
      <c r="G27" s="51" t="str">
        <f>J16</f>
        <v>&gt;500,001$+</v>
      </c>
      <c r="H27" s="28"/>
      <c r="I27" s="263" t="s">
        <v>222</v>
      </c>
      <c r="L27" s="2720"/>
    </row>
    <row r="28" spans="1:12">
      <c r="B28" s="59" t="s">
        <v>231</v>
      </c>
      <c r="C28" s="246" t="s">
        <v>1010</v>
      </c>
      <c r="D28" s="247" t="s">
        <v>1011</v>
      </c>
      <c r="E28" s="246" t="s">
        <v>1010</v>
      </c>
      <c r="F28" s="60" t="s">
        <v>1010</v>
      </c>
      <c r="G28" s="67" t="s">
        <v>1011</v>
      </c>
      <c r="H28" s="61" t="s">
        <v>1010</v>
      </c>
      <c r="I28" s="69"/>
      <c r="L28" s="2720"/>
    </row>
    <row r="29" spans="1:12" ht="15.75">
      <c r="B29" s="62">
        <v>1000000</v>
      </c>
      <c r="C29" s="69">
        <v>725</v>
      </c>
      <c r="D29" s="67">
        <v>1.5</v>
      </c>
      <c r="E29" s="264">
        <f>D29*$E$21/1000</f>
        <v>0</v>
      </c>
      <c r="F29" s="60">
        <v>850</v>
      </c>
      <c r="G29" s="67">
        <v>1.75</v>
      </c>
      <c r="H29" s="248">
        <f>G29*$E$21/1000</f>
        <v>0</v>
      </c>
      <c r="I29" s="2721">
        <v>1</v>
      </c>
      <c r="L29" s="2720"/>
    </row>
    <row r="30" spans="1:12" ht="15.75">
      <c r="B30" s="63">
        <v>2000000</v>
      </c>
      <c r="C30" s="69">
        <v>850</v>
      </c>
      <c r="D30" s="67">
        <v>1.8</v>
      </c>
      <c r="E30" s="264">
        <f>D30*$E$21/1000</f>
        <v>0</v>
      </c>
      <c r="F30" s="60">
        <v>1000</v>
      </c>
      <c r="G30" s="67">
        <v>2.1</v>
      </c>
      <c r="H30" s="248">
        <f>G30*$E$21/1000</f>
        <v>0</v>
      </c>
      <c r="I30" s="2722">
        <v>1</v>
      </c>
      <c r="J30" s="2724">
        <v>1.2</v>
      </c>
      <c r="K30" s="259"/>
      <c r="L30" s="2720"/>
    </row>
    <row r="31" spans="1:12" ht="15.75">
      <c r="B31" s="63">
        <v>3000000</v>
      </c>
      <c r="C31" s="69">
        <v>1000</v>
      </c>
      <c r="D31" s="67">
        <v>1.95</v>
      </c>
      <c r="E31" s="264">
        <f>D31*$E$21/1000</f>
        <v>0</v>
      </c>
      <c r="F31" s="60">
        <v>1250</v>
      </c>
      <c r="G31" s="67">
        <v>2.2749999999999999</v>
      </c>
      <c r="H31" s="248">
        <f>G31*$E$21/1000</f>
        <v>0</v>
      </c>
      <c r="I31" s="2722">
        <v>1</v>
      </c>
      <c r="J31" s="2724">
        <v>1.3</v>
      </c>
      <c r="K31" s="259"/>
      <c r="L31" s="1711"/>
    </row>
    <row r="32" spans="1:12" ht="15.75">
      <c r="B32" s="63">
        <v>4000000</v>
      </c>
      <c r="C32" s="69">
        <v>1250</v>
      </c>
      <c r="D32" s="67">
        <v>2.1749999999999998</v>
      </c>
      <c r="E32" s="264">
        <f>D32*$E$21/1000</f>
        <v>0</v>
      </c>
      <c r="F32" s="60">
        <v>1500</v>
      </c>
      <c r="G32" s="67">
        <v>2.4500000000000002</v>
      </c>
      <c r="H32" s="248">
        <f>G32*$E$21/1000</f>
        <v>0</v>
      </c>
      <c r="I32" s="2722">
        <v>1</v>
      </c>
      <c r="J32" s="2724">
        <v>1.4</v>
      </c>
      <c r="K32" s="259"/>
      <c r="L32" s="1711"/>
    </row>
    <row r="33" spans="1:11" ht="15.75">
      <c r="B33" s="64">
        <v>5000000</v>
      </c>
      <c r="C33" s="70">
        <v>1500</v>
      </c>
      <c r="D33" s="68">
        <v>2.25</v>
      </c>
      <c r="E33" s="265">
        <f>D33*$E$21/1000</f>
        <v>0</v>
      </c>
      <c r="F33" s="65">
        <v>2000</v>
      </c>
      <c r="G33" s="68">
        <v>2.625</v>
      </c>
      <c r="H33" s="248">
        <f>G33*$E$21/1000</f>
        <v>0</v>
      </c>
      <c r="I33" s="2723">
        <v>1</v>
      </c>
      <c r="J33" s="2724">
        <v>1.5</v>
      </c>
      <c r="K33" s="259"/>
    </row>
    <row r="34" spans="1:11">
      <c r="H34" s="56"/>
      <c r="I34" s="56"/>
    </row>
    <row r="35" spans="1:11" s="1711" customFormat="1">
      <c r="A35" s="395" t="s">
        <v>3956</v>
      </c>
      <c r="B35" s="162"/>
      <c r="C35" s="3544" t="s">
        <v>1037</v>
      </c>
      <c r="D35" s="3545"/>
      <c r="E35" s="3546"/>
      <c r="F35" s="3547" t="s">
        <v>1012</v>
      </c>
      <c r="G35" s="3548"/>
      <c r="H35" s="3549"/>
      <c r="I35" s="56"/>
    </row>
    <row r="36" spans="1:11" s="1711" customFormat="1" ht="36">
      <c r="A36" s="395"/>
      <c r="B36" s="163" t="s">
        <v>968</v>
      </c>
      <c r="C36" s="99" t="str">
        <f>$C$26</f>
        <v>&gt;=3 Y,&lt;500,000$</v>
      </c>
      <c r="D36" s="99" t="str">
        <f>$D$26</f>
        <v>&gt;=3 Y,&gt;500,001$+</v>
      </c>
      <c r="E36" s="99" t="s">
        <v>1192</v>
      </c>
      <c r="F36" s="99" t="str">
        <f>$F$26</f>
        <v>&lt;3 Y,&lt;500,000$</v>
      </c>
      <c r="G36" s="2136" t="s">
        <v>3775</v>
      </c>
      <c r="H36" s="99"/>
      <c r="I36" s="56"/>
    </row>
    <row r="37" spans="1:11" s="1711" customFormat="1" ht="15.75">
      <c r="A37" s="395"/>
      <c r="B37" s="66"/>
      <c r="C37" s="3276" t="str">
        <f>C27</f>
        <v>&lt;500,000$</v>
      </c>
      <c r="D37" s="3276" t="str">
        <f t="shared" ref="D37:G37" si="1">D27</f>
        <v>&gt;500,001$+</v>
      </c>
      <c r="E37" s="51">
        <f t="shared" si="1"/>
        <v>0</v>
      </c>
      <c r="F37" s="51" t="str">
        <f t="shared" si="1"/>
        <v>&lt;500,000$</v>
      </c>
      <c r="G37" s="51" t="str">
        <f t="shared" si="1"/>
        <v>&gt;500,001$+</v>
      </c>
      <c r="H37" s="28"/>
      <c r="I37" s="56"/>
    </row>
    <row r="38" spans="1:11" s="1711" customFormat="1">
      <c r="A38" s="395"/>
      <c r="B38" s="59" t="s">
        <v>231</v>
      </c>
      <c r="C38" s="246" t="s">
        <v>1010</v>
      </c>
      <c r="D38" s="247" t="s">
        <v>1011</v>
      </c>
      <c r="E38" s="246" t="s">
        <v>1010</v>
      </c>
      <c r="F38" s="60" t="s">
        <v>1010</v>
      </c>
      <c r="G38" s="67" t="s">
        <v>1011</v>
      </c>
      <c r="H38" s="61" t="s">
        <v>1010</v>
      </c>
      <c r="I38" s="56"/>
    </row>
    <row r="39" spans="1:11" s="1711" customFormat="1" ht="15.75">
      <c r="A39" s="395"/>
      <c r="B39" s="62">
        <v>1000000</v>
      </c>
      <c r="C39" s="69">
        <v>600</v>
      </c>
      <c r="D39" s="67">
        <v>1.2</v>
      </c>
      <c r="E39" s="264">
        <f>D39*$E$21/1000</f>
        <v>0</v>
      </c>
      <c r="F39" s="60">
        <v>675</v>
      </c>
      <c r="G39" s="67">
        <v>1.35</v>
      </c>
      <c r="H39" s="248">
        <f>G39*$E$21/1000</f>
        <v>0</v>
      </c>
      <c r="I39" s="56"/>
    </row>
    <row r="40" spans="1:11" s="1711" customFormat="1" ht="15.75">
      <c r="A40" s="395"/>
      <c r="B40" s="63">
        <v>2000000</v>
      </c>
      <c r="C40" s="69">
        <v>675</v>
      </c>
      <c r="D40" s="67">
        <v>1.35</v>
      </c>
      <c r="E40" s="264">
        <f>D40*$E$21/1000</f>
        <v>0</v>
      </c>
      <c r="F40" s="60">
        <v>750</v>
      </c>
      <c r="G40" s="67">
        <v>1.5</v>
      </c>
      <c r="H40" s="248">
        <f>G40*$E$21/1000</f>
        <v>0</v>
      </c>
      <c r="I40" s="56"/>
    </row>
    <row r="41" spans="1:11" s="1711" customFormat="1" ht="15.75">
      <c r="A41" s="395"/>
      <c r="B41" s="63">
        <v>3000000</v>
      </c>
      <c r="C41" s="69">
        <v>750</v>
      </c>
      <c r="D41" s="67">
        <v>1.5</v>
      </c>
      <c r="E41" s="264">
        <f>D41*$E$21/1000</f>
        <v>0</v>
      </c>
      <c r="F41" s="60">
        <v>825</v>
      </c>
      <c r="G41" s="67">
        <v>1.65</v>
      </c>
      <c r="H41" s="248">
        <f>G41*$E$21/1000</f>
        <v>0</v>
      </c>
      <c r="I41" s="56"/>
    </row>
    <row r="42" spans="1:11" s="1711" customFormat="1" ht="15.75">
      <c r="A42" s="395"/>
      <c r="B42" s="63">
        <v>4000000</v>
      </c>
      <c r="C42" s="69">
        <v>825</v>
      </c>
      <c r="D42" s="67">
        <v>1.65</v>
      </c>
      <c r="E42" s="264">
        <f>D42*$E$21/1000</f>
        <v>0</v>
      </c>
      <c r="F42" s="60">
        <v>900</v>
      </c>
      <c r="G42" s="67">
        <v>1.8</v>
      </c>
      <c r="H42" s="248">
        <f>G42*$E$21/1000</f>
        <v>0</v>
      </c>
      <c r="I42" s="56"/>
    </row>
    <row r="43" spans="1:11" s="1711" customFormat="1" ht="15.75">
      <c r="A43" s="395"/>
      <c r="B43" s="64">
        <v>5000000</v>
      </c>
      <c r="C43" s="70">
        <v>900</v>
      </c>
      <c r="D43" s="68">
        <v>1.8</v>
      </c>
      <c r="E43" s="265">
        <f>D43*$E$21/1000</f>
        <v>0</v>
      </c>
      <c r="F43" s="65">
        <v>975</v>
      </c>
      <c r="G43" s="68">
        <v>1.95</v>
      </c>
      <c r="H43" s="248">
        <f>G43*$E$21/1000</f>
        <v>0</v>
      </c>
      <c r="I43" s="56"/>
    </row>
    <row r="44" spans="1:11" s="1711" customFormat="1">
      <c r="A44" s="395"/>
      <c r="C44" s="569"/>
      <c r="D44" s="569"/>
      <c r="H44" s="56"/>
      <c r="I44" s="56"/>
    </row>
    <row r="45" spans="1:11" s="1711" customFormat="1">
      <c r="A45" s="395"/>
      <c r="C45" s="569"/>
      <c r="D45" s="569"/>
      <c r="H45" s="56"/>
      <c r="I45" s="56"/>
    </row>
    <row r="46" spans="1:11">
      <c r="H46" s="56"/>
      <c r="I46" s="56"/>
    </row>
    <row r="48" spans="1:11">
      <c r="B48" s="162"/>
      <c r="C48" s="3292" t="s">
        <v>1025</v>
      </c>
      <c r="D48" s="3277"/>
      <c r="E48" s="103" t="s">
        <v>1061</v>
      </c>
      <c r="F48" s="165"/>
      <c r="G48" s="100" t="s">
        <v>1034</v>
      </c>
      <c r="H48" s="100" t="s">
        <v>1061</v>
      </c>
    </row>
    <row r="49" spans="1:11" ht="15.75">
      <c r="B49" s="163" t="s">
        <v>968</v>
      </c>
      <c r="C49" s="3293">
        <v>0</v>
      </c>
      <c r="D49" s="105"/>
      <c r="E49" s="106" t="s">
        <v>223</v>
      </c>
      <c r="F49" s="166"/>
      <c r="G49" s="94">
        <v>0</v>
      </c>
      <c r="H49" s="114">
        <v>0</v>
      </c>
    </row>
    <row r="50" spans="1:11" ht="15.75">
      <c r="B50" s="1462"/>
      <c r="C50" s="3293"/>
      <c r="D50" s="105"/>
      <c r="E50" s="106"/>
      <c r="F50" s="166"/>
      <c r="G50" s="94">
        <v>1</v>
      </c>
      <c r="H50" s="114">
        <v>10000</v>
      </c>
    </row>
    <row r="51" spans="1:11" ht="15.75">
      <c r="B51" s="59"/>
      <c r="C51" s="3293">
        <v>1</v>
      </c>
      <c r="D51" s="99" t="s">
        <v>1013</v>
      </c>
      <c r="E51" s="99">
        <v>1000</v>
      </c>
      <c r="F51" s="166"/>
      <c r="G51" s="94">
        <v>500000</v>
      </c>
      <c r="H51" s="114">
        <v>10000</v>
      </c>
    </row>
    <row r="52" spans="1:11" ht="15.75">
      <c r="B52" s="59"/>
      <c r="C52" s="3294">
        <v>750000</v>
      </c>
      <c r="D52" s="99" t="s">
        <v>1014</v>
      </c>
      <c r="E52" s="99">
        <v>2500</v>
      </c>
      <c r="F52" s="166"/>
      <c r="G52" s="97">
        <v>2500000</v>
      </c>
      <c r="H52" s="114">
        <v>25000</v>
      </c>
    </row>
    <row r="53" spans="1:11" ht="15.75">
      <c r="B53" s="164"/>
      <c r="C53" s="3294">
        <v>5000001</v>
      </c>
      <c r="D53" s="99"/>
      <c r="E53" s="99" t="s">
        <v>1129</v>
      </c>
      <c r="F53" s="167"/>
      <c r="G53" s="97">
        <f>C53</f>
        <v>5000001</v>
      </c>
      <c r="H53" s="99" t="str">
        <f>E53</f>
        <v>Refus</v>
      </c>
    </row>
    <row r="55" spans="1:11" ht="15.75">
      <c r="A55" s="1718"/>
      <c r="B55">
        <v>200000</v>
      </c>
      <c r="C55" s="3295"/>
      <c r="E55" s="255" t="s">
        <v>1132</v>
      </c>
      <c r="F55" s="255"/>
      <c r="H55" s="253"/>
    </row>
    <row r="56" spans="1:11">
      <c r="B56" s="162"/>
      <c r="C56" s="3539" t="s">
        <v>1009</v>
      </c>
      <c r="D56" s="3539"/>
      <c r="E56" s="256"/>
      <c r="F56" s="257"/>
      <c r="G56" s="254"/>
    </row>
    <row r="57" spans="1:11" ht="15" customHeight="1">
      <c r="B57" s="163" t="s">
        <v>968</v>
      </c>
      <c r="C57" s="3540" t="s">
        <v>1033</v>
      </c>
      <c r="D57" s="3541"/>
      <c r="E57" s="3542" t="s">
        <v>1034</v>
      </c>
      <c r="F57" s="3543"/>
      <c r="G57" s="253">
        <v>400000</v>
      </c>
      <c r="I57" s="55"/>
    </row>
    <row r="58" spans="1:11" ht="15.75">
      <c r="B58" t="s">
        <v>231</v>
      </c>
      <c r="C58" s="3296" t="s">
        <v>1010</v>
      </c>
      <c r="D58" s="3278" t="s">
        <v>222</v>
      </c>
      <c r="E58" s="1808" t="s">
        <v>1010</v>
      </c>
      <c r="F58" s="1809" t="s">
        <v>222</v>
      </c>
      <c r="G58" s="1812" t="s">
        <v>4003</v>
      </c>
      <c r="H58" s="1812" t="s">
        <v>4006</v>
      </c>
      <c r="I58" s="1814"/>
    </row>
    <row r="59" spans="1:11" ht="15.75">
      <c r="B59" s="21">
        <v>1000000</v>
      </c>
      <c r="C59" s="52">
        <v>2200</v>
      </c>
      <c r="D59" s="30"/>
      <c r="E59" s="1810">
        <v>5000</v>
      </c>
      <c r="F59" s="1811">
        <v>1</v>
      </c>
      <c r="G59" s="1813">
        <f>C59/$G$57*100</f>
        <v>0.54999999999999993</v>
      </c>
      <c r="H59" s="259">
        <f>$H$55*G59/100</f>
        <v>0</v>
      </c>
      <c r="I59" s="30"/>
      <c r="J59">
        <f>600000*G59/100*0.75</f>
        <v>2474.9999999999995</v>
      </c>
    </row>
    <row r="60" spans="1:11" ht="15.75">
      <c r="B60" s="22">
        <v>2000000</v>
      </c>
      <c r="C60" s="52">
        <v>2500</v>
      </c>
      <c r="D60" s="30"/>
      <c r="E60" s="1810">
        <v>6000</v>
      </c>
      <c r="F60" s="1811">
        <v>1.2</v>
      </c>
      <c r="G60" s="1813">
        <f>C60/$G$57*100</f>
        <v>0.625</v>
      </c>
      <c r="H60" s="259">
        <f>$H$55*G60/100</f>
        <v>0</v>
      </c>
      <c r="I60" s="30"/>
      <c r="J60" s="1711">
        <f>600000*G60/100</f>
        <v>3750</v>
      </c>
      <c r="K60" s="53"/>
    </row>
    <row r="61" spans="1:11" ht="15.75">
      <c r="B61" s="22">
        <v>3000000</v>
      </c>
      <c r="C61" s="52">
        <f>$C$59*D61</f>
        <v>2860</v>
      </c>
      <c r="D61" s="30">
        <v>1.3</v>
      </c>
      <c r="E61" s="1810">
        <v>6500</v>
      </c>
      <c r="F61" s="1811">
        <v>1.3</v>
      </c>
      <c r="G61" s="1813">
        <f>C61/$G$57*100</f>
        <v>0.71499999999999997</v>
      </c>
      <c r="H61" s="259">
        <f>$H$55*G61/100</f>
        <v>0</v>
      </c>
      <c r="I61" s="30"/>
      <c r="J61" s="53"/>
    </row>
    <row r="62" spans="1:11" ht="15.75">
      <c r="B62" s="22">
        <v>4000000</v>
      </c>
      <c r="C62" s="52">
        <f>$C$59*D62</f>
        <v>3080</v>
      </c>
      <c r="D62" s="30">
        <v>1.4</v>
      </c>
      <c r="E62" s="1810">
        <v>7000</v>
      </c>
      <c r="F62" s="1811">
        <v>1.4</v>
      </c>
      <c r="G62" s="1813">
        <f>C62/$G$57*100</f>
        <v>0.77</v>
      </c>
      <c r="H62" s="259">
        <f>$H$55*G62/100</f>
        <v>0</v>
      </c>
      <c r="I62" s="30"/>
      <c r="J62" s="53"/>
    </row>
    <row r="63" spans="1:11" ht="15.75">
      <c r="B63" s="22">
        <v>5000000</v>
      </c>
      <c r="C63" s="52">
        <f>$C$59*D63</f>
        <v>3300</v>
      </c>
      <c r="D63" s="30">
        <v>1.5</v>
      </c>
      <c r="E63" s="1810">
        <v>7500</v>
      </c>
      <c r="F63" s="1811">
        <v>1.5</v>
      </c>
      <c r="G63" s="1813">
        <f>C63/$G$57*100</f>
        <v>0.82500000000000007</v>
      </c>
      <c r="H63" s="259">
        <f>$H$55*G63/100</f>
        <v>0</v>
      </c>
      <c r="I63" s="30"/>
      <c r="J63" s="53"/>
    </row>
    <row r="65" spans="1:9">
      <c r="C65" s="3297"/>
    </row>
    <row r="68" spans="1:9">
      <c r="B68" s="168" t="s">
        <v>1089</v>
      </c>
      <c r="C68" s="3269" t="s">
        <v>1081</v>
      </c>
      <c r="D68" s="3538" t="s">
        <v>1082</v>
      </c>
      <c r="E68" s="3538"/>
      <c r="F68" s="3538"/>
      <c r="G68" s="3538"/>
      <c r="H68" s="3538"/>
    </row>
    <row r="69" spans="1:9" s="3270" customFormat="1" ht="15.75">
      <c r="B69" s="3271"/>
      <c r="C69" s="3272">
        <v>25000</v>
      </c>
      <c r="D69" s="3272">
        <v>50000</v>
      </c>
      <c r="E69" s="3272">
        <v>100000</v>
      </c>
      <c r="F69" s="3272">
        <v>250000</v>
      </c>
      <c r="G69" s="3273">
        <v>500000</v>
      </c>
      <c r="H69" s="3273">
        <v>1000000</v>
      </c>
      <c r="I69" s="3274" t="s">
        <v>1083</v>
      </c>
    </row>
    <row r="70" spans="1:9" ht="15.75">
      <c r="A70" s="1719">
        <v>0</v>
      </c>
      <c r="B70" s="169" t="s">
        <v>1084</v>
      </c>
      <c r="C70" s="3269">
        <v>220</v>
      </c>
      <c r="D70" s="3269">
        <v>275</v>
      </c>
      <c r="E70" s="170">
        <v>300</v>
      </c>
      <c r="F70" s="170">
        <v>340</v>
      </c>
      <c r="G70" s="171">
        <v>520</v>
      </c>
      <c r="H70" s="171">
        <v>900</v>
      </c>
      <c r="I70" s="170">
        <v>1000</v>
      </c>
    </row>
    <row r="71" spans="1:9" ht="15.75">
      <c r="A71" s="1719">
        <v>100000</v>
      </c>
      <c r="B71" s="169" t="s">
        <v>1085</v>
      </c>
      <c r="C71" s="3269">
        <v>230</v>
      </c>
      <c r="D71" s="3269">
        <v>280</v>
      </c>
      <c r="E71" s="170">
        <v>320</v>
      </c>
      <c r="F71" s="170">
        <v>360</v>
      </c>
      <c r="G71" s="171">
        <v>530</v>
      </c>
      <c r="H71" s="171">
        <v>910</v>
      </c>
      <c r="I71" s="170">
        <v>1000</v>
      </c>
    </row>
    <row r="72" spans="1:9" ht="15.75">
      <c r="A72" s="1719">
        <v>250000</v>
      </c>
      <c r="B72" s="169" t="s">
        <v>1086</v>
      </c>
      <c r="C72" s="3269">
        <v>240</v>
      </c>
      <c r="D72" s="3269">
        <v>290</v>
      </c>
      <c r="E72" s="170">
        <v>340</v>
      </c>
      <c r="F72" s="170">
        <v>390</v>
      </c>
      <c r="G72" s="171">
        <v>540</v>
      </c>
      <c r="H72" s="171">
        <v>930</v>
      </c>
      <c r="I72" s="170">
        <v>1000</v>
      </c>
    </row>
    <row r="73" spans="1:9" ht="15.75">
      <c r="A73" s="1719">
        <v>500000</v>
      </c>
      <c r="B73" s="169" t="s">
        <v>1087</v>
      </c>
      <c r="C73" s="3269">
        <v>250</v>
      </c>
      <c r="D73" s="3269">
        <v>300</v>
      </c>
      <c r="E73" s="173">
        <v>350</v>
      </c>
      <c r="F73" s="170">
        <v>425</v>
      </c>
      <c r="G73" s="171">
        <v>550</v>
      </c>
      <c r="H73" s="171">
        <v>950</v>
      </c>
      <c r="I73" s="173">
        <v>2500</v>
      </c>
    </row>
    <row r="74" spans="1:9" ht="15.75">
      <c r="A74" s="1719">
        <v>1000000</v>
      </c>
      <c r="B74" s="172" t="s">
        <v>4503</v>
      </c>
      <c r="C74" s="173">
        <v>255</v>
      </c>
      <c r="D74" s="173">
        <v>300</v>
      </c>
      <c r="E74" s="3269">
        <v>370</v>
      </c>
      <c r="F74" s="173">
        <v>475</v>
      </c>
      <c r="G74" s="174">
        <v>700</v>
      </c>
      <c r="H74" s="174">
        <v>1100</v>
      </c>
      <c r="I74" s="173">
        <v>2500</v>
      </c>
    </row>
    <row r="75" spans="1:9" s="1711" customFormat="1" ht="15.75">
      <c r="A75" s="1719">
        <v>2500000</v>
      </c>
      <c r="B75" s="169" t="s">
        <v>4504</v>
      </c>
      <c r="C75" s="3269">
        <v>260</v>
      </c>
      <c r="D75" s="3269">
        <v>350</v>
      </c>
      <c r="E75" s="3269">
        <v>400</v>
      </c>
      <c r="F75" s="3269">
        <v>550</v>
      </c>
      <c r="G75" s="171">
        <v>800</v>
      </c>
      <c r="H75" s="171">
        <v>1250</v>
      </c>
      <c r="I75" s="173">
        <v>2500</v>
      </c>
    </row>
    <row r="76" spans="1:9" ht="15.75">
      <c r="A76" s="1719">
        <v>5000000</v>
      </c>
      <c r="B76" s="169" t="s">
        <v>4505</v>
      </c>
      <c r="C76" s="3269">
        <v>275</v>
      </c>
      <c r="D76" s="3269">
        <v>350</v>
      </c>
      <c r="E76" s="3269">
        <v>450</v>
      </c>
      <c r="F76" s="170">
        <v>625</v>
      </c>
      <c r="G76" s="171">
        <v>900</v>
      </c>
      <c r="H76" s="171">
        <v>1400</v>
      </c>
      <c r="I76" s="173">
        <v>2500</v>
      </c>
    </row>
    <row r="77" spans="1:9" ht="15.75">
      <c r="A77" s="1719">
        <v>7500000</v>
      </c>
      <c r="B77" s="169" t="s">
        <v>4506</v>
      </c>
      <c r="C77" s="3269">
        <v>300</v>
      </c>
      <c r="D77" s="3269">
        <v>400</v>
      </c>
      <c r="E77" s="171">
        <v>500</v>
      </c>
      <c r="F77" s="170">
        <v>700</v>
      </c>
      <c r="G77" s="171">
        <v>1000</v>
      </c>
      <c r="H77" s="171">
        <v>1550</v>
      </c>
      <c r="I77" s="173">
        <v>2500</v>
      </c>
    </row>
    <row r="78" spans="1:9" ht="15.75">
      <c r="A78" s="1719">
        <v>10000000</v>
      </c>
      <c r="B78" s="169" t="s">
        <v>4507</v>
      </c>
      <c r="C78" s="171" t="s">
        <v>256</v>
      </c>
      <c r="D78" s="171" t="s">
        <v>256</v>
      </c>
      <c r="E78" s="171">
        <v>550</v>
      </c>
      <c r="F78" s="171">
        <v>775</v>
      </c>
      <c r="G78" s="171">
        <v>1100</v>
      </c>
      <c r="H78" s="171">
        <v>1700</v>
      </c>
      <c r="I78" s="173">
        <v>2500</v>
      </c>
    </row>
    <row r="79" spans="1:9" s="1711" customFormat="1" ht="15.75">
      <c r="A79" s="1719">
        <v>12500000</v>
      </c>
      <c r="B79" s="169" t="s">
        <v>4508</v>
      </c>
      <c r="C79" s="171" t="s">
        <v>256</v>
      </c>
      <c r="D79" s="171" t="s">
        <v>256</v>
      </c>
      <c r="E79" s="171" t="s">
        <v>256</v>
      </c>
      <c r="F79" s="171">
        <v>850</v>
      </c>
      <c r="G79" s="171">
        <v>1200</v>
      </c>
      <c r="H79" s="171">
        <v>1850</v>
      </c>
      <c r="I79" s="173">
        <v>5000</v>
      </c>
    </row>
    <row r="80" spans="1:9" s="1711" customFormat="1" ht="15.75">
      <c r="A80" s="1719">
        <v>15000000</v>
      </c>
      <c r="B80" s="169" t="s">
        <v>4510</v>
      </c>
      <c r="C80" s="171" t="s">
        <v>256</v>
      </c>
      <c r="D80" s="171" t="s">
        <v>256</v>
      </c>
      <c r="E80" s="171" t="s">
        <v>256</v>
      </c>
      <c r="F80" s="171" t="s">
        <v>256</v>
      </c>
      <c r="G80" s="171">
        <v>1300</v>
      </c>
      <c r="H80" s="171">
        <v>2000</v>
      </c>
      <c r="I80" s="173">
        <v>5000</v>
      </c>
    </row>
    <row r="81" spans="1:13" ht="15.75">
      <c r="A81" s="1719">
        <v>20000000</v>
      </c>
      <c r="B81" s="169" t="s">
        <v>4509</v>
      </c>
      <c r="C81" s="171" t="s">
        <v>256</v>
      </c>
      <c r="D81" s="171" t="s">
        <v>256</v>
      </c>
      <c r="E81" s="171" t="s">
        <v>256</v>
      </c>
      <c r="F81" s="171" t="s">
        <v>256</v>
      </c>
      <c r="G81" s="171" t="s">
        <v>256</v>
      </c>
      <c r="H81" s="171" t="s">
        <v>256</v>
      </c>
      <c r="I81" s="170" t="s">
        <v>256</v>
      </c>
    </row>
    <row r="82" spans="1:13" ht="15.75">
      <c r="A82" s="1719"/>
    </row>
    <row r="84" spans="1:13" ht="15.75">
      <c r="B84" s="22"/>
    </row>
    <row r="85" spans="1:13" ht="15.75">
      <c r="B85" s="22"/>
    </row>
    <row r="86" spans="1:13" ht="15.75">
      <c r="B86" s="22"/>
    </row>
    <row r="87" spans="1:13" ht="15.75">
      <c r="B87" s="22"/>
    </row>
    <row r="88" spans="1:13" ht="15.75">
      <c r="B88" s="22"/>
    </row>
    <row r="90" spans="1:13" ht="15.75">
      <c r="A90" s="1720"/>
      <c r="B90" s="230" t="s">
        <v>1114</v>
      </c>
      <c r="C90" s="3292"/>
      <c r="D90" s="3279"/>
      <c r="E90" s="165"/>
      <c r="F90" s="165"/>
      <c r="G90" s="165"/>
      <c r="H90" s="165"/>
      <c r="I90" s="165"/>
      <c r="J90" s="165"/>
      <c r="K90" s="93"/>
    </row>
    <row r="91" spans="1:13" ht="15.75">
      <c r="A91" s="1721" t="s">
        <v>1115</v>
      </c>
      <c r="B91" s="235" t="e">
        <f>Property!#REF!</f>
        <v>#REF!</v>
      </c>
      <c r="C91" s="3298" t="e">
        <f>Property!#REF!</f>
        <v>#REF!</v>
      </c>
      <c r="D91" s="3280" t="e">
        <f>Property!#REF!</f>
        <v>#REF!</v>
      </c>
      <c r="E91" s="166"/>
      <c r="F91" s="166"/>
      <c r="G91" s="166"/>
      <c r="H91" s="166"/>
      <c r="I91" s="166"/>
      <c r="J91" s="166"/>
      <c r="K91" s="96"/>
    </row>
    <row r="92" spans="1:13" ht="15.75">
      <c r="A92" s="1722"/>
      <c r="B92" s="231"/>
      <c r="C92" s="3299"/>
      <c r="D92" s="3281" t="s">
        <v>1015</v>
      </c>
      <c r="E92" s="166"/>
      <c r="F92" s="102" t="s">
        <v>1118</v>
      </c>
      <c r="G92" s="234" t="s">
        <v>1116</v>
      </c>
      <c r="H92" s="234"/>
      <c r="I92" s="103"/>
      <c r="J92" s="103" t="s">
        <v>1108</v>
      </c>
      <c r="K92" s="103" t="s">
        <v>1119</v>
      </c>
    </row>
    <row r="93" spans="1:13" ht="16.5">
      <c r="A93" s="1723">
        <v>1</v>
      </c>
      <c r="B93" s="233">
        <v>1000000</v>
      </c>
      <c r="C93" s="3300" t="s">
        <v>1110</v>
      </c>
      <c r="D93" s="3282">
        <v>1000000</v>
      </c>
      <c r="E93" s="166"/>
      <c r="F93" s="100" t="e">
        <f>RANK(H93,$H$93:$H$95,1)</f>
        <v>#REF!</v>
      </c>
      <c r="G93" s="100"/>
      <c r="H93" s="243" t="e">
        <f>B91</f>
        <v>#REF!</v>
      </c>
      <c r="I93" s="100" t="e">
        <f>C91</f>
        <v>#REF!</v>
      </c>
      <c r="J93" s="245" t="e">
        <f>D91</f>
        <v>#REF!</v>
      </c>
      <c r="K93" s="245">
        <f>E91</f>
        <v>0</v>
      </c>
    </row>
    <row r="94" spans="1:13" ht="16.5">
      <c r="A94" s="1724">
        <v>2</v>
      </c>
      <c r="B94" s="231">
        <v>2000000</v>
      </c>
      <c r="C94" s="3301" t="s">
        <v>1109</v>
      </c>
      <c r="D94" s="3283">
        <v>2000000</v>
      </c>
      <c r="E94" s="166"/>
      <c r="F94" s="100" t="e">
        <f>RANK(H94,$H$93:$H$95,1)</f>
        <v>#REF!</v>
      </c>
      <c r="G94" s="244" t="s">
        <v>1117</v>
      </c>
      <c r="H94" s="243" t="e">
        <f>IF(B91=5000000,1000000,IF(B91=1000000,5000000,$B$91+$B$93))</f>
        <v>#REF!</v>
      </c>
      <c r="I94" s="100" t="e">
        <f>VLOOKUP(H94,$B$93:$C$97,2,FALSE)</f>
        <v>#REF!</v>
      </c>
      <c r="J94" s="100">
        <v>0</v>
      </c>
      <c r="K94" s="245" t="e">
        <f>INDEX(Property!#REF!,5,MATCH(Settings!H94,Property!#REF!,0))</f>
        <v>#REF!</v>
      </c>
    </row>
    <row r="95" spans="1:13" ht="18">
      <c r="A95" s="1724">
        <v>3</v>
      </c>
      <c r="B95" s="231">
        <v>3000000</v>
      </c>
      <c r="C95" s="3301" t="s">
        <v>1112</v>
      </c>
      <c r="D95" s="3283">
        <v>3000000</v>
      </c>
      <c r="E95" s="166"/>
      <c r="F95" s="100" t="e">
        <f>RANK(H95,$H$93:$H$95,1)</f>
        <v>#REF!</v>
      </c>
      <c r="G95" s="2216" t="s">
        <v>1032</v>
      </c>
      <c r="H95" s="243" t="e">
        <f>IF(OR(B91=1000000,OR(B91=5000000)),3000000,$B$91-$B$93)</f>
        <v>#REF!</v>
      </c>
      <c r="I95" s="100" t="e">
        <f>VLOOKUP(H95,$B$93:$C$97,2,FALSE)</f>
        <v>#REF!</v>
      </c>
      <c r="J95" s="100">
        <v>0</v>
      </c>
      <c r="K95" s="245" t="e">
        <f>INDEX(Property!#REF!,5,MATCH(Settings!H95,Property!#REF!,0))</f>
        <v>#REF!</v>
      </c>
    </row>
    <row r="96" spans="1:13" ht="16.5">
      <c r="A96" s="1724">
        <v>4</v>
      </c>
      <c r="B96" s="231">
        <v>4000000</v>
      </c>
      <c r="C96" s="3301" t="s">
        <v>1113</v>
      </c>
      <c r="D96" s="3283">
        <v>4000000</v>
      </c>
      <c r="E96" s="166"/>
      <c r="F96" s="166"/>
      <c r="G96" s="166"/>
      <c r="H96" s="166"/>
      <c r="I96" s="166"/>
      <c r="J96" s="166"/>
      <c r="K96" s="96"/>
      <c r="M96" s="1711"/>
    </row>
    <row r="97" spans="1:16" ht="16.5">
      <c r="A97" s="1725">
        <v>5</v>
      </c>
      <c r="B97" s="232">
        <v>5000000</v>
      </c>
      <c r="C97" s="3302" t="s">
        <v>1111</v>
      </c>
      <c r="D97" s="3284">
        <v>5000000</v>
      </c>
      <c r="E97" s="167"/>
      <c r="F97" s="167"/>
      <c r="G97" s="167"/>
      <c r="H97" s="167"/>
      <c r="I97" s="167"/>
      <c r="J97" s="167"/>
      <c r="K97" s="98"/>
      <c r="M97" s="1711"/>
    </row>
    <row r="102" spans="1:16" ht="16.5">
      <c r="B102" s="1711"/>
      <c r="E102" s="1711"/>
      <c r="F102" s="3537"/>
      <c r="G102" s="3537"/>
      <c r="H102" s="340"/>
      <c r="I102" s="3537"/>
      <c r="J102" s="184"/>
      <c r="K102" s="166"/>
      <c r="L102" s="166"/>
      <c r="M102" s="166"/>
    </row>
    <row r="103" spans="1:16" ht="16.5">
      <c r="B103" s="1711"/>
      <c r="E103" s="1711"/>
      <c r="F103" s="3537"/>
      <c r="G103" s="3537"/>
      <c r="H103" s="340"/>
      <c r="I103" s="3537"/>
      <c r="J103" s="184"/>
      <c r="K103" s="166"/>
      <c r="L103" s="166"/>
      <c r="M103" s="166"/>
    </row>
    <row r="104" spans="1:16" ht="16.5">
      <c r="C104" s="3537"/>
      <c r="D104" s="3537"/>
      <c r="E104" s="3537"/>
      <c r="F104" s="3537"/>
      <c r="G104" s="3537"/>
      <c r="H104" s="340"/>
      <c r="I104" s="3537"/>
      <c r="J104" s="1796"/>
      <c r="K104" s="166"/>
      <c r="L104" s="166"/>
      <c r="M104" s="166"/>
      <c r="N104" t="s">
        <v>1015</v>
      </c>
      <c r="O104" s="426" t="str">
        <f>C108</f>
        <v>Limite</v>
      </c>
    </row>
    <row r="105" spans="1:16" ht="20.25">
      <c r="C105" s="3537"/>
      <c r="D105" s="3537"/>
      <c r="E105" s="3537"/>
      <c r="F105" s="5"/>
      <c r="G105" s="5"/>
      <c r="H105" s="5"/>
      <c r="I105" s="5"/>
      <c r="J105" s="1797"/>
      <c r="K105" s="166"/>
      <c r="L105" s="166"/>
      <c r="M105" s="166"/>
      <c r="N105" s="1794">
        <v>0</v>
      </c>
      <c r="O105" s="165">
        <v>1</v>
      </c>
      <c r="P105" s="433" t="s">
        <v>1</v>
      </c>
    </row>
    <row r="106" spans="1:16" ht="20.25">
      <c r="C106" s="3537"/>
      <c r="D106" s="3537"/>
      <c r="E106" s="3537"/>
      <c r="F106" s="432"/>
      <c r="G106" s="432"/>
      <c r="H106" s="432"/>
      <c r="I106" s="432"/>
      <c r="J106" s="184"/>
      <c r="K106" s="166"/>
      <c r="L106" s="5"/>
      <c r="M106" s="166"/>
      <c r="N106" s="1795">
        <v>10000</v>
      </c>
      <c r="O106" s="166">
        <v>1</v>
      </c>
      <c r="P106" s="434" t="s">
        <v>1</v>
      </c>
    </row>
    <row r="107" spans="1:16" ht="20.25">
      <c r="C107" s="5" t="s">
        <v>1</v>
      </c>
      <c r="D107" s="5" t="s">
        <v>3993</v>
      </c>
      <c r="E107" s="5" t="s">
        <v>3992</v>
      </c>
      <c r="G107" s="5" t="s">
        <v>1</v>
      </c>
      <c r="H107" s="5" t="s">
        <v>3993</v>
      </c>
      <c r="I107" s="5" t="s">
        <v>3992</v>
      </c>
      <c r="J107" s="184"/>
      <c r="K107" s="1805" t="s">
        <v>3991</v>
      </c>
      <c r="L107" s="5"/>
      <c r="M107" s="166"/>
      <c r="N107" s="1795">
        <v>20000</v>
      </c>
      <c r="O107" s="166">
        <v>2</v>
      </c>
      <c r="P107" s="435" t="s">
        <v>2</v>
      </c>
    </row>
    <row r="108" spans="1:16" ht="17.25">
      <c r="C108" s="424" t="s">
        <v>1015</v>
      </c>
      <c r="D108" s="424" t="s">
        <v>1015</v>
      </c>
      <c r="E108" s="424" t="s">
        <v>1015</v>
      </c>
      <c r="F108" s="1711"/>
      <c r="G108" s="424" t="s">
        <v>3979</v>
      </c>
      <c r="H108" s="424" t="s">
        <v>3979</v>
      </c>
      <c r="I108" s="424" t="s">
        <v>3979</v>
      </c>
      <c r="J108" s="473"/>
      <c r="K108" s="1798" t="s">
        <v>3989</v>
      </c>
      <c r="L108" s="1799" t="s">
        <v>3990</v>
      </c>
      <c r="M108" s="166"/>
      <c r="N108" s="1795">
        <v>50000</v>
      </c>
      <c r="O108" s="166">
        <v>3</v>
      </c>
      <c r="P108" s="435" t="s">
        <v>1273</v>
      </c>
    </row>
    <row r="109" spans="1:16" ht="17.25">
      <c r="A109" s="1486" t="s">
        <v>18</v>
      </c>
      <c r="B109" s="1487" t="s">
        <v>31</v>
      </c>
      <c r="C109" s="1761">
        <v>10000</v>
      </c>
      <c r="D109" s="1761">
        <v>25000</v>
      </c>
      <c r="E109" s="1761">
        <v>50000</v>
      </c>
      <c r="F109" s="1711"/>
      <c r="G109" s="1762"/>
      <c r="H109" s="1762">
        <f>25*1.2</f>
        <v>30</v>
      </c>
      <c r="I109" s="1762">
        <f>25*1.2</f>
        <v>30</v>
      </c>
      <c r="J109" s="166"/>
      <c r="K109" s="1800">
        <v>0</v>
      </c>
      <c r="L109" s="1801">
        <v>100</v>
      </c>
      <c r="M109" s="166"/>
    </row>
    <row r="110" spans="1:16" ht="17.25">
      <c r="A110" s="1486" t="s">
        <v>19</v>
      </c>
      <c r="B110" s="1487" t="s">
        <v>1092</v>
      </c>
      <c r="C110" s="1761">
        <v>10000</v>
      </c>
      <c r="D110" s="1761">
        <v>50000</v>
      </c>
      <c r="E110" s="1761">
        <v>100000</v>
      </c>
      <c r="F110" s="1711"/>
      <c r="G110" s="1762">
        <v>0</v>
      </c>
      <c r="H110" s="1762">
        <f>75*1.2</f>
        <v>90</v>
      </c>
      <c r="I110" s="1762">
        <f>75*1.2</f>
        <v>90</v>
      </c>
      <c r="J110" s="166"/>
      <c r="K110" s="1800">
        <v>1000001</v>
      </c>
      <c r="L110" s="1801">
        <v>150</v>
      </c>
      <c r="M110" s="166"/>
    </row>
    <row r="111" spans="1:16" ht="17.25">
      <c r="A111" s="1486" t="s">
        <v>20</v>
      </c>
      <c r="B111" s="1487" t="s">
        <v>0</v>
      </c>
      <c r="C111" s="1761">
        <v>50000</v>
      </c>
      <c r="D111" s="1761">
        <v>250000</v>
      </c>
      <c r="E111" s="1761">
        <v>250000</v>
      </c>
      <c r="F111" s="1711"/>
      <c r="G111" s="1762">
        <v>0</v>
      </c>
      <c r="H111" s="1762"/>
      <c r="I111" s="1762"/>
      <c r="J111" s="166"/>
      <c r="K111" s="1802">
        <v>2000001</v>
      </c>
      <c r="L111" s="1801">
        <v>200</v>
      </c>
      <c r="M111" s="166"/>
    </row>
    <row r="112" spans="1:16" ht="17.25">
      <c r="A112" s="1486" t="s">
        <v>21</v>
      </c>
      <c r="B112" s="1487" t="s">
        <v>32</v>
      </c>
      <c r="C112" s="1761">
        <v>250000</v>
      </c>
      <c r="D112" s="1761">
        <v>500000</v>
      </c>
      <c r="E112" s="1761">
        <v>1000000</v>
      </c>
      <c r="F112" s="1711"/>
      <c r="G112" s="1762">
        <v>0</v>
      </c>
      <c r="H112" s="1762"/>
      <c r="I112" s="1762">
        <f>25*1.2</f>
        <v>30</v>
      </c>
      <c r="J112" s="166"/>
      <c r="K112" s="1802">
        <v>3000001</v>
      </c>
      <c r="L112" s="1801">
        <v>250</v>
      </c>
      <c r="M112" s="166"/>
    </row>
    <row r="113" spans="1:13" s="1711" customFormat="1" ht="17.25">
      <c r="A113" s="1486" t="s">
        <v>22</v>
      </c>
      <c r="B113" s="1487" t="s">
        <v>33</v>
      </c>
      <c r="C113" s="1761">
        <v>10000</v>
      </c>
      <c r="D113" s="1761">
        <v>25000</v>
      </c>
      <c r="E113" s="1761">
        <v>50000</v>
      </c>
      <c r="G113" s="1762">
        <v>0</v>
      </c>
      <c r="H113" s="1762">
        <f>25*1.2</f>
        <v>30</v>
      </c>
      <c r="I113" s="1762">
        <f>25*1.2</f>
        <v>30</v>
      </c>
      <c r="J113" s="166"/>
      <c r="K113" s="1803">
        <v>4000001</v>
      </c>
      <c r="L113" s="1804">
        <v>300</v>
      </c>
      <c r="M113" s="166"/>
    </row>
    <row r="114" spans="1:13" ht="17.25">
      <c r="A114" s="1486" t="s">
        <v>23</v>
      </c>
      <c r="B114" s="1487" t="s">
        <v>34</v>
      </c>
      <c r="C114" s="1761" t="s">
        <v>3978</v>
      </c>
      <c r="D114" s="1761" t="s">
        <v>3978</v>
      </c>
      <c r="E114" s="1761">
        <v>250000</v>
      </c>
      <c r="F114" s="1711"/>
      <c r="G114" s="1762">
        <v>0</v>
      </c>
      <c r="H114" s="1762"/>
      <c r="I114" s="1762">
        <f>25*1.2</f>
        <v>30</v>
      </c>
      <c r="J114" s="166"/>
      <c r="K114" s="1803">
        <v>5000001</v>
      </c>
      <c r="L114" s="1804" t="s">
        <v>3333</v>
      </c>
      <c r="M114" s="166"/>
    </row>
    <row r="115" spans="1:13" s="1711" customFormat="1" ht="17.25">
      <c r="A115" s="1486" t="s">
        <v>4529</v>
      </c>
      <c r="B115" s="1487" t="str">
        <f>IF('Input '!$E$1="EN","Contractor's tools and equipment","Outils et équipements Entrepreneur")</f>
        <v>Contractor's tools and equipment</v>
      </c>
      <c r="C115" s="1761" t="s">
        <v>3978</v>
      </c>
      <c r="D115" s="1761">
        <v>20000</v>
      </c>
      <c r="E115" s="1761">
        <v>50000</v>
      </c>
      <c r="G115" s="1762">
        <v>0</v>
      </c>
      <c r="H115" s="1762">
        <v>85</v>
      </c>
      <c r="I115" s="1762">
        <v>175</v>
      </c>
      <c r="J115" s="166"/>
      <c r="K115" s="166"/>
      <c r="L115" s="166"/>
      <c r="M115" s="166"/>
    </row>
    <row r="116" spans="1:13" s="1711" customFormat="1" ht="17.25">
      <c r="A116" s="1486" t="s">
        <v>4529</v>
      </c>
      <c r="B116" s="1487" t="str">
        <f>IF('Input '!$E$1="EN","Rented Contractor's tools and equipment","Outils et équipements Entrepreneur loués")</f>
        <v>Rented Contractor's tools and equipment</v>
      </c>
      <c r="C116" s="1761" t="s">
        <v>3978</v>
      </c>
      <c r="D116" s="1761">
        <v>10000</v>
      </c>
      <c r="E116" s="1761">
        <v>20000</v>
      </c>
      <c r="G116" s="1762"/>
      <c r="H116" s="1762">
        <v>20</v>
      </c>
      <c r="I116" s="1762">
        <v>20</v>
      </c>
      <c r="J116" s="166"/>
      <c r="K116" s="166"/>
      <c r="L116" s="166"/>
      <c r="M116" s="166"/>
    </row>
    <row r="117" spans="1:13" ht="17.25">
      <c r="A117" s="1486" t="s">
        <v>16</v>
      </c>
      <c r="B117" s="1487" t="s">
        <v>30</v>
      </c>
      <c r="C117" s="1761">
        <v>10000</v>
      </c>
      <c r="D117" s="1761">
        <v>25000</v>
      </c>
      <c r="E117" s="1761">
        <v>50000</v>
      </c>
      <c r="F117" s="1711"/>
      <c r="G117" s="1762">
        <v>0</v>
      </c>
      <c r="H117" s="1762">
        <f>VLOOKUP('Input '!G39,Settings!$K$109:$L$114,2,TRUE)*1.2</f>
        <v>120</v>
      </c>
      <c r="I117" s="1762">
        <f>VLOOKUP('Input '!G39,Settings!$K$109:$L$114,2,TRUE)*1.2</f>
        <v>120</v>
      </c>
      <c r="J117" s="473"/>
      <c r="K117" s="166"/>
      <c r="L117" s="166"/>
      <c r="M117" s="166"/>
    </row>
    <row r="118" spans="1:13" ht="17.25">
      <c r="B118" s="461" t="s">
        <v>4388</v>
      </c>
      <c r="C118" s="1761">
        <v>250000</v>
      </c>
      <c r="D118" s="3057">
        <v>500000</v>
      </c>
      <c r="E118" s="3057">
        <v>500000</v>
      </c>
      <c r="F118" s="1711"/>
      <c r="H118" s="1711"/>
      <c r="I118" s="1711"/>
    </row>
    <row r="119" spans="1:13" ht="18">
      <c r="A119" s="225"/>
      <c r="B119" s="225" t="s">
        <v>3977</v>
      </c>
      <c r="C119" s="225">
        <v>0</v>
      </c>
      <c r="D119" s="225">
        <v>275</v>
      </c>
      <c r="E119" s="225">
        <v>400</v>
      </c>
      <c r="F119" s="1711"/>
      <c r="G119" s="225">
        <f>SUM(G109:G118)</f>
        <v>0</v>
      </c>
      <c r="H119" s="225">
        <f>SUM(H109:H117)</f>
        <v>375</v>
      </c>
      <c r="I119" s="225">
        <f>SUM(I109:I117)</f>
        <v>525</v>
      </c>
    </row>
    <row r="120" spans="1:13" s="166" customFormat="1" ht="17.25">
      <c r="A120" s="1760"/>
      <c r="B120" s="461"/>
      <c r="C120" s="3281"/>
      <c r="D120" s="3281"/>
      <c r="H120" s="166">
        <f>275*1.2</f>
        <v>330</v>
      </c>
      <c r="I120" s="1763">
        <f>400*1.2</f>
        <v>480</v>
      </c>
    </row>
    <row r="122" spans="1:13" s="393" customFormat="1">
      <c r="A122" s="1726" t="s">
        <v>1232</v>
      </c>
      <c r="C122" s="3285"/>
      <c r="D122" s="3285"/>
    </row>
    <row r="124" spans="1:13" ht="15.75">
      <c r="A124" s="1720" t="s">
        <v>1229</v>
      </c>
      <c r="B124" s="1714" t="s">
        <v>3444</v>
      </c>
      <c r="C124" s="3303" t="s">
        <v>3689</v>
      </c>
    </row>
    <row r="125" spans="1:13" ht="15.75">
      <c r="A125" s="1722" t="s">
        <v>1250</v>
      </c>
      <c r="B125" s="1715" t="s">
        <v>1198</v>
      </c>
      <c r="C125" s="3304" t="s">
        <v>3705</v>
      </c>
    </row>
    <row r="126" spans="1:13" ht="15.75">
      <c r="A126" s="1722" t="s">
        <v>1251</v>
      </c>
      <c r="B126" s="1716" t="s">
        <v>1251</v>
      </c>
      <c r="C126" s="3304" t="s">
        <v>3706</v>
      </c>
    </row>
    <row r="127" spans="1:13" ht="15.75">
      <c r="A127" s="1727"/>
      <c r="B127" s="1717" t="s">
        <v>1250</v>
      </c>
      <c r="C127" s="3305" t="s">
        <v>3707</v>
      </c>
    </row>
    <row r="129" spans="1:2">
      <c r="A129" s="395" t="s">
        <v>1262</v>
      </c>
    </row>
    <row r="130" spans="1:2">
      <c r="A130" s="718" t="s">
        <v>1263</v>
      </c>
    </row>
    <row r="131" spans="1:2">
      <c r="A131" s="718" t="s">
        <v>1288</v>
      </c>
    </row>
    <row r="134" spans="1:2">
      <c r="A134" s="395" t="s">
        <v>3345</v>
      </c>
    </row>
    <row r="135" spans="1:2">
      <c r="A135" s="1728" t="s">
        <v>1155</v>
      </c>
      <c r="B135" s="93">
        <v>1</v>
      </c>
    </row>
    <row r="136" spans="1:2">
      <c r="A136" s="1729" t="s">
        <v>1194</v>
      </c>
      <c r="B136" s="96">
        <v>2</v>
      </c>
    </row>
    <row r="137" spans="1:2">
      <c r="A137" s="1729" t="s">
        <v>1195</v>
      </c>
      <c r="B137" s="96">
        <v>3</v>
      </c>
    </row>
    <row r="138" spans="1:2">
      <c r="A138" s="1730" t="s">
        <v>1161</v>
      </c>
      <c r="B138" s="96">
        <v>4</v>
      </c>
    </row>
    <row r="139" spans="1:2">
      <c r="A139" s="1731" t="s">
        <v>1162</v>
      </c>
      <c r="B139" s="96">
        <v>5</v>
      </c>
    </row>
    <row r="140" spans="1:2">
      <c r="A140" s="1732" t="s">
        <v>1150</v>
      </c>
      <c r="B140" s="98">
        <v>6</v>
      </c>
    </row>
    <row r="145" spans="1:14">
      <c r="A145" s="1720" t="s">
        <v>3373</v>
      </c>
      <c r="B145" s="165"/>
      <c r="C145" s="3286"/>
      <c r="D145" s="3286"/>
      <c r="E145" s="165"/>
      <c r="F145" s="93"/>
    </row>
    <row r="146" spans="1:14">
      <c r="A146" s="1722" t="s">
        <v>3358</v>
      </c>
      <c r="B146" s="166"/>
      <c r="C146" s="3281"/>
      <c r="D146" s="3281"/>
      <c r="E146" s="166"/>
      <c r="F146" s="96"/>
    </row>
    <row r="147" spans="1:14">
      <c r="A147" s="1733">
        <v>1000000</v>
      </c>
      <c r="B147" s="1046">
        <v>1</v>
      </c>
      <c r="C147" s="3306">
        <f>B147*$D$30</f>
        <v>1.8</v>
      </c>
      <c r="D147" s="3281"/>
      <c r="E147" s="166"/>
      <c r="F147" s="96"/>
    </row>
    <row r="148" spans="1:14">
      <c r="A148" s="1733">
        <v>2000000</v>
      </c>
      <c r="B148" s="1046">
        <v>1.2</v>
      </c>
      <c r="C148" s="3306">
        <f>B148*$D$30</f>
        <v>2.16</v>
      </c>
      <c r="D148" s="3281"/>
      <c r="E148" s="166"/>
      <c r="F148" s="96"/>
    </row>
    <row r="149" spans="1:14">
      <c r="A149" s="1733">
        <v>3000000</v>
      </c>
      <c r="B149" s="1046">
        <v>1.3</v>
      </c>
      <c r="C149" s="3306">
        <f>B149*$D$30</f>
        <v>2.3400000000000003</v>
      </c>
      <c r="D149" s="3281"/>
      <c r="E149" s="166"/>
      <c r="F149" s="96"/>
      <c r="J149" s="92"/>
      <c r="K149" s="93"/>
    </row>
    <row r="150" spans="1:14" ht="60">
      <c r="A150" s="1733">
        <v>4000000</v>
      </c>
      <c r="B150" s="1046">
        <v>1.4</v>
      </c>
      <c r="C150" s="3306">
        <f>B150*$D$30</f>
        <v>2.52</v>
      </c>
      <c r="D150" s="3281"/>
      <c r="E150" s="166"/>
      <c r="F150" s="96"/>
      <c r="G150" s="92" t="s">
        <v>252</v>
      </c>
      <c r="H150" s="93"/>
      <c r="J150" s="1072" t="s">
        <v>253</v>
      </c>
      <c r="K150" s="96"/>
      <c r="M150" s="92"/>
      <c r="N150" s="93" t="s">
        <v>254</v>
      </c>
    </row>
    <row r="151" spans="1:14">
      <c r="A151" s="1733">
        <v>5000000</v>
      </c>
      <c r="B151" s="1046">
        <v>1.5</v>
      </c>
      <c r="C151" s="3306">
        <f>B151*$D$30</f>
        <v>2.7</v>
      </c>
      <c r="D151" s="3281"/>
      <c r="E151" s="166"/>
      <c r="F151" s="96"/>
      <c r="G151" s="1068">
        <v>1000000</v>
      </c>
      <c r="H151" s="1069">
        <v>350</v>
      </c>
      <c r="I151" s="1057"/>
      <c r="J151" s="1068">
        <v>1000000</v>
      </c>
      <c r="K151" s="1069">
        <v>500</v>
      </c>
      <c r="M151" s="1068">
        <v>1000000</v>
      </c>
      <c r="N151" s="1073">
        <f>COLUMN($R$3)</f>
        <v>18</v>
      </c>
    </row>
    <row r="152" spans="1:14">
      <c r="A152" s="1722"/>
      <c r="B152" s="166"/>
      <c r="C152" s="3281"/>
      <c r="D152" s="3281"/>
      <c r="E152" s="166"/>
      <c r="F152" s="96"/>
      <c r="G152" s="1068">
        <v>2000000</v>
      </c>
      <c r="H152" s="1069">
        <v>500</v>
      </c>
      <c r="I152" s="1057"/>
      <c r="J152" s="1068">
        <v>2000000</v>
      </c>
      <c r="K152" s="1069">
        <v>750</v>
      </c>
      <c r="M152" s="1068">
        <v>2000000</v>
      </c>
      <c r="N152" s="1073">
        <f>COLUMN($S$3)</f>
        <v>19</v>
      </c>
    </row>
    <row r="153" spans="1:14">
      <c r="A153" s="1734"/>
      <c r="B153" s="166"/>
      <c r="C153" s="3281"/>
      <c r="D153" s="3281"/>
      <c r="E153" s="166"/>
      <c r="F153" s="96"/>
      <c r="G153" s="1068">
        <v>5000000</v>
      </c>
      <c r="H153" s="1069">
        <v>1000</v>
      </c>
      <c r="I153" s="1057"/>
      <c r="J153" s="1068">
        <v>5000000</v>
      </c>
      <c r="K153" s="1069">
        <v>1500</v>
      </c>
      <c r="M153" s="1068">
        <v>5000000</v>
      </c>
      <c r="N153" s="1073">
        <f>COLUMN($T$3)</f>
        <v>20</v>
      </c>
    </row>
    <row r="154" spans="1:14">
      <c r="A154" s="1722" t="s">
        <v>3360</v>
      </c>
      <c r="B154" s="166"/>
      <c r="C154" s="3281" t="s">
        <v>234</v>
      </c>
      <c r="D154" s="3281" t="s">
        <v>235</v>
      </c>
      <c r="E154" s="166" t="s">
        <v>236</v>
      </c>
      <c r="F154" s="96" t="s">
        <v>237</v>
      </c>
      <c r="G154" s="1045" t="s">
        <v>255</v>
      </c>
      <c r="H154" s="1069" t="s">
        <v>256</v>
      </c>
      <c r="I154" s="1057"/>
      <c r="J154" s="1045" t="s">
        <v>255</v>
      </c>
      <c r="K154" s="1069" t="s">
        <v>256</v>
      </c>
      <c r="M154" s="1045" t="s">
        <v>255</v>
      </c>
      <c r="N154" s="1073"/>
    </row>
    <row r="155" spans="1:14">
      <c r="A155" s="1722">
        <v>0</v>
      </c>
      <c r="B155" s="166" t="s">
        <v>3361</v>
      </c>
      <c r="C155" s="3281">
        <v>1000</v>
      </c>
      <c r="D155" s="3281">
        <v>1000</v>
      </c>
      <c r="E155" s="166">
        <v>1000</v>
      </c>
      <c r="F155" s="96">
        <v>1000</v>
      </c>
      <c r="G155" s="1045" t="s">
        <v>257</v>
      </c>
      <c r="H155" s="1069" t="s">
        <v>258</v>
      </c>
      <c r="I155" s="1057"/>
      <c r="J155" s="1045" t="s">
        <v>257</v>
      </c>
      <c r="K155" s="1069" t="s">
        <v>258</v>
      </c>
      <c r="M155" s="1045" t="s">
        <v>257</v>
      </c>
      <c r="N155" s="1073"/>
    </row>
    <row r="156" spans="1:14">
      <c r="A156" s="1734">
        <v>249999</v>
      </c>
      <c r="B156" s="166" t="s">
        <v>3362</v>
      </c>
      <c r="C156" s="3281">
        <v>1000</v>
      </c>
      <c r="D156" s="3281">
        <v>1000</v>
      </c>
      <c r="E156" s="166">
        <v>2500</v>
      </c>
      <c r="F156" s="96">
        <v>2500</v>
      </c>
      <c r="G156" s="1070"/>
      <c r="H156" s="1071"/>
      <c r="I156" s="1057"/>
      <c r="J156" s="1070"/>
      <c r="K156" s="1071"/>
      <c r="M156" s="1070"/>
      <c r="N156" s="98"/>
    </row>
    <row r="157" spans="1:14">
      <c r="A157" s="1734">
        <v>500001</v>
      </c>
      <c r="B157" s="166" t="s">
        <v>3363</v>
      </c>
      <c r="C157" s="3281">
        <v>1000</v>
      </c>
      <c r="D157" s="3281">
        <v>1000</v>
      </c>
      <c r="E157" s="166">
        <v>2500</v>
      </c>
      <c r="F157" s="96">
        <v>5000</v>
      </c>
    </row>
    <row r="158" spans="1:14">
      <c r="A158" s="1734">
        <v>1000001</v>
      </c>
      <c r="B158" s="166" t="s">
        <v>3364</v>
      </c>
      <c r="C158" s="3281">
        <v>2500</v>
      </c>
      <c r="D158" s="3281">
        <v>2500</v>
      </c>
      <c r="E158" s="166">
        <v>5000</v>
      </c>
      <c r="F158" s="96">
        <v>5000</v>
      </c>
    </row>
    <row r="159" spans="1:14">
      <c r="A159" s="1734">
        <v>2000000</v>
      </c>
      <c r="B159" s="166" t="s">
        <v>3365</v>
      </c>
      <c r="C159" s="3281">
        <v>2500</v>
      </c>
      <c r="D159" s="3281">
        <v>5000</v>
      </c>
      <c r="E159" s="166">
        <v>5000</v>
      </c>
      <c r="F159" s="96">
        <v>5000</v>
      </c>
    </row>
    <row r="160" spans="1:14">
      <c r="A160" s="1727"/>
      <c r="B160" s="167"/>
      <c r="C160" s="3287"/>
      <c r="D160" s="3287"/>
      <c r="E160" s="167"/>
      <c r="F160" s="98"/>
    </row>
    <row r="162" spans="1:3">
      <c r="A162" s="1720"/>
      <c r="B162" s="165" t="s">
        <v>3372</v>
      </c>
      <c r="C162" s="3303"/>
    </row>
    <row r="163" spans="1:3">
      <c r="A163" s="1722"/>
      <c r="B163" s="1047" t="s">
        <v>3370</v>
      </c>
      <c r="C163" s="3307">
        <v>100</v>
      </c>
    </row>
    <row r="164" spans="1:3">
      <c r="A164" s="1722"/>
      <c r="B164" s="1047" t="s">
        <v>3371</v>
      </c>
      <c r="C164" s="3307">
        <v>0</v>
      </c>
    </row>
    <row r="165" spans="1:3">
      <c r="A165" s="1727"/>
      <c r="B165" s="167"/>
      <c r="C165" s="3305"/>
    </row>
    <row r="167" spans="1:3">
      <c r="B167" t="s">
        <v>3721</v>
      </c>
    </row>
    <row r="168" spans="1:3">
      <c r="B168" s="1451" t="s">
        <v>3722</v>
      </c>
    </row>
    <row r="169" spans="1:3">
      <c r="B169" s="1452" t="s">
        <v>3719</v>
      </c>
    </row>
    <row r="170" spans="1:3">
      <c r="B170" s="101" t="s">
        <v>3720</v>
      </c>
    </row>
    <row r="174" spans="1:3">
      <c r="B174" s="1713" t="str">
        <f>IF('Input '!$E$1="EN","-not included", "-non inclus")</f>
        <v>-not included</v>
      </c>
    </row>
    <row r="175" spans="1:3">
      <c r="B175" s="1452" t="str">
        <f>'Quote template-1'!K223</f>
        <v>Package Silver</v>
      </c>
    </row>
    <row r="176" spans="1:3">
      <c r="B176" s="1452" t="str">
        <f>'Quote template-1'!L223</f>
        <v>Package Gold</v>
      </c>
    </row>
    <row r="177" spans="1:5">
      <c r="B177" s="1452"/>
    </row>
    <row r="178" spans="1:5">
      <c r="B178" s="101"/>
    </row>
    <row r="184" spans="1:5">
      <c r="B184" s="1459"/>
    </row>
    <row r="185" spans="1:5">
      <c r="A185" s="734"/>
      <c r="B185" s="165"/>
      <c r="C185" s="3303"/>
    </row>
    <row r="186" spans="1:5">
      <c r="A186" s="734" t="str">
        <f>IF('Input '!$E$1="FR",Settings!B186,C186)</f>
        <v>Criminal Record</v>
      </c>
      <c r="B186" s="166" t="s">
        <v>3737</v>
      </c>
      <c r="C186" s="3304" t="s">
        <v>3739</v>
      </c>
    </row>
    <row r="187" spans="1:5">
      <c r="A187" s="734" t="str">
        <f>IF('Input '!$E$1="FR",Settings!B187,C187)</f>
        <v>Bankruptcy</v>
      </c>
      <c r="B187" s="166" t="s">
        <v>3738</v>
      </c>
      <c r="C187" s="3304" t="s">
        <v>3740</v>
      </c>
    </row>
    <row r="188" spans="1:5">
      <c r="A188" s="734" t="str">
        <f>IF('Input '!$E$1="FR",Settings!B188,C188)</f>
        <v>cancelled by previous Insurer for non- payment</v>
      </c>
      <c r="B188" s="167" t="s">
        <v>3928</v>
      </c>
      <c r="C188" s="3305" t="s">
        <v>3929</v>
      </c>
    </row>
    <row r="190" spans="1:5">
      <c r="A190" s="1735"/>
      <c r="B190" s="166"/>
      <c r="C190" s="3281"/>
      <c r="D190" s="3281"/>
      <c r="E190" s="166"/>
    </row>
    <row r="191" spans="1:5">
      <c r="A191" s="1720" t="str">
        <f>IF('Input '!$E$1="FR",Settings!B191,C191)</f>
        <v>New Business</v>
      </c>
      <c r="B191" s="165" t="s">
        <v>3775</v>
      </c>
      <c r="C191" s="3303" t="s">
        <v>3764</v>
      </c>
      <c r="D191" s="3281"/>
      <c r="E191" s="166"/>
    </row>
    <row r="192" spans="1:5">
      <c r="A192" s="1722" t="str">
        <f>IF('Input '!$E$1="FR",Settings!B192,C192)</f>
        <v>Renewal</v>
      </c>
      <c r="B192" s="166" t="s">
        <v>3763</v>
      </c>
      <c r="C192" s="3304" t="s">
        <v>3766</v>
      </c>
      <c r="D192" s="3281"/>
      <c r="E192" s="166"/>
    </row>
    <row r="193" spans="1:5">
      <c r="A193" s="1727" t="str">
        <f>IF('Input '!$E$1="FR",Settings!B193,C193)</f>
        <v>Endorsement</v>
      </c>
      <c r="B193" s="167" t="s">
        <v>3767</v>
      </c>
      <c r="C193" s="3305" t="s">
        <v>3765</v>
      </c>
      <c r="D193" s="3281"/>
      <c r="E193" s="166"/>
    </row>
    <row r="197" spans="1:5">
      <c r="A197" s="1720" t="s">
        <v>3775</v>
      </c>
      <c r="B197" s="93" t="s">
        <v>14</v>
      </c>
      <c r="C197" s="3308" t="s">
        <v>4</v>
      </c>
    </row>
    <row r="198" spans="1:5">
      <c r="A198" s="1722" t="s">
        <v>3763</v>
      </c>
      <c r="B198" s="96" t="s">
        <v>3768</v>
      </c>
      <c r="C198" s="569" t="s">
        <v>3773</v>
      </c>
    </row>
    <row r="199" spans="1:5">
      <c r="A199" s="1727" t="s">
        <v>3767</v>
      </c>
      <c r="B199" s="96" t="s">
        <v>3769</v>
      </c>
      <c r="C199" s="569" t="s">
        <v>3773</v>
      </c>
    </row>
    <row r="200" spans="1:5">
      <c r="A200" s="1722" t="s">
        <v>3764</v>
      </c>
      <c r="B200" s="96" t="s">
        <v>3770</v>
      </c>
      <c r="C200" s="3309" t="s">
        <v>3542</v>
      </c>
    </row>
    <row r="201" spans="1:5">
      <c r="A201" s="1722" t="s">
        <v>3766</v>
      </c>
      <c r="B201" s="96" t="s">
        <v>3771</v>
      </c>
      <c r="C201" s="569" t="s">
        <v>3774</v>
      </c>
    </row>
    <row r="202" spans="1:5">
      <c r="A202" s="1727" t="s">
        <v>3765</v>
      </c>
      <c r="B202" s="98" t="s">
        <v>3772</v>
      </c>
      <c r="C202" s="569" t="s">
        <v>3774</v>
      </c>
    </row>
    <row r="205" spans="1:5">
      <c r="B205" s="100" t="s">
        <v>3921</v>
      </c>
    </row>
    <row r="206" spans="1:5">
      <c r="B206" s="1452" t="s">
        <v>3922</v>
      </c>
    </row>
    <row r="207" spans="1:5">
      <c r="B207" s="1452" t="s">
        <v>236</v>
      </c>
    </row>
    <row r="208" spans="1:5">
      <c r="B208" s="101" t="s">
        <v>1365</v>
      </c>
    </row>
    <row r="211" spans="1:5">
      <c r="B211" s="951" t="s">
        <v>3665</v>
      </c>
    </row>
    <row r="212" spans="1:5">
      <c r="B212" s="1831" t="s">
        <v>4018</v>
      </c>
    </row>
    <row r="213" spans="1:5" s="1711" customFormat="1">
      <c r="A213" s="395"/>
      <c r="B213" s="1831">
        <v>5000</v>
      </c>
      <c r="C213" s="569"/>
      <c r="D213" s="569"/>
    </row>
    <row r="214" spans="1:5">
      <c r="B214" s="1832">
        <v>7500</v>
      </c>
    </row>
    <row r="218" spans="1:5">
      <c r="B218" s="166"/>
      <c r="C218" s="3281"/>
      <c r="D218" s="3281"/>
      <c r="E218" s="166"/>
    </row>
    <row r="219" spans="1:5" ht="15.75">
      <c r="B219" s="1834"/>
      <c r="C219" s="3281"/>
      <c r="D219" s="3281"/>
      <c r="E219" s="166"/>
    </row>
    <row r="220" spans="1:5">
      <c r="B220" s="1835" t="s">
        <v>4027</v>
      </c>
      <c r="C220" s="3288" t="s">
        <v>1101</v>
      </c>
      <c r="D220" s="3288" t="s">
        <v>3394</v>
      </c>
      <c r="E220" s="1835" t="s">
        <v>3393</v>
      </c>
    </row>
    <row r="221" spans="1:5">
      <c r="B221" s="1833" t="s">
        <v>4030</v>
      </c>
      <c r="C221" s="654">
        <v>0</v>
      </c>
      <c r="D221" s="654" t="s">
        <v>4036</v>
      </c>
      <c r="E221" s="100" t="s">
        <v>4035</v>
      </c>
    </row>
    <row r="222" spans="1:5">
      <c r="B222" s="1833" t="s">
        <v>4029</v>
      </c>
      <c r="C222" s="654">
        <v>3</v>
      </c>
      <c r="D222" s="654" t="s">
        <v>4031</v>
      </c>
      <c r="E222" s="100" t="s">
        <v>4032</v>
      </c>
    </row>
    <row r="223" spans="1:5">
      <c r="B223" s="1833" t="s">
        <v>4028</v>
      </c>
      <c r="C223" s="654">
        <v>5</v>
      </c>
      <c r="D223" s="654" t="s">
        <v>1056</v>
      </c>
      <c r="E223" s="100" t="s">
        <v>1056</v>
      </c>
    </row>
    <row r="224" spans="1:5">
      <c r="B224" s="1833"/>
      <c r="C224" s="654"/>
      <c r="D224" s="654"/>
      <c r="E224" s="100"/>
    </row>
    <row r="225" spans="2:9">
      <c r="B225" s="1833"/>
      <c r="C225" s="654"/>
      <c r="D225" s="654"/>
      <c r="E225" s="100"/>
    </row>
    <row r="227" spans="2:9">
      <c r="C227" s="1837" t="s">
        <v>4038</v>
      </c>
      <c r="D227" s="1837" t="s">
        <v>4037</v>
      </c>
      <c r="G227" s="1807"/>
      <c r="H227" s="53">
        <v>100</v>
      </c>
      <c r="I227" s="1711" t="s">
        <v>4389</v>
      </c>
    </row>
    <row r="228" spans="2:9" ht="15.75">
      <c r="B228" s="1836" t="s">
        <v>4518</v>
      </c>
      <c r="C228" s="569">
        <v>0</v>
      </c>
      <c r="D228" s="569">
        <v>135</v>
      </c>
      <c r="G228" s="1807"/>
      <c r="H228" s="53">
        <v>125</v>
      </c>
      <c r="I228" s="1711" t="s">
        <v>4390</v>
      </c>
    </row>
    <row r="229" spans="2:9" ht="15.75">
      <c r="B229" s="1836" t="s">
        <v>4519</v>
      </c>
      <c r="C229" s="569">
        <v>1001</v>
      </c>
      <c r="D229" s="569">
        <v>160</v>
      </c>
      <c r="G229" s="1807"/>
      <c r="H229" s="53">
        <v>150</v>
      </c>
      <c r="I229" s="1711" t="s">
        <v>4391</v>
      </c>
    </row>
    <row r="230" spans="2:9" ht="15.75">
      <c r="B230" s="1836" t="s">
        <v>4520</v>
      </c>
      <c r="C230" s="569">
        <v>1501</v>
      </c>
      <c r="D230" s="569">
        <v>185</v>
      </c>
      <c r="G230" s="1807"/>
      <c r="H230" s="53">
        <v>175</v>
      </c>
      <c r="I230" s="1711" t="s">
        <v>4392</v>
      </c>
    </row>
    <row r="231" spans="2:9" ht="15.75">
      <c r="B231" s="1836" t="s">
        <v>4521</v>
      </c>
      <c r="C231" s="569">
        <v>2001</v>
      </c>
      <c r="D231" s="569">
        <v>225</v>
      </c>
    </row>
    <row r="232" spans="2:9">
      <c r="B232" s="1711" t="s">
        <v>4523</v>
      </c>
      <c r="C232" s="569">
        <v>2501</v>
      </c>
      <c r="D232" s="569">
        <v>240</v>
      </c>
    </row>
    <row r="233" spans="2:9">
      <c r="B233" s="1711" t="s">
        <v>4524</v>
      </c>
      <c r="C233" s="569">
        <v>3001</v>
      </c>
      <c r="D233" s="569">
        <v>250</v>
      </c>
    </row>
    <row r="234" spans="2:9">
      <c r="B234" s="1711" t="s">
        <v>4522</v>
      </c>
      <c r="C234" s="569">
        <v>4001</v>
      </c>
      <c r="D234" s="569">
        <v>270</v>
      </c>
    </row>
  </sheetData>
  <mergeCells count="14">
    <mergeCell ref="D68:H68"/>
    <mergeCell ref="C56:D56"/>
    <mergeCell ref="C57:D57"/>
    <mergeCell ref="E57:F57"/>
    <mergeCell ref="C25:E25"/>
    <mergeCell ref="F25:H25"/>
    <mergeCell ref="C35:E35"/>
    <mergeCell ref="F35:H35"/>
    <mergeCell ref="F102:F104"/>
    <mergeCell ref="G102:G104"/>
    <mergeCell ref="I102:I104"/>
    <mergeCell ref="C104:C106"/>
    <mergeCell ref="D104:D106"/>
    <mergeCell ref="E104:E106"/>
  </mergeCell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CCCC00"/>
  </sheetPr>
  <dimension ref="A1:AJ17"/>
  <sheetViews>
    <sheetView showGridLines="0" zoomScale="80" zoomScaleNormal="80" workbookViewId="0">
      <selection activeCell="Y10" sqref="Y10"/>
    </sheetView>
  </sheetViews>
  <sheetFormatPr defaultColWidth="9.140625" defaultRowHeight="15" outlineLevelRow="1" outlineLevelCol="1"/>
  <cols>
    <col min="1" max="2" width="9.140625" customWidth="1" outlineLevel="1"/>
    <col min="3" max="3" width="22.5703125" style="735" customWidth="1"/>
    <col min="4" max="4" width="12.7109375" customWidth="1"/>
    <col min="5" max="7" width="14.28515625" customWidth="1"/>
    <col min="8" max="8" width="13" customWidth="1"/>
    <col min="9" max="9" width="11" customWidth="1"/>
    <col min="10" max="10" width="12" customWidth="1"/>
    <col min="11" max="15" width="10.7109375" customWidth="1"/>
    <col min="16" max="16" width="11.140625" customWidth="1"/>
    <col min="17" max="17" width="11.140625" hidden="1" customWidth="1"/>
    <col min="18" max="18" width="16.85546875" customWidth="1"/>
    <col min="19" max="19" width="21.140625" hidden="1" customWidth="1"/>
    <col min="20" max="20" width="15.5703125" customWidth="1"/>
    <col min="21" max="21" width="10.5703125" customWidth="1"/>
    <col min="22" max="22" width="14.85546875" customWidth="1"/>
    <col min="23" max="23" width="6.7109375" customWidth="1"/>
    <col min="24" max="24" width="10.5703125" customWidth="1"/>
    <col min="25" max="26" width="10.7109375" customWidth="1"/>
    <col min="33" max="33" width="19.7109375" customWidth="1"/>
    <col min="34" max="34" width="23.5703125" customWidth="1"/>
  </cols>
  <sheetData>
    <row r="1" spans="1:36" ht="23.25" customHeight="1">
      <c r="A1">
        <f>COUNTIF(V11:V14,$B1)</f>
        <v>0</v>
      </c>
      <c r="B1" s="1482" t="s">
        <v>1154</v>
      </c>
    </row>
    <row r="2" spans="1:36" ht="28.5">
      <c r="A2" s="1483">
        <f>COUNTIF(V11:V14,$B2)</f>
        <v>0</v>
      </c>
      <c r="B2" s="1482" t="s">
        <v>1158</v>
      </c>
      <c r="C2" s="1393"/>
      <c r="D2" s="1062"/>
      <c r="E2" s="3550" t="str">
        <f>IF('Input '!$E$1="EN",AA8,AA7)</f>
        <v xml:space="preserve">This information will enable us to obtain the property base rates </v>
      </c>
      <c r="F2" s="3550"/>
      <c r="G2" s="3550"/>
      <c r="H2" s="3550"/>
      <c r="I2" s="3550"/>
      <c r="J2" s="3550"/>
      <c r="K2" s="3550"/>
      <c r="L2" s="3550"/>
      <c r="M2" s="3550"/>
      <c r="N2" s="3550"/>
      <c r="O2" s="3550"/>
      <c r="P2" s="3550"/>
      <c r="Q2" s="3550"/>
      <c r="R2" s="3550"/>
      <c r="S2" s="3550"/>
      <c r="T2" s="3550"/>
    </row>
    <row r="3" spans="1:36" ht="29.25" customHeight="1">
      <c r="A3" s="395">
        <f>SUM(A1:A2)</f>
        <v>0</v>
      </c>
      <c r="C3" s="1394" t="str">
        <f>'Input '!G37</f>
        <v/>
      </c>
      <c r="D3" s="1059"/>
      <c r="E3" s="1053"/>
      <c r="F3" s="367"/>
    </row>
    <row r="4" spans="1:36" ht="28.5">
      <c r="A4">
        <f>COUNTIF(V11:V14,$B4)</f>
        <v>0</v>
      </c>
      <c r="B4" s="1482" t="s">
        <v>1154</v>
      </c>
      <c r="C4" s="1395" t="s">
        <v>3388</v>
      </c>
      <c r="D4" s="1759" t="e">
        <f>'April Rating Property'!$E$11</f>
        <v>#N/A</v>
      </c>
      <c r="E4" s="1053"/>
      <c r="F4" s="1061"/>
      <c r="G4" s="1060"/>
      <c r="H4" s="1060"/>
      <c r="I4" s="1060"/>
      <c r="J4" s="1060"/>
      <c r="K4" s="1060"/>
      <c r="L4" s="1060"/>
      <c r="M4" s="1060"/>
      <c r="N4" s="1060"/>
      <c r="O4" s="1060"/>
      <c r="P4" s="1060"/>
      <c r="Q4" s="1060"/>
      <c r="R4" s="1060"/>
      <c r="S4" s="1060"/>
      <c r="T4" s="1060"/>
    </row>
    <row r="5" spans="1:36" ht="16.5">
      <c r="A5" s="1483">
        <f>COUNTIF(V11:V14,$B5)</f>
        <v>0</v>
      </c>
      <c r="B5" s="1482" t="s">
        <v>1156</v>
      </c>
      <c r="Y5" s="748">
        <v>1</v>
      </c>
    </row>
    <row r="6" spans="1:36" ht="27.75" customHeight="1" thickBot="1">
      <c r="A6" s="395">
        <f>SUM(A4:A5)</f>
        <v>0</v>
      </c>
      <c r="Y6" s="395" t="s">
        <v>3792</v>
      </c>
      <c r="AA6" t="s">
        <v>3793</v>
      </c>
      <c r="AH6" s="1089">
        <v>1</v>
      </c>
      <c r="AI6" s="1089">
        <v>2</v>
      </c>
      <c r="AJ6" s="1089" t="str">
        <f>'Input '!E1</f>
        <v>EN</v>
      </c>
    </row>
    <row r="7" spans="1:36" s="1088" customFormat="1" ht="65.25" hidden="1" customHeight="1" thickBot="1">
      <c r="C7" s="1083" t="s">
        <v>3445</v>
      </c>
      <c r="D7" s="1084" t="s">
        <v>3082</v>
      </c>
      <c r="E7" s="1085" t="s">
        <v>3354</v>
      </c>
      <c r="F7" s="1085" t="s">
        <v>3355</v>
      </c>
      <c r="G7" s="1085" t="s">
        <v>3378</v>
      </c>
      <c r="H7" s="1085" t="s">
        <v>3379</v>
      </c>
      <c r="I7" s="1084" t="s">
        <v>1219</v>
      </c>
      <c r="J7" s="1084" t="s">
        <v>1220</v>
      </c>
      <c r="K7" s="1084" t="s">
        <v>1218</v>
      </c>
      <c r="L7" s="1084" t="s">
        <v>1224</v>
      </c>
      <c r="M7" s="1084" t="s">
        <v>1221</v>
      </c>
      <c r="N7" s="1084" t="s">
        <v>1222</v>
      </c>
      <c r="O7" s="1084" t="s">
        <v>1223</v>
      </c>
      <c r="P7" s="1084" t="s">
        <v>1244</v>
      </c>
      <c r="Q7" s="1084"/>
      <c r="R7" s="1086" t="s">
        <v>3704</v>
      </c>
      <c r="S7" s="1086"/>
      <c r="T7" s="1086" t="s">
        <v>1225</v>
      </c>
      <c r="U7" s="1086" t="s">
        <v>1226</v>
      </c>
      <c r="V7" s="1086" t="s">
        <v>1228</v>
      </c>
      <c r="W7" s="1086" t="s">
        <v>1269</v>
      </c>
      <c r="X7" s="1084" t="s">
        <v>1256</v>
      </c>
      <c r="Y7" s="1087" t="s">
        <v>3790</v>
      </c>
      <c r="Z7" s="1087" t="s">
        <v>3789</v>
      </c>
      <c r="AA7" s="1088" t="s">
        <v>1272</v>
      </c>
      <c r="AG7" s="1088" t="s">
        <v>3394</v>
      </c>
      <c r="AH7" s="1088" t="s">
        <v>1251</v>
      </c>
      <c r="AI7" s="1088" t="s">
        <v>1250</v>
      </c>
    </row>
    <row r="8" spans="1:36" s="1082" customFormat="1" ht="65.25" hidden="1" customHeight="1" thickBot="1">
      <c r="C8" s="1077" t="s">
        <v>3431</v>
      </c>
      <c r="D8" s="1078" t="s">
        <v>3082</v>
      </c>
      <c r="E8" s="1079" t="s">
        <v>3428</v>
      </c>
      <c r="F8" s="1079" t="s">
        <v>3429</v>
      </c>
      <c r="G8" s="1079" t="s">
        <v>3430</v>
      </c>
      <c r="H8" s="1079" t="s">
        <v>3432</v>
      </c>
      <c r="I8" s="1078" t="s">
        <v>3433</v>
      </c>
      <c r="J8" s="1078" t="s">
        <v>3434</v>
      </c>
      <c r="K8" s="1078" t="s">
        <v>3435</v>
      </c>
      <c r="L8" s="1078" t="s">
        <v>3441</v>
      </c>
      <c r="M8" s="1078" t="s">
        <v>3436</v>
      </c>
      <c r="N8" s="1078" t="s">
        <v>3437</v>
      </c>
      <c r="O8" s="1078" t="s">
        <v>3438</v>
      </c>
      <c r="P8" s="1078" t="s">
        <v>3439</v>
      </c>
      <c r="Q8" s="1078"/>
      <c r="R8" s="1080" t="s">
        <v>3704</v>
      </c>
      <c r="S8" s="1080"/>
      <c r="T8" s="1080" t="s">
        <v>3315</v>
      </c>
      <c r="U8" s="1080" t="s">
        <v>1226</v>
      </c>
      <c r="V8" s="1080" t="s">
        <v>1228</v>
      </c>
      <c r="W8" s="1080" t="s">
        <v>1269</v>
      </c>
      <c r="X8" s="1078" t="s">
        <v>3440</v>
      </c>
      <c r="Y8" s="1081" t="s">
        <v>3442</v>
      </c>
      <c r="Z8" s="1081" t="s">
        <v>3791</v>
      </c>
      <c r="AA8" s="1082" t="s">
        <v>3443</v>
      </c>
      <c r="AG8" s="1082" t="s">
        <v>3393</v>
      </c>
      <c r="AH8" s="1082" t="s">
        <v>3444</v>
      </c>
      <c r="AI8" s="1082" t="s">
        <v>1198</v>
      </c>
    </row>
    <row r="9" spans="1:36" s="445" customFormat="1" ht="65.25" customHeight="1" thickBot="1">
      <c r="C9" s="442" t="str">
        <f>IF('Input '!$E$1="EN",'Input Property info '!C8,'Input Property info '!C7)</f>
        <v>Address information</v>
      </c>
      <c r="D9" s="443" t="str">
        <f>IF('Input '!$E$1="EN",'Input Property info '!D8,'Input Property info '!D7)</f>
        <v>Postal code</v>
      </c>
      <c r="E9" s="1028" t="str">
        <f>IF('Input '!$E$1="EN",'Input Property info '!E8,'Input Property info '!E7)</f>
        <v>Building Insured value</v>
      </c>
      <c r="F9" s="1028" t="str">
        <f>IF('Input '!$E$1="EN",'Input Property info '!F8,'Input Property info '!F7)</f>
        <v>Contents Insured Value</v>
      </c>
      <c r="G9" s="1028" t="str">
        <f>IF('Input '!$E$1="EN",'Input Property info '!G8,'Input Property info '!G7)</f>
        <v>Stock Insured Value</v>
      </c>
      <c r="H9" s="1028" t="str">
        <f>IF('Input '!$E$1="EN",'Input Property info '!H8,'Input Property info '!H7)</f>
        <v>Equipment Insured value</v>
      </c>
      <c r="I9" s="443" t="str">
        <f>IF('Input '!$E$1="EN",'Input Property info '!I8,'Input Property info '!I7)</f>
        <v>Number of floors</v>
      </c>
      <c r="J9" s="443" t="str">
        <f>IF('Input '!$E$1="EN",'Input Property info '!J8,'Input Property info '!J7)</f>
        <v>Square feet</v>
      </c>
      <c r="K9" s="443" t="str">
        <f>IF('Input '!$E$1="EN",'Input Property info '!K8,'Input Property info '!K7)</f>
        <v>Year of construction</v>
      </c>
      <c r="L9" s="443" t="str">
        <f>IF('Input '!$E$1="EN",'Input Property info '!L8,'Input Property info '!L7)</f>
        <v>Year Plumbing</v>
      </c>
      <c r="M9" s="443" t="str">
        <f>IF('Input '!$E$1="EN",'Input Property info '!M8,'Input Property info '!M7)</f>
        <v>Year heating</v>
      </c>
      <c r="N9" s="443" t="str">
        <f>IF('Input '!$E$1="EN",'Input Property info '!N8,'Input Property info '!N7)</f>
        <v>Year Elecrticity</v>
      </c>
      <c r="O9" s="443" t="str">
        <f>IF('Input '!$E$1="EN",'Input Property info '!O8,'Input Property info '!O7)</f>
        <v>Year Roof</v>
      </c>
      <c r="P9" s="443" t="str">
        <f>IF('Input '!$E$1="EN",'Input Property info '!P8,'Input Property info '!P7)</f>
        <v>Age of the building</v>
      </c>
      <c r="Q9" s="443"/>
      <c r="R9" s="444" t="str">
        <f>IF('Input '!$E$1="EN",'Input Property info '!R8,'Input Property info '!R7)</f>
        <v>Type of coverage Building</v>
      </c>
      <c r="S9" s="444">
        <f>IF('Input '!$E$1="EN",'Input Property info '!S8,'Input Property info '!S7)</f>
        <v>0</v>
      </c>
      <c r="T9" s="444" t="str">
        <f>IF('Input '!$E$1="EN",'Input Property info '!T8,'Input Property info '!T7)</f>
        <v>Type of construction</v>
      </c>
      <c r="U9" s="444" t="str">
        <f>IF('Input '!$E$1="EN",'Input Property info '!U8,'Input Property info '!U7)</f>
        <v>Town grade</v>
      </c>
      <c r="V9" s="444" t="str">
        <f>IF('Input '!$E$1="EN",'Input Property info '!V8,'Input Property info '!V7)</f>
        <v>Sprinkelered / Alarmed</v>
      </c>
      <c r="W9" s="444" t="str">
        <f>IF('Input '!$E$1="EN",'Input Property info '!W8,'Input Property info '!W7)</f>
        <v>OPTA</v>
      </c>
      <c r="X9" s="443" t="str">
        <f>IF('Input '!$E$1="EN",'Input Property info '!X8,'Input Property info '!X7)</f>
        <v>% Oper on the premises</v>
      </c>
      <c r="Y9" s="1051" t="str">
        <f>IF('Input '!$E$1="EN",'Input Property info '!Y8,'Input Property info '!Y7)</f>
        <v xml:space="preserve">Property Base rate </v>
      </c>
      <c r="Z9" s="1051" t="str">
        <f>IF('Input '!$E$1="EN",'Input Property info '!Z8,'Input Property info '!Z7)</f>
        <v xml:space="preserve">Contents Base rate </v>
      </c>
      <c r="AA9" s="1551" t="str">
        <f>Y9</f>
        <v xml:space="preserve">Property Base rate </v>
      </c>
      <c r="AB9" s="1551" t="str">
        <f>Z9</f>
        <v xml:space="preserve">Contents Base rate </v>
      </c>
    </row>
    <row r="10" spans="1:36" ht="30.75" thickBot="1">
      <c r="A10" s="1090"/>
      <c r="B10" s="1091"/>
      <c r="C10" s="1789">
        <f>'Quote template-1'!G24</f>
        <v>0</v>
      </c>
      <c r="D10" s="1789">
        <f>'Quote template-1'!$N$25</f>
        <v>0</v>
      </c>
      <c r="E10" s="1685">
        <f>'Input '!G64</f>
        <v>0</v>
      </c>
      <c r="F10" s="1685">
        <f>'Input '!G65</f>
        <v>0</v>
      </c>
      <c r="G10" s="1788">
        <f>'Input '!G66</f>
        <v>0</v>
      </c>
      <c r="H10" s="1788">
        <f>'Input '!G67</f>
        <v>0</v>
      </c>
      <c r="I10" s="1687">
        <f>'Input '!$G$88</f>
        <v>0</v>
      </c>
      <c r="J10" s="1687">
        <f>'Input '!$G$89</f>
        <v>0</v>
      </c>
      <c r="K10" s="1686">
        <f>'Input '!$G$79</f>
        <v>0</v>
      </c>
      <c r="L10" s="1686">
        <f>'Input '!$G$87</f>
        <v>0</v>
      </c>
      <c r="M10" s="1686">
        <f>'Input '!$G$86</f>
        <v>0</v>
      </c>
      <c r="N10" s="1686">
        <f>'Input '!$G$83</f>
        <v>0</v>
      </c>
      <c r="O10" s="389">
        <f>'Input '!$G$82</f>
        <v>0</v>
      </c>
      <c r="P10" s="389">
        <f t="shared" ref="P10:P14" ca="1" si="0">IF(K10=0,,YEAR(TODAY())-K10)</f>
        <v>0</v>
      </c>
      <c r="Q10" s="389">
        <f t="shared" ref="Q10:Q14" ca="1" si="1">IF(P10&gt;205,2,1)</f>
        <v>1</v>
      </c>
      <c r="R10" s="390" t="str">
        <f>'Input '!$I$96</f>
        <v>All Risks</v>
      </c>
      <c r="S10" s="390">
        <f t="shared" ref="S10:S14" si="2">IF(R10="Formule Etendue",1,2)</f>
        <v>2</v>
      </c>
      <c r="T10" s="1688" t="str">
        <f>'Input '!$G$72</f>
        <v>Fire Resistive</v>
      </c>
      <c r="U10" s="1688" t="str">
        <f>'Input '!$G$73</f>
        <v>1</v>
      </c>
      <c r="V10" s="1688" t="str">
        <f>'Input '!$G$74</f>
        <v>Sprinklered and Alarmed</v>
      </c>
      <c r="W10" s="1659"/>
      <c r="X10" s="1660"/>
      <c r="Y10" s="1552">
        <f>IF(OR(T10=0,U10=0),0,INDEX('Intact property rates'!$B$8:$L$14,MATCH('Input Property info '!$T10,'Intact property rates'!$B$8:$B$14,0),MATCH('Input Property info '!$U10,'Intact property rates'!$B$8:$L$8,0)))</f>
        <v>0.1265</v>
      </c>
      <c r="Z10" s="1052">
        <f>IF(OR(U10=0,V10=0),0,INDEX('Intact property rates'!$B$20:$L$26,MATCH('Input Property info '!$T10,'Intact property rates'!$B$20:$B$26,0),MATCH('Input Property info '!$U10,'Intact property rates'!$B$20:$L$20,)))</f>
        <v>0.22999999999999998</v>
      </c>
      <c r="AA10" s="1552">
        <f ca="1">'April Rating Property'!$F$54</f>
        <v>0</v>
      </c>
      <c r="AB10" s="1552">
        <f ca="1">AA10*1</f>
        <v>0</v>
      </c>
    </row>
    <row r="11" spans="1:36" ht="68.25" customHeight="1" thickBot="1">
      <c r="A11" s="1090" t="s">
        <v>1214</v>
      </c>
      <c r="B11" s="1091" t="s">
        <v>3446</v>
      </c>
      <c r="C11" s="2409" t="str">
        <f>IF('Input '!$E$1="EN",'Input Property info '!B11,A11)</f>
        <v>Input Address no 2</v>
      </c>
      <c r="D11" s="2409"/>
      <c r="E11" s="2408"/>
      <c r="F11" s="2408"/>
      <c r="G11" s="2408"/>
      <c r="H11" s="2408"/>
      <c r="I11" s="2410"/>
      <c r="J11" s="2411"/>
      <c r="K11" s="2410"/>
      <c r="L11" s="2410"/>
      <c r="M11" s="2410"/>
      <c r="N11" s="2410"/>
      <c r="O11" s="2410"/>
      <c r="P11" s="389">
        <f t="shared" ca="1" si="0"/>
        <v>0</v>
      </c>
      <c r="Q11" s="389">
        <f t="shared" ca="1" si="1"/>
        <v>1</v>
      </c>
      <c r="R11" s="2435" t="str">
        <f ca="1">INDEX($AG$6:$AI$8,MATCH($AJ$6,$AG$6:$AG$8,0),MATCH(Q11,$AG$6:$AI$6,0))</f>
        <v>All risks</v>
      </c>
      <c r="S11" s="390">
        <f t="shared" ca="1" si="2"/>
        <v>2</v>
      </c>
      <c r="T11" s="2417" t="s">
        <v>1150</v>
      </c>
      <c r="U11" s="2417" t="s">
        <v>3955</v>
      </c>
      <c r="V11" s="2417" t="s">
        <v>1160</v>
      </c>
      <c r="W11" s="2417"/>
      <c r="X11" s="2410"/>
      <c r="Y11" s="1552">
        <f>IF(OR(T11=0,U11=0),0,INDEX('Intact property rates'!$B$8:$L$14,MATCH('Input Property info '!$T11,'Intact property rates'!$B$8:$B$14,0),MATCH('Input Property info '!$U11,'Intact property rates'!$B$8:$L$8,)))</f>
        <v>0.63249999999999995</v>
      </c>
      <c r="Z11" s="1052">
        <f>IF(OR(U11=0,V11=0),0,INDEX('Intact property rates'!$B$20:$L$26,MATCH('Input Property info '!$T11,'Intact property rates'!$B$20:$B$26,0),MATCH('Input Property info '!$U11,'Intact property rates'!$B$20:$L$20,)))</f>
        <v>0.83949999999999991</v>
      </c>
      <c r="AA11" s="1552">
        <f ca="1">'April Rating Property'!$I$54</f>
        <v>0</v>
      </c>
      <c r="AB11" s="1552">
        <f t="shared" ref="AB11:AB14" ca="1" si="3">AA11*1</f>
        <v>0</v>
      </c>
    </row>
    <row r="12" spans="1:36" ht="65.25" customHeight="1" thickBot="1">
      <c r="A12" s="1090" t="s">
        <v>1215</v>
      </c>
      <c r="B12" s="1091" t="s">
        <v>3447</v>
      </c>
      <c r="C12" s="2409" t="str">
        <f>IF('Input '!$E$1="EN",'Input Property info '!B12,A12)</f>
        <v>Input Address no 3</v>
      </c>
      <c r="D12" s="2409"/>
      <c r="E12" s="2408"/>
      <c r="F12" s="2408"/>
      <c r="G12" s="2408"/>
      <c r="H12" s="2408"/>
      <c r="I12" s="2410"/>
      <c r="J12" s="2411"/>
      <c r="K12" s="2410"/>
      <c r="L12" s="2410"/>
      <c r="M12" s="2410"/>
      <c r="N12" s="2410"/>
      <c r="O12" s="2410"/>
      <c r="P12" s="389">
        <f t="shared" ca="1" si="0"/>
        <v>0</v>
      </c>
      <c r="Q12" s="389">
        <f t="shared" ca="1" si="1"/>
        <v>1</v>
      </c>
      <c r="R12" s="2435" t="str">
        <f t="shared" ref="R12:R14" ca="1" si="4">INDEX($AG$6:$AI$8,MATCH($AJ$6,$AG$6:$AG$8,0),MATCH(Q12,$AG$6:$AI$6,0))</f>
        <v>All risks</v>
      </c>
      <c r="S12" s="390">
        <f t="shared" ca="1" si="2"/>
        <v>2</v>
      </c>
      <c r="T12" s="2417" t="s">
        <v>1150</v>
      </c>
      <c r="U12" s="2417" t="s">
        <v>3955</v>
      </c>
      <c r="V12" s="2417" t="s">
        <v>1160</v>
      </c>
      <c r="W12" s="2417"/>
      <c r="X12" s="2410"/>
      <c r="Y12" s="1552">
        <f>IF(OR(T12=0,U12=0),0,INDEX('Intact property rates'!$B$8:$L$14,MATCH('Input Property info '!$T12,'Intact property rates'!$B$8:$B$14,0),MATCH('Input Property info '!$U12,'Intact property rates'!$B$8:$L$8,)))</f>
        <v>0.63249999999999995</v>
      </c>
      <c r="Z12" s="1052">
        <f>IF(OR(U12=0,V12=0),0,INDEX('Intact property rates'!$B$20:$L$26,MATCH('Input Property info '!$T12,'Intact property rates'!$B$20:$B$26,0),MATCH('Input Property info '!$U12,'Intact property rates'!$B$20:$L$20,)))</f>
        <v>0.83949999999999991</v>
      </c>
      <c r="AA12" s="1552">
        <f ca="1">'April Rating Property'!$L$54</f>
        <v>0</v>
      </c>
      <c r="AB12" s="1552">
        <f t="shared" ca="1" si="3"/>
        <v>0</v>
      </c>
    </row>
    <row r="13" spans="1:36" s="1711" customFormat="1" ht="65.25" customHeight="1" thickBot="1">
      <c r="A13" s="1090" t="s">
        <v>1216</v>
      </c>
      <c r="B13" s="1091" t="s">
        <v>3448</v>
      </c>
      <c r="C13" s="2409" t="str">
        <f>IF('Input '!$E$1="EN",'Input Property info '!B13,A13)</f>
        <v>Input Address no 4</v>
      </c>
      <c r="D13" s="2409"/>
      <c r="E13" s="2408"/>
      <c r="F13" s="2408"/>
      <c r="G13" s="2408"/>
      <c r="H13" s="2408"/>
      <c r="I13" s="2410"/>
      <c r="J13" s="2411"/>
      <c r="K13" s="2410"/>
      <c r="L13" s="2410"/>
      <c r="M13" s="2410"/>
      <c r="N13" s="2410"/>
      <c r="O13" s="2410"/>
      <c r="P13" s="389">
        <f t="shared" ca="1" si="0"/>
        <v>0</v>
      </c>
      <c r="Q13" s="389">
        <f t="shared" ca="1" si="1"/>
        <v>1</v>
      </c>
      <c r="R13" s="2435" t="str">
        <f t="shared" ca="1" si="4"/>
        <v>All risks</v>
      </c>
      <c r="S13" s="390">
        <f t="shared" ca="1" si="2"/>
        <v>2</v>
      </c>
      <c r="T13" s="2417" t="s">
        <v>1150</v>
      </c>
      <c r="U13" s="2417" t="s">
        <v>3955</v>
      </c>
      <c r="V13" s="2417" t="s">
        <v>1160</v>
      </c>
      <c r="W13" s="2417"/>
      <c r="X13" s="2410"/>
      <c r="Y13" s="1552">
        <f>IF(OR(T13=0,U13=0),0,INDEX('Intact property rates'!$B$8:$L$14,MATCH('Input Property info '!$T13,'Intact property rates'!$B$8:$B$14,0),MATCH('Input Property info '!$U13,'Intact property rates'!$B$8:$L$8,)))</f>
        <v>0.63249999999999995</v>
      </c>
      <c r="Z13" s="1052">
        <f>IF(OR(U13=0,V13=0),0,INDEX('Intact property rates'!$B$20:$L$26,MATCH('Input Property info '!$T13,'Intact property rates'!$B$20:$B$26,0),MATCH('Input Property info '!$U13,'Intact property rates'!$B$20:$L$20,)))</f>
        <v>0.83949999999999991</v>
      </c>
      <c r="AA13" s="1552">
        <f ca="1">'April Rating Property'!$O$54</f>
        <v>0</v>
      </c>
      <c r="AB13" s="1552">
        <f t="shared" ca="1" si="3"/>
        <v>0</v>
      </c>
    </row>
    <row r="14" spans="1:36" s="1711" customFormat="1" ht="65.25" customHeight="1">
      <c r="A14" s="1090" t="s">
        <v>1217</v>
      </c>
      <c r="B14" s="1091" t="s">
        <v>3449</v>
      </c>
      <c r="C14" s="2409" t="str">
        <f>IF('Input '!$E$1="EN",'Input Property info '!B14,A14)</f>
        <v>Input Address no 5</v>
      </c>
      <c r="D14" s="2409"/>
      <c r="E14" s="2408"/>
      <c r="F14" s="2408"/>
      <c r="G14" s="2408"/>
      <c r="H14" s="2408"/>
      <c r="I14" s="2410"/>
      <c r="J14" s="2411"/>
      <c r="K14" s="2410"/>
      <c r="L14" s="2410"/>
      <c r="M14" s="2410"/>
      <c r="N14" s="2410"/>
      <c r="O14" s="2410"/>
      <c r="P14" s="389">
        <f t="shared" ca="1" si="0"/>
        <v>0</v>
      </c>
      <c r="Q14" s="389">
        <f t="shared" ca="1" si="1"/>
        <v>1</v>
      </c>
      <c r="R14" s="2435" t="str">
        <f t="shared" ca="1" si="4"/>
        <v>All risks</v>
      </c>
      <c r="S14" s="390">
        <f t="shared" ca="1" si="2"/>
        <v>2</v>
      </c>
      <c r="T14" s="2417" t="s">
        <v>1150</v>
      </c>
      <c r="U14" s="2417" t="s">
        <v>3955</v>
      </c>
      <c r="V14" s="2417" t="s">
        <v>1160</v>
      </c>
      <c r="W14" s="2417"/>
      <c r="X14" s="2410"/>
      <c r="Y14" s="1552">
        <f>IF(OR(T14=0,U14=0),0,INDEX('Intact property rates'!$B$8:$L$14,MATCH('Input Property info '!$T14,'Intact property rates'!$B$8:$B$14,0),MATCH('Input Property info '!$U14,'Intact property rates'!$B$8:$L$8,)))</f>
        <v>0.63249999999999995</v>
      </c>
      <c r="Z14" s="1052">
        <f>IF(OR(U14=0,V14=0),0,INDEX('Intact property rates'!$B$20:$L$26,MATCH('Input Property info '!$T14,'Intact property rates'!$B$20:$B$26,0),MATCH('Input Property info '!$U14,'Intact property rates'!$B$20:$L$20,)))</f>
        <v>0.83949999999999991</v>
      </c>
      <c r="AA14" s="1552">
        <f ca="1">'April Rating Property'!$R$54</f>
        <v>0</v>
      </c>
      <c r="AB14" s="1552">
        <f t="shared" ca="1" si="3"/>
        <v>0</v>
      </c>
    </row>
    <row r="16" spans="1:36" hidden="1" outlineLevel="1">
      <c r="B16" s="1806" t="s">
        <v>4002</v>
      </c>
      <c r="C16" s="1396" t="s">
        <v>3233</v>
      </c>
      <c r="D16" s="367"/>
      <c r="E16" s="1053">
        <f>COUNTIF(E10:E14,$B$16)</f>
        <v>0</v>
      </c>
      <c r="F16" s="1053">
        <f>COUNTIF(F10:F14,$B$16)</f>
        <v>0</v>
      </c>
      <c r="G16" s="1053">
        <f>COUNTIF(G10:G14,$B$16)</f>
        <v>0</v>
      </c>
      <c r="H16" s="1053">
        <f>COUNTIF(H10:H14,$B$16)</f>
        <v>0</v>
      </c>
    </row>
    <row r="17" collapsed="1"/>
  </sheetData>
  <mergeCells count="1">
    <mergeCell ref="E2:T2"/>
  </mergeCells>
  <dataValidations count="4">
    <dataValidation type="list" allowBlank="1" showInputMessage="1" showErrorMessage="1" sqref="B2 V11:V14" xr:uid="{00000000-0002-0000-0400-000000000000}">
      <formula1>Protection</formula1>
    </dataValidation>
    <dataValidation type="list" allowBlank="1" showInputMessage="1" showErrorMessage="1" sqref="T11:T14" xr:uid="{00000000-0002-0000-0400-000001000000}">
      <formula1>typeconstruction</formula1>
    </dataValidation>
    <dataValidation type="list" allowBlank="1" showInputMessage="1" showErrorMessage="1" sqref="U11:U14" xr:uid="{00000000-0002-0000-0400-000002000000}">
      <formula1>Town_Grade</formula1>
    </dataValidation>
    <dataValidation type="list" allowBlank="1" showInputMessage="1" showErrorMessage="1" sqref="R11:R14" xr:uid="{00000000-0002-0000-0400-000003000000}">
      <formula1>Broadform</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00B0F0"/>
  </sheetPr>
  <dimension ref="A1:L78"/>
  <sheetViews>
    <sheetView zoomScale="110" zoomScaleNormal="110" workbookViewId="0">
      <selection activeCell="C37" sqref="C37"/>
    </sheetView>
  </sheetViews>
  <sheetFormatPr defaultColWidth="9.140625" defaultRowHeight="15" outlineLevelRow="1"/>
  <cols>
    <col min="1" max="1" width="14.5703125" style="2968" customWidth="1"/>
    <col min="2" max="2" width="29.7109375" style="2968" customWidth="1"/>
    <col min="3" max="3" width="37.42578125" style="2968" customWidth="1"/>
    <col min="4" max="4" width="36.42578125" style="2968" customWidth="1"/>
    <col min="5" max="5" width="16.85546875" style="2968" customWidth="1"/>
    <col min="6" max="6" width="25.140625" style="2968" customWidth="1"/>
    <col min="7" max="7" width="23" style="2968" customWidth="1"/>
    <col min="8" max="8" width="32" style="2968" customWidth="1"/>
    <col min="9" max="9" width="23.28515625" style="2968" customWidth="1"/>
    <col min="10" max="10" width="16" style="2968" customWidth="1"/>
    <col min="11" max="11" width="9.140625" style="2968"/>
    <col min="12" max="12" width="15.85546875" style="2968" customWidth="1"/>
    <col min="13" max="13" width="12.42578125" style="2968" bestFit="1" customWidth="1"/>
    <col min="14" max="16384" width="9.140625" style="2968"/>
  </cols>
  <sheetData>
    <row r="1" spans="2:12">
      <c r="E1" s="2970" t="s">
        <v>4336</v>
      </c>
      <c r="F1" s="2971">
        <f>'Input '!G27</f>
        <v>0</v>
      </c>
      <c r="G1" s="666" t="s">
        <v>4337</v>
      </c>
      <c r="I1" s="2968" t="s">
        <v>4485</v>
      </c>
    </row>
    <row r="2" spans="2:12">
      <c r="E2" s="2972" t="s">
        <v>4338</v>
      </c>
      <c r="F2" s="2973">
        <v>0.7</v>
      </c>
      <c r="I2" s="3252" t="e">
        <f>'Input '!I27</f>
        <v>#N/A</v>
      </c>
    </row>
    <row r="3" spans="2:12">
      <c r="E3" s="2974" t="s">
        <v>3819</v>
      </c>
      <c r="F3" s="2975">
        <v>0.1</v>
      </c>
      <c r="G3" s="2976" t="e">
        <f>IF(AND(F1&gt;F2, F1&lt;I2),F3,0)</f>
        <v>#N/A</v>
      </c>
    </row>
    <row r="5" spans="2:12">
      <c r="E5" s="2977" t="s">
        <v>3530</v>
      </c>
      <c r="F5" s="2978" t="s">
        <v>4339</v>
      </c>
      <c r="G5" s="2978" t="s">
        <v>4340</v>
      </c>
      <c r="H5" s="2979" t="s">
        <v>4245</v>
      </c>
      <c r="I5" s="2978" t="s">
        <v>4341</v>
      </c>
    </row>
    <row r="6" spans="2:12">
      <c r="E6" s="2980">
        <v>0</v>
      </c>
      <c r="F6" s="2980">
        <v>1000</v>
      </c>
      <c r="G6" s="2980">
        <v>2500</v>
      </c>
      <c r="H6" s="2980">
        <v>0</v>
      </c>
      <c r="I6" s="2980">
        <v>1000</v>
      </c>
    </row>
    <row r="7" spans="2:12">
      <c r="E7" s="2980">
        <v>750001</v>
      </c>
      <c r="F7" s="2980">
        <v>2500</v>
      </c>
      <c r="G7" s="2980">
        <v>5000</v>
      </c>
      <c r="I7" s="2980">
        <v>2500</v>
      </c>
    </row>
    <row r="8" spans="2:12">
      <c r="G8" s="2970" t="s">
        <v>4342</v>
      </c>
      <c r="I8" s="2981">
        <v>1000</v>
      </c>
    </row>
    <row r="10" spans="2:12">
      <c r="F10" s="2968" t="s">
        <v>4497</v>
      </c>
      <c r="G10" s="2968">
        <f>IF('Input '!G38=1831,'Input '!G38,0)</f>
        <v>0</v>
      </c>
    </row>
    <row r="11" spans="2:12">
      <c r="F11" s="2968" t="s">
        <v>4498</v>
      </c>
      <c r="G11" s="2968">
        <f>'Input '!G41</f>
        <v>0</v>
      </c>
    </row>
    <row r="12" spans="2:12">
      <c r="B12" s="2979" t="s">
        <v>4246</v>
      </c>
      <c r="C12" s="2982" t="e">
        <f>VLOOKUP('Input '!$G$37,'Conditions (sept 2020)'!B:I,8,FALSE)</f>
        <v>#N/A</v>
      </c>
      <c r="E12" s="183"/>
      <c r="F12" s="183" t="s">
        <v>4499</v>
      </c>
      <c r="G12" s="3267">
        <f>IF(AND(G10=1831,G11&lt;&gt;"N"),100%,0%)</f>
        <v>0</v>
      </c>
      <c r="H12" s="183"/>
      <c r="I12" s="183"/>
      <c r="J12" s="183"/>
      <c r="K12" s="183"/>
      <c r="L12" s="183"/>
    </row>
    <row r="13" spans="2:12">
      <c r="B13" s="2969" t="s">
        <v>4343</v>
      </c>
      <c r="C13" s="2983">
        <f ca="1">'Input '!G29</f>
        <v>2022</v>
      </c>
      <c r="E13" s="183"/>
      <c r="F13" s="2970" t="s">
        <v>1051</v>
      </c>
      <c r="G13" s="2984"/>
      <c r="H13" s="183"/>
      <c r="I13" s="183"/>
      <c r="J13" s="183"/>
      <c r="K13" s="183"/>
      <c r="L13" s="183"/>
    </row>
    <row r="14" spans="2:12" ht="15.75">
      <c r="B14" s="2969" t="s">
        <v>4344</v>
      </c>
      <c r="C14" s="2983">
        <f>'Input '!G30</f>
        <v>0</v>
      </c>
      <c r="E14" s="2985"/>
      <c r="F14" s="2986">
        <v>0</v>
      </c>
      <c r="G14" s="2986" t="s">
        <v>1052</v>
      </c>
      <c r="H14" s="3196" t="s">
        <v>4457</v>
      </c>
      <c r="I14" s="3194"/>
      <c r="J14" s="183"/>
      <c r="K14" s="183"/>
      <c r="L14" s="2985"/>
    </row>
    <row r="15" spans="2:12" ht="30">
      <c r="B15" s="2987" t="s">
        <v>4345</v>
      </c>
      <c r="C15" s="2988" t="str">
        <f ca="1">VLOOKUP(C13,F14:G15,2,TRUE)</f>
        <v xml:space="preserve">&gt;3 </v>
      </c>
      <c r="E15" s="2989"/>
      <c r="F15" s="2969">
        <v>3</v>
      </c>
      <c r="G15" s="2969" t="s">
        <v>4314</v>
      </c>
      <c r="H15" s="3199" t="s">
        <v>4463</v>
      </c>
      <c r="I15" s="3200">
        <f>INDEX('Rates- Limits UW settings'!$C$56:$H$59,MATCH(Property!$B$2,'Rates- Limits UW settings'!$C$56:$C$59,0),6)</f>
        <v>0</v>
      </c>
      <c r="J15" s="183"/>
      <c r="K15" s="183"/>
      <c r="L15" s="2989"/>
    </row>
    <row r="16" spans="2:12">
      <c r="B16" s="2990" t="s">
        <v>4346</v>
      </c>
      <c r="C16" s="2988" t="e">
        <f>VLOOKUP(C19,F19:G21,2,TRUE)</f>
        <v>#N/A</v>
      </c>
      <c r="E16" s="2991"/>
      <c r="H16" s="3216" t="s">
        <v>4429</v>
      </c>
      <c r="I16" s="3217" t="e">
        <f>INDEX($F$28:$J$75,MATCH(C$21,$F$28:$F$75,0),4)</f>
        <v>#N/A</v>
      </c>
      <c r="J16" s="183"/>
      <c r="K16" s="2985"/>
      <c r="L16" s="1393"/>
    </row>
    <row r="17" spans="1:12">
      <c r="B17" s="2969" t="s">
        <v>4347</v>
      </c>
      <c r="C17" s="2988" t="e">
        <f ca="1">CONCATENATE(C16,C15)</f>
        <v>#N/A</v>
      </c>
      <c r="E17" s="1062"/>
      <c r="F17" s="2970" t="s">
        <v>3530</v>
      </c>
      <c r="G17" s="3215" t="s">
        <v>1044</v>
      </c>
      <c r="H17" s="3218" t="s">
        <v>4469</v>
      </c>
      <c r="I17" s="3219" t="e">
        <f>IF(I16&gt;=50%,30%,I15)</f>
        <v>#N/A</v>
      </c>
      <c r="J17" s="183" t="s">
        <v>4470</v>
      </c>
      <c r="K17" s="2985"/>
      <c r="L17" s="1062"/>
    </row>
    <row r="18" spans="1:12" ht="15.75">
      <c r="B18" s="2992" t="s">
        <v>968</v>
      </c>
      <c r="C18" s="3041">
        <f>'CGL coverage'!I5</f>
        <v>1000000</v>
      </c>
      <c r="E18" s="2993"/>
      <c r="F18" s="94">
        <v>0</v>
      </c>
      <c r="G18" s="2994" t="s">
        <v>223</v>
      </c>
      <c r="H18" s="3201" t="s">
        <v>4459</v>
      </c>
      <c r="I18" s="3202" t="e">
        <f>I21*(1-I17)</f>
        <v>#N/A</v>
      </c>
      <c r="J18" s="183"/>
      <c r="K18" s="2985"/>
      <c r="L18" s="2993"/>
    </row>
    <row r="19" spans="1:12" ht="30">
      <c r="B19" s="2992" t="s">
        <v>3530</v>
      </c>
      <c r="C19" s="3041">
        <f>'Input '!G39</f>
        <v>0</v>
      </c>
      <c r="E19" s="2995"/>
      <c r="F19" s="2996">
        <v>1</v>
      </c>
      <c r="G19" s="3197" t="s">
        <v>4317</v>
      </c>
      <c r="H19" s="3203" t="s">
        <v>4460</v>
      </c>
      <c r="I19" s="3204" t="e">
        <f>IF($C$12="NEW_LOW_RISK",CONCATENATE($A$28,"-",$C$18),IF($C$12="New_standard",C21,C21))</f>
        <v>#N/A</v>
      </c>
      <c r="J19" s="183"/>
      <c r="K19" s="2985"/>
      <c r="L19" s="2995"/>
    </row>
    <row r="20" spans="1:12" ht="15.75">
      <c r="B20" s="2968" t="s">
        <v>4348</v>
      </c>
      <c r="E20" s="2995"/>
      <c r="F20" s="2996">
        <v>500001</v>
      </c>
      <c r="G20" s="3198" t="s">
        <v>1046</v>
      </c>
      <c r="H20" s="3205" t="s">
        <v>4462</v>
      </c>
      <c r="I20" s="3202" t="e">
        <f>IFERROR(INDEX($C$29:$F$40,MATCH($I$19,$F$29:$F$40,0),1),INDEX($F$28:$G$75,MATCH(C$21,$F$28:$F$75,0),2))</f>
        <v>#N/A</v>
      </c>
      <c r="J20" s="183"/>
      <c r="K20" s="2985"/>
      <c r="L20" s="2995"/>
    </row>
    <row r="21" spans="1:12" ht="30">
      <c r="B21" s="2997" t="s">
        <v>4349</v>
      </c>
      <c r="C21" s="2998" t="e">
        <f>CONCATENATE($C$12,"-",$C$18)</f>
        <v>#N/A</v>
      </c>
      <c r="E21" s="2995"/>
      <c r="F21" s="94"/>
      <c r="G21" s="2955"/>
      <c r="H21" s="3203" t="s">
        <v>4464</v>
      </c>
      <c r="I21" s="3208" t="e">
        <f>INDEX($F$28:$G$75,MATCH(C$21,$F$28:$F$75,0),2)</f>
        <v>#N/A</v>
      </c>
      <c r="J21" s="183"/>
      <c r="K21" s="2985"/>
      <c r="L21" s="2995"/>
    </row>
    <row r="22" spans="1:12" ht="45.75" thickBot="1">
      <c r="B22" s="2968" t="s">
        <v>1231</v>
      </c>
      <c r="C22" s="3169"/>
      <c r="D22" s="3169" t="s">
        <v>4386</v>
      </c>
      <c r="E22" s="3170" t="s">
        <v>4496</v>
      </c>
      <c r="F22" s="2996">
        <v>500001</v>
      </c>
      <c r="G22" s="3198" t="s">
        <v>1046</v>
      </c>
      <c r="H22" s="3206" t="s">
        <v>4461</v>
      </c>
      <c r="I22" s="3207" t="e">
        <f>I21/I20-1</f>
        <v>#N/A</v>
      </c>
      <c r="J22" s="183"/>
      <c r="K22" s="2985"/>
      <c r="L22" s="2995"/>
    </row>
    <row r="23" spans="1:12">
      <c r="B23" s="2999" t="s">
        <v>4325</v>
      </c>
      <c r="C23" s="3000" t="e">
        <f>INDEX($F$28:$G$75,MATCH(C$21,$F$28:$F$75,0),2)*(1-D23)</f>
        <v>#N/A</v>
      </c>
      <c r="D23" s="3055">
        <f>IF('Input '!G3="Ontario",10%,0)</f>
        <v>0</v>
      </c>
      <c r="E23" s="3253" t="e">
        <f>IF(G12=0%,INDEX($F$28:$J$75,MATCH(C$21,$F$28:$F$75,0),5),100%)</f>
        <v>#N/A</v>
      </c>
      <c r="J23" s="183"/>
      <c r="K23" s="2985"/>
      <c r="L23" s="2995"/>
    </row>
    <row r="24" spans="1:12">
      <c r="A24" s="3001" t="s">
        <v>4351</v>
      </c>
      <c r="B24" s="3001">
        <v>1000000</v>
      </c>
      <c r="C24" s="3002"/>
      <c r="D24" s="3002"/>
      <c r="E24" s="3220"/>
      <c r="H24" s="3209" t="s">
        <v>4465</v>
      </c>
      <c r="I24" s="3210"/>
      <c r="J24" s="183"/>
      <c r="K24" s="2985"/>
      <c r="L24" s="2995"/>
    </row>
    <row r="25" spans="1:12">
      <c r="A25" s="3001" t="s">
        <v>4353</v>
      </c>
      <c r="B25" s="3001">
        <v>2000000</v>
      </c>
      <c r="C25" s="3002"/>
      <c r="D25" s="3002"/>
      <c r="E25" s="2995"/>
      <c r="H25" s="3211" t="s">
        <v>4450</v>
      </c>
      <c r="I25" s="3212"/>
      <c r="J25" s="183"/>
      <c r="K25" s="2985"/>
      <c r="L25" s="2995"/>
    </row>
    <row r="26" spans="1:12">
      <c r="A26" s="3001" t="s">
        <v>4354</v>
      </c>
      <c r="B26" s="3001">
        <v>5000000</v>
      </c>
      <c r="C26" s="3002"/>
      <c r="D26" s="3002"/>
      <c r="E26" s="2995"/>
      <c r="H26" s="3213" t="s">
        <v>4458</v>
      </c>
      <c r="I26" s="3207"/>
      <c r="K26" s="2985"/>
      <c r="L26" s="2995"/>
    </row>
    <row r="27" spans="1:12">
      <c r="E27" s="2995"/>
      <c r="F27" s="183"/>
      <c r="G27" s="183"/>
      <c r="H27" s="3214" t="s">
        <v>4468</v>
      </c>
      <c r="I27" s="3221">
        <v>0.1</v>
      </c>
      <c r="J27" s="3195" t="e">
        <f>C23*(1-I27)</f>
        <v>#N/A</v>
      </c>
      <c r="K27" s="2985"/>
      <c r="L27" s="2995"/>
    </row>
    <row r="28" spans="1:12" ht="30">
      <c r="A28" s="3003" t="s">
        <v>4222</v>
      </c>
      <c r="B28" s="666" t="s">
        <v>4356</v>
      </c>
      <c r="C28" s="2968" t="s">
        <v>3696</v>
      </c>
      <c r="D28" s="2949" t="s">
        <v>1231</v>
      </c>
      <c r="E28" s="3165" t="s">
        <v>4428</v>
      </c>
      <c r="F28" s="2968" t="s">
        <v>4357</v>
      </c>
      <c r="G28" s="2968" t="s">
        <v>4325</v>
      </c>
      <c r="H28" s="3165" t="s">
        <v>4429</v>
      </c>
      <c r="I28" s="3165" t="s">
        <v>4428</v>
      </c>
      <c r="J28" s="2968" t="s">
        <v>4430</v>
      </c>
      <c r="K28" s="3004"/>
    </row>
    <row r="29" spans="1:12">
      <c r="A29" s="3003" t="s">
        <v>4351</v>
      </c>
      <c r="B29" s="3003">
        <v>1000000</v>
      </c>
      <c r="C29" s="3044" t="e">
        <f>IF(C$16=G$20,0,INDEX('QBE Rates CGL'!$A$4:$K$10,MATCH(B29,'QBE Rates CGL'!$A$4:$A$10,0),MATCH('Pricing CGL'!$C$17,'QBE Rates CGL'!$A$4:$K$4,0)))</f>
        <v>#N/A</v>
      </c>
      <c r="D29" s="3005" t="e">
        <f>IF(C$16=G$20,INDEX('QBE Rates CGL'!$A$4:$K$10,MATCH(B29,'QBE Rates CGL'!$A$4:$A$10,0),MATCH('Pricing CGL'!$C$17,'QBE Rates CGL'!$A$4:$K$4,0)),0)</f>
        <v>#N/A</v>
      </c>
      <c r="E29" s="3006" t="e">
        <f>VLOOKUP('Input '!$G$37,'Conditions (sept 2020)'!$B:$Q,16,FALSE)+$G$3</f>
        <v>#N/A</v>
      </c>
      <c r="F29" s="3007" t="s">
        <v>4358</v>
      </c>
      <c r="G29" s="3007" t="e">
        <f>(C29+D29*C$19/1000)*(1+E29)</f>
        <v>#N/A</v>
      </c>
      <c r="H29" s="3167">
        <f>'QBE Rates CGL'!C113</f>
        <v>0</v>
      </c>
      <c r="I29" s="3167" t="e">
        <f>E29</f>
        <v>#N/A</v>
      </c>
      <c r="J29" s="3167" t="e">
        <f>H29+I29</f>
        <v>#N/A</v>
      </c>
      <c r="K29" s="3004"/>
    </row>
    <row r="30" spans="1:12">
      <c r="A30" s="3003" t="s">
        <v>4353</v>
      </c>
      <c r="B30" s="3003">
        <v>2000000</v>
      </c>
      <c r="C30" s="3044" t="e">
        <f>IF(C$16=G$20,0,INDEX('QBE Rates CGL'!$A$4:$K$10,MATCH(B30,'QBE Rates CGL'!$A$4:$A$10,0),MATCH('Pricing CGL'!$C$17,'QBE Rates CGL'!$A$4:$K$4,0)))</f>
        <v>#N/A</v>
      </c>
      <c r="D30" s="3005" t="e">
        <f>IF(C$16=G$20,INDEX('QBE Rates CGL'!$A$4:$K$10,MATCH(B30,'QBE Rates CGL'!$A$4:$A$10,0),MATCH('Pricing CGL'!$C$17,'QBE Rates CGL'!$A$4:$K$4,0)),0)</f>
        <v>#N/A</v>
      </c>
      <c r="E30" s="3006" t="e">
        <f>VLOOKUP('Input '!$G$37,'Conditions (sept 2020)'!$B:$Q,16,FALSE)+$G$3</f>
        <v>#N/A</v>
      </c>
      <c r="F30" s="3007" t="s">
        <v>4359</v>
      </c>
      <c r="G30" s="3007" t="e">
        <f t="shared" ref="G30:G32" si="0">(C30+D30*C$19/1000)*(1+E30)</f>
        <v>#N/A</v>
      </c>
      <c r="H30" s="3167">
        <f>'QBE Rates CGL'!C114</f>
        <v>0</v>
      </c>
      <c r="I30" s="3167" t="e">
        <f t="shared" ref="I30:I33" si="1">E30</f>
        <v>#N/A</v>
      </c>
      <c r="J30" s="3167" t="e">
        <f t="shared" ref="J30:J33" si="2">H30+I30</f>
        <v>#N/A</v>
      </c>
    </row>
    <row r="31" spans="1:12">
      <c r="A31" s="3003"/>
      <c r="B31" s="3003">
        <v>3000000</v>
      </c>
      <c r="C31" s="3044" t="e">
        <f>IF(C$16=G$20,0,INDEX('QBE Rates CGL'!$A$4:$K$10,MATCH(B31,'QBE Rates CGL'!$A$4:$A$10,0),MATCH('Pricing CGL'!$C$17,'QBE Rates CGL'!$A$4:$K$4,0)))</f>
        <v>#N/A</v>
      </c>
      <c r="D31" s="3005" t="e">
        <f>IF(C$16=G$20,INDEX('QBE Rates CGL'!$A$4:$K$10,MATCH(B31,'QBE Rates CGL'!$A$4:$A$10,0),MATCH('Pricing CGL'!$C$17,'QBE Rates CGL'!$A$4:$K$4,0)),0)</f>
        <v>#N/A</v>
      </c>
      <c r="E31" s="3006" t="e">
        <f>VLOOKUP('Input '!$G$37,'Conditions (sept 2020)'!$B:$Q,16,FALSE)+$G$3</f>
        <v>#N/A</v>
      </c>
      <c r="F31" s="3007" t="s">
        <v>4360</v>
      </c>
      <c r="G31" s="3007" t="e">
        <f t="shared" si="0"/>
        <v>#N/A</v>
      </c>
      <c r="H31" s="3167">
        <f>'QBE Rates CGL'!C115</f>
        <v>0</v>
      </c>
      <c r="I31" s="3167" t="e">
        <f t="shared" si="1"/>
        <v>#N/A</v>
      </c>
      <c r="J31" s="3167" t="e">
        <f t="shared" si="2"/>
        <v>#N/A</v>
      </c>
    </row>
    <row r="32" spans="1:12">
      <c r="A32" s="3003"/>
      <c r="B32" s="3003">
        <v>4000000</v>
      </c>
      <c r="C32" s="3044" t="e">
        <f>IF(C$16=G$20,0,INDEX('QBE Rates CGL'!$A$4:$K$10,MATCH(B32,'QBE Rates CGL'!$A$4:$A$10,0),MATCH('Pricing CGL'!$C$17,'QBE Rates CGL'!$A$4:$K$4,0)))</f>
        <v>#N/A</v>
      </c>
      <c r="D32" s="3005" t="e">
        <f>IF(C$16=G$20,INDEX('QBE Rates CGL'!$A$4:$K$10,MATCH(B32,'QBE Rates CGL'!$A$4:$A$10,0),MATCH('Pricing CGL'!$C$17,'QBE Rates CGL'!$A$4:$K$4,0)),0)</f>
        <v>#N/A</v>
      </c>
      <c r="E32" s="3006" t="e">
        <f>VLOOKUP('Input '!$G$37,'Conditions (sept 2020)'!$B:$Q,16,FALSE)+$G$3</f>
        <v>#N/A</v>
      </c>
      <c r="F32" s="3007" t="s">
        <v>4361</v>
      </c>
      <c r="G32" s="3007" t="e">
        <f t="shared" si="0"/>
        <v>#N/A</v>
      </c>
      <c r="H32" s="3167">
        <f>'QBE Rates CGL'!C116</f>
        <v>0</v>
      </c>
      <c r="I32" s="3167" t="e">
        <f t="shared" si="1"/>
        <v>#N/A</v>
      </c>
      <c r="J32" s="3167" t="e">
        <f t="shared" si="2"/>
        <v>#N/A</v>
      </c>
    </row>
    <row r="33" spans="1:10">
      <c r="A33" s="3003" t="s">
        <v>4354</v>
      </c>
      <c r="B33" s="3003">
        <v>5000000</v>
      </c>
      <c r="C33" s="3044" t="e">
        <f>IF(C$16=G$20,0,INDEX('QBE Rates CGL'!$A$4:$K$10,MATCH(B33,'QBE Rates CGL'!$A$4:$A$10,0),MATCH('Pricing CGL'!$C$17,'QBE Rates CGL'!$A$4:$K$4,0)))</f>
        <v>#N/A</v>
      </c>
      <c r="D33" s="3005" t="e">
        <f>IF(C$16=G$20,INDEX('QBE Rates CGL'!$A$4:$K$10,MATCH(B33,'QBE Rates CGL'!$A$4:$A$10,0),MATCH('Pricing CGL'!$C$17,'QBE Rates CGL'!$A$4:$K$4,0)),0)</f>
        <v>#N/A</v>
      </c>
      <c r="E33" s="3006" t="e">
        <f>VLOOKUP('Input '!$G$37,'Conditions (sept 2020)'!$B:$Q,16,FALSE)+$G$3</f>
        <v>#N/A</v>
      </c>
      <c r="F33" s="3007" t="s">
        <v>4362</v>
      </c>
      <c r="G33" s="3007" t="e">
        <f>(C33+D33*C$19/1000)*(1+E33)</f>
        <v>#N/A</v>
      </c>
      <c r="H33" s="3167">
        <f>'QBE Rates CGL'!C117</f>
        <v>0</v>
      </c>
      <c r="I33" s="3167" t="e">
        <f t="shared" si="1"/>
        <v>#N/A</v>
      </c>
      <c r="J33" s="3167" t="e">
        <f t="shared" si="2"/>
        <v>#N/A</v>
      </c>
    </row>
    <row r="34" spans="1:10" s="3010" customFormat="1">
      <c r="A34" s="3008"/>
      <c r="B34" s="3008"/>
      <c r="C34" s="3008"/>
      <c r="D34" s="3009"/>
      <c r="E34" s="3009"/>
      <c r="G34" s="3011"/>
    </row>
    <row r="35" spans="1:10" s="3010" customFormat="1" ht="36">
      <c r="A35" s="2861" t="s">
        <v>4387</v>
      </c>
      <c r="B35" s="666" t="s">
        <v>4356</v>
      </c>
      <c r="C35" s="2968" t="s">
        <v>3696</v>
      </c>
      <c r="D35" s="2949" t="s">
        <v>1231</v>
      </c>
      <c r="E35" s="2949" t="s">
        <v>4313</v>
      </c>
      <c r="G35" s="2968" t="s">
        <v>4325</v>
      </c>
    </row>
    <row r="36" spans="1:10" s="3010" customFormat="1">
      <c r="A36" s="3012" t="s">
        <v>4351</v>
      </c>
      <c r="B36" s="3012">
        <v>1000000</v>
      </c>
      <c r="C36" s="3045">
        <f ca="1">'QBE Rates CGL'!E143</f>
        <v>1260.416666666667</v>
      </c>
      <c r="D36" s="3013"/>
      <c r="E36" s="3042" t="e">
        <f>VLOOKUP('Input '!$G$37,'Conditions (sept 2020)'!$B:$Q,16,FALSE)+$G$3</f>
        <v>#N/A</v>
      </c>
      <c r="F36" s="3013" t="str">
        <f>CONCATENATE(A$35&amp;"-"&amp;B36)</f>
        <v>New_standard-1000000</v>
      </c>
      <c r="G36" s="3014" t="e">
        <f ca="1">(C36+D36*C$19/1000)*(1+E36)</f>
        <v>#N/A</v>
      </c>
      <c r="H36" s="3166">
        <f>'QBE Rates CGL'!C143</f>
        <v>0</v>
      </c>
      <c r="I36" s="3167" t="e">
        <f>E36</f>
        <v>#N/A</v>
      </c>
      <c r="J36" s="3167" t="e">
        <f>H36+I36</f>
        <v>#N/A</v>
      </c>
    </row>
    <row r="37" spans="1:10" s="3010" customFormat="1">
      <c r="A37" s="3012" t="s">
        <v>4353</v>
      </c>
      <c r="B37" s="3012">
        <v>2000000</v>
      </c>
      <c r="C37" s="3045">
        <f ca="1">'QBE Rates CGL'!E144</f>
        <v>1512.5000000000002</v>
      </c>
      <c r="D37" s="3013"/>
      <c r="E37" s="3042" t="e">
        <f>VLOOKUP('Input '!$G$37,'Conditions (sept 2020)'!$B:$Q,16,FALSE)+$G$3</f>
        <v>#N/A</v>
      </c>
      <c r="F37" s="3013" t="str">
        <f t="shared" ref="F37:F40" si="3">CONCATENATE(A$35&amp;"-"&amp;B37)</f>
        <v>New_standard-2000000</v>
      </c>
      <c r="G37" s="3014" t="e">
        <f ca="1">(C37+D37*C$19/1000)*(1+E37)</f>
        <v>#N/A</v>
      </c>
      <c r="H37" s="3166">
        <f>'QBE Rates CGL'!C144</f>
        <v>0</v>
      </c>
      <c r="I37" s="3167" t="e">
        <f t="shared" ref="I37:I40" si="4">E37</f>
        <v>#N/A</v>
      </c>
      <c r="J37" s="3167" t="e">
        <f t="shared" ref="J37:J40" si="5">H37+I37</f>
        <v>#N/A</v>
      </c>
    </row>
    <row r="38" spans="1:10" s="3010" customFormat="1">
      <c r="A38" s="3015"/>
      <c r="B38" s="3012">
        <v>3000000</v>
      </c>
      <c r="C38" s="3045">
        <f ca="1">'QBE Rates CGL'!E145</f>
        <v>1638.5416666666672</v>
      </c>
      <c r="D38" s="3013"/>
      <c r="E38" s="3042" t="e">
        <f>VLOOKUP('Input '!$G$37,'Conditions (sept 2020)'!$B:$Q,16,FALSE)+$G$3</f>
        <v>#N/A</v>
      </c>
      <c r="F38" s="3013" t="str">
        <f t="shared" si="3"/>
        <v>New_standard-3000000</v>
      </c>
      <c r="G38" s="3014" t="e">
        <f t="shared" ref="G38:G39" ca="1" si="6">(C38+D38*C$19/1000)*(1+E38)</f>
        <v>#N/A</v>
      </c>
      <c r="H38" s="3166">
        <f>'QBE Rates CGL'!C145</f>
        <v>0</v>
      </c>
      <c r="I38" s="3167" t="e">
        <f t="shared" si="4"/>
        <v>#N/A</v>
      </c>
      <c r="J38" s="3167" t="e">
        <f t="shared" si="5"/>
        <v>#N/A</v>
      </c>
    </row>
    <row r="39" spans="1:10" s="3010" customFormat="1">
      <c r="A39" s="3015"/>
      <c r="B39" s="3012">
        <v>4000000</v>
      </c>
      <c r="C39" s="3045">
        <f ca="1">'QBE Rates CGL'!E146</f>
        <v>1764.5833333333337</v>
      </c>
      <c r="D39" s="3013"/>
      <c r="E39" s="3042" t="e">
        <f>VLOOKUP('Input '!$G$37,'Conditions (sept 2020)'!$B:$Q,16,FALSE)+$G$3</f>
        <v>#N/A</v>
      </c>
      <c r="F39" s="3013" t="str">
        <f t="shared" si="3"/>
        <v>New_standard-4000000</v>
      </c>
      <c r="G39" s="3014" t="e">
        <f t="shared" ca="1" si="6"/>
        <v>#N/A</v>
      </c>
      <c r="H39" s="3166">
        <f>'QBE Rates CGL'!C146</f>
        <v>0</v>
      </c>
      <c r="I39" s="3167" t="e">
        <f t="shared" si="4"/>
        <v>#N/A</v>
      </c>
      <c r="J39" s="3167" t="e">
        <f t="shared" si="5"/>
        <v>#N/A</v>
      </c>
    </row>
    <row r="40" spans="1:10" s="3010" customFormat="1">
      <c r="A40" s="3015" t="s">
        <v>4354</v>
      </c>
      <c r="B40" s="3015">
        <v>5000000</v>
      </c>
      <c r="C40" s="3045">
        <f ca="1">'QBE Rates CGL'!E147</f>
        <v>1890.6250000000005</v>
      </c>
      <c r="D40" s="3013"/>
      <c r="E40" s="3042" t="e">
        <f>VLOOKUP('Input '!$G$37,'Conditions (sept 2020)'!$B:$Q,16,FALSE)+$G$3</f>
        <v>#N/A</v>
      </c>
      <c r="F40" s="3013" t="str">
        <f t="shared" si="3"/>
        <v>New_standard-5000000</v>
      </c>
      <c r="G40" s="3014" t="e">
        <f ca="1">(C40+D40*C$19/1000)*(1+E40)</f>
        <v>#N/A</v>
      </c>
      <c r="H40" s="3166">
        <f>'QBE Rates CGL'!C147</f>
        <v>0</v>
      </c>
      <c r="I40" s="3167" t="e">
        <f t="shared" si="4"/>
        <v>#N/A</v>
      </c>
      <c r="J40" s="3167" t="e">
        <f t="shared" si="5"/>
        <v>#N/A</v>
      </c>
    </row>
    <row r="41" spans="1:10" s="183" customFormat="1">
      <c r="A41" s="3008"/>
      <c r="B41" s="3008"/>
      <c r="C41" s="3008"/>
      <c r="D41" s="3009"/>
      <c r="E41" s="3009"/>
    </row>
    <row r="42" spans="1:10" s="183" customFormat="1" outlineLevel="1">
      <c r="A42" s="3016" t="s">
        <v>1033</v>
      </c>
      <c r="B42" s="666" t="s">
        <v>4356</v>
      </c>
      <c r="C42" s="2968" t="s">
        <v>3696</v>
      </c>
      <c r="D42" s="2949" t="s">
        <v>1231</v>
      </c>
      <c r="E42" s="2949" t="s">
        <v>4313</v>
      </c>
      <c r="F42" s="3010"/>
      <c r="G42" s="2968" t="s">
        <v>4325</v>
      </c>
    </row>
    <row r="43" spans="1:10" s="183" customFormat="1" outlineLevel="1">
      <c r="A43" s="3017" t="s">
        <v>4351</v>
      </c>
      <c r="B43" s="3017">
        <v>1000000</v>
      </c>
      <c r="C43" s="3046">
        <f>'QBE Rates CGL'!B31</f>
        <v>2200</v>
      </c>
      <c r="D43" s="3018">
        <v>0</v>
      </c>
      <c r="E43" s="3019" t="e">
        <f>VLOOKUP('Input '!$G$37,'Conditions (sept 2020)'!$B:$Q,16,FALSE)</f>
        <v>#N/A</v>
      </c>
      <c r="F43" s="3018" t="s">
        <v>4363</v>
      </c>
      <c r="G43" s="3020" t="e">
        <f>IF('Input '!G$38=1536,C43*(E43),C43*(1+E43))</f>
        <v>#N/A</v>
      </c>
      <c r="H43" s="3166"/>
      <c r="I43" s="3167" t="e">
        <f>E43</f>
        <v>#N/A</v>
      </c>
      <c r="J43" s="3167" t="e">
        <f>H43+I43</f>
        <v>#N/A</v>
      </c>
    </row>
    <row r="44" spans="1:10" s="183" customFormat="1" outlineLevel="1">
      <c r="A44" s="3017" t="s">
        <v>4353</v>
      </c>
      <c r="B44" s="3017">
        <v>2000000</v>
      </c>
      <c r="C44" s="3046">
        <f>'QBE Rates CGL'!B32</f>
        <v>2500</v>
      </c>
      <c r="D44" s="3018">
        <v>0</v>
      </c>
      <c r="E44" s="3019" t="e">
        <f>VLOOKUP('Input '!$G$37,'Conditions (sept 2020)'!$B:$Q,16,FALSE)</f>
        <v>#N/A</v>
      </c>
      <c r="F44" s="3018" t="s">
        <v>4364</v>
      </c>
      <c r="G44" s="3020" t="e">
        <f>IF('Input '!G$38=1536,C44*(E44),C44*(1+E44))</f>
        <v>#N/A</v>
      </c>
      <c r="H44" s="3166"/>
      <c r="I44" s="3167" t="e">
        <f t="shared" ref="I44:I47" si="7">E44</f>
        <v>#N/A</v>
      </c>
      <c r="J44" s="3167" t="e">
        <f t="shared" ref="J44:J47" si="8">H44+I44</f>
        <v>#N/A</v>
      </c>
    </row>
    <row r="45" spans="1:10" s="183" customFormat="1" outlineLevel="1">
      <c r="A45" s="3021"/>
      <c r="B45" s="3017">
        <v>3000000</v>
      </c>
      <c r="C45" s="3046">
        <f>'QBE Rates CGL'!B33</f>
        <v>2860</v>
      </c>
      <c r="D45" s="3018">
        <v>0</v>
      </c>
      <c r="E45" s="3019" t="e">
        <f>VLOOKUP('Input '!$G$37,'Conditions (sept 2020)'!$B:$Q,16,FALSE)</f>
        <v>#N/A</v>
      </c>
      <c r="F45" s="3018" t="s">
        <v>4365</v>
      </c>
      <c r="G45" s="3020" t="e">
        <f>IF('Input '!G$38=1536,C45*(E45),C45*(1+E45))</f>
        <v>#N/A</v>
      </c>
      <c r="H45" s="3166"/>
      <c r="I45" s="3167" t="e">
        <f t="shared" si="7"/>
        <v>#N/A</v>
      </c>
      <c r="J45" s="3167" t="e">
        <f t="shared" si="8"/>
        <v>#N/A</v>
      </c>
    </row>
    <row r="46" spans="1:10" s="183" customFormat="1" outlineLevel="1">
      <c r="A46" s="3021"/>
      <c r="B46" s="3017">
        <v>4000000</v>
      </c>
      <c r="C46" s="3046">
        <f>'QBE Rates CGL'!B34</f>
        <v>3080</v>
      </c>
      <c r="D46" s="3018">
        <v>0</v>
      </c>
      <c r="E46" s="3019" t="e">
        <f>VLOOKUP('Input '!$G$37,'Conditions (sept 2020)'!$B:$Q,16,FALSE)</f>
        <v>#N/A</v>
      </c>
      <c r="F46" s="3018" t="s">
        <v>4366</v>
      </c>
      <c r="G46" s="3020" t="e">
        <f>IF('Input '!G$38=1536,C46*(E46),C46*(1+E46))</f>
        <v>#N/A</v>
      </c>
      <c r="H46" s="3166"/>
      <c r="I46" s="3167" t="e">
        <f t="shared" si="7"/>
        <v>#N/A</v>
      </c>
      <c r="J46" s="3167" t="e">
        <f t="shared" si="8"/>
        <v>#N/A</v>
      </c>
    </row>
    <row r="47" spans="1:10" s="183" customFormat="1" outlineLevel="1">
      <c r="A47" s="3021" t="s">
        <v>4354</v>
      </c>
      <c r="B47" s="3021">
        <v>5000000</v>
      </c>
      <c r="C47" s="3046">
        <f>'QBE Rates CGL'!B35</f>
        <v>3300</v>
      </c>
      <c r="D47" s="3018">
        <v>0</v>
      </c>
      <c r="E47" s="3019" t="e">
        <f>VLOOKUP('Input '!$G$37,'Conditions (sept 2020)'!$B:$Q,16,FALSE)</f>
        <v>#N/A</v>
      </c>
      <c r="F47" s="3018" t="s">
        <v>4367</v>
      </c>
      <c r="G47" s="3020" t="e">
        <f>IF('Input '!G$38=1536,C47*(E47),C47*(1+E47))</f>
        <v>#N/A</v>
      </c>
      <c r="H47" s="3166"/>
      <c r="I47" s="3167" t="e">
        <f t="shared" si="7"/>
        <v>#N/A</v>
      </c>
      <c r="J47" s="3167" t="e">
        <f t="shared" si="8"/>
        <v>#N/A</v>
      </c>
    </row>
    <row r="48" spans="1:10" s="183" customFormat="1" outlineLevel="1">
      <c r="A48" s="3008"/>
      <c r="B48" s="3008"/>
      <c r="C48" s="3008"/>
      <c r="D48" s="3009"/>
      <c r="E48" s="3011"/>
    </row>
    <row r="49" spans="1:10" s="183" customFormat="1" outlineLevel="1">
      <c r="A49" s="3022" t="s">
        <v>4322</v>
      </c>
      <c r="B49" s="666" t="s">
        <v>4356</v>
      </c>
      <c r="C49" s="2968" t="s">
        <v>3696</v>
      </c>
      <c r="D49" s="2949" t="s">
        <v>1231</v>
      </c>
      <c r="E49" s="2949" t="s">
        <v>4313</v>
      </c>
      <c r="F49" s="3010"/>
      <c r="G49" s="2968" t="s">
        <v>4325</v>
      </c>
    </row>
    <row r="50" spans="1:10" s="183" customFormat="1" outlineLevel="1">
      <c r="A50" s="3022" t="s">
        <v>4351</v>
      </c>
      <c r="B50" s="3022">
        <v>1000000</v>
      </c>
      <c r="C50" s="3023">
        <f>'QBE Rates CGL'!B42</f>
        <v>2500</v>
      </c>
      <c r="D50" s="3024"/>
      <c r="E50" s="3025" t="e">
        <f>VLOOKUP('Input '!$G$37,'Conditions (sept 2020)'!$B:$Q,16,FALSE)</f>
        <v>#N/A</v>
      </c>
      <c r="F50" s="3024" t="s">
        <v>4368</v>
      </c>
      <c r="G50" s="3026" t="e">
        <f t="shared" ref="G50:G54" si="9">C50*(1+E50)</f>
        <v>#N/A</v>
      </c>
    </row>
    <row r="51" spans="1:10" s="183" customFormat="1" outlineLevel="1">
      <c r="A51" s="3022" t="s">
        <v>4353</v>
      </c>
      <c r="B51" s="3022">
        <v>2000000</v>
      </c>
      <c r="C51" s="3023">
        <f>'QBE Rates CGL'!B43</f>
        <v>3000</v>
      </c>
      <c r="D51" s="3024"/>
      <c r="E51" s="3025" t="e">
        <f>VLOOKUP('Input '!$G$37,'Conditions (sept 2020)'!$B:$Q,16,FALSE)</f>
        <v>#N/A</v>
      </c>
      <c r="F51" s="3024" t="s">
        <v>4369</v>
      </c>
      <c r="G51" s="3026" t="e">
        <f t="shared" si="9"/>
        <v>#N/A</v>
      </c>
    </row>
    <row r="52" spans="1:10" s="183" customFormat="1" outlineLevel="1">
      <c r="A52" s="3027"/>
      <c r="B52" s="3022">
        <v>3000000</v>
      </c>
      <c r="C52" s="3023">
        <f>'QBE Rates CGL'!B44</f>
        <v>3250</v>
      </c>
      <c r="D52" s="3024"/>
      <c r="E52" s="3025" t="e">
        <f>VLOOKUP('Input '!$G$37,'Conditions (sept 2020)'!$B:$Q,16,FALSE)</f>
        <v>#N/A</v>
      </c>
      <c r="F52" s="3024" t="s">
        <v>4370</v>
      </c>
      <c r="G52" s="3026" t="e">
        <f t="shared" si="9"/>
        <v>#N/A</v>
      </c>
    </row>
    <row r="53" spans="1:10" s="183" customFormat="1" outlineLevel="1">
      <c r="A53" s="3027"/>
      <c r="B53" s="3022">
        <v>4000000</v>
      </c>
      <c r="C53" s="3023">
        <f>'QBE Rates CGL'!B45</f>
        <v>3500</v>
      </c>
      <c r="D53" s="3024"/>
      <c r="E53" s="3025" t="e">
        <f>VLOOKUP('Input '!$G$37,'Conditions (sept 2020)'!$B:$Q,16,FALSE)</f>
        <v>#N/A</v>
      </c>
      <c r="F53" s="3024" t="s">
        <v>4371</v>
      </c>
      <c r="G53" s="3026" t="e">
        <f t="shared" si="9"/>
        <v>#N/A</v>
      </c>
    </row>
    <row r="54" spans="1:10" s="183" customFormat="1" outlineLevel="1">
      <c r="A54" s="3027" t="s">
        <v>4354</v>
      </c>
      <c r="B54" s="3027">
        <v>5000000</v>
      </c>
      <c r="C54" s="3023">
        <f>'QBE Rates CGL'!B46</f>
        <v>3750</v>
      </c>
      <c r="D54" s="3024"/>
      <c r="E54" s="3025" t="e">
        <f>VLOOKUP('Input '!$G$37,'Conditions (sept 2020)'!$B:$Q,16,FALSE)</f>
        <v>#N/A</v>
      </c>
      <c r="F54" s="3024" t="s">
        <v>4372</v>
      </c>
      <c r="G54" s="3026" t="e">
        <f t="shared" si="9"/>
        <v>#N/A</v>
      </c>
    </row>
    <row r="55" spans="1:10" s="183" customFormat="1">
      <c r="A55" s="3008"/>
      <c r="B55" s="3008"/>
      <c r="C55" s="3008"/>
      <c r="D55" s="3009"/>
      <c r="E55" s="3011"/>
    </row>
    <row r="56" spans="1:10" s="183" customFormat="1">
      <c r="A56" s="3022" t="s">
        <v>4180</v>
      </c>
      <c r="B56" s="666" t="s">
        <v>4356</v>
      </c>
      <c r="C56" s="2968" t="s">
        <v>3696</v>
      </c>
      <c r="D56" s="2949" t="s">
        <v>1231</v>
      </c>
      <c r="E56" s="2949" t="s">
        <v>4313</v>
      </c>
      <c r="F56" s="3010"/>
      <c r="G56" s="2968" t="s">
        <v>4325</v>
      </c>
    </row>
    <row r="57" spans="1:10" s="183" customFormat="1">
      <c r="A57" s="3022" t="s">
        <v>4351</v>
      </c>
      <c r="B57" s="3022">
        <v>1000000</v>
      </c>
      <c r="C57" s="3023" t="e">
        <f ca="1">'QBE Rates CGL'!G51</f>
        <v>#VALUE!</v>
      </c>
      <c r="D57" s="3024"/>
      <c r="E57" s="3025" t="e">
        <f>VLOOKUP('Input '!$G$37,'Conditions (sept 2020)'!$B:$Q,16,FALSE)</f>
        <v>#N/A</v>
      </c>
      <c r="F57" s="3024" t="s">
        <v>4373</v>
      </c>
      <c r="G57" s="3026" t="e">
        <f ca="1">C57*(1+E57)</f>
        <v>#VALUE!</v>
      </c>
      <c r="H57" s="3168">
        <f>'QBE Rates CGL'!C51</f>
        <v>0</v>
      </c>
      <c r="I57" s="3167" t="e">
        <f>E57</f>
        <v>#N/A</v>
      </c>
      <c r="J57" s="3167" t="e">
        <f>H57+I57</f>
        <v>#N/A</v>
      </c>
    </row>
    <row r="58" spans="1:10" s="183" customFormat="1">
      <c r="A58" s="3022" t="s">
        <v>4353</v>
      </c>
      <c r="B58" s="3022">
        <v>2000000</v>
      </c>
      <c r="C58" s="3023" t="e">
        <f ca="1">'QBE Rates CGL'!G52</f>
        <v>#VALUE!</v>
      </c>
      <c r="D58" s="3024"/>
      <c r="E58" s="3025" t="e">
        <f>VLOOKUP('Input '!$G$37,'Conditions (sept 2020)'!$B:$Q,16,FALSE)</f>
        <v>#N/A</v>
      </c>
      <c r="F58" s="3024" t="s">
        <v>4374</v>
      </c>
      <c r="G58" s="3026" t="e">
        <f ca="1">C58*(1+E58)</f>
        <v>#VALUE!</v>
      </c>
      <c r="H58" s="3168">
        <f>'QBE Rates CGL'!C52</f>
        <v>0</v>
      </c>
      <c r="I58" s="3167" t="e">
        <f t="shared" ref="I58:I61" si="10">E58</f>
        <v>#N/A</v>
      </c>
      <c r="J58" s="3167" t="e">
        <f t="shared" ref="J58:J61" si="11">H58+I58</f>
        <v>#N/A</v>
      </c>
    </row>
    <row r="59" spans="1:10" s="183" customFormat="1">
      <c r="A59" s="3027"/>
      <c r="B59" s="3022">
        <v>3000000</v>
      </c>
      <c r="C59" s="3023" t="e">
        <f ca="1">'QBE Rates CGL'!G53</f>
        <v>#VALUE!</v>
      </c>
      <c r="D59" s="3024"/>
      <c r="E59" s="3025" t="e">
        <f>VLOOKUP('Input '!$G$37,'Conditions (sept 2020)'!$B:$Q,16,FALSE)</f>
        <v>#N/A</v>
      </c>
      <c r="F59" s="3024" t="s">
        <v>4375</v>
      </c>
      <c r="G59" s="3026" t="e">
        <f ca="1">C59*(1+E59)</f>
        <v>#VALUE!</v>
      </c>
      <c r="H59" s="3168">
        <f>'QBE Rates CGL'!C53</f>
        <v>0</v>
      </c>
      <c r="I59" s="3167" t="e">
        <f t="shared" si="10"/>
        <v>#N/A</v>
      </c>
      <c r="J59" s="3167" t="e">
        <f t="shared" si="11"/>
        <v>#N/A</v>
      </c>
    </row>
    <row r="60" spans="1:10" s="183" customFormat="1">
      <c r="A60" s="3027"/>
      <c r="B60" s="3022">
        <v>4000000</v>
      </c>
      <c r="C60" s="3023" t="e">
        <f ca="1">'QBE Rates CGL'!G54</f>
        <v>#VALUE!</v>
      </c>
      <c r="D60" s="3024"/>
      <c r="E60" s="3025" t="e">
        <f>VLOOKUP('Input '!$G$37,'Conditions (sept 2020)'!$B:$Q,16,FALSE)</f>
        <v>#N/A</v>
      </c>
      <c r="F60" s="3024" t="s">
        <v>4376</v>
      </c>
      <c r="G60" s="3026" t="e">
        <f ca="1">C60*(1+E60)</f>
        <v>#VALUE!</v>
      </c>
      <c r="H60" s="3168">
        <f>'QBE Rates CGL'!C54</f>
        <v>0</v>
      </c>
      <c r="I60" s="3167" t="e">
        <f t="shared" si="10"/>
        <v>#N/A</v>
      </c>
      <c r="J60" s="3167" t="e">
        <f t="shared" si="11"/>
        <v>#N/A</v>
      </c>
    </row>
    <row r="61" spans="1:10" s="183" customFormat="1">
      <c r="A61" s="3027" t="s">
        <v>4354</v>
      </c>
      <c r="B61" s="3027">
        <v>5000000</v>
      </c>
      <c r="C61" s="3023" t="e">
        <f ca="1">'QBE Rates CGL'!G55</f>
        <v>#VALUE!</v>
      </c>
      <c r="D61" s="3024"/>
      <c r="E61" s="3025" t="e">
        <f>VLOOKUP('Input '!$G$37,'Conditions (sept 2020)'!$B:$Q,16,FALSE)</f>
        <v>#N/A</v>
      </c>
      <c r="F61" s="3024" t="s">
        <v>4377</v>
      </c>
      <c r="G61" s="3026" t="e">
        <f ca="1">C61*(1+E61)</f>
        <v>#VALUE!</v>
      </c>
      <c r="H61" s="3168">
        <f>'QBE Rates CGL'!C55</f>
        <v>0</v>
      </c>
      <c r="I61" s="3167" t="e">
        <f t="shared" si="10"/>
        <v>#N/A</v>
      </c>
      <c r="J61" s="3167" t="e">
        <f t="shared" si="11"/>
        <v>#N/A</v>
      </c>
    </row>
    <row r="62" spans="1:10" s="183" customFormat="1">
      <c r="A62" s="3008"/>
      <c r="B62" s="3008"/>
      <c r="C62" s="3008"/>
      <c r="D62" s="3009"/>
      <c r="E62" s="3011"/>
    </row>
    <row r="63" spans="1:10" s="183" customFormat="1" ht="33">
      <c r="A63" s="3028" t="s">
        <v>4330</v>
      </c>
      <c r="B63" s="666"/>
      <c r="C63" s="2968"/>
      <c r="D63" s="2949"/>
      <c r="E63" s="2949"/>
      <c r="F63" s="3010"/>
      <c r="G63" s="2968"/>
    </row>
    <row r="64" spans="1:10" s="183" customFormat="1">
      <c r="A64" s="3029" t="s">
        <v>4351</v>
      </c>
      <c r="B64" s="3030">
        <v>1000000</v>
      </c>
      <c r="C64" s="3031">
        <f ca="1">'QBE Rates CGL'!G113</f>
        <v>756.25000000000023</v>
      </c>
      <c r="D64" s="3032"/>
      <c r="E64" s="3033" t="e">
        <f>VLOOKUP('Input '!$G$37,'Conditions (sept 2020)'!$B:$Q,16,FALSE)+$G$3</f>
        <v>#N/A</v>
      </c>
      <c r="F64" s="3032" t="s">
        <v>4352</v>
      </c>
      <c r="G64" s="3043" t="e">
        <f ca="1">C64*(1+E64)</f>
        <v>#N/A</v>
      </c>
      <c r="H64" s="3168">
        <f>'QBE Rates CGL'!C113</f>
        <v>0</v>
      </c>
      <c r="I64" s="3167" t="e">
        <f>E64</f>
        <v>#N/A</v>
      </c>
      <c r="J64" s="3167" t="e">
        <f>H64+I64</f>
        <v>#N/A</v>
      </c>
    </row>
    <row r="65" spans="1:10" s="183" customFormat="1">
      <c r="A65" s="3029" t="s">
        <v>4353</v>
      </c>
      <c r="B65" s="3030">
        <v>2000000</v>
      </c>
      <c r="C65" s="3031">
        <f ca="1">'QBE Rates CGL'!G114</f>
        <v>907.50000000000023</v>
      </c>
      <c r="D65" s="3032"/>
      <c r="E65" s="3033" t="e">
        <f>VLOOKUP('Input '!$G$37,'Conditions (sept 2020)'!$B:$Q,16,FALSE)+$G$3</f>
        <v>#N/A</v>
      </c>
      <c r="F65" s="3032" t="s">
        <v>4350</v>
      </c>
      <c r="G65" s="3043" t="e">
        <f ca="1">C65*(1+E65)</f>
        <v>#N/A</v>
      </c>
      <c r="H65" s="3168">
        <f>'QBE Rates CGL'!C114</f>
        <v>0</v>
      </c>
      <c r="I65" s="3167" t="e">
        <f t="shared" ref="I65:I68" si="12">E65</f>
        <v>#N/A</v>
      </c>
      <c r="J65" s="3167" t="e">
        <f t="shared" ref="J65:J68" si="13">H65+I65</f>
        <v>#N/A</v>
      </c>
    </row>
    <row r="66" spans="1:10" s="183" customFormat="1">
      <c r="A66" s="3034"/>
      <c r="B66" s="3030">
        <v>3000000</v>
      </c>
      <c r="C66" s="3031">
        <f ca="1">'QBE Rates CGL'!G115</f>
        <v>983.12500000000034</v>
      </c>
      <c r="D66" s="3032"/>
      <c r="E66" s="3033" t="e">
        <f>VLOOKUP('Input '!$G$37,'Conditions (sept 2020)'!$B:$Q,16,FALSE)+$G$3</f>
        <v>#N/A</v>
      </c>
      <c r="F66" s="3032" t="s">
        <v>4378</v>
      </c>
      <c r="G66" s="3043" t="e">
        <f ca="1">C66*(1+E66)</f>
        <v>#N/A</v>
      </c>
      <c r="H66" s="3168">
        <f>'QBE Rates CGL'!C115</f>
        <v>0</v>
      </c>
      <c r="I66" s="3167" t="e">
        <f t="shared" si="12"/>
        <v>#N/A</v>
      </c>
      <c r="J66" s="3167" t="e">
        <f t="shared" si="13"/>
        <v>#N/A</v>
      </c>
    </row>
    <row r="67" spans="1:10" s="183" customFormat="1">
      <c r="A67" s="3034"/>
      <c r="B67" s="3030">
        <v>4000000</v>
      </c>
      <c r="C67" s="3031">
        <f ca="1">'QBE Rates CGL'!G116</f>
        <v>1058.7500000000002</v>
      </c>
      <c r="D67" s="3032"/>
      <c r="E67" s="3033" t="e">
        <f>VLOOKUP('Input '!$G$37,'Conditions (sept 2020)'!$B:$Q,16,FALSE)+$G$3</f>
        <v>#N/A</v>
      </c>
      <c r="F67" s="3032" t="s">
        <v>4379</v>
      </c>
      <c r="G67" s="3043" t="e">
        <f ca="1">C67*(1+E67)</f>
        <v>#N/A</v>
      </c>
      <c r="H67" s="3168">
        <f>'QBE Rates CGL'!C116</f>
        <v>0</v>
      </c>
      <c r="I67" s="3167" t="e">
        <f t="shared" si="12"/>
        <v>#N/A</v>
      </c>
      <c r="J67" s="3167" t="e">
        <f t="shared" si="13"/>
        <v>#N/A</v>
      </c>
    </row>
    <row r="68" spans="1:10" s="183" customFormat="1">
      <c r="A68" s="3034" t="s">
        <v>4354</v>
      </c>
      <c r="B68" s="3030">
        <v>5000000</v>
      </c>
      <c r="C68" s="3031">
        <f ca="1">'QBE Rates CGL'!G117</f>
        <v>1134.3750000000005</v>
      </c>
      <c r="D68" s="3032"/>
      <c r="E68" s="3033" t="e">
        <f>VLOOKUP('Input '!$G$37,'Conditions (sept 2020)'!$B:$Q,16,FALSE)+$G$3</f>
        <v>#N/A</v>
      </c>
      <c r="F68" s="3032" t="s">
        <v>4355</v>
      </c>
      <c r="G68" s="3043" t="e">
        <f ca="1">C68*(1+E68)</f>
        <v>#N/A</v>
      </c>
      <c r="H68" s="3168">
        <f>'QBE Rates CGL'!C117</f>
        <v>0</v>
      </c>
      <c r="I68" s="3167" t="e">
        <f t="shared" si="12"/>
        <v>#N/A</v>
      </c>
      <c r="J68" s="3167" t="e">
        <f t="shared" si="13"/>
        <v>#N/A</v>
      </c>
    </row>
    <row r="69" spans="1:10" s="183" customFormat="1">
      <c r="A69" s="3008"/>
      <c r="B69" s="3008"/>
      <c r="C69" s="3008"/>
      <c r="D69" s="3009"/>
      <c r="E69" s="3011"/>
    </row>
    <row r="70" spans="1:10" s="183" customFormat="1" ht="16.5">
      <c r="A70" s="3035" t="s">
        <v>4380</v>
      </c>
      <c r="B70" s="666"/>
      <c r="C70" s="2968"/>
      <c r="D70" s="2949"/>
      <c r="E70" s="2949"/>
      <c r="F70" s="3010"/>
      <c r="G70" s="2968"/>
    </row>
    <row r="71" spans="1:10" s="183" customFormat="1">
      <c r="A71" s="3036" t="s">
        <v>4351</v>
      </c>
      <c r="B71" s="3036">
        <v>1000000</v>
      </c>
      <c r="C71" s="3037">
        <f ca="1">'QBE Rates CGL'!G83</f>
        <v>1145.8333333333335</v>
      </c>
      <c r="D71" s="3038"/>
      <c r="E71" s="3039" t="e">
        <f>VLOOKUP('Input '!$G$37,'Conditions (sept 2020)'!$B:$Q,16,FALSE)++$G$3</f>
        <v>#N/A</v>
      </c>
      <c r="F71" s="3024" t="s">
        <v>4381</v>
      </c>
      <c r="G71" s="3026" t="e">
        <f ca="1">C71*(1+E71)</f>
        <v>#N/A</v>
      </c>
      <c r="H71" s="3168">
        <f>'QBE Rates CGL'!C83</f>
        <v>0</v>
      </c>
      <c r="I71" s="3167" t="e">
        <f>E71</f>
        <v>#N/A</v>
      </c>
      <c r="J71" s="3167" t="e">
        <f>H71+I71</f>
        <v>#N/A</v>
      </c>
    </row>
    <row r="72" spans="1:10" s="183" customFormat="1">
      <c r="A72" s="3036" t="s">
        <v>4353</v>
      </c>
      <c r="B72" s="3036">
        <v>2000000</v>
      </c>
      <c r="C72" s="3037">
        <f ca="1">'QBE Rates CGL'!G84</f>
        <v>1375.0000000000002</v>
      </c>
      <c r="D72" s="3038"/>
      <c r="E72" s="3039" t="e">
        <f>VLOOKUP('Input '!$G$37,'Conditions (sept 2020)'!$B:$Q,16,FALSE)++$G$3</f>
        <v>#N/A</v>
      </c>
      <c r="F72" s="3024" t="s">
        <v>4382</v>
      </c>
      <c r="G72" s="3026" t="e">
        <f ca="1">C72*(1+E72)</f>
        <v>#N/A</v>
      </c>
      <c r="H72" s="3168">
        <f>'QBE Rates CGL'!C84</f>
        <v>0</v>
      </c>
      <c r="I72" s="3167" t="e">
        <f t="shared" ref="I72:I75" si="14">E72</f>
        <v>#N/A</v>
      </c>
      <c r="J72" s="3167" t="e">
        <f t="shared" ref="J72:J75" si="15">H72+I72</f>
        <v>#N/A</v>
      </c>
    </row>
    <row r="73" spans="1:10" s="183" customFormat="1">
      <c r="A73" s="3040"/>
      <c r="B73" s="3036">
        <v>3000000</v>
      </c>
      <c r="C73" s="3037">
        <f ca="1">'QBE Rates CGL'!G85</f>
        <v>1489.5833333333335</v>
      </c>
      <c r="D73" s="3038"/>
      <c r="E73" s="3039" t="e">
        <f>VLOOKUP('Input '!$G$37,'Conditions (sept 2020)'!$B:$Q,16,FALSE)++$G$3</f>
        <v>#N/A</v>
      </c>
      <c r="F73" s="3024" t="s">
        <v>4383</v>
      </c>
      <c r="G73" s="3026" t="e">
        <f ca="1">C73*(1+E73)</f>
        <v>#N/A</v>
      </c>
      <c r="H73" s="3168">
        <f>'QBE Rates CGL'!C85</f>
        <v>0</v>
      </c>
      <c r="I73" s="3167" t="e">
        <f t="shared" si="14"/>
        <v>#N/A</v>
      </c>
      <c r="J73" s="3167" t="e">
        <f t="shared" si="15"/>
        <v>#N/A</v>
      </c>
    </row>
    <row r="74" spans="1:10" s="183" customFormat="1">
      <c r="A74" s="3040"/>
      <c r="B74" s="3036">
        <v>4000000</v>
      </c>
      <c r="C74" s="3037">
        <f ca="1">'QBE Rates CGL'!G86</f>
        <v>1604.1666666666667</v>
      </c>
      <c r="D74" s="3038"/>
      <c r="E74" s="3039" t="e">
        <f>VLOOKUP('Input '!$G$37,'Conditions (sept 2020)'!$B:$Q,16,FALSE)++$G$3</f>
        <v>#N/A</v>
      </c>
      <c r="F74" s="3024" t="s">
        <v>4384</v>
      </c>
      <c r="G74" s="3026" t="e">
        <f ca="1">C74*(1+E74)</f>
        <v>#N/A</v>
      </c>
      <c r="H74" s="3168">
        <f>'QBE Rates CGL'!C86</f>
        <v>0</v>
      </c>
      <c r="I74" s="3167" t="e">
        <f t="shared" si="14"/>
        <v>#N/A</v>
      </c>
      <c r="J74" s="3167" t="e">
        <f t="shared" si="15"/>
        <v>#N/A</v>
      </c>
    </row>
    <row r="75" spans="1:10" s="183" customFormat="1">
      <c r="A75" s="3040" t="s">
        <v>4354</v>
      </c>
      <c r="B75" s="3040">
        <v>5000000</v>
      </c>
      <c r="C75" s="3037">
        <f ca="1">'QBE Rates CGL'!G87</f>
        <v>1718.7500000000002</v>
      </c>
      <c r="D75" s="3038"/>
      <c r="E75" s="3039" t="e">
        <f>VLOOKUP('Input '!$G$37,'Conditions (sept 2020)'!$B:$Q,16,FALSE)++$G$3</f>
        <v>#N/A</v>
      </c>
      <c r="F75" s="3024" t="s">
        <v>4385</v>
      </c>
      <c r="G75" s="3026" t="e">
        <f ca="1">C75*(1+E75)</f>
        <v>#N/A</v>
      </c>
      <c r="H75" s="3168">
        <f>'QBE Rates CGL'!C87</f>
        <v>0</v>
      </c>
      <c r="I75" s="3167" t="e">
        <f t="shared" si="14"/>
        <v>#N/A</v>
      </c>
      <c r="J75" s="3167" t="e">
        <f t="shared" si="15"/>
        <v>#N/A</v>
      </c>
    </row>
    <row r="76" spans="1:10" s="183" customFormat="1">
      <c r="A76" s="3008"/>
      <c r="B76" s="666"/>
      <c r="C76" s="2968"/>
      <c r="D76" s="2949"/>
      <c r="E76" s="2949"/>
      <c r="F76" s="3010"/>
      <c r="G76" s="2968"/>
    </row>
    <row r="78" spans="1:10">
      <c r="C78" s="326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CCCC00"/>
  </sheetPr>
  <dimension ref="A1:CA172"/>
  <sheetViews>
    <sheetView showGridLines="0" topLeftCell="C1" zoomScale="80" zoomScaleNormal="80" workbookViewId="0">
      <selection activeCell="I36" sqref="I36"/>
    </sheetView>
  </sheetViews>
  <sheetFormatPr defaultColWidth="9.140625" defaultRowHeight="16.5" outlineLevelRow="1" outlineLevelCol="3"/>
  <cols>
    <col min="1" max="2" width="37.42578125" style="36" hidden="1" customWidth="1" outlineLevel="1"/>
    <col min="3" max="3" width="9" style="31" customWidth="1" collapsed="1"/>
    <col min="4" max="4" width="8.5703125" style="31" hidden="1" customWidth="1" outlineLevel="1"/>
    <col min="5" max="5" width="13.140625" style="31" customWidth="1" collapsed="1"/>
    <col min="6" max="6" width="8" style="185" customWidth="1"/>
    <col min="7" max="7" width="29.5703125" style="36" customWidth="1"/>
    <col min="8" max="8" width="38.42578125" style="185" customWidth="1"/>
    <col min="9" max="9" width="20.140625" style="32" customWidth="1"/>
    <col min="10" max="10" width="10.140625" style="32" customWidth="1"/>
    <col min="11" max="11" width="11.85546875" style="32" customWidth="1"/>
    <col min="12" max="12" width="11.7109375" style="32" customWidth="1"/>
    <col min="13" max="13" width="12.5703125" style="31" customWidth="1"/>
    <col min="14" max="14" width="9.7109375" style="31" customWidth="1"/>
    <col min="15" max="15" width="19.7109375" style="31" hidden="1" customWidth="1" outlineLevel="1"/>
    <col min="16" max="16" width="11.5703125" style="31" hidden="1" customWidth="1" outlineLevel="1" collapsed="1"/>
    <col min="17" max="17" width="11.28515625" style="31" hidden="1" customWidth="1" outlineLevel="1" collapsed="1"/>
    <col min="18" max="18" width="11.28515625" style="31" hidden="1" customWidth="1" outlineLevel="1"/>
    <col min="19" max="19" width="10.85546875" style="31" customWidth="1" collapsed="1"/>
    <col min="20" max="20" width="14.28515625" style="31" customWidth="1"/>
    <col min="21" max="21" width="15.42578125" style="31" customWidth="1"/>
    <col min="22" max="22" width="15" style="31" customWidth="1"/>
    <col min="23" max="23" width="11.42578125" style="31" customWidth="1"/>
    <col min="24" max="24" width="17.28515625" style="32" customWidth="1"/>
    <col min="25" max="25" width="12.5703125" style="32" customWidth="1"/>
    <col min="26" max="26" width="13.140625" style="32" customWidth="1"/>
    <col min="27" max="27" width="13.7109375" style="32" customWidth="1"/>
    <col min="28" max="28" width="13.5703125" style="1196" customWidth="1" outlineLevel="3"/>
    <col min="29" max="29" width="13.5703125" style="1191" customWidth="1" outlineLevel="3"/>
    <col min="30" max="44" width="13.5703125" style="40" customWidth="1" outlineLevel="3"/>
    <col min="45" max="45" width="13.5703125" style="40" customWidth="1" outlineLevel="1"/>
    <col min="46" max="49" width="13.5703125" style="40" customWidth="1" outlineLevel="2"/>
    <col min="50" max="50" width="16.140625" style="31" customWidth="1" outlineLevel="2"/>
    <col min="51" max="55" width="12.28515625" style="31" customWidth="1" outlineLevel="1"/>
    <col min="56" max="56" width="9.140625" style="31" customWidth="1" outlineLevel="1" collapsed="1"/>
    <col min="57" max="59" width="9.140625" style="31" customWidth="1" outlineLevel="1"/>
    <col min="60" max="60" width="9.7109375" style="31" customWidth="1" outlineLevel="1"/>
    <col min="61" max="61" width="9.140625" style="31" customWidth="1" outlineLevel="1"/>
    <col min="62" max="62" width="12.42578125" style="31" customWidth="1"/>
    <col min="63" max="63" width="9.28515625" style="31" bestFit="1" customWidth="1"/>
    <col min="64" max="64" width="12.85546875" style="31" customWidth="1"/>
    <col min="65" max="65" width="9.140625" style="31"/>
    <col min="66" max="66" width="6.42578125" style="31" customWidth="1"/>
    <col min="67" max="67" width="12.5703125" style="31" customWidth="1"/>
    <col min="68" max="69" width="9.140625" style="31"/>
    <col min="70" max="70" width="11.85546875" style="31" bestFit="1" customWidth="1"/>
    <col min="71" max="71" width="9.140625" style="31"/>
    <col min="72" max="72" width="11.85546875" style="31" bestFit="1" customWidth="1"/>
    <col min="73" max="73" width="9.140625" style="31"/>
    <col min="74" max="75" width="9.140625" style="31" hidden="1" customWidth="1" outlineLevel="1"/>
    <col min="76" max="76" width="7.85546875" style="31" hidden="1" customWidth="1" outlineLevel="1"/>
    <col min="77" max="77" width="44.42578125" style="31" hidden="1" customWidth="1" outlineLevel="1"/>
    <col min="78" max="78" width="28.85546875" style="31" hidden="1" customWidth="1" outlineLevel="1"/>
    <col min="79" max="79" width="9.140625" style="31" collapsed="1"/>
    <col min="80" max="16384" width="9.140625" style="31"/>
  </cols>
  <sheetData>
    <row r="1" spans="1:67" ht="25.5">
      <c r="A1" s="74" t="s">
        <v>1039</v>
      </c>
      <c r="B1" s="74" t="s">
        <v>3507</v>
      </c>
      <c r="E1" s="2286" t="str">
        <f>IF('Input '!$E$1="EN",B1,A1)</f>
        <v>A. Property Section</v>
      </c>
      <c r="F1" s="190"/>
      <c r="H1" s="2416" t="str">
        <f>'Input '!F3</f>
        <v>Province:</v>
      </c>
      <c r="I1" s="31">
        <f>'Input '!G3</f>
        <v>0</v>
      </c>
      <c r="J1" s="31"/>
      <c r="K1" s="2325" t="s">
        <v>4443</v>
      </c>
      <c r="L1" s="3186">
        <v>0</v>
      </c>
      <c r="M1" s="2416" t="s">
        <v>4299</v>
      </c>
      <c r="N1" s="3187">
        <f>IF(I1="Ontario",40%,0%)</f>
        <v>0</v>
      </c>
    </row>
    <row r="2" spans="1:67">
      <c r="A2" s="3182" t="str">
        <f>IF(OR(LEFT(I2,1)="A",LEFT(I2,1)="E"),"R",LEFT(I2,1))</f>
        <v>N</v>
      </c>
      <c r="B2" s="3182" t="str">
        <f>CONCATENATE(A2,"_",IF(I1="Ontario",LEFT(I1,1),"Q"))</f>
        <v>N_Q</v>
      </c>
      <c r="E2" s="39"/>
      <c r="F2" s="189"/>
      <c r="H2" s="189"/>
      <c r="I2" s="31" t="str">
        <f>'Input '!G36</f>
        <v>New Business</v>
      </c>
      <c r="J2" s="31"/>
    </row>
    <row r="3" spans="1:67" s="1105" customFormat="1" ht="49.5" hidden="1" outlineLevel="1">
      <c r="A3" s="1104"/>
      <c r="B3" s="1159"/>
      <c r="D3" s="1873" t="s">
        <v>4067</v>
      </c>
      <c r="E3" s="1192"/>
      <c r="F3" s="1193"/>
      <c r="G3" s="1104"/>
      <c r="H3" s="1193"/>
      <c r="I3" s="1107" t="s">
        <v>1015</v>
      </c>
      <c r="J3" s="1503"/>
      <c r="K3" s="1108" t="s">
        <v>4091</v>
      </c>
      <c r="L3" s="1108" t="s">
        <v>1080</v>
      </c>
      <c r="M3" s="1108" t="s">
        <v>1024</v>
      </c>
      <c r="N3" s="1108" t="s">
        <v>1127</v>
      </c>
      <c r="O3" s="1108"/>
      <c r="P3" s="1194"/>
      <c r="Q3" s="1194"/>
      <c r="R3" s="1194"/>
      <c r="S3" s="1108" t="s">
        <v>1145</v>
      </c>
      <c r="T3" s="1108"/>
      <c r="U3" s="1109" t="s">
        <v>1036</v>
      </c>
      <c r="V3" s="1109" t="s">
        <v>1028</v>
      </c>
      <c r="W3" s="1109" t="s">
        <v>1095</v>
      </c>
      <c r="X3" s="1110" t="s">
        <v>1072</v>
      </c>
      <c r="Y3" s="1110" t="s">
        <v>1073</v>
      </c>
      <c r="Z3" s="1110" t="s">
        <v>1074</v>
      </c>
      <c r="AA3" s="1195" t="s">
        <v>27</v>
      </c>
      <c r="AB3" s="1195" t="s">
        <v>27</v>
      </c>
      <c r="AC3" s="1190" t="s">
        <v>27</v>
      </c>
      <c r="AD3" s="1196"/>
      <c r="AE3" s="1196"/>
      <c r="AF3" s="1196"/>
      <c r="AG3" s="1196"/>
      <c r="AH3" s="1196"/>
      <c r="AI3" s="1196"/>
      <c r="AJ3" s="1196"/>
      <c r="AK3" s="1196"/>
      <c r="AL3" s="1196"/>
      <c r="AM3" s="1196"/>
      <c r="AN3" s="1196"/>
      <c r="AO3" s="1196"/>
      <c r="AP3" s="1196"/>
      <c r="AQ3" s="1196"/>
      <c r="AR3" s="1196"/>
      <c r="AS3" s="1196"/>
      <c r="AT3" s="1196"/>
      <c r="AU3" s="1196"/>
      <c r="AV3" s="1196"/>
      <c r="AW3" s="1196"/>
    </row>
    <row r="4" spans="1:67" s="1097" customFormat="1" ht="49.5" hidden="1" outlineLevel="1">
      <c r="A4" s="1096"/>
      <c r="B4" s="1155"/>
      <c r="D4" s="1873" t="s">
        <v>4067</v>
      </c>
      <c r="E4" s="1187"/>
      <c r="F4" s="1188"/>
      <c r="G4" s="1096"/>
      <c r="H4" s="1188"/>
      <c r="I4" s="1099" t="s">
        <v>231</v>
      </c>
      <c r="J4" s="1503"/>
      <c r="K4" s="1100" t="s">
        <v>4092</v>
      </c>
      <c r="L4" s="1100" t="s">
        <v>3523</v>
      </c>
      <c r="M4" s="1100" t="s">
        <v>3524</v>
      </c>
      <c r="N4" s="1100" t="s">
        <v>3525</v>
      </c>
      <c r="O4" s="1100"/>
      <c r="P4" s="1189"/>
      <c r="Q4" s="1189"/>
      <c r="R4" s="1189"/>
      <c r="S4" s="1100" t="s">
        <v>3526</v>
      </c>
      <c r="T4" s="1100"/>
      <c r="U4" s="1101" t="s">
        <v>3527</v>
      </c>
      <c r="V4" s="1101" t="s">
        <v>3528</v>
      </c>
      <c r="W4" s="1101" t="s">
        <v>3529</v>
      </c>
      <c r="X4" s="1102" t="s">
        <v>3463</v>
      </c>
      <c r="Y4" s="1102" t="s">
        <v>3514</v>
      </c>
      <c r="Z4" s="1102" t="s">
        <v>3465</v>
      </c>
      <c r="AA4" s="1190" t="s">
        <v>3456</v>
      </c>
      <c r="AB4" s="1195" t="s">
        <v>3456</v>
      </c>
      <c r="AC4" s="1190" t="s">
        <v>3456</v>
      </c>
      <c r="AD4" s="1191"/>
      <c r="AE4" s="1191"/>
      <c r="AF4" s="1191"/>
      <c r="AG4" s="1191"/>
      <c r="AH4" s="1191"/>
      <c r="AI4" s="1191"/>
      <c r="AJ4" s="1191"/>
      <c r="AK4" s="1191"/>
      <c r="AL4" s="1191"/>
      <c r="AM4" s="1191"/>
      <c r="AN4" s="1191"/>
      <c r="AO4" s="1191"/>
      <c r="AP4" s="1191"/>
      <c r="AQ4" s="1191"/>
      <c r="AR4" s="1191"/>
      <c r="AS4" s="1191"/>
      <c r="AT4" s="1191"/>
      <c r="AU4" s="1191"/>
      <c r="AV4" s="1191"/>
      <c r="AW4" s="1191"/>
    </row>
    <row r="5" spans="1:67" s="2260" customFormat="1" ht="56.25" customHeight="1" collapsed="1">
      <c r="A5" s="1021" t="s">
        <v>4074</v>
      </c>
      <c r="B5" s="1021" t="s">
        <v>4073</v>
      </c>
      <c r="D5" s="31"/>
      <c r="E5" s="2389" t="str">
        <f>IF('Input '!$E$1="EN","Quote: Y/N","Offerte : Y/N")</f>
        <v>Quote: Y/N</v>
      </c>
      <c r="F5" s="2390"/>
      <c r="G5" s="2391" t="str">
        <f>IF('Input '!$E$1="EN",Property!B5,Property!A5)</f>
        <v>Coverage:</v>
      </c>
      <c r="H5" s="2392"/>
      <c r="I5" s="2392" t="str">
        <f>IF('Input '!$E$1="EN",I4,I3)</f>
        <v>Limit</v>
      </c>
      <c r="J5" s="2393"/>
      <c r="K5" s="2390" t="str">
        <f>IF('Input '!$E$1="EN",K4,K3)</f>
        <v>Nb days of cov.</v>
      </c>
      <c r="L5" s="2390" t="str">
        <f>IF('Input '!$E$1="EN",L4,L3)</f>
        <v>Nb of pieces</v>
      </c>
      <c r="M5" s="2390" t="str">
        <f>IF('Input '!$E$1="EN",M4,M3)</f>
        <v>Contract rate</v>
      </c>
      <c r="N5" s="2390" t="str">
        <f>IF('Input '!$E$1="EN",N4,N3)</f>
        <v>Quoted rate</v>
      </c>
      <c r="O5" s="2394">
        <f>IF('Input '!$E$1="EN",O4,O3)</f>
        <v>0</v>
      </c>
      <c r="P5" s="2395">
        <f>IF('Input '!$E$1="EN",P4,P3)</f>
        <v>0</v>
      </c>
      <c r="Q5" s="2394">
        <f>IF('Input '!$E$1="EN",Q4,Q3)</f>
        <v>0</v>
      </c>
      <c r="R5" s="2394"/>
      <c r="S5" s="2395" t="str">
        <f>IF('Input '!$E$1="EN",S4,S3)</f>
        <v>Quote rate check</v>
      </c>
      <c r="T5" s="2396" t="s">
        <v>3530</v>
      </c>
      <c r="U5" s="2395" t="str">
        <f>IF('Input '!$E$1="EN",U4,U3)</f>
        <v>Min contractual Premium</v>
      </c>
      <c r="V5" s="2390" t="str">
        <f>IF('Input '!$E$1="EN",V4,V3)</f>
        <v>Premium Quoted</v>
      </c>
      <c r="W5" s="2390" t="str">
        <f>IF('Input '!$E$1="EN",W4,W3)</f>
        <v>Premium Displayed</v>
      </c>
      <c r="X5" s="2390" t="str">
        <f>IF('Input '!$E$1="EN",X4,X3)</f>
        <v>Min Deductible</v>
      </c>
      <c r="Y5" s="2390" t="str">
        <f>IF('Input '!$E$1="EN",Y4,Y3)</f>
        <v>Deductible Quoted</v>
      </c>
      <c r="Z5" s="2390" t="str">
        <f>IF('Input '!$E$1="EN",Z4,Z3)</f>
        <v>Deductible displayed</v>
      </c>
      <c r="AA5" s="2397" t="str">
        <f>IF('Input '!$E$1="EN",AA4,AA3)</f>
        <v>Form</v>
      </c>
      <c r="AB5" s="2261" t="s">
        <v>3456</v>
      </c>
      <c r="AC5" s="2262" t="s">
        <v>3456</v>
      </c>
      <c r="AD5" s="250"/>
      <c r="AE5" s="1448"/>
      <c r="AF5" s="1448"/>
      <c r="AG5" s="2263"/>
      <c r="AH5" s="2264"/>
      <c r="AI5" s="2264"/>
      <c r="AJ5" s="2264"/>
      <c r="AK5" s="2264"/>
      <c r="AL5" s="2264"/>
      <c r="AM5" s="2264"/>
      <c r="AN5" s="2264"/>
      <c r="AO5" s="2264"/>
      <c r="AP5" s="2264"/>
      <c r="AQ5" s="2264"/>
      <c r="AR5" s="2264"/>
      <c r="AS5" s="425"/>
      <c r="AT5" s="425"/>
      <c r="AU5" s="425"/>
      <c r="AV5" s="425"/>
      <c r="AW5" s="425"/>
      <c r="AX5" s="2265" t="s">
        <v>1041</v>
      </c>
      <c r="BJ5" s="2243"/>
    </row>
    <row r="6" spans="1:67" ht="54.75" customHeight="1">
      <c r="A6" s="44" t="s">
        <v>4016</v>
      </c>
      <c r="B6" s="3183" t="s">
        <v>4017</v>
      </c>
      <c r="C6" s="1"/>
      <c r="D6" s="1873" t="str">
        <f>IF(E6="Y","","x")</f>
        <v>x</v>
      </c>
      <c r="E6" s="2361" t="str">
        <f>IF(I6=0,"N","Y")</f>
        <v>N</v>
      </c>
      <c r="F6" s="2362"/>
      <c r="G6" s="2319" t="str">
        <f>'Input '!F57</f>
        <v>Tools</v>
      </c>
      <c r="H6" s="2363"/>
      <c r="I6" s="2320">
        <f>'Input '!G57</f>
        <v>0</v>
      </c>
      <c r="J6" s="2321"/>
      <c r="K6" s="2322"/>
      <c r="L6" s="2322"/>
      <c r="M6" s="2325">
        <f>INDEX('Rates- Limits UW settings'!$D$4:H$28,MATCH(CONCATENATE($B$2,"_",B6),'Rates- Limits UW settings'!$D$4:$D$28,0),5)</f>
        <v>3.5</v>
      </c>
      <c r="N6" s="2323">
        <f>M6*(1-L1)</f>
        <v>3.5</v>
      </c>
      <c r="O6" s="2322"/>
      <c r="P6" s="2324"/>
      <c r="Q6" s="2324"/>
      <c r="R6" s="2324"/>
      <c r="S6" s="2325">
        <f>IF(I6=0,,V6/I6*100)</f>
        <v>0</v>
      </c>
      <c r="T6" s="2326"/>
      <c r="U6" s="2326">
        <f>I6*M6/100</f>
        <v>0</v>
      </c>
      <c r="V6" s="2383">
        <f>N6*I6/100</f>
        <v>0</v>
      </c>
      <c r="W6" s="2377">
        <f t="shared" ref="W6:W11" si="0">IF(V6&lt;U6,U6,V6)</f>
        <v>0</v>
      </c>
      <c r="X6" s="2327">
        <f>IF(I6&gt;+AX6,2500,1000)</f>
        <v>1000</v>
      </c>
      <c r="Y6" s="2380"/>
      <c r="Z6" s="2328">
        <f>MAX(X6:Y6)</f>
        <v>1000</v>
      </c>
      <c r="AA6" s="2329" t="str">
        <f>IF('Input '!$E$1="EN",AC6,AB6)</f>
        <v>PA12</v>
      </c>
      <c r="AB6" s="1282" t="s">
        <v>1090</v>
      </c>
      <c r="AC6" s="1254" t="s">
        <v>1090</v>
      </c>
      <c r="AD6" s="229"/>
      <c r="AE6" s="229"/>
      <c r="AF6" s="229"/>
      <c r="AG6" s="229"/>
      <c r="AH6" s="229"/>
      <c r="AI6" s="229"/>
      <c r="AJ6" s="229"/>
      <c r="AK6" s="229"/>
      <c r="AL6" s="229"/>
      <c r="AM6" s="229"/>
      <c r="AN6" s="229"/>
      <c r="AO6" s="229"/>
      <c r="AP6" s="229"/>
      <c r="AQ6" s="229"/>
      <c r="AR6" s="229"/>
      <c r="AS6" s="229"/>
      <c r="AT6" s="229"/>
      <c r="AU6" s="229"/>
      <c r="AV6" s="229"/>
      <c r="AW6" s="229"/>
      <c r="AX6" s="38">
        <v>25000</v>
      </c>
    </row>
    <row r="7" spans="1:67" ht="83.25" customHeight="1">
      <c r="A7" s="48" t="s">
        <v>4090</v>
      </c>
      <c r="B7" s="3184" t="s">
        <v>4515</v>
      </c>
      <c r="C7" s="1"/>
      <c r="D7" s="1873" t="str">
        <f>IF(E7="Y","","x")</f>
        <v>x</v>
      </c>
      <c r="E7" s="2361" t="str">
        <f>IF(I7=0,"N","Y")</f>
        <v>N</v>
      </c>
      <c r="F7" s="2364"/>
      <c r="G7" s="2319" t="str">
        <f>'Input '!F60</f>
        <v>Contractor Equipment</v>
      </c>
      <c r="H7" s="2363"/>
      <c r="I7" s="2320">
        <f>'Input '!G60</f>
        <v>0</v>
      </c>
      <c r="J7" s="2321"/>
      <c r="K7" s="2330"/>
      <c r="L7" s="2330"/>
      <c r="M7" s="2325">
        <f>INDEX('Rates- Limits UW settings'!$D$4:H$28,MATCH(CONCATENATE($B$2,"_",B7),'Rates- Limits UW settings'!$D$4:$D$28,0),5)</f>
        <v>1</v>
      </c>
      <c r="N7" s="2331">
        <f>M7</f>
        <v>1</v>
      </c>
      <c r="O7" s="2330"/>
      <c r="P7" s="2332"/>
      <c r="Q7" s="2332"/>
      <c r="R7" s="2332"/>
      <c r="S7" s="2333">
        <f>IF(I7=0,,V7/I7*100)</f>
        <v>0</v>
      </c>
      <c r="T7" s="2334"/>
      <c r="U7" s="2326">
        <f>I7*M7/100</f>
        <v>0</v>
      </c>
      <c r="V7" s="2383">
        <f>N7*I7/100</f>
        <v>0</v>
      </c>
      <c r="W7" s="2377">
        <f t="shared" si="0"/>
        <v>0</v>
      </c>
      <c r="X7" s="2379">
        <f>IF(I7&gt;100000,"$5000, min 3%",2500)</f>
        <v>2500</v>
      </c>
      <c r="Y7" s="2381"/>
      <c r="Z7" s="2336">
        <f>X7</f>
        <v>2500</v>
      </c>
      <c r="AA7" s="2337" t="str">
        <f>IF('Input '!$E$1="EN",AC7,AB7)</f>
        <v>PA11</v>
      </c>
      <c r="AB7" s="1283" t="s">
        <v>3690</v>
      </c>
      <c r="AC7" s="1255" t="s">
        <v>3690</v>
      </c>
      <c r="AD7" s="104"/>
      <c r="AE7" s="104"/>
      <c r="AF7" s="104"/>
      <c r="AG7" s="104"/>
      <c r="AH7" s="104"/>
      <c r="AI7" s="104"/>
      <c r="AJ7" s="104"/>
      <c r="AK7" s="104"/>
      <c r="AL7" s="104"/>
      <c r="AM7" s="104"/>
      <c r="AN7" s="104"/>
      <c r="AO7" s="104"/>
      <c r="AP7" s="104"/>
      <c r="AQ7" s="104"/>
      <c r="AR7" s="104"/>
      <c r="AS7" s="104"/>
      <c r="AT7" s="104"/>
      <c r="AU7" s="104"/>
      <c r="AV7" s="104"/>
      <c r="AW7" s="104"/>
      <c r="AX7" s="38">
        <v>25000</v>
      </c>
    </row>
    <row r="8" spans="1:67" ht="29.25" customHeight="1">
      <c r="A8" s="178" t="s">
        <v>4124</v>
      </c>
      <c r="B8" s="178" t="s">
        <v>4123</v>
      </c>
      <c r="D8" s="1885"/>
      <c r="E8" s="2361" t="str">
        <f>IF(I8=0,"N","Y")</f>
        <v>N</v>
      </c>
      <c r="F8" s="2365"/>
      <c r="G8" s="2338" t="str">
        <f>IF('Input '!$E$1="EN",B8,A8)</f>
        <v>Contractor's equipment Rented(max 45 days per year)</v>
      </c>
      <c r="H8" s="2363"/>
      <c r="I8" s="2387">
        <f>'Input '!G61</f>
        <v>0</v>
      </c>
      <c r="J8" s="2339"/>
      <c r="K8" s="2340"/>
      <c r="L8" s="2340"/>
      <c r="M8" s="2325">
        <f>INDEX('Rates- Limits UW settings'!$D$4:H$28,MATCH(CONCATENATE($B$2,"_",B8),'Rates- Limits UW settings'!$D$4:$D$28,0),5)</f>
        <v>1</v>
      </c>
      <c r="N8" s="2341">
        <f>M8</f>
        <v>1</v>
      </c>
      <c r="O8" s="2340"/>
      <c r="P8" s="2332"/>
      <c r="Q8" s="2332"/>
      <c r="R8" s="2332"/>
      <c r="S8" s="2333"/>
      <c r="T8" s="2334"/>
      <c r="U8" s="2334">
        <f>$I$8*$N$8/100*75%</f>
        <v>0</v>
      </c>
      <c r="V8" s="2384"/>
      <c r="W8" s="2377">
        <f t="shared" si="0"/>
        <v>0</v>
      </c>
      <c r="X8" s="2334">
        <v>2500</v>
      </c>
      <c r="Y8" s="2381"/>
      <c r="Z8" s="2342">
        <f t="shared" ref="Z8" si="1">MAX(X8:Y8)</f>
        <v>2500</v>
      </c>
      <c r="AA8" s="2343" t="str">
        <f>IF('Input '!$E$1="EN",AC8,AB8)</f>
        <v>PA11</v>
      </c>
      <c r="AB8" s="1296" t="s">
        <v>3690</v>
      </c>
      <c r="AC8" s="1295" t="s">
        <v>3690</v>
      </c>
      <c r="AD8" s="159"/>
      <c r="AE8" s="159"/>
      <c r="AF8" s="159"/>
      <c r="AG8" s="159"/>
      <c r="AH8" s="159"/>
      <c r="AI8" s="159"/>
      <c r="AJ8" s="159"/>
      <c r="AK8" s="159"/>
      <c r="AL8" s="159"/>
      <c r="AM8" s="159"/>
      <c r="AN8" s="159"/>
      <c r="AO8" s="159"/>
      <c r="AP8" s="159"/>
      <c r="AQ8" s="159"/>
      <c r="AR8" s="159"/>
      <c r="AS8" s="159"/>
      <c r="AT8" s="159"/>
      <c r="AU8" s="159"/>
      <c r="AV8" s="159"/>
      <c r="AW8" s="159"/>
      <c r="AX8" s="1830"/>
    </row>
    <row r="9" spans="1:67" ht="29.25" customHeight="1">
      <c r="A9" s="178" t="s">
        <v>3390</v>
      </c>
      <c r="B9" s="178" t="s">
        <v>3503</v>
      </c>
      <c r="D9" s="1873" t="str">
        <f>IF(E9="Y","","x")</f>
        <v>x</v>
      </c>
      <c r="E9" s="2361" t="str">
        <f>IF(H9="Free in package","N",IF(OR(I9=0,$W$9="N/A"),"N","Y"))</f>
        <v>N</v>
      </c>
      <c r="F9" s="2365"/>
      <c r="G9" s="2344" t="str">
        <f>IF('Input '!$E$1="EN",B9,A9)</f>
        <v>Installation floater</v>
      </c>
      <c r="H9" s="2891" t="str">
        <f>IF(AND(I9&lt;10001,'Input '!G45=100%,'Input '!I45="Y",'Input '!J45="Yes"),"Free in package","")</f>
        <v/>
      </c>
      <c r="I9" s="2320">
        <f>'Input '!G58</f>
        <v>0</v>
      </c>
      <c r="J9" s="2345"/>
      <c r="K9" s="2340"/>
      <c r="L9" s="2330"/>
      <c r="M9" s="2325">
        <f>INDEX('Rates- Limits UW settings'!$D$4:H$28,MATCH(CONCATENATE($B$2,"_",B9),'Rates- Limits UW settings'!$D$4:$D$28,0),5)</f>
        <v>5.1749999999999997E-2</v>
      </c>
      <c r="N9" s="2331">
        <f>M9</f>
        <v>5.1749999999999997E-2</v>
      </c>
      <c r="O9" s="2340"/>
      <c r="P9" s="2332"/>
      <c r="Q9" s="2332"/>
      <c r="R9" s="2332"/>
      <c r="S9" s="2333"/>
      <c r="T9" s="2334">
        <f>'Input '!G39</f>
        <v>0</v>
      </c>
      <c r="U9" s="2335">
        <f>IF(H9="Free in package",IF('Input '!E1="FR","inclus","included"),IF(I9=0,0,IF((T9*M9)/100&lt;100,100,(T9*M9)/100)))</f>
        <v>0</v>
      </c>
      <c r="V9" s="2384"/>
      <c r="W9" s="2377">
        <f>IFERROR(IF(V9&lt;U9,U9,V9),0)</f>
        <v>0</v>
      </c>
      <c r="X9" s="2334">
        <v>1000</v>
      </c>
      <c r="Y9" s="2381"/>
      <c r="Z9" s="2342">
        <f>MAX(X9:Y9)</f>
        <v>1000</v>
      </c>
      <c r="AA9" s="2343" t="str">
        <f>IF('Input '!$E$1="EN",AC9,AB9)</f>
        <v>PA19</v>
      </c>
      <c r="AB9" s="1283" t="s">
        <v>16</v>
      </c>
      <c r="AC9" s="1255" t="s">
        <v>16</v>
      </c>
      <c r="AD9" s="159"/>
      <c r="AE9" s="159"/>
      <c r="AF9" s="159"/>
      <c r="AG9" s="159"/>
      <c r="AH9" s="159"/>
      <c r="AI9" s="159"/>
      <c r="AJ9" s="159"/>
      <c r="AK9" s="159"/>
      <c r="AL9" s="159"/>
      <c r="AM9" s="159"/>
      <c r="AN9" s="159"/>
      <c r="AO9" s="159"/>
      <c r="AP9" s="159"/>
      <c r="AQ9" s="159"/>
      <c r="AR9" s="159"/>
      <c r="AS9" s="159"/>
      <c r="AT9" s="159"/>
      <c r="AU9" s="159"/>
      <c r="AV9" s="159"/>
      <c r="AW9" s="159"/>
      <c r="AX9" s="1830"/>
      <c r="BJ9" s="31" t="s">
        <v>4012</v>
      </c>
      <c r="BL9" s="31" t="s">
        <v>4013</v>
      </c>
      <c r="BO9" s="31">
        <f>30%*$T$9</f>
        <v>0</v>
      </c>
    </row>
    <row r="10" spans="1:67" s="33" customFormat="1" ht="29.25" customHeight="1">
      <c r="A10" s="1075" t="s">
        <v>1027</v>
      </c>
      <c r="B10" s="1075" t="s">
        <v>4075</v>
      </c>
      <c r="D10" s="1873" t="str">
        <f>IF(E10="Y","","x")</f>
        <v>x</v>
      </c>
      <c r="E10" s="2367" t="str">
        <f>IF(I10&gt;0,"Y","N")</f>
        <v>N</v>
      </c>
      <c r="F10" s="2368"/>
      <c r="G10" s="2617" t="str">
        <f>IF('Input '!$E$1="EN",B10,A10)</f>
        <v xml:space="preserve">Extension of Coverage </v>
      </c>
      <c r="H10" s="2369">
        <f>H24</f>
        <v>0</v>
      </c>
      <c r="I10" s="2320">
        <f>IF('Input '!$G$62=TRUE,100000,)</f>
        <v>0</v>
      </c>
      <c r="J10" s="2346"/>
      <c r="K10" s="2347"/>
      <c r="L10" s="2340"/>
      <c r="M10" s="2325">
        <f>INDEX('Rates- Limits UW settings'!$D$4:H$28,MATCH(CONCATENATE($B$2,"_",B10),'Rates- Limits UW settings'!$D$4:$D$28,0),5)</f>
        <v>0.12</v>
      </c>
      <c r="N10" s="2341"/>
      <c r="O10" s="2348"/>
      <c r="P10" s="2341"/>
      <c r="Q10" s="2349"/>
      <c r="R10" s="2349"/>
      <c r="S10" s="2333"/>
      <c r="T10" s="2350"/>
      <c r="U10" s="2334">
        <f>IF(E10="Y",120,0)</f>
        <v>0</v>
      </c>
      <c r="V10" s="2384"/>
      <c r="W10" s="2377">
        <f t="shared" si="0"/>
        <v>0</v>
      </c>
      <c r="X10" s="2335">
        <v>1000</v>
      </c>
      <c r="Y10" s="2381"/>
      <c r="Z10" s="2351">
        <f>MAX(X11:Y11)</f>
        <v>1000</v>
      </c>
      <c r="AA10" s="2352" t="str">
        <f>IF('Input '!$E$1="EN",AC10,AB10)</f>
        <v>CM05</v>
      </c>
      <c r="AB10" s="1391" t="s">
        <v>17</v>
      </c>
      <c r="AC10" s="1392" t="s">
        <v>17</v>
      </c>
      <c r="AD10" s="398"/>
      <c r="AE10" s="398"/>
      <c r="AF10" s="398"/>
      <c r="AG10" s="398"/>
      <c r="AH10" s="398"/>
      <c r="AI10" s="398"/>
      <c r="AJ10" s="398"/>
      <c r="AK10" s="398"/>
      <c r="AL10" s="398"/>
      <c r="AM10" s="398"/>
      <c r="AN10" s="398"/>
      <c r="AO10" s="398"/>
      <c r="AP10" s="398"/>
      <c r="AQ10" s="398"/>
      <c r="AR10" s="398"/>
      <c r="AS10" s="398"/>
      <c r="AT10" s="398"/>
      <c r="AU10" s="398"/>
      <c r="AV10" s="398"/>
      <c r="AW10" s="398"/>
      <c r="AX10" s="399"/>
    </row>
    <row r="11" spans="1:67" s="33" customFormat="1" ht="29.25" customHeight="1">
      <c r="A11" s="1075" t="s">
        <v>4076</v>
      </c>
      <c r="B11" s="1075" t="s">
        <v>4075</v>
      </c>
      <c r="D11" s="1873" t="str">
        <f>IF('Input '!$G$54&lt;2,"x","")</f>
        <v>x</v>
      </c>
      <c r="E11" s="2367" t="str">
        <f>IF(F11=TRUE,"Y","N")</f>
        <v>N</v>
      </c>
      <c r="F11" s="2370" t="b">
        <v>0</v>
      </c>
      <c r="G11" s="2643" t="str">
        <f>IF('Input '!$E$1="EN",B11,A11)</f>
        <v xml:space="preserve">Extension of Coverage </v>
      </c>
      <c r="H11" s="2363" t="str">
        <f>H25</f>
        <v>Input Address no 2</v>
      </c>
      <c r="I11" s="2320">
        <f>IF(E11="Y",100000,)</f>
        <v>0</v>
      </c>
      <c r="J11" s="2346"/>
      <c r="K11" s="2347"/>
      <c r="L11" s="2340"/>
      <c r="M11" s="2325">
        <f>INDEX('Rates- Limits UW settings'!$D$4:H$28,MATCH(CONCATENATE($B$2,"_",B11),'Rates- Limits UW settings'!$D$4:$D$28,0),5)</f>
        <v>0.12</v>
      </c>
      <c r="N11" s="2341"/>
      <c r="O11" s="2348"/>
      <c r="P11" s="2341"/>
      <c r="Q11" s="2349"/>
      <c r="R11" s="2349"/>
      <c r="S11" s="2333"/>
      <c r="T11" s="2350"/>
      <c r="U11" s="2334">
        <f>IF(E11="Y",120,0)</f>
        <v>0</v>
      </c>
      <c r="V11" s="2384"/>
      <c r="W11" s="2377">
        <f t="shared" si="0"/>
        <v>0</v>
      </c>
      <c r="X11" s="2335">
        <v>1000</v>
      </c>
      <c r="Y11" s="2381"/>
      <c r="Z11" s="2351">
        <f>MAX(X64:Y64)</f>
        <v>1000</v>
      </c>
      <c r="AA11" s="2352" t="str">
        <f>IF('Input '!$E$1="EN",AC11,AB11)</f>
        <v>CM05</v>
      </c>
      <c r="AB11" s="1391" t="s">
        <v>17</v>
      </c>
      <c r="AC11" s="1392" t="s">
        <v>17</v>
      </c>
      <c r="AD11" s="398"/>
      <c r="AE11" s="398"/>
      <c r="AF11" s="398"/>
      <c r="AG11" s="398"/>
      <c r="AH11" s="398"/>
      <c r="AI11" s="398"/>
      <c r="AJ11" s="398"/>
      <c r="AK11" s="398"/>
      <c r="AL11" s="398"/>
      <c r="AM11" s="398"/>
      <c r="AN11" s="398"/>
      <c r="AO11" s="398"/>
      <c r="AP11" s="398"/>
      <c r="AQ11" s="398"/>
      <c r="AR11" s="398"/>
      <c r="AS11" s="398"/>
      <c r="AT11" s="398"/>
      <c r="AU11" s="398"/>
      <c r="AV11" s="398"/>
      <c r="AW11" s="398"/>
      <c r="AX11" s="399"/>
    </row>
    <row r="12" spans="1:67" ht="29.25" customHeight="1">
      <c r="A12" s="178" t="s">
        <v>1091</v>
      </c>
      <c r="B12" s="178" t="s">
        <v>3487</v>
      </c>
      <c r="D12" s="1885"/>
      <c r="E12" s="2371" t="str">
        <f>IF(OR($I$12=5000,I12=7500),"Y","N")</f>
        <v>N</v>
      </c>
      <c r="F12" s="2372"/>
      <c r="G12" s="2353" t="str">
        <f>IF('Input '!$E$1="EN",B12,A12)</f>
        <v>Rental Expenses ( min value $5000)</v>
      </c>
      <c r="H12" s="2373"/>
      <c r="I12" s="2387" t="s">
        <v>4018</v>
      </c>
      <c r="J12" s="2339"/>
      <c r="K12" s="2386">
        <v>10</v>
      </c>
      <c r="L12" s="2386">
        <v>1</v>
      </c>
      <c r="M12" s="2325">
        <f>INDEX('Rates- Limits UW settings'!$D$4:H$28,MATCH(CONCATENATE($B$2,"_",B12),'Rates- Limits UW settings'!$D$4:$D$28,0),5)</f>
        <v>0.5</v>
      </c>
      <c r="N12" s="2354">
        <f>M12</f>
        <v>0.5</v>
      </c>
      <c r="O12" s="2355"/>
      <c r="P12" s="2356"/>
      <c r="Q12" s="2356"/>
      <c r="R12" s="2356"/>
      <c r="S12" s="2357"/>
      <c r="T12" s="2358"/>
      <c r="U12" s="2358">
        <f>IF($I$12=5000,$W$7*75%,IF($I$12=7500,$W$7*133%,0))</f>
        <v>0</v>
      </c>
      <c r="V12" s="2385"/>
      <c r="W12" s="2378">
        <f>IF(U12*(1-$S$96)&gt;V12,U12,V12)</f>
        <v>0</v>
      </c>
      <c r="X12" s="2358"/>
      <c r="Y12" s="2382"/>
      <c r="Z12" s="2359">
        <f t="shared" ref="Z12" si="2">MAX(X12:Y12)</f>
        <v>0</v>
      </c>
      <c r="AA12" s="2360" t="str">
        <f>IF('Input '!$E$1="EN",AC12,AB12)</f>
        <v>CW182</v>
      </c>
      <c r="AB12" s="1296" t="s">
        <v>3666</v>
      </c>
      <c r="AC12" s="1295" t="s">
        <v>3665</v>
      </c>
      <c r="AD12" s="159"/>
      <c r="AE12" s="159"/>
      <c r="AF12" s="159"/>
      <c r="AG12" s="159"/>
      <c r="AH12" s="159"/>
      <c r="AI12" s="159"/>
      <c r="AJ12" s="159"/>
      <c r="AK12" s="159"/>
      <c r="AL12" s="159"/>
      <c r="AM12" s="159"/>
      <c r="AN12" s="159"/>
      <c r="AO12" s="159"/>
      <c r="AP12" s="159"/>
      <c r="AQ12" s="159"/>
      <c r="AR12" s="159"/>
      <c r="AS12" s="159"/>
      <c r="AT12" s="159"/>
      <c r="AU12" s="159"/>
      <c r="AV12" s="159"/>
      <c r="AW12" s="159"/>
      <c r="AX12" s="116"/>
    </row>
    <row r="13" spans="1:67" s="2308" customFormat="1" ht="21.75" customHeight="1">
      <c r="A13" s="2307"/>
      <c r="B13" s="2307"/>
      <c r="D13" s="2309"/>
      <c r="E13" s="2310"/>
      <c r="F13" s="2310"/>
      <c r="G13" s="2311"/>
      <c r="H13" s="2374" t="s">
        <v>4089</v>
      </c>
      <c r="I13" s="2375">
        <f>SUMIF(E6:E12,"Y",I6:I12)</f>
        <v>0</v>
      </c>
      <c r="J13" s="305"/>
      <c r="K13" s="2312"/>
      <c r="L13" s="2312"/>
      <c r="M13" s="2313"/>
      <c r="N13" s="2313"/>
      <c r="O13" s="2312"/>
      <c r="S13" s="2313"/>
      <c r="T13" s="2314"/>
      <c r="U13" s="2314"/>
      <c r="V13" s="2374" t="s">
        <v>4089</v>
      </c>
      <c r="W13" s="2375">
        <f>SUM(W6:W12)</f>
        <v>0</v>
      </c>
      <c r="X13" s="2314"/>
      <c r="Y13" s="305"/>
      <c r="Z13" s="2314"/>
      <c r="AA13" s="2315"/>
      <c r="AB13" s="2316"/>
      <c r="AC13" s="2316"/>
      <c r="AD13" s="2317"/>
      <c r="AE13" s="2317"/>
      <c r="AF13" s="2317"/>
      <c r="AG13" s="2317"/>
      <c r="AH13" s="2317"/>
      <c r="AI13" s="2317"/>
      <c r="AJ13" s="2317"/>
      <c r="AK13" s="2317"/>
      <c r="AL13" s="2317"/>
      <c r="AM13" s="2317"/>
      <c r="AN13" s="2317"/>
      <c r="AO13" s="2317"/>
      <c r="AP13" s="2317"/>
      <c r="AQ13" s="2317"/>
      <c r="AR13" s="2317"/>
      <c r="AS13" s="2317"/>
      <c r="AT13" s="2317"/>
      <c r="AU13" s="2317"/>
      <c r="AV13" s="2317"/>
      <c r="AW13" s="2317"/>
      <c r="AX13" s="2318"/>
    </row>
    <row r="14" spans="1:67" ht="29.25" customHeight="1">
      <c r="A14" s="1470" t="s">
        <v>3760</v>
      </c>
      <c r="B14" s="1481" t="s">
        <v>3759</v>
      </c>
      <c r="D14" s="1711"/>
      <c r="E14" s="2310"/>
      <c r="F14" s="2310"/>
      <c r="G14" s="1481" t="str">
        <f>IF('Input '!$E$1="EN",B14,A14)</f>
        <v>Endorsements :</v>
      </c>
      <c r="H14" s="1481"/>
      <c r="I14" s="2300"/>
      <c r="J14" s="126"/>
      <c r="K14" s="1407"/>
      <c r="L14" s="1407"/>
      <c r="M14" s="409"/>
      <c r="N14" s="409"/>
      <c r="O14" s="1407"/>
      <c r="S14" s="409"/>
      <c r="T14" s="160"/>
      <c r="X14" s="160"/>
      <c r="Y14" s="126"/>
      <c r="Z14" s="160"/>
      <c r="AA14" s="398"/>
      <c r="AB14" s="40"/>
      <c r="AC14" s="40"/>
      <c r="AD14" s="159"/>
      <c r="AE14" s="159"/>
      <c r="AF14" s="159"/>
      <c r="AG14" s="159"/>
      <c r="AH14" s="159"/>
      <c r="AI14" s="159"/>
      <c r="AJ14" s="159"/>
      <c r="AK14" s="159"/>
      <c r="AL14" s="159"/>
      <c r="AM14" s="159"/>
      <c r="AN14" s="159"/>
      <c r="AO14" s="159"/>
      <c r="AP14" s="159"/>
      <c r="AQ14" s="159"/>
      <c r="AR14" s="159"/>
      <c r="AS14" s="159"/>
      <c r="AT14" s="159"/>
      <c r="AU14" s="159"/>
      <c r="AV14" s="159"/>
      <c r="AW14" s="159"/>
      <c r="AX14" s="392"/>
    </row>
    <row r="15" spans="1:67" ht="33.75" customHeight="1">
      <c r="A15" s="2301" t="s">
        <v>3664</v>
      </c>
      <c r="B15" s="2301" t="s">
        <v>3674</v>
      </c>
      <c r="C15" s="2302" t="str">
        <f>IF(SUM($I$6:$I$12)&gt;0,"Y","N")</f>
        <v>N</v>
      </c>
      <c r="D15" s="1873" t="str">
        <f>IF(E15="Y","","x")</f>
        <v>x</v>
      </c>
      <c r="E15" s="2367" t="str">
        <f>IF(F15=TRUE,"Y","N")</f>
        <v>N</v>
      </c>
      <c r="F15" s="2370" t="b">
        <f>IF(($I$7+$I$8)&gt;0,TRUE,FALSE)</f>
        <v>0</v>
      </c>
      <c r="G15" s="2424" t="str">
        <f>IF('Input '!$E$1="EN",B15,A15)</f>
        <v xml:space="preserve">PW1 – Locked Vehicle Warranty </v>
      </c>
      <c r="H15" s="2303"/>
      <c r="I15" s="389"/>
      <c r="J15" s="389"/>
      <c r="K15" s="1407"/>
      <c r="L15" s="1407"/>
      <c r="M15" s="409"/>
      <c r="N15" s="409"/>
      <c r="O15" s="1407"/>
      <c r="S15" s="409"/>
      <c r="T15" s="160"/>
      <c r="U15" s="160"/>
      <c r="V15" s="126"/>
      <c r="W15" s="160"/>
      <c r="X15" s="160"/>
      <c r="Y15" s="126"/>
      <c r="Z15" s="160"/>
      <c r="AA15" s="398"/>
      <c r="AB15" s="40"/>
      <c r="AC15" s="40"/>
      <c r="AD15" s="159"/>
      <c r="AE15" s="159"/>
      <c r="AF15" s="159"/>
      <c r="AG15" s="159"/>
      <c r="AH15" s="159"/>
      <c r="AI15" s="159"/>
      <c r="AJ15" s="159"/>
      <c r="AK15" s="159"/>
      <c r="AL15" s="159"/>
      <c r="AM15" s="159"/>
      <c r="AN15" s="159"/>
      <c r="AO15" s="159"/>
      <c r="AP15" s="159"/>
      <c r="AQ15" s="159"/>
      <c r="AR15" s="159"/>
      <c r="AS15" s="159"/>
      <c r="AT15" s="159"/>
      <c r="AU15" s="159"/>
      <c r="AV15" s="159"/>
      <c r="AW15" s="159"/>
      <c r="AX15" s="392"/>
    </row>
    <row r="16" spans="1:67" ht="29.25" hidden="1" customHeight="1">
      <c r="A16" s="2301" t="s">
        <v>4039</v>
      </c>
      <c r="B16" s="2301" t="s">
        <v>3675</v>
      </c>
      <c r="C16" s="2302" t="str">
        <f>IF(SUM($I$6:$I$12)&gt;0,"Y","N")</f>
        <v>N</v>
      </c>
      <c r="D16" s="1873" t="str">
        <f>IF(E16="Y","","x")</f>
        <v>x</v>
      </c>
      <c r="E16" s="2367" t="str">
        <f>IF(F16=TRUE,"Y","N")</f>
        <v>N</v>
      </c>
      <c r="F16" s="2370"/>
      <c r="G16" s="2424" t="str">
        <f>IF('Input '!$E$1="EN",B16,A16)</f>
        <v>PE24 – Replacement Cost Extension (Contractors Equipment)</v>
      </c>
      <c r="H16" s="48"/>
      <c r="I16" s="389"/>
      <c r="J16" s="389"/>
      <c r="K16" s="1407"/>
      <c r="L16" s="1407"/>
      <c r="M16" s="409"/>
      <c r="N16" s="409"/>
      <c r="O16" s="1407"/>
      <c r="S16" s="409"/>
      <c r="T16" s="160"/>
      <c r="U16" s="160"/>
      <c r="V16" s="126"/>
      <c r="W16" s="160"/>
      <c r="X16" s="160"/>
      <c r="Y16" s="126"/>
      <c r="Z16" s="160"/>
      <c r="AA16" s="398"/>
      <c r="AB16" s="40"/>
      <c r="AC16" s="40"/>
      <c r="AD16" s="159"/>
      <c r="AE16" s="159"/>
      <c r="AF16" s="159"/>
      <c r="AG16" s="159"/>
      <c r="AH16" s="159"/>
      <c r="AI16" s="159"/>
      <c r="AJ16" s="159"/>
      <c r="AK16" s="159"/>
      <c r="AL16" s="159"/>
      <c r="AM16" s="159"/>
      <c r="AN16" s="159"/>
      <c r="AO16" s="159"/>
      <c r="AP16" s="159"/>
      <c r="AQ16" s="159"/>
      <c r="AR16" s="159"/>
      <c r="AS16" s="159"/>
      <c r="AT16" s="159"/>
      <c r="AU16" s="159"/>
      <c r="AV16" s="159"/>
      <c r="AW16" s="159"/>
      <c r="AX16" s="392"/>
    </row>
    <row r="17" spans="1:62" ht="29.25" customHeight="1">
      <c r="A17" s="2301" t="s">
        <v>4187</v>
      </c>
      <c r="B17" s="2301" t="s">
        <v>4188</v>
      </c>
      <c r="C17" s="2302" t="str">
        <f>IF($I$7&gt;60000,"Y","N")</f>
        <v>N</v>
      </c>
      <c r="D17" s="1873" t="str">
        <f>IF(E17="Y","","x")</f>
        <v>x</v>
      </c>
      <c r="E17" s="2367" t="str">
        <f>IF(F17=TRUE,"Y","N")</f>
        <v>N</v>
      </c>
      <c r="F17" s="2370" t="b">
        <f>IF(OR($I$7&gt;0,I8&gt;0),TRUE,FALSE)</f>
        <v>0</v>
      </c>
      <c r="G17" s="2424" t="str">
        <f>IF('Input '!$E$1="EN",B17,A17)</f>
        <v>CW202 Anti-Theft Exclusion - mandatory for any item with value of  $60,000 and over</v>
      </c>
      <c r="H17" s="48"/>
      <c r="I17" s="389"/>
      <c r="J17" s="389"/>
      <c r="K17" s="1407"/>
      <c r="L17" s="1407"/>
      <c r="M17" s="409"/>
      <c r="N17" s="409"/>
      <c r="O17" s="1407"/>
      <c r="S17" s="409"/>
      <c r="T17" s="160"/>
      <c r="U17" s="160"/>
      <c r="V17" s="126"/>
      <c r="W17" s="160"/>
      <c r="X17" s="160"/>
      <c r="Y17" s="126"/>
      <c r="Z17" s="160"/>
      <c r="AA17" s="398"/>
      <c r="AB17" s="40"/>
      <c r="AC17" s="40"/>
      <c r="AD17" s="159"/>
      <c r="AE17" s="159"/>
      <c r="AF17" s="159"/>
      <c r="AG17" s="159"/>
      <c r="AH17" s="159"/>
      <c r="AI17" s="159"/>
      <c r="AJ17" s="159"/>
      <c r="AK17" s="159"/>
      <c r="AL17" s="159"/>
      <c r="AM17" s="159"/>
      <c r="AN17" s="159"/>
      <c r="AO17" s="159"/>
      <c r="AP17" s="159"/>
      <c r="AQ17" s="159"/>
      <c r="AR17" s="159"/>
      <c r="AS17" s="159"/>
      <c r="AT17" s="159"/>
      <c r="AU17" s="159"/>
      <c r="AV17" s="159"/>
      <c r="AW17" s="159"/>
      <c r="AX17" s="392"/>
    </row>
    <row r="18" spans="1:62" s="185" customFormat="1" ht="29.25" hidden="1" customHeight="1">
      <c r="A18" s="2301" t="s">
        <v>3663</v>
      </c>
      <c r="B18" s="2301" t="s">
        <v>3673</v>
      </c>
      <c r="C18" s="2302" t="str">
        <f>IF(E12="Y","Y","N")</f>
        <v>N</v>
      </c>
      <c r="D18" s="1873" t="str">
        <f>IF(E18="Y","","x")</f>
        <v>x</v>
      </c>
      <c r="E18" s="2367" t="str">
        <f>IF(F18=TRUE,"Y","N")</f>
        <v>N</v>
      </c>
      <c r="F18" s="2370" t="b">
        <f>IF($E$12="Y",TRUE,FALSE)</f>
        <v>0</v>
      </c>
      <c r="G18" s="2424" t="str">
        <f>IF('Input '!$E$1="EN",B18,A18)</f>
        <v xml:space="preserve">CW182 – Rental Equipment Reimbursement </v>
      </c>
      <c r="H18" s="48"/>
      <c r="I18" s="2306"/>
      <c r="J18" s="2306"/>
      <c r="K18" s="404"/>
      <c r="L18" s="404"/>
      <c r="M18" s="404"/>
      <c r="N18" s="404"/>
      <c r="O18" s="404"/>
      <c r="P18" s="405"/>
      <c r="Q18" s="405"/>
      <c r="R18" s="405"/>
      <c r="S18" s="405"/>
      <c r="T18" s="405"/>
      <c r="U18" s="274"/>
      <c r="V18" s="274"/>
      <c r="W18" s="274"/>
      <c r="X18" s="274"/>
      <c r="Y18" s="406"/>
      <c r="Z18" s="274"/>
      <c r="AA18" s="1356"/>
      <c r="AB18" s="1175"/>
      <c r="AC18" s="1184"/>
      <c r="AD18" s="391"/>
      <c r="AE18" s="391" t="e">
        <f>Min</f>
        <v>#NAME?</v>
      </c>
      <c r="AF18" s="391"/>
      <c r="AG18" s="80"/>
      <c r="AH18" s="391"/>
      <c r="AI18" s="391"/>
      <c r="AJ18" s="391"/>
      <c r="AK18" s="391"/>
      <c r="AL18" s="391"/>
      <c r="AM18" s="391"/>
      <c r="AN18" s="391"/>
      <c r="AO18" s="391"/>
      <c r="AP18" s="391"/>
      <c r="AQ18" s="391"/>
      <c r="AR18" s="391"/>
      <c r="AS18" s="205"/>
      <c r="AT18" s="205"/>
      <c r="AU18" s="205"/>
      <c r="AV18" s="205"/>
      <c r="AW18" s="391"/>
      <c r="AX18" s="287"/>
    </row>
    <row r="19" spans="1:62" s="185" customFormat="1" ht="24.75" customHeight="1">
      <c r="A19" s="2302"/>
      <c r="B19" s="2302"/>
      <c r="C19" s="2302"/>
      <c r="D19" s="1885"/>
      <c r="E19" s="2304"/>
      <c r="F19" s="2305"/>
      <c r="G19" s="2661"/>
      <c r="H19" s="1428"/>
      <c r="I19" s="274"/>
      <c r="J19" s="274"/>
      <c r="K19" s="404"/>
      <c r="L19" s="404"/>
      <c r="M19" s="404"/>
      <c r="N19" s="404"/>
      <c r="O19" s="404"/>
      <c r="P19" s="405"/>
      <c r="Q19" s="405"/>
      <c r="R19" s="405"/>
      <c r="S19" s="405"/>
      <c r="T19" s="405"/>
      <c r="U19" s="274"/>
      <c r="V19" s="274"/>
      <c r="W19" s="274"/>
      <c r="X19" s="274"/>
      <c r="Y19" s="406"/>
      <c r="Z19" s="274"/>
      <c r="AA19" s="1356"/>
      <c r="AB19" s="1175"/>
      <c r="AC19" s="1184"/>
      <c r="AD19" s="391"/>
      <c r="AE19" s="391"/>
      <c r="AF19" s="391"/>
      <c r="AG19" s="80"/>
      <c r="AH19" s="391"/>
      <c r="AI19" s="391"/>
      <c r="AJ19" s="391"/>
      <c r="AK19" s="391"/>
      <c r="AL19" s="391"/>
      <c r="AM19" s="391"/>
      <c r="AN19" s="391"/>
      <c r="AO19" s="391"/>
      <c r="AP19" s="391"/>
      <c r="AQ19" s="391"/>
      <c r="AR19" s="391"/>
      <c r="AS19" s="205"/>
      <c r="AT19" s="205"/>
      <c r="AU19" s="205"/>
      <c r="AV19" s="205"/>
      <c r="AW19" s="391"/>
      <c r="AX19" s="287"/>
    </row>
    <row r="20" spans="1:62" s="1106" customFormat="1" ht="29.25" customHeight="1" outlineLevel="1">
      <c r="A20" s="1164"/>
      <c r="B20" s="1164"/>
      <c r="D20" s="1873" t="s">
        <v>4067</v>
      </c>
      <c r="E20" s="1165"/>
      <c r="F20" s="1164"/>
      <c r="G20" s="1164"/>
      <c r="H20" s="1164"/>
      <c r="I20" s="1166" t="s">
        <v>1015</v>
      </c>
      <c r="J20" s="1513"/>
      <c r="K20" s="1167" t="s">
        <v>1253</v>
      </c>
      <c r="L20" s="1168" t="s">
        <v>1259</v>
      </c>
      <c r="M20" s="1169" t="s">
        <v>1270</v>
      </c>
      <c r="N20" s="1169" t="s">
        <v>1243</v>
      </c>
      <c r="O20" s="1135"/>
      <c r="P20" s="1170" t="s">
        <v>1230</v>
      </c>
      <c r="Q20" s="1135"/>
      <c r="R20" s="1135"/>
      <c r="S20" s="1170" t="s">
        <v>3352</v>
      </c>
      <c r="T20" s="1170" t="s">
        <v>4094</v>
      </c>
      <c r="U20" s="1170" t="s">
        <v>1267</v>
      </c>
      <c r="V20" s="1169" t="s">
        <v>1028</v>
      </c>
      <c r="W20" s="1171" t="s">
        <v>1095</v>
      </c>
      <c r="X20" s="1172" t="s">
        <v>1072</v>
      </c>
      <c r="Y20" s="1172" t="s">
        <v>1073</v>
      </c>
      <c r="Z20" s="1173" t="s">
        <v>1074</v>
      </c>
      <c r="AA20" s="1174" t="s">
        <v>27</v>
      </c>
      <c r="AB20" s="1174" t="s">
        <v>27</v>
      </c>
      <c r="AC20" s="1257" t="s">
        <v>27</v>
      </c>
      <c r="AD20" s="1175"/>
      <c r="AE20" s="1175"/>
      <c r="AF20" s="1175"/>
      <c r="AG20" s="1445"/>
      <c r="AH20" s="1175"/>
      <c r="AI20" s="1175"/>
      <c r="AJ20" s="1175"/>
      <c r="AK20" s="1175"/>
      <c r="AL20" s="1175"/>
      <c r="AM20" s="1175"/>
      <c r="AN20" s="1175"/>
      <c r="AO20" s="1175"/>
      <c r="AP20" s="1175"/>
      <c r="AQ20" s="1175"/>
      <c r="AR20" s="1175"/>
      <c r="AS20" s="1176"/>
      <c r="AT20" s="1176"/>
      <c r="AU20" s="1176"/>
      <c r="AV20" s="1176"/>
      <c r="AW20" s="1175"/>
      <c r="AX20" s="1177"/>
    </row>
    <row r="21" spans="1:62" s="1098" customFormat="1" ht="29.25" customHeight="1" outlineLevel="1">
      <c r="A21" s="1178"/>
      <c r="B21" s="1178"/>
      <c r="D21" s="1873" t="s">
        <v>4067</v>
      </c>
      <c r="E21" s="1179"/>
      <c r="F21" s="1178"/>
      <c r="G21" s="1178"/>
      <c r="H21" s="1178"/>
      <c r="I21" s="1402" t="s">
        <v>231</v>
      </c>
      <c r="J21" s="1514"/>
      <c r="K21" s="1403" t="s">
        <v>1253</v>
      </c>
      <c r="L21" s="1404" t="s">
        <v>3517</v>
      </c>
      <c r="M21" s="1181" t="s">
        <v>3518</v>
      </c>
      <c r="N21" s="1181" t="s">
        <v>1243</v>
      </c>
      <c r="O21" s="1180"/>
      <c r="P21" s="1405" t="s">
        <v>1230</v>
      </c>
      <c r="Q21" s="1180"/>
      <c r="R21" s="1180"/>
      <c r="S21" s="1405" t="s">
        <v>3519</v>
      </c>
      <c r="T21" s="1405" t="s">
        <v>3525</v>
      </c>
      <c r="U21" s="1405" t="s">
        <v>3520</v>
      </c>
      <c r="V21" s="1181" t="s">
        <v>3521</v>
      </c>
      <c r="W21" s="1181" t="s">
        <v>3462</v>
      </c>
      <c r="X21" s="1182" t="s">
        <v>3463</v>
      </c>
      <c r="Y21" s="1182" t="s">
        <v>3522</v>
      </c>
      <c r="Z21" s="1182" t="s">
        <v>3465</v>
      </c>
      <c r="AA21" s="1406" t="s">
        <v>3456</v>
      </c>
      <c r="AB21" s="1285" t="s">
        <v>3456</v>
      </c>
      <c r="AC21" s="1183" t="s">
        <v>3456</v>
      </c>
      <c r="AD21" s="1184"/>
      <c r="AE21" s="1184"/>
      <c r="AF21" s="1184"/>
      <c r="AG21" s="1446"/>
      <c r="AH21" s="1184"/>
      <c r="AI21" s="1184"/>
      <c r="AJ21" s="1184"/>
      <c r="AK21" s="1184"/>
      <c r="AL21" s="1184"/>
      <c r="AM21" s="1184"/>
      <c r="AN21" s="1184"/>
      <c r="AO21" s="1184"/>
      <c r="AP21" s="1184"/>
      <c r="AQ21" s="1184"/>
      <c r="AR21" s="1184"/>
      <c r="AS21" s="1185"/>
      <c r="AT21" s="1185"/>
      <c r="AU21" s="1185"/>
      <c r="AV21" s="1185"/>
      <c r="AW21" s="1184"/>
      <c r="AX21" s="1186"/>
    </row>
    <row r="22" spans="1:62" s="84" customFormat="1" ht="56.25" customHeight="1">
      <c r="A22" s="1021" t="str">
        <f>A5</f>
        <v>Couverture</v>
      </c>
      <c r="B22" s="1021" t="str">
        <f>B5</f>
        <v>Coverage:</v>
      </c>
      <c r="D22" s="1873" t="str">
        <f>IFERROR(IF(COUNTIF($D$23:$D$46,"x")=COUNTA(D23:D46),"x",""),"")</f>
        <v>x</v>
      </c>
      <c r="E22" s="2399" t="str">
        <f>IF('Input '!$E$1="EN","Quote: Y/N","Offerte : Y/N")</f>
        <v>Quote: Y/N</v>
      </c>
      <c r="F22" s="2398"/>
      <c r="G22" s="2391" t="str">
        <f>IF('Input '!$E$1="EN",Property!B22,Property!A22)</f>
        <v>Coverage:</v>
      </c>
      <c r="H22" s="2400"/>
      <c r="I22" s="2400" t="str">
        <f>IF('Input '!$E$1="EN",I21,I20)</f>
        <v>Limit</v>
      </c>
      <c r="J22" s="2401"/>
      <c r="K22" s="2402" t="str">
        <f>IF('Input '!$E$1="EN",K21,K20)</f>
        <v>% Co Ins</v>
      </c>
      <c r="L22" s="2403" t="str">
        <f>IF('Input '!$E$1="EN",L21,L20)</f>
        <v>Replacement cost</v>
      </c>
      <c r="M22" s="2404" t="str">
        <f>IF('Input '!$E$1="EN",M21,M20)</f>
        <v>Base rate</v>
      </c>
      <c r="N22" s="2404" t="str">
        <f>IF('Input '!$E$1="EN",N21,N20)</f>
        <v>Opta increase</v>
      </c>
      <c r="O22" s="2405">
        <f>IF('Input '!$E$1="EN",O21,O20)</f>
        <v>0</v>
      </c>
      <c r="P22" s="2406"/>
      <c r="Q22" s="2405">
        <f>IF('Input '!$E$1="EN",Q21,Q20)</f>
        <v>0</v>
      </c>
      <c r="R22" s="2405"/>
      <c r="S22" s="2406" t="str">
        <f>IF('Input '!$E$1="EN",S21,S20)</f>
        <v>Credit  (+), surcharge (-) %</v>
      </c>
      <c r="T22" s="2406" t="str">
        <f>IF('Input '!$E$1="EN",T21,T20)</f>
        <v>Quoted rate</v>
      </c>
      <c r="U22" s="2406" t="str">
        <f>IF('Input '!$E$1="EN",U21,U20)</f>
        <v>Com. Rate</v>
      </c>
      <c r="V22" s="2404" t="str">
        <f>IF('Input '!$E$1="EN",V21,V20)</f>
        <v>Premium quoted</v>
      </c>
      <c r="W22" s="2404" t="str">
        <f>IF('Input '!$E$1="EN",W21,W20)</f>
        <v>Premium displayed</v>
      </c>
      <c r="X22" s="2404" t="str">
        <f>IF('Input '!$E$1="EN",X21,X20)</f>
        <v>Min Deductible</v>
      </c>
      <c r="Y22" s="2404" t="str">
        <f>IF('Input '!$E$1="EN",Y21,Y20)</f>
        <v>Deductible quoted</v>
      </c>
      <c r="Z22" s="2401" t="str">
        <f>IF('Input '!$E$1="EN",Z21,Z20)</f>
        <v>Deductible displayed</v>
      </c>
      <c r="AA22" s="2407" t="str">
        <f>IF('Input '!$E$1="EN",AA21,AA20)</f>
        <v>Form</v>
      </c>
      <c r="AB22" s="1174" t="str">
        <f>IF('Input '!$E$1="EN",AB21,AB20)</f>
        <v>Form</v>
      </c>
      <c r="AC22" s="1257" t="str">
        <f>IF('Input '!$E$1="EN",AC21,AC20)</f>
        <v>Form</v>
      </c>
      <c r="AD22" s="250" t="s">
        <v>1233</v>
      </c>
      <c r="AE22" s="1448" t="s">
        <v>3717</v>
      </c>
      <c r="AF22" s="1448" t="s">
        <v>3718</v>
      </c>
      <c r="AG22" s="1447"/>
      <c r="AH22" s="400"/>
      <c r="AI22" s="400"/>
      <c r="AJ22" s="400"/>
      <c r="AK22" s="400"/>
      <c r="AL22" s="400"/>
      <c r="AM22" s="400"/>
      <c r="AN22" s="400"/>
      <c r="AO22" s="400"/>
      <c r="AP22" s="400"/>
      <c r="AQ22" s="400"/>
      <c r="AR22" s="400"/>
      <c r="AS22" s="425"/>
      <c r="AT22" s="425"/>
      <c r="AU22" s="425"/>
      <c r="AV22" s="425"/>
      <c r="AW22" s="425"/>
      <c r="AX22" s="107"/>
      <c r="BJ22" s="31"/>
    </row>
    <row r="23" spans="1:62" ht="29.25" hidden="1" customHeight="1" thickBot="1">
      <c r="A23" s="408" t="s">
        <v>1227</v>
      </c>
      <c r="B23" s="408" t="s">
        <v>1304</v>
      </c>
      <c r="D23" s="1873" t="s">
        <v>1192</v>
      </c>
      <c r="E23" s="407" t="str">
        <f>IF('Input Property info '!$E$16&gt;0,"Y","N")</f>
        <v>N</v>
      </c>
      <c r="F23" s="388"/>
      <c r="G23" s="408" t="str">
        <f>IF('Input '!$E$1="EN",B23,A23)</f>
        <v>Building</v>
      </c>
      <c r="H23" s="1468"/>
      <c r="I23" s="2418">
        <f>SUM(I24:I28)</f>
        <v>0</v>
      </c>
      <c r="J23" s="406"/>
      <c r="K23" s="2415">
        <f>'Input '!$M$64</f>
        <v>0.9</v>
      </c>
      <c r="L23" s="1397" t="str">
        <f ca="1">IF(W25=0,"",L24)</f>
        <v/>
      </c>
      <c r="M23" s="2462"/>
      <c r="N23" s="2462"/>
      <c r="O23" s="2462"/>
      <c r="P23" s="2463"/>
      <c r="Q23" s="2462"/>
      <c r="R23" s="2462"/>
      <c r="S23" s="2464"/>
      <c r="T23" s="2464"/>
      <c r="U23" s="2462"/>
      <c r="V23" s="2418">
        <f ca="1">SUM(V24:V28)</f>
        <v>0</v>
      </c>
      <c r="W23" s="2421">
        <f ca="1">SUM(W24:W28)</f>
        <v>0</v>
      </c>
      <c r="X23" s="2462"/>
      <c r="Y23" s="2462"/>
      <c r="Z23" s="2462"/>
      <c r="AA23" s="2465" t="str">
        <f>IF('Input '!$E$1="EN",AC23,AB23)</f>
        <v>PA1</v>
      </c>
      <c r="AB23" s="1286" t="str">
        <f t="shared" ref="AB23:AC46" si="3">IF(OR($J$24="All risks",$J$24="Formule Etendue"),"PA1","PN1")</f>
        <v>PA1</v>
      </c>
      <c r="AC23" s="1258" t="str">
        <f t="shared" si="3"/>
        <v>PA1</v>
      </c>
      <c r="AD23" s="394">
        <f>IF(I24=0,0,IF(I24/#REF!&gt;120,0,-1))</f>
        <v>0</v>
      </c>
      <c r="AE23" s="1449" t="e">
        <f ca="1">MIN(AE24:AE46)</f>
        <v>#REF!</v>
      </c>
      <c r="AF23" s="1450" t="e">
        <f ca="1">MIN(AF24:AF46)</f>
        <v>#REF!</v>
      </c>
      <c r="AG23" s="80"/>
      <c r="AH23" s="159"/>
      <c r="AI23" s="159"/>
      <c r="AJ23" s="159"/>
      <c r="AK23" s="159"/>
      <c r="AL23" s="159"/>
      <c r="AM23" s="159"/>
      <c r="AN23" s="159"/>
      <c r="AO23" s="159"/>
      <c r="AP23" s="159"/>
      <c r="AQ23" s="159"/>
      <c r="AR23" s="159"/>
      <c r="AT23" s="159"/>
      <c r="AU23" s="159"/>
      <c r="AV23" s="159"/>
      <c r="AW23" s="159"/>
      <c r="AX23" s="290"/>
      <c r="BJ23" s="31" t="str">
        <f>J24</f>
        <v>All Risks</v>
      </c>
    </row>
    <row r="24" spans="1:62" ht="34.5" hidden="1" customHeight="1">
      <c r="A24" s="402"/>
      <c r="B24" s="402"/>
      <c r="D24" s="1873" t="str">
        <f>IF(I24=0,"x","")</f>
        <v>x</v>
      </c>
      <c r="E24" s="193" t="str">
        <f>IF('Input Property info '!$E$16&lt;2,"N","Y")</f>
        <v>N</v>
      </c>
      <c r="F24" s="388">
        <v>1</v>
      </c>
      <c r="G24" s="2279" t="str">
        <f>G23</f>
        <v>Building</v>
      </c>
      <c r="H24" s="1398">
        <f>'Input Property info '!C10</f>
        <v>0</v>
      </c>
      <c r="I24" s="2446">
        <f>'Input Property info '!$E10</f>
        <v>0</v>
      </c>
      <c r="J24" s="2555" t="str">
        <f>'Input Property info '!R10</f>
        <v>All Risks</v>
      </c>
      <c r="K24" s="2555" t="str">
        <f>J24</f>
        <v>All Risks</v>
      </c>
      <c r="L24" s="2556" t="str">
        <f>VLOOKUP(J24,Settings!$B$124:$C$127,2,FALSE)</f>
        <v>RC</v>
      </c>
      <c r="M24" s="2466">
        <f ca="1">IFERROR(IF('Input '!$G$3="Quebec",'Input Property info '!$Y10,'Input Property info '!$AA10),0)</f>
        <v>0</v>
      </c>
      <c r="N24" s="2467">
        <f>IF(I24=0,0,'Input '!$L$97)</f>
        <v>0</v>
      </c>
      <c r="O24" s="2462"/>
      <c r="P24" s="2468"/>
      <c r="Q24" s="2462"/>
      <c r="R24" s="2462"/>
      <c r="S24" s="2469"/>
      <c r="T24" s="2470"/>
      <c r="U24" s="2466">
        <f ca="1">IF((N24+S24)=0,IF(T24&lt;M24,M24,T24),M24*(1+N24+S24))</f>
        <v>0</v>
      </c>
      <c r="V24" s="2420">
        <f ca="1">I24*U24/100</f>
        <v>0</v>
      </c>
      <c r="W24" s="2422">
        <f ca="1">V24</f>
        <v>0</v>
      </c>
      <c r="X24" s="2420">
        <f>IF(I24&gt;750000,2500,1000)</f>
        <v>1000</v>
      </c>
      <c r="Y24" s="2471"/>
      <c r="Z24" s="2422">
        <f t="shared" ref="Z24:Z40" si="4">MAX(X24:Y24)</f>
        <v>1000</v>
      </c>
      <c r="AA24" s="2472" t="str">
        <f>IF('Input '!$E$1="EN",AC24,AB24)</f>
        <v>PA1</v>
      </c>
      <c r="AB24" s="1287" t="str">
        <f t="shared" si="3"/>
        <v>PA1</v>
      </c>
      <c r="AC24" s="1259" t="str">
        <f t="shared" si="3"/>
        <v>PA1</v>
      </c>
      <c r="AD24" s="394">
        <f>IF(I25=0,0,IF(I25/M25&gt;120,0,-1))</f>
        <v>0</v>
      </c>
      <c r="AE24" s="80" t="str">
        <f ca="1">IF(M25=0,"Yes",M25)</f>
        <v>Yes</v>
      </c>
      <c r="AF24" s="80" t="str">
        <f ca="1">IF(U25=0,"Yes",U25)</f>
        <v>Yes</v>
      </c>
      <c r="AG24" s="159"/>
      <c r="AH24" s="159"/>
      <c r="AI24" s="159"/>
      <c r="AJ24" s="159"/>
      <c r="AK24" s="159"/>
      <c r="AL24" s="159"/>
      <c r="AM24" s="159"/>
      <c r="AN24" s="159"/>
      <c r="AO24" s="159"/>
      <c r="AP24" s="159"/>
      <c r="AQ24" s="159"/>
      <c r="AR24" s="159"/>
      <c r="AS24" s="159"/>
      <c r="AT24" s="159"/>
      <c r="AU24" s="159"/>
      <c r="AV24" s="159"/>
      <c r="AW24" s="159"/>
      <c r="AX24" s="290"/>
      <c r="BJ24" s="33"/>
    </row>
    <row r="25" spans="1:62" ht="34.5" hidden="1" customHeight="1">
      <c r="A25" s="402"/>
      <c r="B25" s="402"/>
      <c r="D25" s="1873" t="str">
        <f t="shared" ref="D25:D34" si="5">IF(I25=0,"x","")</f>
        <v>x</v>
      </c>
      <c r="E25" s="193" t="str">
        <f>IF(I25=0,"N","Y")</f>
        <v>N</v>
      </c>
      <c r="F25" s="388">
        <v>2</v>
      </c>
      <c r="G25" s="2279" t="str">
        <f t="shared" ref="G25:G28" si="6">G24</f>
        <v>Building</v>
      </c>
      <c r="H25" s="1399" t="str">
        <f>'Input Property info '!C11</f>
        <v>Input Address no 2</v>
      </c>
      <c r="I25" s="2446">
        <f>'Input Property info '!$E11</f>
        <v>0</v>
      </c>
      <c r="J25" s="2555" t="str">
        <f ca="1">'Input Property info '!R11</f>
        <v>All risks</v>
      </c>
      <c r="K25" s="2555" t="str">
        <f t="shared" ref="K25:K28" ca="1" si="7">J25</f>
        <v>All risks</v>
      </c>
      <c r="L25" s="2556" t="str">
        <f ca="1">VLOOKUP(J25,Settings!$B$124:$C$127,2,FALSE)</f>
        <v>RC</v>
      </c>
      <c r="M25" s="2466">
        <f ca="1">IF('Input '!$G$3="Quebec",'Input Property info '!$Y11,'Input Property info '!$AA11)</f>
        <v>0</v>
      </c>
      <c r="N25" s="2467">
        <f>IF(I25=0,0,'Input '!$L$97)</f>
        <v>0</v>
      </c>
      <c r="O25" s="2462"/>
      <c r="P25" s="2473"/>
      <c r="Q25" s="2462"/>
      <c r="R25" s="2462"/>
      <c r="S25" s="2474"/>
      <c r="T25" s="2470"/>
      <c r="U25" s="2466">
        <f t="shared" ref="U25:U28" ca="1" si="8">IF((N25+S25)=0,IF(T25&lt;M25,M25,T25),M25*(1+N25+S25))</f>
        <v>0</v>
      </c>
      <c r="V25" s="2420">
        <f ca="1">I25*U25/100</f>
        <v>0</v>
      </c>
      <c r="W25" s="2423">
        <f ca="1">V25</f>
        <v>0</v>
      </c>
      <c r="X25" s="2420">
        <f t="shared" ref="X25:X28" si="9">IF(I25&gt;750000,2500,1000)</f>
        <v>1000</v>
      </c>
      <c r="Y25" s="2471"/>
      <c r="Z25" s="2423">
        <f t="shared" si="4"/>
        <v>1000</v>
      </c>
      <c r="AA25" s="2475" t="str">
        <f>IF('Input '!$E$1="EN",AC25,AB25)</f>
        <v>PA1</v>
      </c>
      <c r="AB25" s="1288" t="str">
        <f t="shared" si="3"/>
        <v>PA1</v>
      </c>
      <c r="AC25" s="1260" t="str">
        <f t="shared" si="3"/>
        <v>PA1</v>
      </c>
      <c r="AD25" s="394">
        <f>IF(I26=0,0,IF(I26/M26&gt;120,0,-1))</f>
        <v>0</v>
      </c>
      <c r="AE25" s="80" t="str">
        <f ca="1">IF(M26=0,"Yes",M26)</f>
        <v>Yes</v>
      </c>
      <c r="AF25" s="80" t="str">
        <f ca="1">IF(U26=0,"Yes",U26)</f>
        <v>Yes</v>
      </c>
      <c r="AG25" s="159"/>
      <c r="AH25" s="159"/>
      <c r="AI25" s="159"/>
      <c r="AJ25" s="159"/>
      <c r="AK25" s="159"/>
      <c r="AL25" s="159"/>
      <c r="AM25" s="159"/>
      <c r="AN25" s="159"/>
      <c r="AO25" s="159"/>
      <c r="AP25" s="159"/>
      <c r="AQ25" s="159"/>
      <c r="AR25" s="159"/>
      <c r="AS25" s="159"/>
      <c r="AT25" s="159"/>
      <c r="AU25" s="159"/>
      <c r="AV25" s="159"/>
      <c r="AW25" s="159"/>
      <c r="AX25" s="290"/>
      <c r="BJ25" s="33"/>
    </row>
    <row r="26" spans="1:62" ht="34.5" hidden="1" customHeight="1" outlineLevel="1">
      <c r="A26" s="402"/>
      <c r="B26" s="402"/>
      <c r="D26" s="1873" t="str">
        <f t="shared" si="5"/>
        <v>x</v>
      </c>
      <c r="E26" s="193" t="str">
        <f>IF(I26=0,"N","Y")</f>
        <v>N</v>
      </c>
      <c r="F26" s="388">
        <v>3</v>
      </c>
      <c r="G26" s="2279" t="str">
        <f t="shared" si="6"/>
        <v>Building</v>
      </c>
      <c r="H26" s="1399" t="str">
        <f>'Input Property info '!C12</f>
        <v>Input Address no 3</v>
      </c>
      <c r="I26" s="2446">
        <f>'Input Property info '!$E12</f>
        <v>0</v>
      </c>
      <c r="J26" s="2555" t="str">
        <f ca="1">'Input Property info '!R12</f>
        <v>All risks</v>
      </c>
      <c r="K26" s="2555" t="str">
        <f t="shared" ca="1" si="7"/>
        <v>All risks</v>
      </c>
      <c r="L26" s="2556" t="str">
        <f ca="1">VLOOKUP(J26,Settings!$B$124:$C$127,2,FALSE)</f>
        <v>RC</v>
      </c>
      <c r="M26" s="2466">
        <f ca="1">IF('Input '!G3="Quebec",'Input Property info '!$Y12,'Input Property info '!$AA12)</f>
        <v>0</v>
      </c>
      <c r="N26" s="2467">
        <f>IF(I26=0,0,'Input '!$L$97)</f>
        <v>0</v>
      </c>
      <c r="O26" s="2462"/>
      <c r="P26" s="2473"/>
      <c r="Q26" s="2462"/>
      <c r="R26" s="2462"/>
      <c r="S26" s="2474"/>
      <c r="T26" s="2470"/>
      <c r="U26" s="2466">
        <f t="shared" ca="1" si="8"/>
        <v>0</v>
      </c>
      <c r="V26" s="2420">
        <f ca="1">I26*U26/100</f>
        <v>0</v>
      </c>
      <c r="W26" s="2423">
        <f ca="1">V26</f>
        <v>0</v>
      </c>
      <c r="X26" s="2420">
        <f t="shared" si="9"/>
        <v>1000</v>
      </c>
      <c r="Y26" s="2471"/>
      <c r="Z26" s="2423">
        <f t="shared" si="4"/>
        <v>1000</v>
      </c>
      <c r="AA26" s="2475" t="str">
        <f>IF('Input '!$E$1="EN",AC26,AB26)</f>
        <v>PA1</v>
      </c>
      <c r="AB26" s="1288" t="str">
        <f t="shared" si="3"/>
        <v>PA1</v>
      </c>
      <c r="AC26" s="1260" t="str">
        <f t="shared" si="3"/>
        <v>PA1</v>
      </c>
      <c r="AD26" s="394">
        <f>IF(I27=0,0,IF(I27/M27&gt;120,0,-1))</f>
        <v>0</v>
      </c>
      <c r="AE26" s="80" t="str">
        <f ca="1">IF(M27=0,"Yes",M27)</f>
        <v>Yes</v>
      </c>
      <c r="AF26" s="80" t="str">
        <f ca="1">IF(U27=0,"Yes",U27)</f>
        <v>Yes</v>
      </c>
      <c r="AG26" s="159"/>
      <c r="AH26" s="159"/>
      <c r="AI26" s="159"/>
      <c r="AJ26" s="159"/>
      <c r="AK26" s="159"/>
      <c r="AL26" s="159"/>
      <c r="AM26" s="159"/>
      <c r="AN26" s="159"/>
      <c r="AO26" s="159"/>
      <c r="AP26" s="159"/>
      <c r="AQ26" s="159"/>
      <c r="AR26" s="159"/>
      <c r="AS26" s="159"/>
      <c r="AT26" s="159"/>
      <c r="AU26" s="159"/>
      <c r="AV26" s="159"/>
      <c r="AW26" s="159"/>
      <c r="AX26" s="290"/>
    </row>
    <row r="27" spans="1:62" ht="34.5" hidden="1" customHeight="1" outlineLevel="1">
      <c r="A27" s="402"/>
      <c r="B27" s="402"/>
      <c r="D27" s="1873" t="str">
        <f t="shared" si="5"/>
        <v>x</v>
      </c>
      <c r="E27" s="193" t="str">
        <f>IF(I27=0,"N","Y")</f>
        <v>N</v>
      </c>
      <c r="F27" s="388">
        <v>4</v>
      </c>
      <c r="G27" s="2279" t="str">
        <f t="shared" si="6"/>
        <v>Building</v>
      </c>
      <c r="H27" s="1399" t="str">
        <f>'Input Property info '!C13</f>
        <v>Input Address no 4</v>
      </c>
      <c r="I27" s="2446">
        <f>'Input Property info '!$E13</f>
        <v>0</v>
      </c>
      <c r="J27" s="2555" t="str">
        <f ca="1">'Input Property info '!R13</f>
        <v>All risks</v>
      </c>
      <c r="K27" s="2555" t="str">
        <f t="shared" ca="1" si="7"/>
        <v>All risks</v>
      </c>
      <c r="L27" s="2556" t="str">
        <f ca="1">VLOOKUP(J27,Settings!$B$124:$C$127,2,FALSE)</f>
        <v>RC</v>
      </c>
      <c r="M27" s="2466">
        <f ca="1">IF('Input '!G3="Quebec",'Input Property info '!$Y13,'Input Property info '!$AA13)</f>
        <v>0</v>
      </c>
      <c r="N27" s="2467">
        <f>N26</f>
        <v>0</v>
      </c>
      <c r="O27" s="2462"/>
      <c r="P27" s="2473"/>
      <c r="Q27" s="2462"/>
      <c r="R27" s="2462"/>
      <c r="S27" s="2469"/>
      <c r="T27" s="2470"/>
      <c r="U27" s="2466">
        <f t="shared" ca="1" si="8"/>
        <v>0</v>
      </c>
      <c r="V27" s="2420">
        <f ca="1">I27*U27/100</f>
        <v>0</v>
      </c>
      <c r="W27" s="2423">
        <f ca="1">V27</f>
        <v>0</v>
      </c>
      <c r="X27" s="2420">
        <f t="shared" si="9"/>
        <v>1000</v>
      </c>
      <c r="Y27" s="2471"/>
      <c r="Z27" s="2423">
        <f t="shared" si="4"/>
        <v>1000</v>
      </c>
      <c r="AA27" s="2475" t="str">
        <f>IF('Input '!$E$1="EN",AC27,AB27)</f>
        <v>PA1</v>
      </c>
      <c r="AB27" s="1288" t="str">
        <f t="shared" si="3"/>
        <v>PA1</v>
      </c>
      <c r="AC27" s="1260" t="str">
        <f t="shared" si="3"/>
        <v>PA1</v>
      </c>
      <c r="AD27" s="394">
        <f>IF(I28=0,0,IF(I28/M28&gt;120,0,-1))</f>
        <v>0</v>
      </c>
      <c r="AE27" s="80" t="str">
        <f ca="1">IF(M28=0,"Yes",M28)</f>
        <v>Yes</v>
      </c>
      <c r="AF27" s="80" t="str">
        <f ca="1">IF(U28=0,"Yes",U28)</f>
        <v>Yes</v>
      </c>
      <c r="AG27" s="159"/>
      <c r="AH27" s="159"/>
      <c r="AI27" s="159"/>
      <c r="AJ27" s="159"/>
      <c r="AK27" s="159"/>
      <c r="AL27" s="159"/>
      <c r="AM27" s="159"/>
      <c r="AN27" s="159"/>
      <c r="AO27" s="159"/>
      <c r="AP27" s="159"/>
      <c r="AQ27" s="159"/>
      <c r="AR27" s="159"/>
      <c r="AS27" s="159"/>
      <c r="AT27" s="159"/>
      <c r="AU27" s="159"/>
      <c r="AV27" s="159"/>
      <c r="AW27" s="159"/>
      <c r="AX27" s="290"/>
    </row>
    <row r="28" spans="1:62" ht="34.5" hidden="1" customHeight="1" outlineLevel="1">
      <c r="A28" s="402"/>
      <c r="B28" s="402"/>
      <c r="D28" s="1873" t="str">
        <f t="shared" si="5"/>
        <v>x</v>
      </c>
      <c r="E28" s="193" t="str">
        <f>IF(I28=0,"N","Y")</f>
        <v>N</v>
      </c>
      <c r="F28" s="388">
        <v>5</v>
      </c>
      <c r="G28" s="2279" t="str">
        <f t="shared" si="6"/>
        <v>Building</v>
      </c>
      <c r="H28" s="1399" t="str">
        <f>'Input Property info '!C14</f>
        <v>Input Address no 5</v>
      </c>
      <c r="I28" s="2446">
        <f>'Input Property info '!$E14</f>
        <v>0</v>
      </c>
      <c r="J28" s="2555" t="str">
        <f ca="1">'Input Property info '!R14</f>
        <v>All risks</v>
      </c>
      <c r="K28" s="2555" t="str">
        <f t="shared" ca="1" si="7"/>
        <v>All risks</v>
      </c>
      <c r="L28" s="2556" t="str">
        <f ca="1">VLOOKUP(J28,Settings!$B$124:$C$127,2,FALSE)</f>
        <v>RC</v>
      </c>
      <c r="M28" s="2466">
        <f ca="1">IF('Input '!G3="Quebec",'Input Property info '!$Y14,'Input Property info '!$AA14)</f>
        <v>0</v>
      </c>
      <c r="N28" s="2467">
        <f>N27</f>
        <v>0</v>
      </c>
      <c r="O28" s="2462"/>
      <c r="P28" s="2473"/>
      <c r="Q28" s="2462"/>
      <c r="R28" s="2462"/>
      <c r="S28" s="2474"/>
      <c r="T28" s="2470"/>
      <c r="U28" s="2466">
        <f t="shared" ca="1" si="8"/>
        <v>0</v>
      </c>
      <c r="V28" s="2420">
        <f ca="1">I28*U28/100</f>
        <v>0</v>
      </c>
      <c r="W28" s="2423">
        <f ca="1">V28</f>
        <v>0</v>
      </c>
      <c r="X28" s="2420">
        <f t="shared" si="9"/>
        <v>1000</v>
      </c>
      <c r="Y28" s="2471"/>
      <c r="Z28" s="2423">
        <f t="shared" si="4"/>
        <v>1000</v>
      </c>
      <c r="AA28" s="2475" t="str">
        <f>IF('Input '!$E$1="EN",AC28,AB28)</f>
        <v>PA1</v>
      </c>
      <c r="AB28" s="1288" t="str">
        <f t="shared" si="3"/>
        <v>PA1</v>
      </c>
      <c r="AC28" s="1260" t="str">
        <f t="shared" si="3"/>
        <v>PA1</v>
      </c>
      <c r="AD28" s="394"/>
      <c r="AE28" s="80" t="e">
        <f>IF(#REF!=0,"Yes",#REF!)</f>
        <v>#REF!</v>
      </c>
      <c r="AF28" s="80" t="e">
        <f>IF(#REF!=0,"Yes",#REF!)</f>
        <v>#REF!</v>
      </c>
      <c r="AG28" s="159"/>
      <c r="AH28" s="159"/>
      <c r="AI28" s="159"/>
      <c r="AJ28" s="159"/>
      <c r="AK28" s="159"/>
      <c r="AL28" s="159"/>
      <c r="AM28" s="159"/>
      <c r="AN28" s="159"/>
      <c r="AO28" s="159"/>
      <c r="AP28" s="159"/>
      <c r="AQ28" s="159"/>
      <c r="AR28" s="159"/>
      <c r="AS28" s="159"/>
      <c r="AT28" s="159"/>
      <c r="AU28" s="159"/>
      <c r="AV28" s="159"/>
      <c r="AW28" s="159"/>
      <c r="AX28" s="290"/>
    </row>
    <row r="29" spans="1:62" ht="29.25" hidden="1" customHeight="1" collapsed="1">
      <c r="A29" s="408" t="s">
        <v>1147</v>
      </c>
      <c r="B29" s="408" t="s">
        <v>3488</v>
      </c>
      <c r="D29" s="1873" t="s">
        <v>1192</v>
      </c>
      <c r="E29" s="407" t="str">
        <f>IF('Input Property info '!$F$16&gt;0,"Y","N")</f>
        <v>N</v>
      </c>
      <c r="F29" s="388"/>
      <c r="G29" s="1390" t="str">
        <f>IF('Input '!$E$1="EN",B29,A29)</f>
        <v>Contents</v>
      </c>
      <c r="H29" s="1468"/>
      <c r="I29" s="2418">
        <f>SUM(I30:I34)</f>
        <v>0</v>
      </c>
      <c r="J29" s="406"/>
      <c r="K29" s="2557">
        <f>'Input '!$M$64</f>
        <v>0.9</v>
      </c>
      <c r="L29" s="2558" t="str">
        <f ca="1">IF(W31=0,"",L30)</f>
        <v/>
      </c>
      <c r="M29" s="2462"/>
      <c r="N29" s="2476"/>
      <c r="O29" s="2462"/>
      <c r="P29" s="2463"/>
      <c r="Q29" s="2462"/>
      <c r="R29" s="2462"/>
      <c r="S29" s="2464"/>
      <c r="T29" s="2464"/>
      <c r="U29" s="2477"/>
      <c r="V29" s="2421">
        <f ca="1">SUM(V30:V34)</f>
        <v>0</v>
      </c>
      <c r="W29" s="2421">
        <f ca="1">SUM(W30:W34)</f>
        <v>0</v>
      </c>
      <c r="X29" s="2462"/>
      <c r="Y29" s="2462"/>
      <c r="Z29" s="2462"/>
      <c r="AA29" s="2472" t="str">
        <f>IF('Input '!$E$1="EN",AC29,AB29)</f>
        <v>PA1</v>
      </c>
      <c r="AB29" s="1287" t="str">
        <f t="shared" si="3"/>
        <v>PA1</v>
      </c>
      <c r="AC29" s="1259" t="str">
        <f t="shared" si="3"/>
        <v>PA1</v>
      </c>
      <c r="AD29" s="394"/>
      <c r="AE29" s="80" t="str">
        <f ca="1">IF(M30=0,"Yes",M30)</f>
        <v>Yes</v>
      </c>
      <c r="AF29" s="80" t="str">
        <f ca="1">IF(U30=0,"Yes",U30)</f>
        <v>Yes</v>
      </c>
      <c r="AG29" s="159"/>
      <c r="AH29" s="159"/>
      <c r="AI29" s="159"/>
      <c r="AJ29" s="159"/>
      <c r="AK29" s="159"/>
      <c r="AL29" s="159"/>
      <c r="AM29" s="159"/>
      <c r="AN29" s="159"/>
      <c r="AO29" s="159"/>
      <c r="AP29" s="159"/>
      <c r="AQ29" s="159"/>
      <c r="AR29" s="159"/>
      <c r="AS29" s="159"/>
      <c r="AT29" s="159"/>
      <c r="AU29" s="159"/>
      <c r="AV29" s="159"/>
      <c r="AW29" s="159"/>
      <c r="AX29" s="290"/>
      <c r="BJ29" s="33"/>
    </row>
    <row r="30" spans="1:62" ht="37.5" customHeight="1">
      <c r="A30" s="402"/>
      <c r="B30" s="402"/>
      <c r="D30" s="1873" t="str">
        <f t="shared" si="5"/>
        <v>x</v>
      </c>
      <c r="E30" s="193" t="str">
        <f>IF('Input Property info '!$F$16&lt;2,"N","Y")</f>
        <v>N</v>
      </c>
      <c r="F30" s="388">
        <v>1</v>
      </c>
      <c r="G30" s="2280" t="str">
        <f>G29</f>
        <v>Contents</v>
      </c>
      <c r="H30" s="1399">
        <f>H24</f>
        <v>0</v>
      </c>
      <c r="I30" s="2446">
        <f>'Input Property info '!$F10</f>
        <v>0</v>
      </c>
      <c r="J30" s="2555" t="str">
        <f>J24</f>
        <v>All Risks</v>
      </c>
      <c r="K30" s="2555" t="str">
        <f>J30</f>
        <v>All Risks</v>
      </c>
      <c r="L30" s="2556" t="str">
        <f>VLOOKUP(J30,Settings!$B$124:$C$127,2,FALSE)</f>
        <v>RC</v>
      </c>
      <c r="M30" s="2466">
        <f ca="1">IFERROR(IF('Input '!$G$3="Quebec",'Input Property info '!$Z10,'Input Property info '!$AB10),0)</f>
        <v>0</v>
      </c>
      <c r="N30" s="2467">
        <f>IF(I30=0,0,'Input '!$L$97)</f>
        <v>0</v>
      </c>
      <c r="O30" s="2462"/>
      <c r="P30" s="2468"/>
      <c r="Q30" s="2462">
        <f>N24</f>
        <v>0</v>
      </c>
      <c r="R30" s="2462"/>
      <c r="S30" s="2469"/>
      <c r="T30" s="2470"/>
      <c r="U30" s="2466">
        <f ca="1">IF((N30+S30)=0,IF(T30&lt;M30,M30,T30),M30*(1+N30+S30))</f>
        <v>0</v>
      </c>
      <c r="V30" s="2420">
        <f ca="1">I30*U30/100</f>
        <v>0</v>
      </c>
      <c r="W30" s="2422">
        <f ca="1">V30</f>
        <v>0</v>
      </c>
      <c r="X30" s="2420">
        <f>IF(I30&gt;750000,2500,1000)</f>
        <v>1000</v>
      </c>
      <c r="Y30" s="2471"/>
      <c r="Z30" s="2423">
        <f t="shared" si="4"/>
        <v>1000</v>
      </c>
      <c r="AA30" s="2475" t="str">
        <f>IF('Input '!$E$1="EN",AC30,AB30)</f>
        <v>PA1</v>
      </c>
      <c r="AB30" s="1288" t="str">
        <f t="shared" si="3"/>
        <v>PA1</v>
      </c>
      <c r="AC30" s="1260" t="str">
        <f t="shared" si="3"/>
        <v>PA1</v>
      </c>
      <c r="AD30" s="159"/>
      <c r="AE30" s="80" t="str">
        <f ca="1">IF(M31=0,"Yes",M31)</f>
        <v>Yes</v>
      </c>
      <c r="AF30" s="80" t="str">
        <f ca="1">IF(U31=0,"Yes",U31)</f>
        <v>Yes</v>
      </c>
      <c r="AG30" s="159"/>
      <c r="AH30" s="159"/>
      <c r="AI30" s="159"/>
      <c r="AJ30" s="159"/>
      <c r="AK30" s="159"/>
      <c r="AL30" s="159"/>
      <c r="AM30" s="159"/>
      <c r="AN30" s="159"/>
      <c r="AO30" s="159"/>
      <c r="AP30" s="159"/>
      <c r="AQ30" s="159"/>
      <c r="AR30" s="159"/>
      <c r="AS30" s="159"/>
      <c r="AT30" s="159"/>
      <c r="AU30" s="159"/>
      <c r="AV30" s="159"/>
      <c r="AW30" s="159"/>
      <c r="AX30" s="290"/>
      <c r="BJ30" s="33"/>
    </row>
    <row r="31" spans="1:62" ht="37.5" hidden="1" customHeight="1">
      <c r="A31" s="402"/>
      <c r="B31" s="402"/>
      <c r="D31" s="1873" t="str">
        <f t="shared" si="5"/>
        <v>x</v>
      </c>
      <c r="E31" s="193" t="str">
        <f>IF(I31=0,"N","Y")</f>
        <v>N</v>
      </c>
      <c r="F31" s="388">
        <v>2</v>
      </c>
      <c r="G31" s="2280" t="str">
        <f t="shared" ref="G31:G34" si="10">G30</f>
        <v>Contents</v>
      </c>
      <c r="H31" s="1399" t="str">
        <f>'Input Property info '!C11</f>
        <v>Input Address no 2</v>
      </c>
      <c r="I31" s="2446">
        <f>'Input Property info '!$F11</f>
        <v>0</v>
      </c>
      <c r="J31" s="2555" t="str">
        <f ca="1">J25</f>
        <v>All risks</v>
      </c>
      <c r="K31" s="2555" t="str">
        <f t="shared" ref="K31:K34" ca="1" si="11">J31</f>
        <v>All risks</v>
      </c>
      <c r="L31" s="2556" t="str">
        <f ca="1">VLOOKUP(J31,Settings!$B$124:$C$127,2,FALSE)</f>
        <v>RC</v>
      </c>
      <c r="M31" s="2466">
        <f ca="1">IF('Input '!G3="Quebec",'Input Property info '!$Z11,'Input Property info '!$AB11)</f>
        <v>0</v>
      </c>
      <c r="N31" s="2467">
        <f>IF(I31=0,0,'Input '!$L$97)</f>
        <v>0</v>
      </c>
      <c r="O31" s="2462"/>
      <c r="P31" s="2473"/>
      <c r="Q31" s="2462"/>
      <c r="R31" s="2462"/>
      <c r="S31" s="2469"/>
      <c r="T31" s="2470"/>
      <c r="U31" s="2466">
        <f t="shared" ref="U31:U34" ca="1" si="12">IF((N31+S31)=0,IF(T31&lt;M31,M31,T31),M31*(1+N31+S31))</f>
        <v>0</v>
      </c>
      <c r="V31" s="2420">
        <f ca="1">I31*U31/100</f>
        <v>0</v>
      </c>
      <c r="W31" s="2423">
        <f ca="1">V31</f>
        <v>0</v>
      </c>
      <c r="X31" s="2420">
        <f t="shared" ref="X31:X34" si="13">IF(I31&gt;750000,2500,1000)</f>
        <v>1000</v>
      </c>
      <c r="Y31" s="2471"/>
      <c r="Z31" s="2423">
        <f t="shared" si="4"/>
        <v>1000</v>
      </c>
      <c r="AA31" s="2475" t="str">
        <f>IF('Input '!$E$1="EN",AC31,AB31)</f>
        <v>PA1</v>
      </c>
      <c r="AB31" s="1288" t="str">
        <f t="shared" si="3"/>
        <v>PA1</v>
      </c>
      <c r="AC31" s="1260" t="str">
        <f t="shared" si="3"/>
        <v>PA1</v>
      </c>
      <c r="AD31" s="159"/>
      <c r="AE31" s="80" t="str">
        <f ca="1">IF(M32=0,"Yes",M32)</f>
        <v>Yes</v>
      </c>
      <c r="AF31" s="80" t="str">
        <f ca="1">IF(U32=0,"Yes",U32)</f>
        <v>Yes</v>
      </c>
      <c r="AG31" s="159"/>
      <c r="AH31" s="159"/>
      <c r="AI31" s="159"/>
      <c r="AJ31" s="159"/>
      <c r="AK31" s="159"/>
      <c r="AL31" s="159"/>
      <c r="AM31" s="159"/>
      <c r="AN31" s="159"/>
      <c r="AO31" s="159"/>
      <c r="AP31" s="159"/>
      <c r="AQ31" s="159"/>
      <c r="AR31" s="159"/>
      <c r="AS31" s="159"/>
      <c r="AT31" s="159"/>
      <c r="AU31" s="159"/>
      <c r="AV31" s="159"/>
      <c r="AW31" s="159"/>
      <c r="AX31" s="290"/>
    </row>
    <row r="32" spans="1:62" ht="37.5" hidden="1" customHeight="1" outlineLevel="1">
      <c r="A32" s="402"/>
      <c r="B32" s="402"/>
      <c r="D32" s="1873" t="str">
        <f t="shared" si="5"/>
        <v>x</v>
      </c>
      <c r="E32" s="193" t="str">
        <f>IF(I32=0,"N","Y")</f>
        <v>N</v>
      </c>
      <c r="F32" s="388">
        <v>3</v>
      </c>
      <c r="G32" s="2280" t="str">
        <f t="shared" si="10"/>
        <v>Contents</v>
      </c>
      <c r="H32" s="1399" t="str">
        <f>'Input Property info '!C12</f>
        <v>Input Address no 3</v>
      </c>
      <c r="I32" s="2446">
        <f>'Input Property info '!$F12</f>
        <v>0</v>
      </c>
      <c r="J32" s="2555" t="str">
        <f ca="1">J26</f>
        <v>All risks</v>
      </c>
      <c r="K32" s="2555" t="str">
        <f t="shared" ca="1" si="11"/>
        <v>All risks</v>
      </c>
      <c r="L32" s="2556" t="str">
        <f ca="1">VLOOKUP(J32,Settings!$B$124:$C$127,2,FALSE)</f>
        <v>RC</v>
      </c>
      <c r="M32" s="2466">
        <f ca="1">IF('Input '!G3="Quebec",'Input Property info '!$Z12,'Input Property info '!$AB12)</f>
        <v>0</v>
      </c>
      <c r="N32" s="2467">
        <f>IF(I32=0,0,'Input '!$L$97)</f>
        <v>0</v>
      </c>
      <c r="O32" s="2462"/>
      <c r="P32" s="2473"/>
      <c r="Q32" s="2462"/>
      <c r="R32" s="2462"/>
      <c r="S32" s="2474"/>
      <c r="T32" s="2470"/>
      <c r="U32" s="2466">
        <f t="shared" ca="1" si="12"/>
        <v>0</v>
      </c>
      <c r="V32" s="2420">
        <f ca="1">I32*U32/100</f>
        <v>0</v>
      </c>
      <c r="W32" s="2423">
        <f ca="1">V32</f>
        <v>0</v>
      </c>
      <c r="X32" s="2420">
        <f t="shared" si="13"/>
        <v>1000</v>
      </c>
      <c r="Y32" s="2471"/>
      <c r="Z32" s="2423">
        <f t="shared" si="4"/>
        <v>1000</v>
      </c>
      <c r="AA32" s="2475" t="str">
        <f>IF('Input '!$E$1="EN",AC32,AB32)</f>
        <v>PA1</v>
      </c>
      <c r="AB32" s="1288" t="str">
        <f t="shared" si="3"/>
        <v>PA1</v>
      </c>
      <c r="AC32" s="1260" t="str">
        <f t="shared" si="3"/>
        <v>PA1</v>
      </c>
      <c r="AD32" s="159"/>
      <c r="AE32" s="80" t="str">
        <f ca="1">IF(M33=0,"Yes",M33)</f>
        <v>Yes</v>
      </c>
      <c r="AF32" s="80" t="str">
        <f ca="1">IF(U33=0,"Yes",U33)</f>
        <v>Yes</v>
      </c>
      <c r="AG32" s="159"/>
      <c r="AH32" s="159"/>
      <c r="AI32" s="159"/>
      <c r="AJ32" s="159"/>
      <c r="AK32" s="159"/>
      <c r="AL32" s="159"/>
      <c r="AM32" s="159"/>
      <c r="AN32" s="159"/>
      <c r="AO32" s="159"/>
      <c r="AP32" s="159"/>
      <c r="AQ32" s="159"/>
      <c r="AR32" s="159"/>
      <c r="AS32" s="159"/>
      <c r="AT32" s="159"/>
      <c r="AU32" s="159"/>
      <c r="AV32" s="159"/>
      <c r="AW32" s="159"/>
      <c r="AX32" s="290"/>
    </row>
    <row r="33" spans="1:62" ht="37.5" hidden="1" customHeight="1" outlineLevel="1">
      <c r="A33" s="402"/>
      <c r="B33" s="402"/>
      <c r="D33" s="1873" t="str">
        <f t="shared" si="5"/>
        <v>x</v>
      </c>
      <c r="E33" s="193" t="str">
        <f>IF(I33=0,"N","Y")</f>
        <v>N</v>
      </c>
      <c r="F33" s="388">
        <v>4</v>
      </c>
      <c r="G33" s="2280" t="str">
        <f t="shared" si="10"/>
        <v>Contents</v>
      </c>
      <c r="H33" s="1399" t="str">
        <f>'Input Property info '!C13</f>
        <v>Input Address no 4</v>
      </c>
      <c r="I33" s="2446">
        <f>'Input Property info '!$F13</f>
        <v>0</v>
      </c>
      <c r="J33" s="2555" t="str">
        <f ca="1">J27</f>
        <v>All risks</v>
      </c>
      <c r="K33" s="2555" t="str">
        <f t="shared" ca="1" si="11"/>
        <v>All risks</v>
      </c>
      <c r="L33" s="2556" t="str">
        <f ca="1">VLOOKUP(J33,Settings!$B$124:$C$127,2,FALSE)</f>
        <v>RC</v>
      </c>
      <c r="M33" s="2466">
        <f ca="1">IF('Input '!G3="Quebec",'Input Property info '!$Z13,'Input Property info '!$AB13)</f>
        <v>0</v>
      </c>
      <c r="N33" s="2467">
        <f>N32</f>
        <v>0</v>
      </c>
      <c r="O33" s="2462"/>
      <c r="P33" s="2473"/>
      <c r="Q33" s="2462"/>
      <c r="R33" s="2462"/>
      <c r="S33" s="2469"/>
      <c r="T33" s="2470"/>
      <c r="U33" s="2466">
        <f t="shared" ca="1" si="12"/>
        <v>0</v>
      </c>
      <c r="V33" s="2420">
        <f ca="1">I33*U33/100</f>
        <v>0</v>
      </c>
      <c r="W33" s="2423">
        <f ca="1">V33</f>
        <v>0</v>
      </c>
      <c r="X33" s="2420">
        <f t="shared" si="13"/>
        <v>1000</v>
      </c>
      <c r="Y33" s="2471"/>
      <c r="Z33" s="2423">
        <f t="shared" si="4"/>
        <v>1000</v>
      </c>
      <c r="AA33" s="2475" t="str">
        <f>IF('Input '!$E$1="EN",AC33,AB33)</f>
        <v>PA1</v>
      </c>
      <c r="AB33" s="1288" t="str">
        <f t="shared" si="3"/>
        <v>PA1</v>
      </c>
      <c r="AC33" s="1260" t="str">
        <f t="shared" si="3"/>
        <v>PA1</v>
      </c>
      <c r="AD33" s="159"/>
      <c r="AE33" s="80" t="str">
        <f ca="1">IF(M34=0,"Yes",M34)</f>
        <v>Yes</v>
      </c>
      <c r="AF33" s="80" t="str">
        <f ca="1">IF(U34=0,"Yes",U34)</f>
        <v>Yes</v>
      </c>
      <c r="AG33" s="159"/>
      <c r="AH33" s="159"/>
      <c r="AI33" s="159"/>
      <c r="AJ33" s="159"/>
      <c r="AK33" s="159"/>
      <c r="AL33" s="159"/>
      <c r="AM33" s="159"/>
      <c r="AN33" s="159"/>
      <c r="AO33" s="159"/>
      <c r="AP33" s="159"/>
      <c r="AQ33" s="159"/>
      <c r="AR33" s="159"/>
      <c r="AS33" s="159"/>
      <c r="AT33" s="159"/>
      <c r="AU33" s="159"/>
      <c r="AV33" s="159"/>
      <c r="AW33" s="159"/>
      <c r="AX33" s="290"/>
    </row>
    <row r="34" spans="1:62" ht="37.5" hidden="1" customHeight="1" outlineLevel="1">
      <c r="A34" s="402"/>
      <c r="B34" s="402"/>
      <c r="D34" s="1873" t="str">
        <f t="shared" si="5"/>
        <v>x</v>
      </c>
      <c r="E34" s="193" t="str">
        <f>IF(I34=0,"N","Y")</f>
        <v>N</v>
      </c>
      <c r="F34" s="388">
        <v>5</v>
      </c>
      <c r="G34" s="2280" t="str">
        <f t="shared" si="10"/>
        <v>Contents</v>
      </c>
      <c r="H34" s="1399" t="str">
        <f>'Input Property info '!C14</f>
        <v>Input Address no 5</v>
      </c>
      <c r="I34" s="2446">
        <f>'Input Property info '!$F14</f>
        <v>0</v>
      </c>
      <c r="J34" s="2555" t="str">
        <f ca="1">J28</f>
        <v>All risks</v>
      </c>
      <c r="K34" s="2555" t="str">
        <f t="shared" ca="1" si="11"/>
        <v>All risks</v>
      </c>
      <c r="L34" s="2556" t="str">
        <f ca="1">VLOOKUP(J34,Settings!$B$124:$C$127,2,FALSE)</f>
        <v>RC</v>
      </c>
      <c r="M34" s="2466">
        <f ca="1">IF('Input '!G3="Quebec",'Input Property info '!$Z14,'Input Property info '!$AB14)</f>
        <v>0</v>
      </c>
      <c r="N34" s="2467">
        <f>N33</f>
        <v>0</v>
      </c>
      <c r="O34" s="2462"/>
      <c r="P34" s="2473"/>
      <c r="Q34" s="2462"/>
      <c r="R34" s="2462"/>
      <c r="S34" s="2474"/>
      <c r="T34" s="2470"/>
      <c r="U34" s="2466">
        <f t="shared" ca="1" si="12"/>
        <v>0</v>
      </c>
      <c r="V34" s="2420">
        <f ca="1">I34*U34/100</f>
        <v>0</v>
      </c>
      <c r="W34" s="2423">
        <f ca="1">V34</f>
        <v>0</v>
      </c>
      <c r="X34" s="2420">
        <f t="shared" si="13"/>
        <v>1000</v>
      </c>
      <c r="Y34" s="2471"/>
      <c r="Z34" s="2423">
        <f t="shared" si="4"/>
        <v>1000</v>
      </c>
      <c r="AA34" s="2475" t="str">
        <f>IF('Input '!$E$1="EN",AC34,AB34)</f>
        <v>PA1</v>
      </c>
      <c r="AB34" s="1288" t="str">
        <f t="shared" si="3"/>
        <v>PA1</v>
      </c>
      <c r="AC34" s="1260" t="str">
        <f t="shared" si="3"/>
        <v>PA1</v>
      </c>
      <c r="AD34" s="159"/>
      <c r="AE34" s="80" t="e">
        <f>IF(#REF!=0,"Yes",#REF!)</f>
        <v>#REF!</v>
      </c>
      <c r="AF34" s="80" t="e">
        <f>IF(#REF!=0,"Yes",#REF!)</f>
        <v>#REF!</v>
      </c>
      <c r="AG34" s="159"/>
      <c r="AH34" s="159"/>
      <c r="AI34" s="159"/>
      <c r="AJ34" s="159"/>
      <c r="AK34" s="159"/>
      <c r="AL34" s="159"/>
      <c r="AM34" s="159"/>
      <c r="AN34" s="159"/>
      <c r="AO34" s="159"/>
      <c r="AP34" s="159"/>
      <c r="AQ34" s="159"/>
      <c r="AR34" s="159"/>
      <c r="AS34" s="159"/>
      <c r="AT34" s="159"/>
      <c r="AU34" s="159"/>
      <c r="AV34" s="159"/>
      <c r="AW34" s="159"/>
      <c r="AX34" s="290"/>
      <c r="BJ34" s="33"/>
    </row>
    <row r="35" spans="1:62" ht="29.25" hidden="1" customHeight="1" collapsed="1">
      <c r="A35" s="178" t="s">
        <v>3376</v>
      </c>
      <c r="B35" s="178" t="s">
        <v>3489</v>
      </c>
      <c r="D35" s="1873" t="s">
        <v>1192</v>
      </c>
      <c r="E35" s="407" t="str">
        <f>IF('Input Property info '!$G$16&gt;0,"Y","N")</f>
        <v>N</v>
      </c>
      <c r="F35" s="388"/>
      <c r="G35" s="1390" t="str">
        <f>IF('Input '!$E$1="EN",B35,A35)</f>
        <v>Stock</v>
      </c>
      <c r="H35" s="1468"/>
      <c r="I35" s="2418">
        <f>SUM(I36:I40)</f>
        <v>0</v>
      </c>
      <c r="J35" s="406"/>
      <c r="K35" s="2557">
        <f>'Input '!$M$64</f>
        <v>0.9</v>
      </c>
      <c r="L35" s="2558" t="str">
        <f ca="1">IF(W37=0,"",L36)</f>
        <v/>
      </c>
      <c r="M35" s="2466"/>
      <c r="N35" s="2467"/>
      <c r="O35" s="2462"/>
      <c r="P35" s="2478"/>
      <c r="Q35" s="2467">
        <f>N24</f>
        <v>0</v>
      </c>
      <c r="R35" s="2467"/>
      <c r="S35" s="2479"/>
      <c r="T35" s="2479"/>
      <c r="U35" s="2480"/>
      <c r="V35" s="2421">
        <f ca="1">SUM(V36:V40)</f>
        <v>0</v>
      </c>
      <c r="W35" s="2421">
        <f ca="1">SUM(W36:W40)</f>
        <v>0</v>
      </c>
      <c r="X35" s="2462"/>
      <c r="Y35" s="2462"/>
      <c r="Z35" s="2462"/>
      <c r="AA35" s="2481" t="str">
        <f>IF('Input '!$E$1="EN",AC35,AB35)</f>
        <v>PA1</v>
      </c>
      <c r="AB35" s="1289" t="str">
        <f t="shared" si="3"/>
        <v>PA1</v>
      </c>
      <c r="AC35" s="1261" t="str">
        <f t="shared" si="3"/>
        <v>PA1</v>
      </c>
      <c r="AD35" s="159"/>
      <c r="AE35" s="80" t="str">
        <f ca="1">IF(M36=0,"Yes",M36)</f>
        <v>Yes</v>
      </c>
      <c r="AF35" s="80" t="str">
        <f ca="1">IF(U36=0,"Yes",U36)</f>
        <v>Yes</v>
      </c>
      <c r="AG35" s="159"/>
      <c r="AH35" s="159"/>
      <c r="AI35" s="159"/>
      <c r="AJ35" s="159"/>
      <c r="AK35" s="159"/>
      <c r="AL35" s="159"/>
      <c r="AM35" s="159"/>
      <c r="AN35" s="159"/>
      <c r="AO35" s="159"/>
      <c r="AP35" s="159"/>
      <c r="AQ35" s="159"/>
      <c r="AR35" s="159"/>
      <c r="AS35" s="159"/>
      <c r="AT35" s="159"/>
      <c r="AU35" s="159"/>
      <c r="AV35" s="159"/>
      <c r="AW35" s="159"/>
      <c r="AX35" s="290"/>
      <c r="BJ35" s="33"/>
    </row>
    <row r="36" spans="1:62" ht="36" customHeight="1">
      <c r="A36" s="1043"/>
      <c r="B36" s="1043"/>
      <c r="D36" s="1873" t="str">
        <f>IF(I36=0,"x","")</f>
        <v>x</v>
      </c>
      <c r="E36" s="193" t="str">
        <f>IF('Input Property info '!$G$16&lt;2,"N","Y")</f>
        <v>N</v>
      </c>
      <c r="F36" s="388">
        <v>1</v>
      </c>
      <c r="G36" s="2281" t="str">
        <f>G35</f>
        <v>Stock</v>
      </c>
      <c r="H36" s="1400">
        <f>'Input Property info '!C10</f>
        <v>0</v>
      </c>
      <c r="I36" s="2446">
        <f>'Input '!G66</f>
        <v>0</v>
      </c>
      <c r="J36" s="2555" t="str">
        <f>J30</f>
        <v>All Risks</v>
      </c>
      <c r="K36" s="2555" t="str">
        <f>J36</f>
        <v>All Risks</v>
      </c>
      <c r="L36" s="2556" t="str">
        <f>VLOOKUP(J36,Settings!$B$124:$C$127,2,FALSE)</f>
        <v>RC</v>
      </c>
      <c r="M36" s="2466">
        <f ca="1">M30</f>
        <v>0</v>
      </c>
      <c r="N36" s="2467">
        <f>IF(I36=0,0,'Input '!$L$97)</f>
        <v>0</v>
      </c>
      <c r="O36" s="2462"/>
      <c r="P36" s="2468"/>
      <c r="Q36" s="2462"/>
      <c r="R36" s="2462"/>
      <c r="S36" s="2469"/>
      <c r="T36" s="2470"/>
      <c r="U36" s="2466">
        <f ca="1">IF((N36+S36)=0,IF(T36&lt;M36,M36,T36),M36*(1+N36+S36))</f>
        <v>0</v>
      </c>
      <c r="V36" s="2420">
        <f ca="1">I36*U36/100</f>
        <v>0</v>
      </c>
      <c r="W36" s="2422">
        <f ca="1">V36</f>
        <v>0</v>
      </c>
      <c r="X36" s="2420">
        <f>IF(I36&gt;750000,2500,1000)</f>
        <v>1000</v>
      </c>
      <c r="Y36" s="2471"/>
      <c r="Z36" s="2423">
        <f t="shared" si="4"/>
        <v>1000</v>
      </c>
      <c r="AA36" s="2475" t="str">
        <f>IF('Input '!$E$1="EN",AC36,AB36)</f>
        <v>PA1</v>
      </c>
      <c r="AB36" s="1288" t="str">
        <f t="shared" si="3"/>
        <v>PA1</v>
      </c>
      <c r="AC36" s="1260" t="str">
        <f t="shared" si="3"/>
        <v>PA1</v>
      </c>
      <c r="AD36" s="159"/>
      <c r="AE36" s="80" t="str">
        <f ca="1">IF(M37=0,"Yes",M37)</f>
        <v>Yes</v>
      </c>
      <c r="AF36" s="80" t="str">
        <f ca="1">IF(U37=0,"Yes",U37)</f>
        <v>Yes</v>
      </c>
      <c r="AG36" s="159"/>
      <c r="AH36" s="159"/>
      <c r="AI36" s="159"/>
      <c r="AJ36" s="159"/>
      <c r="AK36" s="159"/>
      <c r="AL36" s="159"/>
      <c r="AM36" s="159"/>
      <c r="AN36" s="159"/>
      <c r="AO36" s="159"/>
      <c r="AP36" s="159"/>
      <c r="AQ36" s="159"/>
      <c r="AR36" s="159"/>
      <c r="AS36" s="159"/>
      <c r="AT36" s="159"/>
      <c r="AU36" s="159"/>
      <c r="AV36" s="159"/>
      <c r="AW36" s="159"/>
      <c r="AX36" s="1050"/>
    </row>
    <row r="37" spans="1:62" ht="36" hidden="1" customHeight="1">
      <c r="A37" s="1043"/>
      <c r="B37" s="1043"/>
      <c r="D37" s="1873" t="str">
        <f t="shared" ref="D37:D40" si="14">IF(I37=0,"x","")</f>
        <v>x</v>
      </c>
      <c r="E37" s="193" t="str">
        <f>IF(I37=0,"N","Y")</f>
        <v>N</v>
      </c>
      <c r="F37" s="388">
        <v>2</v>
      </c>
      <c r="G37" s="2281" t="str">
        <f t="shared" ref="G37:G40" si="15">G36</f>
        <v>Stock</v>
      </c>
      <c r="H37" s="1400" t="str">
        <f>'Input Property info '!C11</f>
        <v>Input Address no 2</v>
      </c>
      <c r="I37" s="2446">
        <f>'Input Property info '!$G11</f>
        <v>0</v>
      </c>
      <c r="J37" s="2555" t="str">
        <f ca="1">J31</f>
        <v>All risks</v>
      </c>
      <c r="K37" s="2555" t="str">
        <f t="shared" ref="K37:K40" ca="1" si="16">J37</f>
        <v>All risks</v>
      </c>
      <c r="L37" s="2556" t="str">
        <f ca="1">VLOOKUP(J37,Settings!$B$124:$C$127,2,FALSE)</f>
        <v>RC</v>
      </c>
      <c r="M37" s="2466">
        <f ca="1">M31</f>
        <v>0</v>
      </c>
      <c r="N37" s="2467">
        <f>IF(I37=0,0,'Input '!$L$97)</f>
        <v>0</v>
      </c>
      <c r="O37" s="2462"/>
      <c r="P37" s="2473"/>
      <c r="Q37" s="2462"/>
      <c r="R37" s="2462"/>
      <c r="S37" s="2474"/>
      <c r="T37" s="2470"/>
      <c r="U37" s="2466">
        <f t="shared" ref="U37:U40" ca="1" si="17">IF((N37+S37)=0,IF(T37&lt;M37,M37,T37),M37*(1+N37+S37))</f>
        <v>0</v>
      </c>
      <c r="V37" s="2420">
        <f ca="1">I37*U37/100</f>
        <v>0</v>
      </c>
      <c r="W37" s="2423">
        <f ca="1">V37</f>
        <v>0</v>
      </c>
      <c r="X37" s="2420">
        <f t="shared" ref="X37:X40" si="18">IF(I37&gt;750000,2500,1000)</f>
        <v>1000</v>
      </c>
      <c r="Y37" s="2471"/>
      <c r="Z37" s="2423">
        <f t="shared" si="4"/>
        <v>1000</v>
      </c>
      <c r="AA37" s="2475" t="str">
        <f>IF('Input '!$E$1="EN",AC37,AB37)</f>
        <v>PA1</v>
      </c>
      <c r="AB37" s="1288" t="str">
        <f t="shared" si="3"/>
        <v>PA1</v>
      </c>
      <c r="AC37" s="1260" t="str">
        <f t="shared" si="3"/>
        <v>PA1</v>
      </c>
      <c r="AD37" s="159"/>
      <c r="AE37" s="80" t="str">
        <f ca="1">IF(M38=0,"Yes",M38)</f>
        <v>Yes</v>
      </c>
      <c r="AF37" s="80" t="str">
        <f ca="1">IF(U38=0,"Yes",U38)</f>
        <v>Yes</v>
      </c>
      <c r="AG37" s="159"/>
      <c r="AH37" s="159"/>
      <c r="AI37" s="159"/>
      <c r="AJ37" s="159"/>
      <c r="AK37" s="159"/>
      <c r="AL37" s="159"/>
      <c r="AM37" s="159"/>
      <c r="AN37" s="159"/>
      <c r="AO37" s="159"/>
      <c r="AP37" s="159"/>
      <c r="AQ37" s="159"/>
      <c r="AR37" s="159"/>
      <c r="AS37" s="159"/>
      <c r="AT37" s="159"/>
      <c r="AU37" s="159"/>
      <c r="AV37" s="159"/>
      <c r="AW37" s="159"/>
      <c r="AX37" s="1050"/>
    </row>
    <row r="38" spans="1:62" ht="36" hidden="1" customHeight="1" outlineLevel="1">
      <c r="A38" s="1043"/>
      <c r="B38" s="1043"/>
      <c r="D38" s="1873" t="str">
        <f t="shared" si="14"/>
        <v>x</v>
      </c>
      <c r="E38" s="193" t="str">
        <f>IF(I38=0,"N","Y")</f>
        <v>N</v>
      </c>
      <c r="F38" s="388">
        <v>3</v>
      </c>
      <c r="G38" s="2281" t="str">
        <f t="shared" si="15"/>
        <v>Stock</v>
      </c>
      <c r="H38" s="1400" t="str">
        <f>'Input Property info '!C12</f>
        <v>Input Address no 3</v>
      </c>
      <c r="I38" s="2446">
        <f>'Input Property info '!$G12</f>
        <v>0</v>
      </c>
      <c r="J38" s="2555" t="str">
        <f ca="1">J32</f>
        <v>All risks</v>
      </c>
      <c r="K38" s="2555" t="str">
        <f t="shared" ca="1" si="16"/>
        <v>All risks</v>
      </c>
      <c r="L38" s="2556" t="str">
        <f ca="1">VLOOKUP(J38,Settings!$B$124:$C$127,2,FALSE)</f>
        <v>RC</v>
      </c>
      <c r="M38" s="2466">
        <f ca="1">M32</f>
        <v>0</v>
      </c>
      <c r="N38" s="2467">
        <f>IF(I38=0,0,'Input '!$L$97)</f>
        <v>0</v>
      </c>
      <c r="O38" s="2462"/>
      <c r="P38" s="2473"/>
      <c r="Q38" s="2462"/>
      <c r="R38" s="2462"/>
      <c r="S38" s="2474"/>
      <c r="T38" s="2470"/>
      <c r="U38" s="2466">
        <f t="shared" ca="1" si="17"/>
        <v>0</v>
      </c>
      <c r="V38" s="2420">
        <f ca="1">I38*U38/100</f>
        <v>0</v>
      </c>
      <c r="W38" s="2423">
        <f ca="1">V38</f>
        <v>0</v>
      </c>
      <c r="X38" s="2420">
        <f t="shared" si="18"/>
        <v>1000</v>
      </c>
      <c r="Y38" s="2471"/>
      <c r="Z38" s="2423">
        <f t="shared" si="4"/>
        <v>1000</v>
      </c>
      <c r="AA38" s="2475" t="str">
        <f>IF('Input '!$E$1="EN",AC38,AB38)</f>
        <v>PA1</v>
      </c>
      <c r="AB38" s="1288" t="str">
        <f t="shared" si="3"/>
        <v>PA1</v>
      </c>
      <c r="AC38" s="1260" t="str">
        <f t="shared" si="3"/>
        <v>PA1</v>
      </c>
      <c r="AD38" s="159"/>
      <c r="AE38" s="80" t="str">
        <f ca="1">IF(M39=0,"Yes",M39)</f>
        <v>Yes</v>
      </c>
      <c r="AF38" s="80" t="str">
        <f ca="1">IF(U39=0,"Yes",U39)</f>
        <v>Yes</v>
      </c>
      <c r="AG38" s="159"/>
      <c r="AH38" s="159"/>
      <c r="AI38" s="159"/>
      <c r="AJ38" s="159"/>
      <c r="AK38" s="159"/>
      <c r="AL38" s="159"/>
      <c r="AM38" s="159"/>
      <c r="AN38" s="159"/>
      <c r="AO38" s="159"/>
      <c r="AP38" s="159"/>
      <c r="AQ38" s="159"/>
      <c r="AR38" s="159"/>
      <c r="AS38" s="159"/>
      <c r="AT38" s="159"/>
      <c r="AU38" s="159"/>
      <c r="AV38" s="159"/>
      <c r="AW38" s="159"/>
      <c r="AX38" s="1050"/>
    </row>
    <row r="39" spans="1:62" ht="36" hidden="1" customHeight="1" outlineLevel="1">
      <c r="A39" s="1043"/>
      <c r="B39" s="1043"/>
      <c r="D39" s="1873" t="str">
        <f t="shared" si="14"/>
        <v>x</v>
      </c>
      <c r="E39" s="193" t="str">
        <f>IF(I39=0,"N","Y")</f>
        <v>N</v>
      </c>
      <c r="F39" s="388">
        <v>4</v>
      </c>
      <c r="G39" s="2281" t="str">
        <f t="shared" si="15"/>
        <v>Stock</v>
      </c>
      <c r="H39" s="1400" t="str">
        <f>'Input Property info '!C13</f>
        <v>Input Address no 4</v>
      </c>
      <c r="I39" s="2446">
        <f>'Input Property info '!$G13</f>
        <v>0</v>
      </c>
      <c r="J39" s="2555" t="str">
        <f ca="1">J33</f>
        <v>All risks</v>
      </c>
      <c r="K39" s="2555" t="str">
        <f t="shared" ca="1" si="16"/>
        <v>All risks</v>
      </c>
      <c r="L39" s="2556" t="str">
        <f ca="1">VLOOKUP(J39,Settings!$B$124:$C$127,2,FALSE)</f>
        <v>RC</v>
      </c>
      <c r="M39" s="2466">
        <f ca="1">M33</f>
        <v>0</v>
      </c>
      <c r="N39" s="2467">
        <f t="shared" ref="N39" si="19">N33</f>
        <v>0</v>
      </c>
      <c r="O39" s="2462"/>
      <c r="P39" s="2473"/>
      <c r="Q39" s="2462"/>
      <c r="R39" s="2462"/>
      <c r="S39" s="2469"/>
      <c r="T39" s="2470"/>
      <c r="U39" s="2466">
        <f t="shared" ca="1" si="17"/>
        <v>0</v>
      </c>
      <c r="V39" s="2420">
        <f ca="1">I39*U39/100</f>
        <v>0</v>
      </c>
      <c r="W39" s="2423">
        <f ca="1">V39</f>
        <v>0</v>
      </c>
      <c r="X39" s="2420">
        <f t="shared" si="18"/>
        <v>1000</v>
      </c>
      <c r="Y39" s="2471"/>
      <c r="Z39" s="2423">
        <f t="shared" si="4"/>
        <v>1000</v>
      </c>
      <c r="AA39" s="2475" t="str">
        <f>IF('Input '!$E$1="EN",AC39,AB39)</f>
        <v>PA1</v>
      </c>
      <c r="AB39" s="1288" t="str">
        <f t="shared" si="3"/>
        <v>PA1</v>
      </c>
      <c r="AC39" s="1260" t="str">
        <f t="shared" si="3"/>
        <v>PA1</v>
      </c>
      <c r="AD39" s="159"/>
      <c r="AE39" s="80" t="str">
        <f ca="1">IF(M40=0,"Yes",M40)</f>
        <v>Yes</v>
      </c>
      <c r="AF39" s="80" t="str">
        <f ca="1">IF(U40=0,"Yes",U40)</f>
        <v>Yes</v>
      </c>
      <c r="AG39" s="159"/>
      <c r="AH39" s="159"/>
      <c r="AI39" s="159"/>
      <c r="AJ39" s="159"/>
      <c r="AK39" s="159"/>
      <c r="AL39" s="159"/>
      <c r="AM39" s="159"/>
      <c r="AN39" s="159"/>
      <c r="AO39" s="159"/>
      <c r="AP39" s="159"/>
      <c r="AQ39" s="159"/>
      <c r="AR39" s="159"/>
      <c r="AS39" s="159"/>
      <c r="AT39" s="159"/>
      <c r="AU39" s="159"/>
      <c r="AV39" s="159"/>
      <c r="AW39" s="159"/>
      <c r="AX39" s="1050"/>
      <c r="BJ39" s="33"/>
    </row>
    <row r="40" spans="1:62" ht="36" hidden="1" customHeight="1" outlineLevel="1">
      <c r="A40" s="1043"/>
      <c r="B40" s="1043"/>
      <c r="D40" s="1873" t="str">
        <f t="shared" si="14"/>
        <v>x</v>
      </c>
      <c r="E40" s="193" t="str">
        <f>IF(I40=0,"N","Y")</f>
        <v>N</v>
      </c>
      <c r="F40" s="388">
        <v>5</v>
      </c>
      <c r="G40" s="2281" t="str">
        <f t="shared" si="15"/>
        <v>Stock</v>
      </c>
      <c r="H40" s="1400" t="str">
        <f>'Input Property info '!C14</f>
        <v>Input Address no 5</v>
      </c>
      <c r="I40" s="2446">
        <f>'Input Property info '!$G14</f>
        <v>0</v>
      </c>
      <c r="J40" s="2555" t="str">
        <f ca="1">J34</f>
        <v>All risks</v>
      </c>
      <c r="K40" s="2555" t="str">
        <f t="shared" ca="1" si="16"/>
        <v>All risks</v>
      </c>
      <c r="L40" s="2556" t="str">
        <f ca="1">VLOOKUP(J40,Settings!$B$124:$C$127,2,FALSE)</f>
        <v>RC</v>
      </c>
      <c r="M40" s="2466">
        <f ca="1">M34</f>
        <v>0</v>
      </c>
      <c r="N40" s="2467">
        <f>N34</f>
        <v>0</v>
      </c>
      <c r="O40" s="2462"/>
      <c r="P40" s="2473"/>
      <c r="Q40" s="2462"/>
      <c r="R40" s="2462"/>
      <c r="S40" s="2474"/>
      <c r="T40" s="2470"/>
      <c r="U40" s="2466">
        <f t="shared" ca="1" si="17"/>
        <v>0</v>
      </c>
      <c r="V40" s="2420">
        <f ca="1">I40*U40/100</f>
        <v>0</v>
      </c>
      <c r="W40" s="2423">
        <f ca="1">V40</f>
        <v>0</v>
      </c>
      <c r="X40" s="2420">
        <f t="shared" si="18"/>
        <v>1000</v>
      </c>
      <c r="Y40" s="2471"/>
      <c r="Z40" s="2423">
        <f t="shared" si="4"/>
        <v>1000</v>
      </c>
      <c r="AA40" s="2475" t="str">
        <f>IF('Input '!$E$1="EN",AC40,AB40)</f>
        <v>PA1</v>
      </c>
      <c r="AB40" s="1288" t="str">
        <f t="shared" si="3"/>
        <v>PA1</v>
      </c>
      <c r="AC40" s="1260" t="str">
        <f t="shared" si="3"/>
        <v>PA1</v>
      </c>
      <c r="AD40" s="159"/>
      <c r="AE40" s="80" t="e">
        <f>IF(#REF!=0,"Yes",#REF!)</f>
        <v>#REF!</v>
      </c>
      <c r="AF40" s="80" t="e">
        <f>IF(#REF!=0,"Yes",#REF!)</f>
        <v>#REF!</v>
      </c>
      <c r="AG40" s="159"/>
      <c r="AH40" s="159"/>
      <c r="AI40" s="159"/>
      <c r="AJ40" s="159"/>
      <c r="AK40" s="159"/>
      <c r="AL40" s="159"/>
      <c r="AM40" s="159"/>
      <c r="AN40" s="159"/>
      <c r="AO40" s="159"/>
      <c r="AP40" s="159"/>
      <c r="AQ40" s="159"/>
      <c r="AR40" s="159"/>
      <c r="AS40" s="159"/>
      <c r="AT40" s="159"/>
      <c r="AU40" s="159"/>
      <c r="AV40" s="159"/>
      <c r="AW40" s="159"/>
      <c r="AX40" s="1050"/>
      <c r="BJ40" s="33"/>
    </row>
    <row r="41" spans="1:62" ht="29.25" hidden="1" customHeight="1" collapsed="1">
      <c r="A41" s="178" t="s">
        <v>3377</v>
      </c>
      <c r="B41" s="178" t="s">
        <v>3490</v>
      </c>
      <c r="D41" s="1873" t="s">
        <v>1192</v>
      </c>
      <c r="E41" s="407" t="str">
        <f>IF('Input Property info '!$H$16&gt;0,"Y","N")</f>
        <v>N</v>
      </c>
      <c r="F41" s="388"/>
      <c r="G41" s="1390" t="str">
        <f>IF('Input '!$E$1="EN",B41,A41)</f>
        <v>Equipment</v>
      </c>
      <c r="H41" s="1468"/>
      <c r="I41" s="2418">
        <f>SUM(I42:I46)</f>
        <v>0</v>
      </c>
      <c r="J41" s="406"/>
      <c r="K41" s="2557">
        <f t="shared" ref="K41" si="20">K35</f>
        <v>0.9</v>
      </c>
      <c r="L41" s="2558" t="str">
        <f ca="1">IF(W43=0,"",L42)</f>
        <v/>
      </c>
      <c r="M41" s="2466"/>
      <c r="N41" s="2467"/>
      <c r="O41" s="2462"/>
      <c r="P41" s="2478"/>
      <c r="Q41" s="2467">
        <f>N24</f>
        <v>0</v>
      </c>
      <c r="R41" s="2467"/>
      <c r="S41" s="2479"/>
      <c r="T41" s="2479"/>
      <c r="U41" s="2466"/>
      <c r="V41" s="2421">
        <f ca="1">SUM(V42:V46)</f>
        <v>0</v>
      </c>
      <c r="W41" s="2421">
        <f ca="1">SUM(W42:W46)</f>
        <v>0</v>
      </c>
      <c r="X41" s="2462"/>
      <c r="Y41" s="2462"/>
      <c r="Z41" s="2462"/>
      <c r="AA41" s="2481" t="str">
        <f>IF('Input '!$E$1="EN",AC41,AB41)</f>
        <v>PA1</v>
      </c>
      <c r="AB41" s="1289" t="str">
        <f t="shared" si="3"/>
        <v>PA1</v>
      </c>
      <c r="AC41" s="1261" t="str">
        <f t="shared" si="3"/>
        <v>PA1</v>
      </c>
      <c r="AD41" s="159"/>
      <c r="AE41" s="80" t="str">
        <f t="shared" ref="AE41:AE45" ca="1" si="21">IF(M42=0,"Yes",M42)</f>
        <v>Yes</v>
      </c>
      <c r="AF41" s="80" t="str">
        <f t="shared" ref="AF41:AF45" ca="1" si="22">IF(U42=0,"Yes",U42)</f>
        <v>Yes</v>
      </c>
      <c r="AG41" s="159"/>
      <c r="AH41" s="159"/>
      <c r="AI41" s="159"/>
      <c r="AJ41" s="159"/>
      <c r="AK41" s="159"/>
      <c r="AL41" s="159"/>
      <c r="AM41" s="159"/>
      <c r="AN41" s="159"/>
      <c r="AO41" s="159"/>
      <c r="AP41" s="159"/>
      <c r="AQ41" s="159"/>
      <c r="AR41" s="159"/>
      <c r="AS41" s="159"/>
      <c r="AT41" s="159"/>
      <c r="AU41" s="159"/>
      <c r="AV41" s="159"/>
      <c r="AW41" s="159"/>
      <c r="AX41" s="290"/>
    </row>
    <row r="42" spans="1:62" ht="35.25" hidden="1" customHeight="1">
      <c r="A42" s="1043"/>
      <c r="B42" s="178"/>
      <c r="D42" s="1873" t="str">
        <f>IF(I42=0,"x","")</f>
        <v>x</v>
      </c>
      <c r="E42" s="193" t="str">
        <f>IF('Input Property info '!$H$16&lt;2,"N","Y")</f>
        <v>N</v>
      </c>
      <c r="F42" s="388"/>
      <c r="G42" s="2281" t="str">
        <f>G41</f>
        <v>Equipment</v>
      </c>
      <c r="H42" s="1400">
        <f>'Input Property info '!C10</f>
        <v>0</v>
      </c>
      <c r="I42" s="2446">
        <f>'Input '!G67</f>
        <v>0</v>
      </c>
      <c r="J42" s="2555" t="str">
        <f>J36</f>
        <v>All Risks</v>
      </c>
      <c r="K42" s="2555" t="str">
        <f>J42</f>
        <v>All Risks</v>
      </c>
      <c r="L42" s="2556" t="str">
        <f>VLOOKUP(J42,Settings!$B$124:$C$127,2,FALSE)</f>
        <v>RC</v>
      </c>
      <c r="M42" s="2466">
        <f ca="1">M30</f>
        <v>0</v>
      </c>
      <c r="N42" s="2467">
        <f>IF(I42=0,0,'Input '!$L$97)</f>
        <v>0</v>
      </c>
      <c r="O42" s="2462"/>
      <c r="P42" s="2468"/>
      <c r="Q42" s="2462"/>
      <c r="R42" s="2462"/>
      <c r="S42" s="2469"/>
      <c r="T42" s="2470"/>
      <c r="U42" s="2466">
        <f ca="1">IF((N42+S42)=0,IF(T42&lt;M42,M42,T42),M42*(1+N42+S42))</f>
        <v>0</v>
      </c>
      <c r="V42" s="2420">
        <f ca="1">I42*U42/100</f>
        <v>0</v>
      </c>
      <c r="W42" s="2422">
        <f ca="1">V42</f>
        <v>0</v>
      </c>
      <c r="X42" s="2420">
        <f>IF(I42&gt;750000,2500,1000)</f>
        <v>1000</v>
      </c>
      <c r="Y42" s="2471"/>
      <c r="Z42" s="2423">
        <f t="shared" ref="Z42" si="23">MAX(X42:Y42)</f>
        <v>1000</v>
      </c>
      <c r="AA42" s="2475" t="str">
        <f>IF('Input '!$E$1="EN",AC42,AB42)</f>
        <v>PA1</v>
      </c>
      <c r="AB42" s="1288" t="str">
        <f t="shared" si="3"/>
        <v>PA1</v>
      </c>
      <c r="AC42" s="1260" t="str">
        <f t="shared" si="3"/>
        <v>PA1</v>
      </c>
      <c r="AD42" s="159"/>
      <c r="AE42" s="80" t="str">
        <f t="shared" ca="1" si="21"/>
        <v>Yes</v>
      </c>
      <c r="AF42" s="80" t="str">
        <f t="shared" ca="1" si="22"/>
        <v>Yes</v>
      </c>
      <c r="AG42" s="159"/>
      <c r="AH42" s="159"/>
      <c r="AI42" s="159"/>
      <c r="AJ42" s="159"/>
      <c r="AK42" s="159"/>
      <c r="AL42" s="159"/>
      <c r="AM42" s="159"/>
      <c r="AN42" s="159"/>
      <c r="AO42" s="159"/>
      <c r="AP42" s="159"/>
      <c r="AQ42" s="159"/>
      <c r="AR42" s="159"/>
      <c r="AS42" s="159"/>
      <c r="AT42" s="159"/>
      <c r="AU42" s="159"/>
      <c r="AV42" s="159"/>
      <c r="AW42" s="159"/>
      <c r="AX42" s="1050"/>
    </row>
    <row r="43" spans="1:62" ht="35.25" hidden="1" customHeight="1">
      <c r="A43" s="1043"/>
      <c r="B43" s="1043"/>
      <c r="D43" s="1873" t="str">
        <f t="shared" ref="D43:D46" si="24">IF(I43=0,"x","")</f>
        <v>x</v>
      </c>
      <c r="E43" s="193" t="str">
        <f>IF(I43=0,"N","Y")</f>
        <v>N</v>
      </c>
      <c r="F43" s="388"/>
      <c r="G43" s="2281" t="str">
        <f t="shared" ref="G43:G46" si="25">G42</f>
        <v>Equipment</v>
      </c>
      <c r="H43" s="1400" t="str">
        <f>'Input Property info '!C11</f>
        <v>Input Address no 2</v>
      </c>
      <c r="I43" s="2446">
        <f>'Input Property info '!$H11</f>
        <v>0</v>
      </c>
      <c r="J43" s="2555" t="str">
        <f ca="1">J37</f>
        <v>All risks</v>
      </c>
      <c r="K43" s="2555" t="str">
        <f t="shared" ref="K43:K46" ca="1" si="26">J43</f>
        <v>All risks</v>
      </c>
      <c r="L43" s="2556" t="str">
        <f ca="1">VLOOKUP(J43,Settings!$B$124:$C$127,2,FALSE)</f>
        <v>RC</v>
      </c>
      <c r="M43" s="2466">
        <f ca="1">M31</f>
        <v>0</v>
      </c>
      <c r="N43" s="2467">
        <f>IF(I43=0,0,'Input '!$L$97)</f>
        <v>0</v>
      </c>
      <c r="O43" s="2462"/>
      <c r="P43" s="2473"/>
      <c r="Q43" s="2462"/>
      <c r="R43" s="2462"/>
      <c r="S43" s="2474"/>
      <c r="T43" s="2470"/>
      <c r="U43" s="2466">
        <f t="shared" ref="U43:U46" ca="1" si="27">IF((N43+S43)=0,IF(T43&lt;M43,M43,T43),M43*(1+N43+S43))</f>
        <v>0</v>
      </c>
      <c r="V43" s="2420">
        <f ca="1">I43*U43/100</f>
        <v>0</v>
      </c>
      <c r="W43" s="2423">
        <f ca="1">V43</f>
        <v>0</v>
      </c>
      <c r="X43" s="2420">
        <f t="shared" ref="X43:X46" si="28">IF(I43&gt;750000,2500,1000)</f>
        <v>1000</v>
      </c>
      <c r="Y43" s="2471"/>
      <c r="Z43" s="2423">
        <f t="shared" ref="Z43:Z46" si="29">MAX(X43:Y43)</f>
        <v>1000</v>
      </c>
      <c r="AA43" s="2475" t="str">
        <f>IF('Input '!$E$1="EN",AC43,AB43)</f>
        <v>PA1</v>
      </c>
      <c r="AB43" s="1288" t="str">
        <f t="shared" si="3"/>
        <v>PA1</v>
      </c>
      <c r="AC43" s="1260" t="str">
        <f t="shared" si="3"/>
        <v>PA1</v>
      </c>
      <c r="AD43" s="159"/>
      <c r="AE43" s="80" t="str">
        <f t="shared" ca="1" si="21"/>
        <v>Yes</v>
      </c>
      <c r="AF43" s="80" t="str">
        <f t="shared" ca="1" si="22"/>
        <v>Yes</v>
      </c>
      <c r="AG43" s="159"/>
      <c r="AH43" s="159"/>
      <c r="AI43" s="159"/>
      <c r="AJ43" s="159"/>
      <c r="AK43" s="159"/>
      <c r="AL43" s="159"/>
      <c r="AM43" s="159"/>
      <c r="AN43" s="159"/>
      <c r="AO43" s="159"/>
      <c r="AP43" s="159"/>
      <c r="AQ43" s="159"/>
      <c r="AR43" s="159"/>
      <c r="AS43" s="159"/>
      <c r="AT43" s="159"/>
      <c r="AU43" s="159"/>
      <c r="AV43" s="159"/>
      <c r="AW43" s="159"/>
      <c r="AX43" s="1050"/>
    </row>
    <row r="44" spans="1:62" ht="35.25" customHeight="1" outlineLevel="1">
      <c r="A44" s="1043"/>
      <c r="B44" s="1043"/>
      <c r="D44" s="1873" t="str">
        <f t="shared" si="24"/>
        <v>x</v>
      </c>
      <c r="E44" s="193" t="str">
        <f>IF(I44=0,"N","Y")</f>
        <v>N</v>
      </c>
      <c r="F44" s="388"/>
      <c r="G44" s="2281" t="str">
        <f t="shared" si="25"/>
        <v>Equipment</v>
      </c>
      <c r="H44" s="1400" t="str">
        <f>'Input Property info '!C12</f>
        <v>Input Address no 3</v>
      </c>
      <c r="I44" s="2446">
        <f>'Input Property info '!$H12</f>
        <v>0</v>
      </c>
      <c r="J44" s="2555" t="str">
        <f ca="1">J38</f>
        <v>All risks</v>
      </c>
      <c r="K44" s="2555" t="str">
        <f t="shared" ca="1" si="26"/>
        <v>All risks</v>
      </c>
      <c r="L44" s="2556" t="str">
        <f ca="1">VLOOKUP(J44,Settings!$B$124:$C$127,2,FALSE)</f>
        <v>RC</v>
      </c>
      <c r="M44" s="2466">
        <f ca="1">M32</f>
        <v>0</v>
      </c>
      <c r="N44" s="2467">
        <f>IF(I44=0,0,'Input '!$L$97)</f>
        <v>0</v>
      </c>
      <c r="O44" s="2462"/>
      <c r="P44" s="2473"/>
      <c r="Q44" s="2462"/>
      <c r="R44" s="2462"/>
      <c r="S44" s="2474"/>
      <c r="T44" s="2470"/>
      <c r="U44" s="2466">
        <f t="shared" ca="1" si="27"/>
        <v>0</v>
      </c>
      <c r="V44" s="2420">
        <f ca="1">I44*U44/100</f>
        <v>0</v>
      </c>
      <c r="W44" s="2423">
        <f ca="1">V44</f>
        <v>0</v>
      </c>
      <c r="X44" s="2420">
        <f t="shared" si="28"/>
        <v>1000</v>
      </c>
      <c r="Y44" s="2471"/>
      <c r="Z44" s="2423">
        <f t="shared" si="29"/>
        <v>1000</v>
      </c>
      <c r="AA44" s="2475" t="str">
        <f>IF('Input '!$E$1="EN",AC44,AB44)</f>
        <v>PA1</v>
      </c>
      <c r="AB44" s="1288" t="str">
        <f t="shared" si="3"/>
        <v>PA1</v>
      </c>
      <c r="AC44" s="1260" t="str">
        <f t="shared" si="3"/>
        <v>PA1</v>
      </c>
      <c r="AD44" s="159"/>
      <c r="AE44" s="80" t="str">
        <f t="shared" ca="1" si="21"/>
        <v>Yes</v>
      </c>
      <c r="AF44" s="80" t="str">
        <f t="shared" ca="1" si="22"/>
        <v>Yes</v>
      </c>
      <c r="AG44" s="159"/>
      <c r="AH44" s="159"/>
      <c r="AI44" s="159"/>
      <c r="AJ44" s="159"/>
      <c r="AK44" s="159"/>
      <c r="AL44" s="159"/>
      <c r="AM44" s="159"/>
      <c r="AN44" s="159"/>
      <c r="AO44" s="159"/>
      <c r="AP44" s="159"/>
      <c r="AQ44" s="159"/>
      <c r="AR44" s="159"/>
      <c r="AS44" s="159"/>
      <c r="AT44" s="159"/>
      <c r="AU44" s="159"/>
      <c r="AV44" s="159"/>
      <c r="AW44" s="159"/>
      <c r="AX44" s="1050"/>
      <c r="BJ44" s="33"/>
    </row>
    <row r="45" spans="1:62" ht="35.25" customHeight="1" outlineLevel="1">
      <c r="A45" s="1043"/>
      <c r="B45" s="1043"/>
      <c r="D45" s="1873" t="str">
        <f t="shared" si="24"/>
        <v>x</v>
      </c>
      <c r="E45" s="193" t="str">
        <f>IF(I45=0,"N","Y")</f>
        <v>N</v>
      </c>
      <c r="F45" s="388"/>
      <c r="G45" s="2281" t="str">
        <f t="shared" si="25"/>
        <v>Equipment</v>
      </c>
      <c r="H45" s="1400" t="str">
        <f>'Input Property info '!C13</f>
        <v>Input Address no 4</v>
      </c>
      <c r="I45" s="2446">
        <f>'Input Property info '!$H13</f>
        <v>0</v>
      </c>
      <c r="J45" s="2555" t="str">
        <f ca="1">J39</f>
        <v>All risks</v>
      </c>
      <c r="K45" s="2555" t="str">
        <f t="shared" ca="1" si="26"/>
        <v>All risks</v>
      </c>
      <c r="L45" s="2556" t="str">
        <f ca="1">VLOOKUP(J45,Settings!$B$124:$C$127,2,FALSE)</f>
        <v>RC</v>
      </c>
      <c r="M45" s="2466">
        <f ca="1">M33</f>
        <v>0</v>
      </c>
      <c r="N45" s="2467">
        <f>N33</f>
        <v>0</v>
      </c>
      <c r="O45" s="2462"/>
      <c r="P45" s="2473"/>
      <c r="Q45" s="2462"/>
      <c r="R45" s="2462"/>
      <c r="S45" s="2469"/>
      <c r="T45" s="2470"/>
      <c r="U45" s="2466">
        <f t="shared" ca="1" si="27"/>
        <v>0</v>
      </c>
      <c r="V45" s="2420">
        <f ca="1">I45*U45/100</f>
        <v>0</v>
      </c>
      <c r="W45" s="2423">
        <f ca="1">V45</f>
        <v>0</v>
      </c>
      <c r="X45" s="2420">
        <f t="shared" si="28"/>
        <v>1000</v>
      </c>
      <c r="Y45" s="2471"/>
      <c r="Z45" s="2423">
        <f t="shared" si="29"/>
        <v>1000</v>
      </c>
      <c r="AA45" s="2475" t="str">
        <f>IF('Input '!$E$1="EN",AC45,AB45)</f>
        <v>PA1</v>
      </c>
      <c r="AB45" s="1288" t="str">
        <f t="shared" si="3"/>
        <v>PA1</v>
      </c>
      <c r="AC45" s="1260" t="str">
        <f t="shared" si="3"/>
        <v>PA1</v>
      </c>
      <c r="AD45" s="159"/>
      <c r="AE45" s="80" t="str">
        <f t="shared" ca="1" si="21"/>
        <v>Yes</v>
      </c>
      <c r="AF45" s="80" t="str">
        <f t="shared" ca="1" si="22"/>
        <v>Yes</v>
      </c>
      <c r="AG45" s="159"/>
      <c r="AH45" s="159"/>
      <c r="AI45" s="159"/>
      <c r="AJ45" s="159"/>
      <c r="AK45" s="159"/>
      <c r="AL45" s="159"/>
      <c r="AM45" s="159"/>
      <c r="AN45" s="159"/>
      <c r="AO45" s="159"/>
      <c r="AP45" s="159"/>
      <c r="AQ45" s="159"/>
      <c r="AR45" s="159"/>
      <c r="AS45" s="159"/>
      <c r="AT45" s="159"/>
      <c r="AU45" s="159"/>
      <c r="AV45" s="159"/>
      <c r="AW45" s="159"/>
      <c r="AX45" s="1050"/>
      <c r="BJ45" s="33"/>
    </row>
    <row r="46" spans="1:62" ht="35.25" customHeight="1" outlineLevel="1">
      <c r="A46" s="1043"/>
      <c r="B46" s="1043"/>
      <c r="D46" s="1873" t="str">
        <f t="shared" si="24"/>
        <v>x</v>
      </c>
      <c r="E46" s="193" t="str">
        <f>IF(I46=0,"N","Y")</f>
        <v>N</v>
      </c>
      <c r="F46" s="195"/>
      <c r="G46" s="2281" t="str">
        <f t="shared" si="25"/>
        <v>Equipment</v>
      </c>
      <c r="H46" s="1400" t="str">
        <f>'Input Property info '!C14</f>
        <v>Input Address no 5</v>
      </c>
      <c r="I46" s="2447">
        <f>'Input Property info '!$H14</f>
        <v>0</v>
      </c>
      <c r="J46" s="2559" t="str">
        <f ca="1">J40</f>
        <v>All risks</v>
      </c>
      <c r="K46" s="2555" t="str">
        <f t="shared" ca="1" si="26"/>
        <v>All risks</v>
      </c>
      <c r="L46" s="2560" t="str">
        <f ca="1">VLOOKUP(J46,Settings!$B$124:$C$127,2,FALSE)</f>
        <v>RC</v>
      </c>
      <c r="M46" s="2482">
        <f ca="1">M34</f>
        <v>0</v>
      </c>
      <c r="N46" s="2483">
        <f>N34</f>
        <v>0</v>
      </c>
      <c r="O46" s="2356"/>
      <c r="P46" s="2484"/>
      <c r="Q46" s="2356"/>
      <c r="R46" s="2356"/>
      <c r="S46" s="2485"/>
      <c r="T46" s="2486"/>
      <c r="U46" s="2482">
        <f t="shared" ca="1" si="27"/>
        <v>0</v>
      </c>
      <c r="V46" s="2487">
        <f ca="1">I46*U46/100</f>
        <v>0</v>
      </c>
      <c r="W46" s="2434">
        <f ca="1">V46</f>
        <v>0</v>
      </c>
      <c r="X46" s="2487">
        <f t="shared" si="28"/>
        <v>1000</v>
      </c>
      <c r="Y46" s="2488"/>
      <c r="Z46" s="2434">
        <f t="shared" si="29"/>
        <v>1000</v>
      </c>
      <c r="AA46" s="2489" t="str">
        <f>IF('Input '!$E$1="EN",AC46,AB46)</f>
        <v>PA1</v>
      </c>
      <c r="AB46" s="1288" t="str">
        <f t="shared" si="3"/>
        <v>PA1</v>
      </c>
      <c r="AC46" s="1260" t="str">
        <f t="shared" si="3"/>
        <v>PA1</v>
      </c>
      <c r="AD46" s="159"/>
      <c r="AE46" s="80" t="e">
        <f>IF(#REF!=0,"Yes",#REF!)</f>
        <v>#REF!</v>
      </c>
      <c r="AF46" s="80" t="e">
        <f>IF(#REF!=0,"Yes",#REF!)</f>
        <v>#REF!</v>
      </c>
      <c r="AG46" s="159"/>
      <c r="AH46" s="159"/>
      <c r="AI46" s="159"/>
      <c r="AJ46" s="159"/>
      <c r="AK46" s="159"/>
      <c r="AL46" s="159"/>
      <c r="AM46" s="159"/>
      <c r="AN46" s="159"/>
      <c r="AO46" s="159"/>
      <c r="AP46" s="159"/>
      <c r="AQ46" s="159"/>
      <c r="AR46" s="159"/>
      <c r="AS46" s="159"/>
      <c r="AT46" s="159"/>
      <c r="AU46" s="159"/>
      <c r="AV46" s="159"/>
      <c r="AW46" s="159"/>
      <c r="AX46" s="1050"/>
    </row>
    <row r="47" spans="1:62" ht="35.25" customHeight="1">
      <c r="A47" s="1470"/>
      <c r="B47" s="1470"/>
      <c r="D47" s="1885"/>
      <c r="E47" s="104"/>
      <c r="F47" s="1468"/>
      <c r="G47" s="2437"/>
      <c r="H47" s="2438"/>
      <c r="I47" s="2448"/>
      <c r="J47" s="126"/>
      <c r="K47" s="2561"/>
      <c r="L47" s="2562"/>
      <c r="M47" s="2463"/>
      <c r="N47" s="2490"/>
      <c r="O47" s="2462"/>
      <c r="P47" s="2491"/>
      <c r="Q47" s="2462"/>
      <c r="R47" s="2462"/>
      <c r="S47" s="2492"/>
      <c r="T47" s="2493"/>
      <c r="U47" s="2463"/>
      <c r="V47" s="2374"/>
      <c r="W47" s="2375"/>
      <c r="X47" s="2419"/>
      <c r="Y47" s="2448"/>
      <c r="Z47" s="2422"/>
      <c r="AA47" s="2419"/>
      <c r="AB47" s="160"/>
      <c r="AC47" s="160"/>
      <c r="AD47" s="159"/>
      <c r="AE47" s="80"/>
      <c r="AF47" s="80"/>
      <c r="AG47" s="159"/>
      <c r="AH47" s="159"/>
      <c r="AI47" s="159"/>
      <c r="AJ47" s="159"/>
      <c r="AK47" s="159"/>
      <c r="AL47" s="159"/>
      <c r="AM47" s="159"/>
      <c r="AN47" s="159"/>
      <c r="AO47" s="159"/>
      <c r="AP47" s="159"/>
      <c r="AQ47" s="159"/>
      <c r="AR47" s="159"/>
      <c r="AS47" s="159"/>
      <c r="AT47" s="159"/>
      <c r="AU47" s="159"/>
      <c r="AV47" s="159"/>
      <c r="AW47" s="159"/>
      <c r="AX47" s="392"/>
    </row>
    <row r="48" spans="1:62" ht="35.25" customHeight="1">
      <c r="A48" s="1470" t="s">
        <v>3760</v>
      </c>
      <c r="B48" s="1481" t="s">
        <v>3759</v>
      </c>
      <c r="D48"/>
      <c r="E48" s="104"/>
      <c r="F48" s="1468"/>
      <c r="G48" s="1481" t="str">
        <f>IF('Input '!$E$1="EN",B48,A48)</f>
        <v>Endorsements :</v>
      </c>
      <c r="H48" s="1468"/>
      <c r="I48" s="2448"/>
      <c r="J48" s="126"/>
      <c r="K48" s="1931"/>
      <c r="L48" s="1931"/>
      <c r="M48" s="2463"/>
      <c r="N48" s="2490"/>
      <c r="O48" s="2462"/>
      <c r="P48" s="2494"/>
      <c r="Q48" s="2490"/>
      <c r="R48" s="2490"/>
      <c r="S48" s="2495"/>
      <c r="T48" s="2495"/>
      <c r="U48" s="2463"/>
      <c r="V48" s="2419"/>
      <c r="W48" s="2419"/>
      <c r="X48" s="2419"/>
      <c r="Y48" s="2448"/>
      <c r="Z48" s="2419"/>
      <c r="AA48" s="2419"/>
      <c r="AB48" s="160"/>
      <c r="AC48" s="160"/>
      <c r="AD48" s="159"/>
      <c r="AE48" s="80"/>
      <c r="AF48" s="80"/>
      <c r="AG48" s="159"/>
      <c r="AH48" s="159"/>
      <c r="AI48" s="159"/>
      <c r="AJ48" s="159"/>
      <c r="AK48" s="159"/>
      <c r="AL48" s="159"/>
      <c r="AM48" s="159"/>
      <c r="AN48" s="159"/>
      <c r="AO48" s="159"/>
      <c r="AP48" s="159"/>
      <c r="AQ48" s="159"/>
      <c r="AR48" s="159"/>
      <c r="AS48" s="159"/>
      <c r="AT48" s="159"/>
      <c r="AU48" s="159"/>
      <c r="AV48" s="159"/>
      <c r="AW48" s="159"/>
      <c r="AX48" s="392"/>
    </row>
    <row r="49" spans="1:62" ht="36" customHeight="1">
      <c r="A49" s="178" t="s">
        <v>3744</v>
      </c>
      <c r="B49" s="178" t="s">
        <v>3745</v>
      </c>
      <c r="D49" s="1873"/>
      <c r="E49" s="2428" t="str">
        <f>IF(F49=TRUE,"Y","N")</f>
        <v>N</v>
      </c>
      <c r="F49" s="2429" t="b">
        <v>0</v>
      </c>
      <c r="G49" s="2424" t="str">
        <f>IF('Input '!$E$1="EN",B49,A49)</f>
        <v>Water Damage Limitation</v>
      </c>
      <c r="H49" s="2425"/>
      <c r="I49" s="2449"/>
      <c r="J49" s="1467"/>
      <c r="K49" s="2563"/>
      <c r="L49" s="2564"/>
      <c r="M49" s="2466"/>
      <c r="N49" s="2466"/>
      <c r="O49" s="2496"/>
      <c r="P49" s="2466"/>
      <c r="Q49" s="2467"/>
      <c r="R49" s="2467"/>
      <c r="S49" s="2497"/>
      <c r="T49" s="2497"/>
      <c r="U49" s="2466"/>
      <c r="V49" s="2420"/>
      <c r="W49" s="2420"/>
      <c r="X49" s="2420"/>
      <c r="Y49" s="2420"/>
      <c r="Z49" s="2420"/>
      <c r="AA49" s="2498" t="str">
        <f>IF('Input '!$E$1="EN",AC49,AB49)</f>
        <v>CW160</v>
      </c>
      <c r="AB49" s="1289" t="s">
        <v>3648</v>
      </c>
      <c r="AC49" s="1261" t="s">
        <v>3648</v>
      </c>
      <c r="AD49" s="159"/>
      <c r="AE49" s="159"/>
      <c r="AF49" s="159"/>
      <c r="AG49" s="159"/>
      <c r="AH49" s="159"/>
      <c r="AI49" s="159"/>
      <c r="AJ49" s="159"/>
      <c r="AK49" s="159"/>
      <c r="AL49" s="159"/>
      <c r="AM49" s="159"/>
      <c r="AN49" s="159"/>
      <c r="AO49" s="159"/>
      <c r="AP49" s="159"/>
      <c r="AQ49" s="159"/>
      <c r="AR49" s="159"/>
      <c r="AS49" s="159"/>
      <c r="AT49" s="159"/>
      <c r="AU49" s="159"/>
      <c r="AV49" s="159"/>
      <c r="AW49" s="159"/>
      <c r="AX49" s="1460"/>
    </row>
    <row r="50" spans="1:62" ht="29.25" customHeight="1">
      <c r="A50" s="178" t="s">
        <v>3746</v>
      </c>
      <c r="B50" s="178" t="s">
        <v>3747</v>
      </c>
      <c r="D50" s="1873"/>
      <c r="E50" s="2436" t="str">
        <f>IF($E$51="Y","N",IF(AND(Property!$I$13&gt;0,I13&gt; I9),"Y","N"))</f>
        <v>N</v>
      </c>
      <c r="F50" s="2050" t="b">
        <f>IF($E$51="Y",FALSE,IF(OR($I$41&gt;0,$I$35&gt;0,$I$29&gt;0,$I$23&gt;0),TRUE,FALSE))</f>
        <v>0</v>
      </c>
      <c r="G50" s="2424" t="str">
        <f>IF('Input '!$E$1="EN",B50,A50)</f>
        <v>Water Damage Deductible</v>
      </c>
      <c r="H50" s="1466"/>
      <c r="I50" s="2346"/>
      <c r="J50" s="1467"/>
      <c r="K50" s="2563"/>
      <c r="L50" s="2564"/>
      <c r="M50" s="2466"/>
      <c r="N50" s="2466"/>
      <c r="O50" s="2462"/>
      <c r="P50" s="2466"/>
      <c r="Q50" s="2467"/>
      <c r="R50" s="2467"/>
      <c r="S50" s="2497"/>
      <c r="T50" s="2497"/>
      <c r="U50" s="2466"/>
      <c r="V50" s="2420"/>
      <c r="W50" s="2420"/>
      <c r="X50" s="2420" t="str">
        <f ca="1">'Input '!$M$97</f>
        <v/>
      </c>
      <c r="Y50" s="2471">
        <v>2500</v>
      </c>
      <c r="Z50" s="2420">
        <f ca="1">MAX(X50:Y50)</f>
        <v>2500</v>
      </c>
      <c r="AA50" s="2498" t="str">
        <f>IF('Input '!$E$1="EN",AC50,AB50)</f>
        <v>CW168</v>
      </c>
      <c r="AB50" s="1289" t="s">
        <v>3649</v>
      </c>
      <c r="AC50" s="1261" t="s">
        <v>3649</v>
      </c>
      <c r="AD50" s="159"/>
      <c r="AE50" s="159"/>
      <c r="AF50" s="159"/>
      <c r="AG50" s="159"/>
      <c r="AH50" s="159"/>
      <c r="AI50" s="159"/>
      <c r="AJ50" s="159"/>
      <c r="AK50" s="159"/>
      <c r="AL50" s="159"/>
      <c r="AM50" s="159"/>
      <c r="AN50" s="159"/>
      <c r="AO50" s="159"/>
      <c r="AP50" s="159"/>
      <c r="AQ50" s="159"/>
      <c r="AR50" s="159"/>
      <c r="AS50" s="159"/>
      <c r="AT50" s="159"/>
      <c r="AU50" s="159"/>
      <c r="AV50" s="159"/>
      <c r="AW50" s="159"/>
      <c r="AX50" s="1460"/>
    </row>
    <row r="51" spans="1:62" ht="29.25" customHeight="1">
      <c r="A51" s="178" t="s">
        <v>3748</v>
      </c>
      <c r="B51" s="178" t="s">
        <v>3749</v>
      </c>
      <c r="D51" s="1873"/>
      <c r="E51" s="196" t="str">
        <f>IF(OR(F51=TRUE,'Input '!$N$97&lt;&gt;""),"Y","N")</f>
        <v>N</v>
      </c>
      <c r="F51" s="2050" t="b">
        <f>IF('Input '!$N$97&lt;&gt;"",TRUE,FALSE)</f>
        <v>0</v>
      </c>
      <c r="G51" s="2424" t="str">
        <f>IF('Input '!$E$1="EN",B51,A51)</f>
        <v>Water Damage Exclusion</v>
      </c>
      <c r="H51" s="1466"/>
      <c r="I51" s="2346"/>
      <c r="J51" s="1467"/>
      <c r="K51" s="2563"/>
      <c r="L51" s="2564"/>
      <c r="M51" s="2466"/>
      <c r="N51" s="2466"/>
      <c r="O51" s="2462"/>
      <c r="P51" s="2466"/>
      <c r="Q51" s="2467"/>
      <c r="R51" s="2467"/>
      <c r="S51" s="2497"/>
      <c r="T51" s="2497"/>
      <c r="U51" s="2466"/>
      <c r="V51" s="2420"/>
      <c r="W51" s="2420"/>
      <c r="X51" s="2420"/>
      <c r="Y51" s="2420"/>
      <c r="Z51" s="2420"/>
      <c r="AA51" s="2498" t="str">
        <f>IF('Input '!$E$1="EN",AC51,AB51)</f>
        <v>CW198</v>
      </c>
      <c r="AB51" s="1289" t="s">
        <v>3655</v>
      </c>
      <c r="AC51" s="1261" t="s">
        <v>3655</v>
      </c>
      <c r="AD51" s="159"/>
      <c r="AE51" s="159"/>
      <c r="AF51" s="159"/>
      <c r="AG51" s="159"/>
      <c r="AH51" s="159"/>
      <c r="AI51" s="159"/>
      <c r="AJ51" s="159"/>
      <c r="AK51" s="159"/>
      <c r="AL51" s="159"/>
      <c r="AM51" s="159"/>
      <c r="AN51" s="159"/>
      <c r="AO51" s="159"/>
      <c r="AP51" s="159"/>
      <c r="AQ51" s="159"/>
      <c r="AR51" s="159"/>
      <c r="AS51" s="159"/>
      <c r="AT51" s="159"/>
      <c r="AU51" s="159"/>
      <c r="AV51" s="159"/>
      <c r="AW51" s="159"/>
      <c r="AX51" s="1460"/>
    </row>
    <row r="52" spans="1:62" ht="29.25" customHeight="1">
      <c r="A52" s="1463" t="s">
        <v>3752</v>
      </c>
      <c r="B52" s="1463" t="s">
        <v>3753</v>
      </c>
      <c r="D52" s="1873"/>
      <c r="E52" s="196" t="str">
        <f t="shared" ref="E52:E54" si="30">IF(F52=TRUE,"Y","N")</f>
        <v>N</v>
      </c>
      <c r="F52" s="2051" t="b">
        <v>0</v>
      </c>
      <c r="G52" s="2424" t="str">
        <f>IF('Input '!$E$1="EN",B52,A52)</f>
        <v>Roof Limitation Endorsement</v>
      </c>
      <c r="H52" s="2427"/>
      <c r="I52" s="2449"/>
      <c r="J52" s="1467"/>
      <c r="K52" s="2563"/>
      <c r="L52" s="2564"/>
      <c r="M52" s="2466"/>
      <c r="N52" s="2466"/>
      <c r="O52" s="2462"/>
      <c r="P52" s="2466"/>
      <c r="Q52" s="2467"/>
      <c r="R52" s="2467"/>
      <c r="S52" s="2497"/>
      <c r="T52" s="2497"/>
      <c r="U52" s="2466"/>
      <c r="V52" s="2420"/>
      <c r="W52" s="2420"/>
      <c r="X52" s="2420"/>
      <c r="Y52" s="2420"/>
      <c r="Z52" s="2420"/>
      <c r="AA52" s="2498" t="str">
        <f>IF('Input '!$E$1="EN",AC52,AB52)</f>
        <v>CW158</v>
      </c>
      <c r="AB52" s="1464" t="s">
        <v>3652</v>
      </c>
      <c r="AC52" s="1465" t="s">
        <v>3647</v>
      </c>
      <c r="AD52" s="159"/>
      <c r="AE52" s="159"/>
      <c r="AF52" s="159"/>
      <c r="AG52" s="159"/>
      <c r="AH52" s="159"/>
      <c r="AI52" s="159"/>
      <c r="AJ52" s="159"/>
      <c r="AK52" s="159"/>
      <c r="AL52" s="159"/>
      <c r="AM52" s="159"/>
      <c r="AN52" s="159"/>
      <c r="AO52" s="159"/>
      <c r="AP52" s="159"/>
      <c r="AQ52" s="159"/>
      <c r="AR52" s="159"/>
      <c r="AS52" s="159"/>
      <c r="AT52" s="159"/>
      <c r="AU52" s="159"/>
      <c r="AV52" s="159"/>
      <c r="AW52" s="159"/>
      <c r="AX52" s="1460"/>
    </row>
    <row r="53" spans="1:62" ht="29.25" customHeight="1">
      <c r="A53" s="178" t="s">
        <v>3755</v>
      </c>
      <c r="B53" s="178" t="s">
        <v>3756</v>
      </c>
      <c r="D53" s="1873"/>
      <c r="E53" s="196" t="str">
        <f t="shared" si="30"/>
        <v>N</v>
      </c>
      <c r="F53" s="2050" t="b">
        <f>IF('Input Property info '!$A$6&gt;0,TRUE,FALSE)</f>
        <v>0</v>
      </c>
      <c r="G53" s="2424" t="str">
        <f>IF('Input '!$E$1="EN",B53,A53)</f>
        <v>Sprinkler Systems Warranty</v>
      </c>
      <c r="H53" s="1466"/>
      <c r="I53" s="2346"/>
      <c r="J53" s="1467"/>
      <c r="K53" s="2563"/>
      <c r="L53" s="2564"/>
      <c r="M53" s="2466"/>
      <c r="N53" s="2466"/>
      <c r="O53" s="2462"/>
      <c r="P53" s="2466"/>
      <c r="Q53" s="2467"/>
      <c r="R53" s="2467"/>
      <c r="S53" s="2497"/>
      <c r="T53" s="2497"/>
      <c r="U53" s="2466"/>
      <c r="V53" s="2420"/>
      <c r="W53" s="2420"/>
      <c r="X53" s="2420"/>
      <c r="Y53" s="2420"/>
      <c r="Z53" s="2420"/>
      <c r="AA53" s="2498" t="str">
        <f>IF('Input '!$E$1="EN",AC53,AB53)</f>
        <v>PW5</v>
      </c>
      <c r="AB53" s="1289" t="s">
        <v>3650</v>
      </c>
      <c r="AC53" s="1261" t="s">
        <v>3650</v>
      </c>
      <c r="AD53" s="159"/>
      <c r="AE53" s="159"/>
      <c r="AF53" s="159"/>
      <c r="AG53" s="159"/>
      <c r="AH53" s="159"/>
      <c r="AI53" s="159"/>
      <c r="AJ53" s="159"/>
      <c r="AK53" s="159"/>
      <c r="AL53" s="159"/>
      <c r="AM53" s="159"/>
      <c r="AN53" s="159"/>
      <c r="AO53" s="159"/>
      <c r="AP53" s="159"/>
      <c r="AQ53" s="159"/>
      <c r="AR53" s="159"/>
      <c r="AS53" s="159"/>
      <c r="AT53" s="159"/>
      <c r="AU53" s="159"/>
      <c r="AV53" s="159"/>
      <c r="AW53" s="159"/>
      <c r="AX53" s="1460"/>
    </row>
    <row r="54" spans="1:62" ht="29.25" customHeight="1">
      <c r="A54" s="2426" t="s">
        <v>3757</v>
      </c>
      <c r="B54" s="2426" t="s">
        <v>3758</v>
      </c>
      <c r="D54" s="1873"/>
      <c r="E54" s="2430" t="str">
        <f t="shared" si="30"/>
        <v>N</v>
      </c>
      <c r="F54" s="2431" t="b">
        <v>0</v>
      </c>
      <c r="G54" s="2424" t="str">
        <f>IF('Input '!$E$1="EN",B54,A54)</f>
        <v>Alarm Warranty</v>
      </c>
      <c r="H54" s="2432"/>
      <c r="I54" s="2450"/>
      <c r="J54" s="2433"/>
      <c r="K54" s="2565"/>
      <c r="L54" s="2566"/>
      <c r="M54" s="2499"/>
      <c r="N54" s="2499"/>
      <c r="O54" s="2500"/>
      <c r="P54" s="2499"/>
      <c r="Q54" s="2501"/>
      <c r="R54" s="2501"/>
      <c r="S54" s="2502"/>
      <c r="T54" s="2502"/>
      <c r="U54" s="2499"/>
      <c r="V54" s="2503"/>
      <c r="W54" s="2503"/>
      <c r="X54" s="2503"/>
      <c r="Y54" s="2503"/>
      <c r="Z54" s="2503"/>
      <c r="AA54" s="2504" t="str">
        <f>IF('Input '!$E$1="EN",AC54,AB54)</f>
        <v xml:space="preserve">PW3 </v>
      </c>
      <c r="AB54" s="1289" t="s">
        <v>3754</v>
      </c>
      <c r="AC54" s="1261" t="s">
        <v>3754</v>
      </c>
      <c r="AD54" s="159"/>
      <c r="AE54" s="159"/>
      <c r="AF54" s="159"/>
      <c r="AG54" s="159"/>
      <c r="AH54" s="159"/>
      <c r="AI54" s="159"/>
      <c r="AJ54" s="159"/>
      <c r="AK54" s="159"/>
      <c r="AL54" s="159"/>
      <c r="AM54" s="159"/>
      <c r="AN54" s="159"/>
      <c r="AO54" s="159"/>
      <c r="AP54" s="159"/>
      <c r="AQ54" s="159"/>
      <c r="AR54" s="159"/>
      <c r="AS54" s="159"/>
      <c r="AT54" s="159"/>
      <c r="AU54" s="159"/>
      <c r="AV54" s="159"/>
      <c r="AW54" s="159"/>
      <c r="AX54" s="1460"/>
    </row>
    <row r="55" spans="1:62" ht="29.25" customHeight="1">
      <c r="A55" s="2426" t="s">
        <v>4304</v>
      </c>
      <c r="B55" s="2426" t="s">
        <v>4274</v>
      </c>
      <c r="D55" s="1873"/>
      <c r="E55" s="2430" t="str">
        <f>IF(Property!$I$7&gt;0,"Y","N")</f>
        <v>N</v>
      </c>
      <c r="F55" s="2431"/>
      <c r="G55" s="2424" t="str">
        <f>IF('Input '!$E$1="EN",B55,A55)</f>
        <v>*Amendment to PA11 coverage:  amends new acquisitions</v>
      </c>
      <c r="H55" s="2432"/>
      <c r="I55" s="2450"/>
      <c r="J55" s="2433"/>
      <c r="K55" s="2565"/>
      <c r="L55" s="2566"/>
      <c r="M55" s="2499"/>
      <c r="N55" s="2499"/>
      <c r="O55" s="2500"/>
      <c r="P55" s="2499"/>
      <c r="Q55" s="2501"/>
      <c r="R55" s="2501"/>
      <c r="S55" s="2502"/>
      <c r="T55" s="2502"/>
      <c r="U55" s="2499"/>
      <c r="V55" s="2503"/>
      <c r="W55" s="2503"/>
      <c r="X55" s="2503"/>
      <c r="Y55" s="2503"/>
      <c r="Z55" s="2503"/>
      <c r="AA55" s="2504" t="str">
        <f>IF('Input '!$E$1="EN",AC55,AB55)</f>
        <v>CW216</v>
      </c>
      <c r="AB55" s="1289" t="s">
        <v>4275</v>
      </c>
      <c r="AC55" s="1289" t="s">
        <v>4275</v>
      </c>
      <c r="AD55" s="159"/>
      <c r="AE55" s="159"/>
      <c r="AF55" s="159"/>
      <c r="AG55" s="159"/>
      <c r="AH55" s="159"/>
      <c r="AI55" s="159"/>
      <c r="AJ55" s="159"/>
      <c r="AK55" s="159"/>
      <c r="AL55" s="159"/>
      <c r="AM55" s="159"/>
      <c r="AN55" s="159"/>
      <c r="AO55" s="159"/>
      <c r="AP55" s="159"/>
      <c r="AQ55" s="159"/>
      <c r="AR55" s="159"/>
      <c r="AS55" s="159"/>
      <c r="AT55" s="159"/>
      <c r="AU55" s="159"/>
      <c r="AV55" s="159"/>
      <c r="AW55" s="159"/>
      <c r="AX55" s="1830"/>
    </row>
    <row r="56" spans="1:62" ht="50.25" customHeight="1" collapsed="1">
      <c r="A56" s="2586"/>
      <c r="B56" s="2586"/>
      <c r="D56" s="1873" t="str">
        <f>IFERROR(IF(COUNTIF($D$57:$D$93,"x")=COUNTA($D$57:$D$93),"x",""),"")</f>
        <v>x</v>
      </c>
      <c r="E56" s="2587" t="str">
        <f>E22</f>
        <v>Quote: Y/N</v>
      </c>
      <c r="F56" s="2588"/>
      <c r="G56" s="2588" t="str">
        <f t="shared" ref="G56:AR56" si="31">G22</f>
        <v>Coverage:</v>
      </c>
      <c r="H56" s="2588"/>
      <c r="I56" s="2589" t="str">
        <f t="shared" si="31"/>
        <v>Limit</v>
      </c>
      <c r="J56" s="2588">
        <f t="shared" si="31"/>
        <v>0</v>
      </c>
      <c r="K56" s="2590" t="str">
        <f t="shared" si="31"/>
        <v>% Co Ins</v>
      </c>
      <c r="L56" s="2590" t="str">
        <f t="shared" si="31"/>
        <v>Replacement cost</v>
      </c>
      <c r="M56" s="2589" t="str">
        <f t="shared" si="31"/>
        <v>Base rate</v>
      </c>
      <c r="N56" s="2589" t="str">
        <f t="shared" si="31"/>
        <v>Opta increase</v>
      </c>
      <c r="O56" s="2589">
        <f t="shared" si="31"/>
        <v>0</v>
      </c>
      <c r="P56" s="2589">
        <f t="shared" si="31"/>
        <v>0</v>
      </c>
      <c r="Q56" s="2589">
        <f t="shared" si="31"/>
        <v>0</v>
      </c>
      <c r="R56" s="2589">
        <f t="shared" si="31"/>
        <v>0</v>
      </c>
      <c r="S56" s="2589" t="str">
        <f t="shared" si="31"/>
        <v>Credit  (+), surcharge (-) %</v>
      </c>
      <c r="T56" s="2589" t="str">
        <f t="shared" si="31"/>
        <v>Quoted rate</v>
      </c>
      <c r="U56" s="2589" t="str">
        <f t="shared" si="31"/>
        <v>Com. Rate</v>
      </c>
      <c r="V56" s="2589" t="str">
        <f t="shared" si="31"/>
        <v>Premium quoted</v>
      </c>
      <c r="W56" s="2589" t="str">
        <f t="shared" si="31"/>
        <v>Premium displayed</v>
      </c>
      <c r="X56" s="2589" t="str">
        <f t="shared" si="31"/>
        <v>Min Deductible</v>
      </c>
      <c r="Y56" s="2589" t="str">
        <f t="shared" si="31"/>
        <v>Deductible quoted</v>
      </c>
      <c r="Z56" s="2589" t="str">
        <f t="shared" si="31"/>
        <v>Deductible displayed</v>
      </c>
      <c r="AA56" s="2591" t="str">
        <f t="shared" si="31"/>
        <v>Form</v>
      </c>
      <c r="AB56" s="2587" t="str">
        <f t="shared" si="31"/>
        <v>Form</v>
      </c>
      <c r="AC56" s="2587" t="str">
        <f t="shared" si="31"/>
        <v>Form</v>
      </c>
      <c r="AD56" s="2587" t="str">
        <f t="shared" si="31"/>
        <v>Contrôle pieds carrés</v>
      </c>
      <c r="AE56" s="2587" t="str">
        <f t="shared" si="31"/>
        <v>Min base rate</v>
      </c>
      <c r="AF56" s="2587" t="str">
        <f t="shared" si="31"/>
        <v>Min com.rate</v>
      </c>
      <c r="AG56" s="2587">
        <f t="shared" si="31"/>
        <v>0</v>
      </c>
      <c r="AH56" s="2587">
        <f t="shared" si="31"/>
        <v>0</v>
      </c>
      <c r="AI56" s="2587">
        <f t="shared" si="31"/>
        <v>0</v>
      </c>
      <c r="AJ56" s="2587">
        <f t="shared" si="31"/>
        <v>0</v>
      </c>
      <c r="AK56" s="2587">
        <f t="shared" si="31"/>
        <v>0</v>
      </c>
      <c r="AL56" s="2587">
        <f t="shared" si="31"/>
        <v>0</v>
      </c>
      <c r="AM56" s="2587">
        <f t="shared" si="31"/>
        <v>0</v>
      </c>
      <c r="AN56" s="2587">
        <f t="shared" si="31"/>
        <v>0</v>
      </c>
      <c r="AO56" s="2587">
        <f t="shared" si="31"/>
        <v>0</v>
      </c>
      <c r="AP56" s="2587">
        <f t="shared" si="31"/>
        <v>0</v>
      </c>
      <c r="AQ56" s="2587">
        <f t="shared" si="31"/>
        <v>0</v>
      </c>
      <c r="AR56" s="2587">
        <f t="shared" si="31"/>
        <v>0</v>
      </c>
      <c r="AS56" s="2592"/>
      <c r="AT56" s="2592"/>
      <c r="AU56" s="2592"/>
      <c r="AV56" s="2592"/>
      <c r="AW56" s="2592"/>
      <c r="AX56" s="1830"/>
    </row>
    <row r="57" spans="1:62" ht="29.25" customHeight="1">
      <c r="A57" s="178" t="s">
        <v>1213</v>
      </c>
      <c r="B57" s="178" t="s">
        <v>3505</v>
      </c>
      <c r="D57" s="1873" t="s">
        <v>1192</v>
      </c>
      <c r="E57" s="193" t="str">
        <f>IF(I57=0,"N","Y")</f>
        <v>N</v>
      </c>
      <c r="F57" s="388"/>
      <c r="G57" s="1390" t="str">
        <f>IF('Input '!$E$1="EN",B57,A57)</f>
        <v xml:space="preserve">Sewer Back-up </v>
      </c>
      <c r="H57" s="1468"/>
      <c r="I57" s="2418">
        <f>SUM(I58:I62)</f>
        <v>0</v>
      </c>
      <c r="J57" s="406"/>
      <c r="K57" s="2564"/>
      <c r="L57" s="2564"/>
      <c r="M57" s="2505">
        <f t="shared" ref="M57:M63" si="32">0.1</f>
        <v>0.1</v>
      </c>
      <c r="N57" s="2467"/>
      <c r="O57" s="2462"/>
      <c r="P57" s="2466"/>
      <c r="Q57" s="2466"/>
      <c r="R57" s="2466"/>
      <c r="S57" s="2497"/>
      <c r="T57" s="2497"/>
      <c r="U57" s="2466"/>
      <c r="V57" s="2421">
        <f>SUM(V58:V62)</f>
        <v>0</v>
      </c>
      <c r="W57" s="2439">
        <f>SUM(W58:W62)</f>
        <v>0</v>
      </c>
      <c r="X57" s="2466"/>
      <c r="Y57" s="2466"/>
      <c r="Z57" s="2466"/>
      <c r="AA57" s="2481" t="str">
        <f>IF('Input '!$E$1="EN",AC57,AB57)</f>
        <v>PE8</v>
      </c>
      <c r="AB57" s="1289" t="s">
        <v>1281</v>
      </c>
      <c r="AC57" s="1261" t="s">
        <v>1281</v>
      </c>
      <c r="AD57" s="159"/>
      <c r="AE57" s="159"/>
      <c r="AF57" s="159"/>
      <c r="AG57" s="159"/>
      <c r="AH57" s="159"/>
      <c r="AI57" s="159"/>
      <c r="AJ57" s="159"/>
      <c r="AK57" s="159"/>
      <c r="AL57" s="159"/>
      <c r="AM57" s="159"/>
      <c r="AN57" s="159"/>
      <c r="AO57" s="159"/>
      <c r="AP57" s="159"/>
      <c r="AQ57" s="159"/>
      <c r="AR57" s="159"/>
      <c r="AS57" s="159"/>
      <c r="AT57" s="159"/>
      <c r="AU57" s="159"/>
      <c r="AV57" s="159"/>
      <c r="AW57" s="159"/>
      <c r="AX57" s="290"/>
    </row>
    <row r="58" spans="1:62" ht="29.25" customHeight="1">
      <c r="A58" s="402"/>
      <c r="B58" s="402"/>
      <c r="D58" s="1873" t="str">
        <f>IF('Input '!$G$69=FALSE,"x","")</f>
        <v>x</v>
      </c>
      <c r="E58" s="193" t="str">
        <f>IF(COUNTA($I$58:$I$62)&lt;2,"N","Y")</f>
        <v>N</v>
      </c>
      <c r="F58" s="388">
        <v>1</v>
      </c>
      <c r="G58" s="2280" t="str">
        <f>G57</f>
        <v xml:space="preserve">Sewer Back-up </v>
      </c>
      <c r="H58" s="1399">
        <f>'Input Property info '!C10</f>
        <v>0</v>
      </c>
      <c r="I58" s="2449"/>
      <c r="J58" s="1467"/>
      <c r="K58" s="2564"/>
      <c r="L58" s="2564"/>
      <c r="M58" s="2505">
        <f t="shared" si="32"/>
        <v>0.1</v>
      </c>
      <c r="N58" s="2467"/>
      <c r="O58" s="2462"/>
      <c r="P58" s="2466"/>
      <c r="Q58" s="2466"/>
      <c r="R58" s="2466"/>
      <c r="S58" s="2506"/>
      <c r="T58" s="2507"/>
      <c r="U58" s="2466">
        <f>IF((N58+S58)=0,IF(T58&lt;M58,M58,T58),M58*(1+N58+S58))</f>
        <v>0.1</v>
      </c>
      <c r="V58" s="2420">
        <f>U58*'April Rating Property'!$F$53*I58/100</f>
        <v>0</v>
      </c>
      <c r="W58" s="2440">
        <f>IF(I58=0,0, IF(V58&lt;50,50,V58))</f>
        <v>0</v>
      </c>
      <c r="X58" s="2420">
        <v>2500</v>
      </c>
      <c r="Y58" s="2471"/>
      <c r="Z58" s="2446">
        <f>MAX(X58:Y58)</f>
        <v>2500</v>
      </c>
      <c r="AA58" s="2481" t="str">
        <f>IF('Input '!$E$1="EN",AC58,AB58)</f>
        <v>PE8</v>
      </c>
      <c r="AB58" s="1289" t="s">
        <v>1281</v>
      </c>
      <c r="AC58" s="1261" t="s">
        <v>1281</v>
      </c>
      <c r="AD58" s="159"/>
      <c r="AE58" s="159"/>
      <c r="AF58" s="159"/>
      <c r="AG58" s="159"/>
      <c r="AH58" s="159"/>
      <c r="AI58" s="159"/>
      <c r="AJ58" s="159"/>
      <c r="AK58" s="159"/>
      <c r="AL58" s="159"/>
      <c r="AM58" s="159"/>
      <c r="AN58" s="159"/>
      <c r="AO58" s="159"/>
      <c r="AP58" s="159"/>
      <c r="AQ58" s="159"/>
      <c r="AR58" s="159"/>
      <c r="AS58" s="159"/>
      <c r="AT58" s="159"/>
      <c r="AU58" s="159"/>
      <c r="AV58" s="159"/>
      <c r="AW58" s="159"/>
      <c r="AX58" s="1020"/>
    </row>
    <row r="59" spans="1:62" ht="29.25" customHeight="1">
      <c r="A59" s="402"/>
      <c r="B59" s="402"/>
      <c r="D59" s="1873" t="str">
        <f>IF(AND('Input '!$G$69=TRUE,'Input '!$G$54&gt;1),"","x")</f>
        <v>x</v>
      </c>
      <c r="E59" s="193" t="str">
        <f t="shared" ref="E59:E66" si="33">IF(I59=0,"N","Y")</f>
        <v>N</v>
      </c>
      <c r="F59" s="388">
        <v>2</v>
      </c>
      <c r="G59" s="2280" t="str">
        <f t="shared" ref="G59:G62" si="34">G58</f>
        <v xml:space="preserve">Sewer Back-up </v>
      </c>
      <c r="H59" s="1399" t="str">
        <f>'Input Property info '!C11</f>
        <v>Input Address no 2</v>
      </c>
      <c r="I59" s="2449"/>
      <c r="J59" s="1467"/>
      <c r="K59" s="2564"/>
      <c r="L59" s="2564"/>
      <c r="M59" s="2505">
        <f t="shared" si="32"/>
        <v>0.1</v>
      </c>
      <c r="N59" s="2467"/>
      <c r="O59" s="2462"/>
      <c r="P59" s="2466"/>
      <c r="Q59" s="2466"/>
      <c r="R59" s="2466"/>
      <c r="S59" s="2506"/>
      <c r="T59" s="2507"/>
      <c r="U59" s="2466">
        <f t="shared" ref="U59:U63" si="35">IF((N59+S59)=0,IF(T59&lt;M59,M59,T59),M59*(1+N59+S59))</f>
        <v>0.1</v>
      </c>
      <c r="V59" s="2420">
        <f>U59*'April Rating Property'!$F$53*I59/100</f>
        <v>0</v>
      </c>
      <c r="W59" s="2440">
        <f t="shared" ref="W59:W63" si="36">IF(I59=0,0, IF(V59&lt;50,50,V59))</f>
        <v>0</v>
      </c>
      <c r="X59" s="2420">
        <v>2500</v>
      </c>
      <c r="Y59" s="2471"/>
      <c r="Z59" s="2446">
        <f t="shared" ref="Z59:Z75" si="37">MAX(X59:Y59)</f>
        <v>2500</v>
      </c>
      <c r="AA59" s="2481" t="str">
        <f>IF('Input '!$E$1="EN",AC59,AB59)</f>
        <v>PE8</v>
      </c>
      <c r="AB59" s="1289" t="s">
        <v>1281</v>
      </c>
      <c r="AC59" s="1261" t="s">
        <v>1281</v>
      </c>
      <c r="AD59" s="159"/>
      <c r="AE59" s="159"/>
      <c r="AF59" s="159"/>
      <c r="AG59" s="159"/>
      <c r="AH59" s="159"/>
      <c r="AI59" s="159"/>
      <c r="AJ59" s="159"/>
      <c r="AK59" s="159"/>
      <c r="AL59" s="159"/>
      <c r="AM59" s="159"/>
      <c r="AN59" s="159"/>
      <c r="AO59" s="159"/>
      <c r="AP59" s="159"/>
      <c r="AQ59" s="159"/>
      <c r="AR59" s="159"/>
      <c r="AS59" s="159"/>
      <c r="AT59" s="159"/>
      <c r="AU59" s="159"/>
      <c r="AV59" s="159"/>
      <c r="AW59" s="159"/>
      <c r="AX59" s="1020"/>
      <c r="BJ59" s="33"/>
    </row>
    <row r="60" spans="1:62" ht="29.25" customHeight="1">
      <c r="A60" s="402"/>
      <c r="B60" s="402"/>
      <c r="D60" s="1873" t="str">
        <f>IF(AND('Input '!$G$69=TRUE,'Input '!$G$54&gt;2),"","x")</f>
        <v>x</v>
      </c>
      <c r="E60" s="193" t="str">
        <f t="shared" si="33"/>
        <v>N</v>
      </c>
      <c r="F60" s="388">
        <v>3</v>
      </c>
      <c r="G60" s="2280" t="str">
        <f t="shared" si="34"/>
        <v xml:space="preserve">Sewer Back-up </v>
      </c>
      <c r="H60" s="1399" t="str">
        <f>'Input Property info '!C12</f>
        <v>Input Address no 3</v>
      </c>
      <c r="I60" s="2449"/>
      <c r="J60" s="1467"/>
      <c r="K60" s="2564"/>
      <c r="L60" s="2564"/>
      <c r="M60" s="2505">
        <f t="shared" si="32"/>
        <v>0.1</v>
      </c>
      <c r="N60" s="2467"/>
      <c r="O60" s="2462"/>
      <c r="P60" s="2466"/>
      <c r="Q60" s="2466"/>
      <c r="R60" s="2466"/>
      <c r="S60" s="2506"/>
      <c r="T60" s="2507"/>
      <c r="U60" s="2466">
        <f t="shared" si="35"/>
        <v>0.1</v>
      </c>
      <c r="V60" s="2420">
        <f>U60*'April Rating Property'!$F$53*I60/100</f>
        <v>0</v>
      </c>
      <c r="W60" s="2440">
        <f t="shared" si="36"/>
        <v>0</v>
      </c>
      <c r="X60" s="2420">
        <v>2500</v>
      </c>
      <c r="Y60" s="2471"/>
      <c r="Z60" s="2446">
        <f t="shared" si="37"/>
        <v>2500</v>
      </c>
      <c r="AA60" s="2481" t="str">
        <f>IF('Input '!$E$1="EN",AC60,AB60)</f>
        <v>PE8</v>
      </c>
      <c r="AB60" s="1289" t="s">
        <v>1281</v>
      </c>
      <c r="AC60" s="1261" t="s">
        <v>1281</v>
      </c>
      <c r="AD60" s="159"/>
      <c r="AE60" s="159"/>
      <c r="AF60" s="159"/>
      <c r="AG60" s="159"/>
      <c r="AH60" s="159"/>
      <c r="AI60" s="159"/>
      <c r="AJ60" s="159"/>
      <c r="AK60" s="159"/>
      <c r="AL60" s="159"/>
      <c r="AM60" s="159"/>
      <c r="AN60" s="159"/>
      <c r="AO60" s="159"/>
      <c r="AP60" s="159"/>
      <c r="AQ60" s="159"/>
      <c r="AR60" s="159"/>
      <c r="AS60" s="159"/>
      <c r="AT60" s="159"/>
      <c r="AU60" s="159"/>
      <c r="AV60" s="159"/>
      <c r="AW60" s="159"/>
      <c r="AX60" s="1020"/>
      <c r="BJ60" s="33"/>
    </row>
    <row r="61" spans="1:62" ht="29.25" customHeight="1" outlineLevel="1">
      <c r="A61" s="402"/>
      <c r="B61" s="402"/>
      <c r="D61" s="1873" t="str">
        <f>IF(AND('Input '!$G$69=TRUE,'Input '!$G$54&gt;3),"","x")</f>
        <v>x</v>
      </c>
      <c r="E61" s="193" t="str">
        <f t="shared" si="33"/>
        <v>N</v>
      </c>
      <c r="F61" s="388">
        <v>4</v>
      </c>
      <c r="G61" s="2280" t="str">
        <f t="shared" si="34"/>
        <v xml:space="preserve">Sewer Back-up </v>
      </c>
      <c r="H61" s="1399" t="str">
        <f>'Input Property info '!C13</f>
        <v>Input Address no 4</v>
      </c>
      <c r="I61" s="2449"/>
      <c r="J61" s="1467"/>
      <c r="K61" s="2564"/>
      <c r="L61" s="2564"/>
      <c r="M61" s="2505">
        <f t="shared" si="32"/>
        <v>0.1</v>
      </c>
      <c r="N61" s="2467"/>
      <c r="O61" s="2462"/>
      <c r="P61" s="2466"/>
      <c r="Q61" s="2466"/>
      <c r="R61" s="2466"/>
      <c r="S61" s="2506"/>
      <c r="T61" s="2507"/>
      <c r="U61" s="2466">
        <f t="shared" si="35"/>
        <v>0.1</v>
      </c>
      <c r="V61" s="2420">
        <f>U61*'April Rating Property'!$F$53*I61/100</f>
        <v>0</v>
      </c>
      <c r="W61" s="2440">
        <f t="shared" si="36"/>
        <v>0</v>
      </c>
      <c r="X61" s="2420">
        <v>2500</v>
      </c>
      <c r="Y61" s="2471"/>
      <c r="Z61" s="2446">
        <f t="shared" si="37"/>
        <v>2500</v>
      </c>
      <c r="AA61" s="2481" t="str">
        <f>IF('Input '!$E$1="EN",AC61,AB61)</f>
        <v>PE8</v>
      </c>
      <c r="AB61" s="1289" t="s">
        <v>1281</v>
      </c>
      <c r="AC61" s="1261" t="s">
        <v>1281</v>
      </c>
      <c r="AD61" s="159"/>
      <c r="AE61" s="159"/>
      <c r="AF61" s="159"/>
      <c r="AG61" s="159"/>
      <c r="AH61" s="159"/>
      <c r="AI61" s="159"/>
      <c r="AJ61" s="159"/>
      <c r="AK61" s="159"/>
      <c r="AL61" s="159"/>
      <c r="AM61" s="159"/>
      <c r="AN61" s="159"/>
      <c r="AO61" s="159"/>
      <c r="AP61" s="159"/>
      <c r="AQ61" s="159"/>
      <c r="AR61" s="159"/>
      <c r="AS61" s="159"/>
      <c r="AT61" s="159"/>
      <c r="AU61" s="159"/>
      <c r="AV61" s="159"/>
      <c r="AW61" s="159"/>
      <c r="AX61" s="1020"/>
    </row>
    <row r="62" spans="1:62" ht="29.25" customHeight="1" outlineLevel="1">
      <c r="A62" s="402"/>
      <c r="B62" s="402"/>
      <c r="D62" s="1873" t="str">
        <f>IF(AND('Input '!$G$69=TRUE,'Input '!$G$54&gt;4),"","x")</f>
        <v>x</v>
      </c>
      <c r="E62" s="193" t="str">
        <f t="shared" si="33"/>
        <v>N</v>
      </c>
      <c r="F62" s="388">
        <v>5</v>
      </c>
      <c r="G62" s="2280" t="str">
        <f t="shared" si="34"/>
        <v xml:space="preserve">Sewer Back-up </v>
      </c>
      <c r="H62" s="1399" t="str">
        <f>'Input Property info '!C14</f>
        <v>Input Address no 5</v>
      </c>
      <c r="I62" s="2449"/>
      <c r="J62" s="1467"/>
      <c r="K62" s="2564"/>
      <c r="L62" s="2564"/>
      <c r="M62" s="2505">
        <f t="shared" si="32"/>
        <v>0.1</v>
      </c>
      <c r="N62" s="2467"/>
      <c r="O62" s="2462"/>
      <c r="P62" s="2466"/>
      <c r="Q62" s="2466"/>
      <c r="R62" s="2466"/>
      <c r="S62" s="2506"/>
      <c r="T62" s="2507"/>
      <c r="U62" s="2466">
        <f t="shared" si="35"/>
        <v>0.1</v>
      </c>
      <c r="V62" s="2420">
        <f>U62*'April Rating Property'!$F$53*I62/100</f>
        <v>0</v>
      </c>
      <c r="W62" s="2440">
        <f t="shared" si="36"/>
        <v>0</v>
      </c>
      <c r="X62" s="2420">
        <v>2500</v>
      </c>
      <c r="Y62" s="2471"/>
      <c r="Z62" s="2446">
        <f t="shared" si="37"/>
        <v>2500</v>
      </c>
      <c r="AA62" s="2481" t="str">
        <f>IF('Input '!$E$1="EN",AC62,AB62)</f>
        <v>PE8</v>
      </c>
      <c r="AB62" s="1289" t="s">
        <v>1281</v>
      </c>
      <c r="AC62" s="1261" t="s">
        <v>1281</v>
      </c>
      <c r="AD62" s="159"/>
      <c r="AE62" s="159"/>
      <c r="AF62" s="159"/>
      <c r="AG62" s="159"/>
      <c r="AH62" s="159"/>
      <c r="AI62" s="159"/>
      <c r="AJ62" s="159"/>
      <c r="AK62" s="159"/>
      <c r="AL62" s="159"/>
      <c r="AM62" s="159"/>
      <c r="AN62" s="159"/>
      <c r="AO62" s="159"/>
      <c r="AP62" s="159"/>
      <c r="AQ62" s="159"/>
      <c r="AR62" s="159"/>
      <c r="AS62" s="159"/>
      <c r="AT62" s="159"/>
      <c r="AU62" s="159"/>
      <c r="AV62" s="159"/>
      <c r="AW62" s="159"/>
      <c r="AX62" s="1020"/>
    </row>
    <row r="63" spans="1:62" ht="29.25" customHeight="1">
      <c r="A63" s="178" t="s">
        <v>1206</v>
      </c>
      <c r="B63" s="178" t="s">
        <v>3492</v>
      </c>
      <c r="D63" s="1873" t="str">
        <f>IF('Input '!$G$69=FALSE,"x","")</f>
        <v>x</v>
      </c>
      <c r="E63" s="193" t="str">
        <f t="shared" si="33"/>
        <v>N</v>
      </c>
      <c r="F63" s="388"/>
      <c r="G63" s="2282" t="str">
        <f>IF('Input '!$E$1="EN",B63,A63)</f>
        <v>Transit</v>
      </c>
      <c r="H63" s="1468"/>
      <c r="I63" s="2449"/>
      <c r="J63" s="1467"/>
      <c r="K63" s="2567">
        <f>'Input '!$M$64</f>
        <v>0.9</v>
      </c>
      <c r="L63" s="2564"/>
      <c r="M63" s="2505">
        <f t="shared" si="32"/>
        <v>0.1</v>
      </c>
      <c r="N63" s="2467"/>
      <c r="O63" s="2462"/>
      <c r="P63" s="2466"/>
      <c r="Q63" s="2466"/>
      <c r="R63" s="2466"/>
      <c r="S63" s="2506"/>
      <c r="T63" s="2507"/>
      <c r="U63" s="2466">
        <f t="shared" si="35"/>
        <v>0.1</v>
      </c>
      <c r="V63" s="2420">
        <f>M63*'April Rating Property'!$F$53*I63/100</f>
        <v>0</v>
      </c>
      <c r="W63" s="2440">
        <f t="shared" si="36"/>
        <v>0</v>
      </c>
      <c r="X63" s="2420">
        <v>1000</v>
      </c>
      <c r="Y63" s="2471"/>
      <c r="Z63" s="2446">
        <f t="shared" si="37"/>
        <v>1000</v>
      </c>
      <c r="AA63" s="2481" t="str">
        <f>IF('Input '!$E$1="EN",AC63,AB63)</f>
        <v>PA13A</v>
      </c>
      <c r="AB63" s="1289" t="s">
        <v>4034</v>
      </c>
      <c r="AC63" s="1261" t="s">
        <v>4034</v>
      </c>
      <c r="AD63" s="159"/>
      <c r="AE63" s="159"/>
      <c r="AF63" s="159"/>
      <c r="AG63" s="159"/>
      <c r="AH63" s="159"/>
      <c r="AI63" s="159"/>
      <c r="AJ63" s="159"/>
      <c r="AK63" s="159"/>
      <c r="AL63" s="159"/>
      <c r="AM63" s="159"/>
      <c r="AN63" s="159"/>
      <c r="AO63" s="159"/>
      <c r="AP63" s="159"/>
      <c r="AQ63" s="159"/>
      <c r="AR63" s="159"/>
      <c r="AS63" s="159"/>
      <c r="AT63" s="159"/>
      <c r="AU63" s="159"/>
      <c r="AV63" s="159"/>
      <c r="AW63" s="159"/>
      <c r="AX63" s="290"/>
    </row>
    <row r="64" spans="1:62" ht="29.25" customHeight="1">
      <c r="A64" s="178" t="s">
        <v>1204</v>
      </c>
      <c r="B64" s="178" t="s">
        <v>3491</v>
      </c>
      <c r="D64" s="1873" t="str">
        <f>IF('Input '!$G$69=FALSE,"x","")</f>
        <v>x</v>
      </c>
      <c r="E64" s="193" t="str">
        <f t="shared" si="33"/>
        <v>N</v>
      </c>
      <c r="F64" s="388"/>
      <c r="G64" s="2282" t="str">
        <f>IF('Input '!$E$1="EN",B64,A64)</f>
        <v>Off Equip</v>
      </c>
      <c r="H64" s="1398">
        <f>H58</f>
        <v>0</v>
      </c>
      <c r="I64" s="2449"/>
      <c r="J64" s="1467"/>
      <c r="K64" s="2567">
        <f>'Input '!$M$64</f>
        <v>0.9</v>
      </c>
      <c r="L64" s="2564"/>
      <c r="M64" s="2466">
        <f ca="1">M30</f>
        <v>0</v>
      </c>
      <c r="N64" s="2466"/>
      <c r="O64" s="2462"/>
      <c r="P64" s="2466"/>
      <c r="Q64" s="2467"/>
      <c r="R64" s="2467"/>
      <c r="S64" s="2469"/>
      <c r="T64" s="2470"/>
      <c r="U64" s="2466">
        <f ca="1">IF((N64+S64)=0,IF(T64&lt;M64,M64,T64),M64*(1+N64+S64))</f>
        <v>0</v>
      </c>
      <c r="V64" s="2420">
        <f ca="1">I64*U64/100</f>
        <v>0</v>
      </c>
      <c r="W64" s="2440">
        <f t="shared" ref="W64:W69" ca="1" si="38">V64</f>
        <v>0</v>
      </c>
      <c r="X64" s="2420">
        <v>1000</v>
      </c>
      <c r="Y64" s="2471"/>
      <c r="Z64" s="2446">
        <f t="shared" si="37"/>
        <v>1000</v>
      </c>
      <c r="AA64" s="2481" t="str">
        <f>IF('Input '!$E$1="EN",AC64,AB64)</f>
        <v>PA2</v>
      </c>
      <c r="AB64" s="1289" t="s">
        <v>3729</v>
      </c>
      <c r="AC64" s="1261" t="s">
        <v>3729</v>
      </c>
      <c r="AD64" s="159"/>
      <c r="AE64" s="159"/>
      <c r="AF64" s="159"/>
      <c r="AG64" s="159"/>
      <c r="AH64" s="159"/>
      <c r="AI64" s="159"/>
      <c r="AJ64" s="159"/>
      <c r="AK64" s="159"/>
      <c r="AL64" s="159"/>
      <c r="AM64" s="159"/>
      <c r="AN64" s="159"/>
      <c r="AO64" s="159"/>
      <c r="AP64" s="159"/>
      <c r="AQ64" s="159"/>
      <c r="AR64" s="159"/>
      <c r="AS64" s="159"/>
      <c r="AT64" s="159"/>
      <c r="AU64" s="159"/>
      <c r="AV64" s="159"/>
      <c r="AW64" s="159"/>
      <c r="AX64" s="290"/>
    </row>
    <row r="65" spans="1:50" ht="29.25" customHeight="1">
      <c r="A65" s="178"/>
      <c r="B65" s="178"/>
      <c r="D65" s="1873" t="str">
        <f>IF(AND('Input '!$G$69=TRUE,'Input '!$G$54&gt;1),"","x")</f>
        <v>x</v>
      </c>
      <c r="E65" s="193" t="str">
        <f t="shared" si="33"/>
        <v>N</v>
      </c>
      <c r="F65" s="388"/>
      <c r="G65" s="2282" t="str">
        <f>G64</f>
        <v>Off Equip</v>
      </c>
      <c r="H65" s="1398" t="str">
        <f>H59</f>
        <v>Input Address no 2</v>
      </c>
      <c r="I65" s="2449"/>
      <c r="J65" s="1467"/>
      <c r="K65" s="2568">
        <f>K64</f>
        <v>0.9</v>
      </c>
      <c r="L65" s="2564"/>
      <c r="M65" s="2466">
        <f ca="1">M31</f>
        <v>0</v>
      </c>
      <c r="N65" s="2466"/>
      <c r="O65" s="2462"/>
      <c r="P65" s="2466"/>
      <c r="Q65" s="2467"/>
      <c r="R65" s="2467"/>
      <c r="S65" s="2469"/>
      <c r="T65" s="2470"/>
      <c r="U65" s="2466">
        <f ca="1">IF((N65+S65)=0,IF(T65&lt;M65,M65,T65),M65*(1+N65+S65))</f>
        <v>0</v>
      </c>
      <c r="V65" s="2420">
        <f ca="1">I65*U65/100</f>
        <v>0</v>
      </c>
      <c r="W65" s="2440">
        <f t="shared" ca="1" si="38"/>
        <v>0</v>
      </c>
      <c r="X65" s="2420">
        <v>1000</v>
      </c>
      <c r="Y65" s="2471"/>
      <c r="Z65" s="2446">
        <f t="shared" si="37"/>
        <v>1000</v>
      </c>
      <c r="AA65" s="2481">
        <f>IF('Input '!$E$1="EN",AC65,AB65)</f>
        <v>0</v>
      </c>
      <c r="AB65" s="1289"/>
      <c r="AC65" s="1261"/>
      <c r="AD65" s="159"/>
      <c r="AE65" s="159"/>
      <c r="AF65" s="159"/>
      <c r="AG65" s="159"/>
      <c r="AH65" s="159"/>
      <c r="AI65" s="159"/>
      <c r="AJ65" s="159"/>
      <c r="AK65" s="159"/>
      <c r="AL65" s="159"/>
      <c r="AM65" s="159"/>
      <c r="AN65" s="159"/>
      <c r="AO65" s="159"/>
      <c r="AP65" s="159"/>
      <c r="AQ65" s="159"/>
      <c r="AR65" s="159"/>
      <c r="AS65" s="159"/>
      <c r="AT65" s="159"/>
      <c r="AU65" s="159"/>
      <c r="AV65" s="159"/>
      <c r="AW65" s="159"/>
      <c r="AX65" s="1830"/>
    </row>
    <row r="66" spans="1:50" ht="29.25" customHeight="1">
      <c r="A66" s="178" t="s">
        <v>1205</v>
      </c>
      <c r="B66" s="178" t="s">
        <v>3504</v>
      </c>
      <c r="D66" s="1873" t="str">
        <f>IF('Input '!$G$69=FALSE,"x","")</f>
        <v>x</v>
      </c>
      <c r="E66" s="193" t="str">
        <f t="shared" si="33"/>
        <v>N</v>
      </c>
      <c r="F66" s="388"/>
      <c r="G66" s="2282" t="str">
        <f>IF('Input '!$E$1="EN",B66,A66)</f>
        <v>EDP</v>
      </c>
      <c r="H66" s="1466"/>
      <c r="I66" s="2449"/>
      <c r="J66" s="1467"/>
      <c r="K66" s="2567">
        <f>'Input '!$M$64</f>
        <v>0.9</v>
      </c>
      <c r="L66" s="2564"/>
      <c r="M66" s="2466">
        <f ca="1">M30</f>
        <v>0</v>
      </c>
      <c r="N66" s="2466"/>
      <c r="O66" s="2462"/>
      <c r="P66" s="2466"/>
      <c r="Q66" s="2467"/>
      <c r="R66" s="2467"/>
      <c r="S66" s="2469"/>
      <c r="T66" s="2470"/>
      <c r="U66" s="2466">
        <f ca="1">IF(OR(N66=0,S66=0),IF(T66&lt;M66,M66,T66),M66*(1+N66+S66))</f>
        <v>0</v>
      </c>
      <c r="V66" s="2420">
        <f ca="1">I66*U66/100</f>
        <v>0</v>
      </c>
      <c r="W66" s="2440">
        <f t="shared" ca="1" si="38"/>
        <v>0</v>
      </c>
      <c r="X66" s="2420">
        <v>1000</v>
      </c>
      <c r="Y66" s="2471"/>
      <c r="Z66" s="2446">
        <f t="shared" si="37"/>
        <v>1000</v>
      </c>
      <c r="AA66" s="2481" t="str">
        <f>IF('Input '!$E$1="EN",AC66,AB66)</f>
        <v>PA3</v>
      </c>
      <c r="AB66" s="1289" t="s">
        <v>3728</v>
      </c>
      <c r="AC66" s="1261" t="s">
        <v>3728</v>
      </c>
      <c r="AD66" s="159"/>
      <c r="AE66" s="159"/>
      <c r="AF66" s="159"/>
      <c r="AG66" s="159"/>
      <c r="AH66" s="159"/>
      <c r="AI66" s="159"/>
      <c r="AJ66" s="159"/>
      <c r="AK66" s="159"/>
      <c r="AL66" s="159"/>
      <c r="AM66" s="159"/>
      <c r="AN66" s="159"/>
      <c r="AO66" s="159"/>
      <c r="AP66" s="159"/>
      <c r="AQ66" s="159"/>
      <c r="AR66" s="159"/>
      <c r="AS66" s="159"/>
      <c r="AT66" s="159"/>
      <c r="AU66" s="159"/>
      <c r="AV66" s="159"/>
      <c r="AW66" s="159"/>
      <c r="AX66" s="290"/>
    </row>
    <row r="67" spans="1:50" ht="29.25" customHeight="1">
      <c r="A67" s="178" t="s">
        <v>1207</v>
      </c>
      <c r="B67" s="178" t="s">
        <v>1207</v>
      </c>
      <c r="D67" s="1873" t="str">
        <f>IF('Input '!$G$69=FALSE,"x","")</f>
        <v>x</v>
      </c>
      <c r="E67" s="193" t="str">
        <f t="shared" ref="E67:E75" si="39">IF(I67=0,"N","Y")</f>
        <v>N</v>
      </c>
      <c r="F67" s="388"/>
      <c r="G67" s="2282" t="str">
        <f>IF('Input '!$E$1="EN",B67,A67)</f>
        <v>Profits</v>
      </c>
      <c r="H67" s="1466"/>
      <c r="I67" s="2449"/>
      <c r="J67" s="1467"/>
      <c r="K67" s="2563">
        <v>1</v>
      </c>
      <c r="L67" s="2564"/>
      <c r="M67" s="2466">
        <f ca="1">0.9*$M$24</f>
        <v>0</v>
      </c>
      <c r="N67" s="2466"/>
      <c r="O67" s="2462"/>
      <c r="P67" s="2466"/>
      <c r="Q67" s="2466"/>
      <c r="R67" s="2466"/>
      <c r="S67" s="2508"/>
      <c r="T67" s="2508"/>
      <c r="U67" s="2466">
        <f ca="1">M67</f>
        <v>0</v>
      </c>
      <c r="V67" s="2420">
        <f ca="1">M67*I67*(1+Q67+S67)/100</f>
        <v>0</v>
      </c>
      <c r="W67" s="2440">
        <f t="shared" ca="1" si="38"/>
        <v>0</v>
      </c>
      <c r="X67" s="2420">
        <v>1000</v>
      </c>
      <c r="Y67" s="2471"/>
      <c r="Z67" s="2446">
        <f t="shared" si="37"/>
        <v>1000</v>
      </c>
      <c r="AA67" s="2509" t="str">
        <f>IF('Input '!$E$1="EN",AC67,AB67)</f>
        <v>BA11</v>
      </c>
      <c r="AB67" s="1357" t="str">
        <f>IF($BJ$23="Formule Etendue","BA11","BN11")</f>
        <v>BN11</v>
      </c>
      <c r="AC67" s="1262" t="str">
        <f>IF($BJ$23="All Risks","BA11","BN11")</f>
        <v>BA11</v>
      </c>
      <c r="AD67" s="159"/>
      <c r="AE67" s="159"/>
      <c r="AF67" s="159"/>
      <c r="AG67" s="159"/>
      <c r="AH67" s="159"/>
      <c r="AI67" s="159"/>
      <c r="AJ67" s="159"/>
      <c r="AK67" s="159"/>
      <c r="AL67" s="159"/>
      <c r="AM67" s="159"/>
      <c r="AN67" s="159"/>
      <c r="AO67" s="159"/>
      <c r="AP67" s="159"/>
      <c r="AQ67" s="159"/>
      <c r="AR67" s="159"/>
      <c r="AS67" s="159"/>
      <c r="AT67" s="159"/>
      <c r="AU67" s="159"/>
      <c r="AV67" s="159"/>
      <c r="AW67" s="159"/>
      <c r="AX67" s="290"/>
    </row>
    <row r="68" spans="1:50" ht="29.25" customHeight="1">
      <c r="A68" s="178" t="s">
        <v>1208</v>
      </c>
      <c r="B68" s="178" t="s">
        <v>3493</v>
      </c>
      <c r="D68" s="1873" t="str">
        <f>IF('Input '!$G$69=FALSE,"x","")</f>
        <v>x</v>
      </c>
      <c r="E68" s="193" t="str">
        <f t="shared" si="39"/>
        <v>N</v>
      </c>
      <c r="F68" s="388"/>
      <c r="G68" s="2282" t="str">
        <f>IF('Input '!$E$1="EN",B68,A68)</f>
        <v>GE - Merc</v>
      </c>
      <c r="H68" s="1466"/>
      <c r="I68" s="2449"/>
      <c r="J68" s="1467"/>
      <c r="K68" s="2568">
        <v>0.8</v>
      </c>
      <c r="L68" s="2564"/>
      <c r="M68" s="2466">
        <f ca="1">IF(K68=80%,($U$30*60%),IF(K68=50%,($U$30*80%),IF(K68=0%,($U$30*150%))))*PolicyLenght</f>
        <v>0</v>
      </c>
      <c r="N68" s="2466"/>
      <c r="O68" s="2462"/>
      <c r="P68" s="2466"/>
      <c r="Q68" s="2466"/>
      <c r="R68" s="2466"/>
      <c r="S68" s="2508"/>
      <c r="T68" s="2508"/>
      <c r="U68" s="2466">
        <f ca="1">M68</f>
        <v>0</v>
      </c>
      <c r="V68" s="2420">
        <f ca="1">M68*I68*(1+Q68+S68)/100</f>
        <v>0</v>
      </c>
      <c r="W68" s="2440">
        <f t="shared" ca="1" si="38"/>
        <v>0</v>
      </c>
      <c r="X68" s="2420">
        <v>1000</v>
      </c>
      <c r="Y68" s="2471"/>
      <c r="Z68" s="2446">
        <f t="shared" si="37"/>
        <v>1000</v>
      </c>
      <c r="AA68" s="2509" t="str">
        <f>IF('Input '!$E$1="EN",AC68,AB68)</f>
        <v>BA12</v>
      </c>
      <c r="AB68" s="1289" t="s">
        <v>3726</v>
      </c>
      <c r="AC68" s="1261" t="s">
        <v>3726</v>
      </c>
      <c r="AD68" s="159"/>
      <c r="AE68" s="159"/>
      <c r="AF68" s="159"/>
      <c r="AG68" s="159"/>
      <c r="AH68" s="159"/>
      <c r="AI68" s="159"/>
      <c r="AJ68" s="159"/>
      <c r="AK68" s="159"/>
      <c r="AL68" s="159"/>
      <c r="AM68" s="159"/>
      <c r="AN68" s="159"/>
      <c r="AO68" s="159"/>
      <c r="AP68" s="159"/>
      <c r="AQ68" s="159"/>
      <c r="AR68" s="159"/>
      <c r="AS68" s="159"/>
      <c r="AT68" s="159"/>
      <c r="AU68" s="159"/>
      <c r="AV68" s="159"/>
      <c r="AW68" s="159"/>
      <c r="AX68" s="290"/>
    </row>
    <row r="69" spans="1:50" ht="29.25" customHeight="1">
      <c r="A69" s="178" t="s">
        <v>1254</v>
      </c>
      <c r="B69" s="178" t="s">
        <v>3494</v>
      </c>
      <c r="D69" s="1873" t="str">
        <f>IF('Input '!$G$69=FALSE,"x","")</f>
        <v>x</v>
      </c>
      <c r="E69" s="193" t="str">
        <f t="shared" si="39"/>
        <v>N</v>
      </c>
      <c r="F69" s="388"/>
      <c r="G69" s="2282" t="str">
        <f>IF('Input '!$E$1="EN",B69,A69)</f>
        <v>GE - Man</v>
      </c>
      <c r="H69" s="1466"/>
      <c r="I69" s="2449"/>
      <c r="J69" s="1467"/>
      <c r="K69" s="2564" t="s">
        <v>1255</v>
      </c>
      <c r="L69" s="2564"/>
      <c r="M69" s="2466">
        <f ca="1">$U$30*150%*PolicyLenght</f>
        <v>0</v>
      </c>
      <c r="N69" s="2466"/>
      <c r="O69" s="2462"/>
      <c r="P69" s="2466"/>
      <c r="Q69" s="2466"/>
      <c r="R69" s="2466"/>
      <c r="S69" s="2508"/>
      <c r="T69" s="2508"/>
      <c r="U69" s="2466">
        <f ca="1">M69</f>
        <v>0</v>
      </c>
      <c r="V69" s="2420">
        <f ca="1">M69*I69*(1+Q69+S69)/100</f>
        <v>0</v>
      </c>
      <c r="W69" s="2440">
        <f t="shared" ca="1" si="38"/>
        <v>0</v>
      </c>
      <c r="X69" s="2420">
        <v>1000</v>
      </c>
      <c r="Y69" s="2471"/>
      <c r="Z69" s="2446">
        <f t="shared" si="37"/>
        <v>1000</v>
      </c>
      <c r="AA69" s="2509" t="str">
        <f>IF('Input '!$E$1="EN",AC69,AB69)</f>
        <v>BA14</v>
      </c>
      <c r="AB69" s="1289" t="s">
        <v>3727</v>
      </c>
      <c r="AC69" s="1261" t="s">
        <v>3727</v>
      </c>
      <c r="AD69" s="159"/>
      <c r="AE69" s="159"/>
      <c r="AF69" s="159"/>
      <c r="AG69" s="159"/>
      <c r="AH69" s="159"/>
      <c r="AI69" s="159"/>
      <c r="AJ69" s="159"/>
      <c r="AK69" s="159"/>
      <c r="AL69" s="159"/>
      <c r="AM69" s="159"/>
      <c r="AN69" s="159"/>
      <c r="AO69" s="159"/>
      <c r="AP69" s="159"/>
      <c r="AQ69" s="159"/>
      <c r="AR69" s="159"/>
      <c r="AS69" s="159"/>
      <c r="AT69" s="159"/>
      <c r="AU69" s="159"/>
      <c r="AV69" s="159"/>
      <c r="AW69" s="159"/>
      <c r="AX69" s="290"/>
    </row>
    <row r="70" spans="1:50" ht="29.25" customHeight="1">
      <c r="A70" s="178" t="s">
        <v>1209</v>
      </c>
      <c r="B70" s="178" t="s">
        <v>3495</v>
      </c>
      <c r="D70" s="1873" t="str">
        <f>IF('Input '!$G$69=FALSE,"x","")</f>
        <v>x</v>
      </c>
      <c r="E70" s="193" t="str">
        <f t="shared" si="39"/>
        <v>N</v>
      </c>
      <c r="F70" s="388"/>
      <c r="G70" s="2282" t="str">
        <f>IF('Input '!$E$1="EN",B70,A70)</f>
        <v>Prof Fees</v>
      </c>
      <c r="H70" s="1466"/>
      <c r="I70" s="2449"/>
      <c r="J70" s="1467"/>
      <c r="K70" s="2569"/>
      <c r="L70" s="2564"/>
      <c r="M70" s="2466">
        <f>0.45*'April Rating Property'!F53</f>
        <v>0.45</v>
      </c>
      <c r="N70" s="2466"/>
      <c r="O70" s="2462"/>
      <c r="P70" s="2466"/>
      <c r="Q70" s="2466"/>
      <c r="R70" s="2466"/>
      <c r="S70" s="2508"/>
      <c r="T70" s="2508"/>
      <c r="U70" s="2466">
        <f t="shared" ref="U70:U75" si="40">M70</f>
        <v>0.45</v>
      </c>
      <c r="V70" s="2420">
        <f t="shared" ref="V70" si="41">M70*I70*(1+Q70+S70)/100</f>
        <v>0</v>
      </c>
      <c r="W70" s="2440">
        <f t="shared" ref="W70:W87" si="42">V70</f>
        <v>0</v>
      </c>
      <c r="X70" s="2420">
        <v>1000</v>
      </c>
      <c r="Y70" s="2471"/>
      <c r="Z70" s="2446">
        <f t="shared" si="37"/>
        <v>1000</v>
      </c>
      <c r="AA70" s="2509" t="str">
        <f>IF('Input '!$E$1="EN",AC70,AB70)</f>
        <v>PE48</v>
      </c>
      <c r="AB70" s="1289" t="s">
        <v>3646</v>
      </c>
      <c r="AC70" s="1261" t="s">
        <v>3646</v>
      </c>
      <c r="AD70" s="159"/>
      <c r="AE70" s="159"/>
      <c r="AF70" s="159"/>
      <c r="AG70" s="159"/>
      <c r="AH70" s="159"/>
      <c r="AI70" s="159"/>
      <c r="AJ70" s="159"/>
      <c r="AK70" s="159"/>
      <c r="AL70" s="159"/>
      <c r="AM70" s="159"/>
      <c r="AN70" s="159"/>
      <c r="AO70" s="159"/>
      <c r="AP70" s="159"/>
      <c r="AQ70" s="159"/>
      <c r="AR70" s="159"/>
      <c r="AS70" s="159"/>
      <c r="AT70" s="159"/>
      <c r="AU70" s="159"/>
      <c r="AV70" s="159"/>
      <c r="AW70" s="159"/>
      <c r="AX70" s="290"/>
    </row>
    <row r="71" spans="1:50" ht="29.25" customHeight="1">
      <c r="A71" s="178" t="s">
        <v>1210</v>
      </c>
      <c r="B71" s="178" t="s">
        <v>3502</v>
      </c>
      <c r="D71" s="1873" t="str">
        <f>IF('Input '!$G$69=FALSE,"x","")</f>
        <v>x</v>
      </c>
      <c r="E71" s="193" t="str">
        <f>IF(I71=0,"N","Y")</f>
        <v>N</v>
      </c>
      <c r="F71" s="388"/>
      <c r="G71" s="2282" t="str">
        <f>IF('Input '!$E$1="EN",B71,A71)</f>
        <v>Ext expenses</v>
      </c>
      <c r="H71" s="1466"/>
      <c r="I71" s="2449"/>
      <c r="J71" s="1467"/>
      <c r="K71" s="2569"/>
      <c r="L71" s="2564"/>
      <c r="M71" s="2466">
        <f ca="1">0.5*'April Rating Property'!$F$53*$M$24</f>
        <v>0</v>
      </c>
      <c r="N71" s="2466"/>
      <c r="O71" s="2462"/>
      <c r="P71" s="2466"/>
      <c r="Q71" s="2466"/>
      <c r="R71" s="2466"/>
      <c r="S71" s="2508"/>
      <c r="T71" s="2508"/>
      <c r="U71" s="2466">
        <f ca="1">M71</f>
        <v>0</v>
      </c>
      <c r="V71" s="2420">
        <f ca="1">M71*I71*(1+Q71+S71)/100</f>
        <v>0</v>
      </c>
      <c r="W71" s="2440">
        <f ca="1">V71</f>
        <v>0</v>
      </c>
      <c r="X71" s="2420">
        <v>1000</v>
      </c>
      <c r="Y71" s="2471"/>
      <c r="Z71" s="2446">
        <f t="shared" si="37"/>
        <v>1000</v>
      </c>
      <c r="AA71" s="2509" t="str">
        <f>IF('Input '!$E$1="EN",AC71,AB71)</f>
        <v>BA17</v>
      </c>
      <c r="AB71" s="1290" t="str">
        <f>IF($BJ$23="Formule Etendue","BA17","BN17")</f>
        <v>BN17</v>
      </c>
      <c r="AC71" s="1262" t="str">
        <f>IF($BJ$23="All Risks","BA17","BN17")</f>
        <v>BA17</v>
      </c>
      <c r="AD71" s="159"/>
      <c r="AE71" s="159"/>
      <c r="AF71" s="159"/>
      <c r="AG71" s="159"/>
      <c r="AH71" s="159"/>
      <c r="AI71" s="159"/>
      <c r="AJ71" s="159"/>
      <c r="AK71" s="159"/>
      <c r="AL71" s="159"/>
      <c r="AM71" s="159"/>
      <c r="AN71" s="159"/>
      <c r="AO71" s="159"/>
      <c r="AP71" s="159"/>
      <c r="AQ71" s="159"/>
      <c r="AR71" s="159"/>
      <c r="AS71" s="159"/>
      <c r="AT71" s="159"/>
      <c r="AU71" s="159"/>
      <c r="AV71" s="159"/>
      <c r="AW71" s="159"/>
      <c r="AX71" s="290"/>
    </row>
    <row r="72" spans="1:50" ht="29.25" customHeight="1">
      <c r="A72" s="178" t="s">
        <v>3501</v>
      </c>
      <c r="B72" s="178" t="s">
        <v>3496</v>
      </c>
      <c r="D72" s="1873" t="str">
        <f>IF('Input '!$G$69=FALSE,"x","")</f>
        <v>x</v>
      </c>
      <c r="E72" s="193" t="str">
        <f>IF(I72=0,"N","Y")</f>
        <v>N</v>
      </c>
      <c r="F72" s="388"/>
      <c r="G72" s="2282" t="str">
        <f>IF('Input '!$E$1="EN",B72,A72)</f>
        <v>Rents</v>
      </c>
      <c r="H72" s="1466"/>
      <c r="I72" s="2449"/>
      <c r="J72" s="1467"/>
      <c r="K72" s="2569"/>
      <c r="L72" s="2564"/>
      <c r="M72" s="2466">
        <f ca="1">0.75*$M$24</f>
        <v>0</v>
      </c>
      <c r="N72" s="2466"/>
      <c r="O72" s="2462"/>
      <c r="P72" s="2466"/>
      <c r="Q72" s="2466"/>
      <c r="R72" s="2466"/>
      <c r="S72" s="2508"/>
      <c r="T72" s="2508"/>
      <c r="U72" s="2466">
        <f ca="1">M72</f>
        <v>0</v>
      </c>
      <c r="V72" s="2420">
        <f ca="1">M72*I72*(1+Q72+S72)/100</f>
        <v>0</v>
      </c>
      <c r="W72" s="2440">
        <f ca="1">V72</f>
        <v>0</v>
      </c>
      <c r="X72" s="2420">
        <v>1000</v>
      </c>
      <c r="Y72" s="2471"/>
      <c r="Z72" s="2446">
        <f t="shared" si="37"/>
        <v>1000</v>
      </c>
      <c r="AA72" s="2509" t="str">
        <f>IF('Input '!$E$1="EN",AC72,AB72)</f>
        <v>BA3</v>
      </c>
      <c r="AB72" s="1290" t="str">
        <f>IF($BJ$23="Formule Etendue","BA3","BN3")</f>
        <v>BN3</v>
      </c>
      <c r="AC72" s="1262" t="str">
        <f>IF($BJ$23="All Risks","BA3","BN3")</f>
        <v>BA3</v>
      </c>
      <c r="AD72" s="159"/>
      <c r="AE72" s="159"/>
      <c r="AF72" s="159"/>
      <c r="AG72" s="159"/>
      <c r="AH72" s="159"/>
      <c r="AI72" s="159"/>
      <c r="AJ72" s="159"/>
      <c r="AK72" s="159"/>
      <c r="AL72" s="159"/>
      <c r="AM72" s="159"/>
      <c r="AN72" s="159"/>
      <c r="AO72" s="159"/>
      <c r="AP72" s="159"/>
      <c r="AQ72" s="159"/>
      <c r="AR72" s="159"/>
      <c r="AS72" s="159"/>
      <c r="AT72" s="159"/>
      <c r="AU72" s="159"/>
      <c r="AV72" s="159"/>
      <c r="AW72" s="159"/>
      <c r="AX72" s="290"/>
    </row>
    <row r="73" spans="1:50" ht="29.25" customHeight="1">
      <c r="A73" s="178" t="s">
        <v>1211</v>
      </c>
      <c r="B73" s="178" t="s">
        <v>3500</v>
      </c>
      <c r="D73" s="1873" t="str">
        <f>IF('Input '!$G$69=FALSE,"x","")</f>
        <v>x</v>
      </c>
      <c r="E73" s="193" t="str">
        <f t="shared" si="39"/>
        <v>N</v>
      </c>
      <c r="F73" s="388"/>
      <c r="G73" s="2282" t="str">
        <f>IF('Input '!$E$1="EN",B73,A73)</f>
        <v>Value Papers</v>
      </c>
      <c r="H73" s="1466"/>
      <c r="I73" s="2449"/>
      <c r="J73" s="1467"/>
      <c r="K73" s="2569"/>
      <c r="L73" s="2564"/>
      <c r="M73" s="2466">
        <f ca="1">0.5*$M$24</f>
        <v>0</v>
      </c>
      <c r="N73" s="2466"/>
      <c r="O73" s="2462"/>
      <c r="P73" s="2466"/>
      <c r="Q73" s="2466"/>
      <c r="R73" s="2466"/>
      <c r="S73" s="2508"/>
      <c r="T73" s="2508"/>
      <c r="U73" s="2466">
        <f ca="1">M73</f>
        <v>0</v>
      </c>
      <c r="V73" s="2420">
        <f ca="1">M73*I73*(1+Q73+S73)/100</f>
        <v>0</v>
      </c>
      <c r="W73" s="2440">
        <f ca="1">V73</f>
        <v>0</v>
      </c>
      <c r="X73" s="2420">
        <v>1000</v>
      </c>
      <c r="Y73" s="2471"/>
      <c r="Z73" s="2446">
        <f t="shared" si="37"/>
        <v>1000</v>
      </c>
      <c r="AA73" s="2509" t="str">
        <f>IF('Input '!$E$1="EN",AC73,AB73)</f>
        <v>PA4</v>
      </c>
      <c r="AB73" s="1289" t="s">
        <v>3731</v>
      </c>
      <c r="AC73" s="1261" t="s">
        <v>3731</v>
      </c>
      <c r="AD73" s="159"/>
      <c r="AE73" s="159"/>
      <c r="AF73" s="159"/>
      <c r="AG73" s="159"/>
      <c r="AH73" s="159"/>
      <c r="AI73" s="159"/>
      <c r="AJ73" s="159"/>
      <c r="AK73" s="159"/>
      <c r="AL73" s="159"/>
      <c r="AM73" s="159"/>
      <c r="AN73" s="159"/>
      <c r="AO73" s="159"/>
      <c r="AP73" s="159"/>
      <c r="AQ73" s="159"/>
      <c r="AR73" s="159"/>
      <c r="AS73" s="159"/>
      <c r="AT73" s="159"/>
      <c r="AU73" s="159"/>
      <c r="AV73" s="159"/>
      <c r="AW73" s="159"/>
      <c r="AX73" s="290"/>
    </row>
    <row r="74" spans="1:50" ht="29.25" customHeight="1">
      <c r="A74" s="178" t="s">
        <v>3693</v>
      </c>
      <c r="B74" s="178" t="s">
        <v>3694</v>
      </c>
      <c r="D74" s="1873" t="str">
        <f>IF('Input '!$G$69=FALSE,"x","")</f>
        <v>x</v>
      </c>
      <c r="E74" s="193" t="str">
        <f t="shared" si="39"/>
        <v>N</v>
      </c>
      <c r="F74" s="388"/>
      <c r="G74" s="2282" t="str">
        <f>IF('Input '!$E$1="EN",B74,A74)</f>
        <v>Builder's risk</v>
      </c>
      <c r="H74" s="1466"/>
      <c r="I74" s="2449"/>
      <c r="J74" s="1467"/>
      <c r="K74" s="2569"/>
      <c r="L74" s="2564"/>
      <c r="M74" s="2510"/>
      <c r="N74" s="2466"/>
      <c r="O74" s="2462"/>
      <c r="P74" s="2466"/>
      <c r="Q74" s="2466"/>
      <c r="R74" s="2466"/>
      <c r="S74" s="2510"/>
      <c r="T74" s="2510"/>
      <c r="U74" s="2510"/>
      <c r="V74" s="2510"/>
      <c r="W74" s="2440">
        <f>V74</f>
        <v>0</v>
      </c>
      <c r="X74" s="2420"/>
      <c r="Y74" s="2471"/>
      <c r="Z74" s="2446">
        <f t="shared" si="37"/>
        <v>0</v>
      </c>
      <c r="AA74" s="2511"/>
      <c r="AB74" s="1289" t="s">
        <v>3730</v>
      </c>
      <c r="AC74" s="1261" t="s">
        <v>3730</v>
      </c>
      <c r="AD74" s="159"/>
      <c r="AE74" s="159"/>
      <c r="AF74" s="159"/>
      <c r="AG74" s="159"/>
      <c r="AH74" s="159"/>
      <c r="AI74" s="159"/>
      <c r="AJ74" s="159"/>
      <c r="AK74" s="159"/>
      <c r="AL74" s="159"/>
      <c r="AM74" s="159"/>
      <c r="AN74" s="159"/>
      <c r="AO74" s="159"/>
      <c r="AP74" s="159"/>
      <c r="AQ74" s="159"/>
      <c r="AR74" s="159"/>
      <c r="AS74" s="159"/>
      <c r="AT74" s="159"/>
      <c r="AU74" s="159"/>
      <c r="AV74" s="159"/>
      <c r="AW74" s="159"/>
      <c r="AX74" s="290"/>
    </row>
    <row r="75" spans="1:50" ht="29.25" customHeight="1">
      <c r="A75" s="178" t="s">
        <v>191</v>
      </c>
      <c r="B75" s="178" t="s">
        <v>190</v>
      </c>
      <c r="D75" s="1873" t="str">
        <f>IF('Input '!$G$69=FALSE,"x","")</f>
        <v>x</v>
      </c>
      <c r="E75" s="193" t="str">
        <f t="shared" si="39"/>
        <v>N</v>
      </c>
      <c r="F75" s="388"/>
      <c r="G75" s="2282" t="str">
        <f>IF('Input '!$E$1="EN",B75,A75)</f>
        <v>Signs</v>
      </c>
      <c r="H75" s="1466"/>
      <c r="I75" s="2449"/>
      <c r="J75" s="1467"/>
      <c r="K75" s="2564"/>
      <c r="L75" s="2564"/>
      <c r="M75" s="2466">
        <f>M74*'April Rating Property'!$F$53</f>
        <v>0</v>
      </c>
      <c r="N75" s="2466"/>
      <c r="O75" s="2462"/>
      <c r="P75" s="2466"/>
      <c r="Q75" s="2466"/>
      <c r="R75" s="2466"/>
      <c r="S75" s="2508"/>
      <c r="T75" s="2508"/>
      <c r="U75" s="2466">
        <f t="shared" si="40"/>
        <v>0</v>
      </c>
      <c r="V75" s="2420">
        <f>M75*I75*(1+Q75+S75)/100</f>
        <v>0</v>
      </c>
      <c r="W75" s="2440">
        <f>V75</f>
        <v>0</v>
      </c>
      <c r="X75" s="2420">
        <v>1000</v>
      </c>
      <c r="Y75" s="2471"/>
      <c r="Z75" s="2446">
        <f t="shared" si="37"/>
        <v>1000</v>
      </c>
      <c r="AA75" s="2509" t="str">
        <f>IF('Input '!$E$1="EN",AC75,AB75)</f>
        <v>PA26</v>
      </c>
      <c r="AB75" s="1290" t="str">
        <f>IF($BJ$23="Formule Etendue","PA26","PN26")</f>
        <v>PN26</v>
      </c>
      <c r="AC75" s="1262" t="str">
        <f>IF($BJ$23="All Risks","PA26","PN26")</f>
        <v>PA26</v>
      </c>
      <c r="AD75" s="159"/>
      <c r="AE75" s="159"/>
      <c r="AF75" s="159"/>
      <c r="AG75" s="159"/>
      <c r="AH75" s="159"/>
      <c r="AI75" s="159"/>
      <c r="AJ75" s="159"/>
      <c r="AK75" s="159"/>
      <c r="AL75" s="159"/>
      <c r="AM75" s="159"/>
      <c r="AN75" s="159"/>
      <c r="AO75" s="159"/>
      <c r="AP75" s="159"/>
      <c r="AQ75" s="159"/>
      <c r="AR75" s="159"/>
      <c r="AS75" s="159"/>
      <c r="AT75" s="159"/>
      <c r="AU75" s="159"/>
      <c r="AV75" s="159"/>
      <c r="AW75" s="159"/>
      <c r="AX75" s="290"/>
    </row>
    <row r="76" spans="1:50" ht="35.25" customHeight="1">
      <c r="A76" s="178" t="s">
        <v>3368</v>
      </c>
      <c r="B76" s="178" t="s">
        <v>3497</v>
      </c>
      <c r="D76" s="182" t="s">
        <v>1192</v>
      </c>
      <c r="E76" s="193" t="str">
        <f>IF(E77="N","N","Y")</f>
        <v>N</v>
      </c>
      <c r="F76" s="388"/>
      <c r="G76" s="2282" t="str">
        <f>IF('Input '!$E$1="EN",B76,A76)</f>
        <v>Boiler</v>
      </c>
      <c r="H76" s="1466"/>
      <c r="I76" s="2418">
        <f>SUMIFS(I77:I81,$E$77:$E$81,"Y")</f>
        <v>0</v>
      </c>
      <c r="J76" s="406"/>
      <c r="K76" s="2366"/>
      <c r="L76" s="2366"/>
      <c r="M76" s="2466"/>
      <c r="N76" s="2466"/>
      <c r="O76" s="2462"/>
      <c r="P76" s="2466"/>
      <c r="Q76" s="2466"/>
      <c r="R76" s="2466"/>
      <c r="S76" s="2508"/>
      <c r="T76" s="2508"/>
      <c r="U76" s="2466"/>
      <c r="V76" s="2421">
        <f>SUM(V77:V81)</f>
        <v>0</v>
      </c>
      <c r="W76" s="2439">
        <f>SUM(W77:W81)</f>
        <v>0</v>
      </c>
      <c r="X76" s="2466"/>
      <c r="Y76" s="2466"/>
      <c r="Z76" s="2466"/>
      <c r="AA76" s="2481" t="str">
        <f>IF('Input '!$E$1="EN",AC76,AB76)</f>
        <v>F200G</v>
      </c>
      <c r="AB76" s="1289" t="s">
        <v>3374</v>
      </c>
      <c r="AC76" s="1261" t="s">
        <v>3374</v>
      </c>
      <c r="AD76" s="159"/>
      <c r="AE76" s="159"/>
      <c r="AF76" s="159"/>
      <c r="AG76" s="159"/>
      <c r="AH76" s="159"/>
      <c r="AI76" s="159"/>
      <c r="AJ76" s="159"/>
      <c r="AK76" s="159"/>
      <c r="AL76" s="159"/>
      <c r="AM76" s="159"/>
      <c r="AN76" s="159"/>
      <c r="AO76" s="159"/>
      <c r="AP76" s="159"/>
      <c r="AQ76" s="159"/>
      <c r="AR76" s="159"/>
      <c r="AS76" s="159"/>
      <c r="AT76" s="159"/>
      <c r="AU76" s="159"/>
      <c r="AV76" s="159"/>
      <c r="AW76" s="159"/>
      <c r="AX76" s="1031"/>
    </row>
    <row r="77" spans="1:50" ht="29.25" customHeight="1">
      <c r="A77" s="1043"/>
      <c r="B77" s="1043"/>
      <c r="D77" s="1873" t="str">
        <f>IF('Input '!$G$69=FALSE,"x","")</f>
        <v>x</v>
      </c>
      <c r="E77" s="2436" t="str">
        <f>IF(F77=TRUE,"Y","N")</f>
        <v>N</v>
      </c>
      <c r="F77" s="2443" t="b">
        <f>IF('Input '!$G$68=TRUE,TRUE,FALSE)</f>
        <v>0</v>
      </c>
      <c r="G77" s="2281" t="str">
        <f>G76</f>
        <v>Boiler</v>
      </c>
      <c r="H77" s="1400">
        <f>'Input Property info '!C10</f>
        <v>0</v>
      </c>
      <c r="I77" s="2451">
        <f>SUM('Input Property info '!E10:H10)</f>
        <v>0</v>
      </c>
      <c r="J77" s="1048"/>
      <c r="K77" s="2570" t="s">
        <v>3371</v>
      </c>
      <c r="L77" s="2564">
        <f>VLOOKUP(K77,Settings!B163:C164,2)</f>
        <v>0</v>
      </c>
      <c r="M77" s="2466"/>
      <c r="N77" s="2466"/>
      <c r="O77" s="2462"/>
      <c r="P77" s="2466"/>
      <c r="Q77" s="2466"/>
      <c r="R77" s="2466"/>
      <c r="S77" s="2508"/>
      <c r="T77" s="2508"/>
      <c r="U77" s="2466"/>
      <c r="V77" s="2420">
        <f>IF(E77="N",0,IF((W24+W30+W36+W42)*0.08&gt;100,(W24+W30+W36+W42)*0.08,100)*PolicyLenght+$L$77)</f>
        <v>0</v>
      </c>
      <c r="W77" s="2440">
        <f>IF(E77="N",0,V77)</f>
        <v>0</v>
      </c>
      <c r="X77" s="2420">
        <f>MAX(X24,X30,(IF(I77&gt;1000000,2500,0)))</f>
        <v>1000</v>
      </c>
      <c r="Y77" s="2471"/>
      <c r="Z77" s="2420">
        <f>IF(E77="N",0,MAX(X77,Y77))</f>
        <v>0</v>
      </c>
      <c r="AA77" s="2481" t="str">
        <f>IF('Input '!$E$1="EN",AC77,AB77)</f>
        <v>F200G</v>
      </c>
      <c r="AB77" s="1289" t="s">
        <v>3374</v>
      </c>
      <c r="AC77" s="1261" t="s">
        <v>3374</v>
      </c>
      <c r="AD77" s="159"/>
      <c r="AE77" s="159"/>
      <c r="AF77" s="159"/>
      <c r="AG77" s="159"/>
      <c r="AH77" s="159"/>
      <c r="AI77" s="159"/>
      <c r="AJ77" s="159"/>
      <c r="AK77" s="159"/>
      <c r="AL77" s="159"/>
      <c r="AM77" s="159"/>
      <c r="AN77" s="159"/>
      <c r="AO77" s="159"/>
      <c r="AP77" s="159"/>
      <c r="AQ77" s="159"/>
      <c r="AR77" s="159"/>
      <c r="AS77" s="159"/>
      <c r="AT77" s="159"/>
      <c r="AU77" s="159"/>
      <c r="AV77" s="159"/>
      <c r="AW77" s="159"/>
      <c r="AX77" s="1031"/>
    </row>
    <row r="78" spans="1:50" ht="29.25" customHeight="1">
      <c r="A78" s="1043"/>
      <c r="B78" s="1043"/>
      <c r="D78" s="1873" t="str">
        <f>IF(AND('Input '!$G$69=TRUE,'Input '!$G$54&gt;1),"","x")</f>
        <v>x</v>
      </c>
      <c r="E78" s="2436" t="str">
        <f t="shared" ref="E78:E81" si="43">IF(F78=TRUE,"Y","N")</f>
        <v>N</v>
      </c>
      <c r="F78" s="2443" t="b">
        <v>0</v>
      </c>
      <c r="G78" s="2281" t="str">
        <f t="shared" ref="G78:G81" si="44">G77</f>
        <v>Boiler</v>
      </c>
      <c r="H78" s="1400" t="str">
        <f>'Input Property info '!C11</f>
        <v>Input Address no 2</v>
      </c>
      <c r="I78" s="2451">
        <f>SUM('Input Property info '!E11:H11)</f>
        <v>0</v>
      </c>
      <c r="J78" s="1048"/>
      <c r="K78" s="2564"/>
      <c r="L78" s="2564"/>
      <c r="M78" s="2466"/>
      <c r="N78" s="2466"/>
      <c r="O78" s="2462"/>
      <c r="P78" s="2466"/>
      <c r="Q78" s="2466"/>
      <c r="R78" s="2466"/>
      <c r="S78" s="2508"/>
      <c r="T78" s="2508"/>
      <c r="U78" s="2466"/>
      <c r="V78" s="2420">
        <f>IF(E78="N",0,IF((W25+W31+W37+W43)*0.08&gt;100,(W25+W31+W37+W43)*0.08,100)*PolicyLenght+$L$77)</f>
        <v>0</v>
      </c>
      <c r="W78" s="2440">
        <f>IF(E78="N",0,V78)</f>
        <v>0</v>
      </c>
      <c r="X78" s="2420">
        <f>MAX(X24,X30,(IF(I78&gt;1000000,2500,0)))</f>
        <v>1000</v>
      </c>
      <c r="Y78" s="2471"/>
      <c r="Z78" s="2420">
        <f>IF(E78="N",0,MAX(X78,Y78))</f>
        <v>0</v>
      </c>
      <c r="AA78" s="2481" t="str">
        <f>IF('Input '!$E$1="EN",AC78,AB78)</f>
        <v>F200G</v>
      </c>
      <c r="AB78" s="1289" t="s">
        <v>3374</v>
      </c>
      <c r="AC78" s="1261" t="s">
        <v>3374</v>
      </c>
      <c r="AD78" s="159"/>
      <c r="AE78" s="159"/>
      <c r="AF78" s="159"/>
      <c r="AG78" s="159"/>
      <c r="AH78" s="159"/>
      <c r="AI78" s="159"/>
      <c r="AJ78" s="159"/>
      <c r="AK78" s="159"/>
      <c r="AL78" s="159"/>
      <c r="AM78" s="159"/>
      <c r="AN78" s="159"/>
      <c r="AO78" s="159"/>
      <c r="AP78" s="159"/>
      <c r="AQ78" s="159"/>
      <c r="AR78" s="159"/>
      <c r="AS78" s="159"/>
      <c r="AT78" s="159"/>
      <c r="AU78" s="159"/>
      <c r="AV78" s="159"/>
      <c r="AW78" s="159"/>
      <c r="AX78" s="1031"/>
    </row>
    <row r="79" spans="1:50" ht="29.25" customHeight="1">
      <c r="A79" s="1043"/>
      <c r="B79" s="1043"/>
      <c r="D79" s="1873" t="str">
        <f>IF(AND('Input '!$G$69=TRUE,'Input '!$G$54&gt;2),"","x")</f>
        <v>x</v>
      </c>
      <c r="E79" s="2436" t="str">
        <f t="shared" si="43"/>
        <v>N</v>
      </c>
      <c r="F79" s="2443" t="b">
        <v>0</v>
      </c>
      <c r="G79" s="2281" t="str">
        <f t="shared" si="44"/>
        <v>Boiler</v>
      </c>
      <c r="H79" s="1400" t="str">
        <f>'Input Property info '!C12</f>
        <v>Input Address no 3</v>
      </c>
      <c r="I79" s="2451">
        <f>SUM('Input Property info '!E12:H12)</f>
        <v>0</v>
      </c>
      <c r="J79" s="1048"/>
      <c r="K79" s="2564"/>
      <c r="L79" s="2564"/>
      <c r="M79" s="2466"/>
      <c r="N79" s="2466"/>
      <c r="O79" s="2462"/>
      <c r="P79" s="2466"/>
      <c r="Q79" s="2466"/>
      <c r="R79" s="2466"/>
      <c r="S79" s="2508"/>
      <c r="T79" s="2508"/>
      <c r="U79" s="2466"/>
      <c r="V79" s="2420">
        <f>IF(E79="N",0,IF((W26+W32+W38+W44)*0.08&gt;100,(W26+W32+W38+W44)*0.08,100)*PolicyLenght+$L$77)</f>
        <v>0</v>
      </c>
      <c r="W79" s="2440">
        <f>IF(E79="N",0,V79)</f>
        <v>0</v>
      </c>
      <c r="X79" s="2420">
        <f>MAX(X25,X31,(IF(I79&gt;1000000,2500,0)))</f>
        <v>1000</v>
      </c>
      <c r="Y79" s="2471"/>
      <c r="Z79" s="2420">
        <f>IF(E79="N",0,MAX(X79,Y79))</f>
        <v>0</v>
      </c>
      <c r="AA79" s="2481" t="str">
        <f>IF('Input '!$E$1="EN",AC79,AB79)</f>
        <v>F200G</v>
      </c>
      <c r="AB79" s="1289" t="s">
        <v>3374</v>
      </c>
      <c r="AC79" s="1261" t="s">
        <v>3374</v>
      </c>
      <c r="AD79" s="159"/>
      <c r="AE79" s="159"/>
      <c r="AF79" s="159"/>
      <c r="AG79" s="159"/>
      <c r="AH79" s="159"/>
      <c r="AI79" s="159"/>
      <c r="AJ79" s="159"/>
      <c r="AK79" s="159"/>
      <c r="AL79" s="159"/>
      <c r="AM79" s="159"/>
      <c r="AN79" s="159"/>
      <c r="AO79" s="159"/>
      <c r="AP79" s="159"/>
      <c r="AQ79" s="159"/>
      <c r="AR79" s="159"/>
      <c r="AS79" s="159"/>
      <c r="AT79" s="159"/>
      <c r="AU79" s="159"/>
      <c r="AV79" s="159"/>
      <c r="AW79" s="159"/>
      <c r="AX79" s="1031"/>
    </row>
    <row r="80" spans="1:50" ht="29.25" customHeight="1" outlineLevel="1">
      <c r="A80" s="1043"/>
      <c r="B80" s="1043"/>
      <c r="D80" s="1873" t="str">
        <f>IF(AND('Input '!$G$69=TRUE,'Input '!$G$54&gt;3),"","x")</f>
        <v>x</v>
      </c>
      <c r="E80" s="2436" t="str">
        <f t="shared" si="43"/>
        <v>N</v>
      </c>
      <c r="F80" s="2443" t="b">
        <v>0</v>
      </c>
      <c r="G80" s="2281" t="str">
        <f t="shared" si="44"/>
        <v>Boiler</v>
      </c>
      <c r="H80" s="1400" t="str">
        <f>'Input Property info '!C13</f>
        <v>Input Address no 4</v>
      </c>
      <c r="I80" s="2451">
        <f>SUM('Input Property info '!E13:H13)</f>
        <v>0</v>
      </c>
      <c r="J80" s="1048"/>
      <c r="K80" s="2564"/>
      <c r="L80" s="2564"/>
      <c r="M80" s="2466"/>
      <c r="N80" s="2466"/>
      <c r="O80" s="2462"/>
      <c r="P80" s="2466"/>
      <c r="Q80" s="2466"/>
      <c r="R80" s="2466"/>
      <c r="S80" s="2508"/>
      <c r="T80" s="2508"/>
      <c r="U80" s="2466"/>
      <c r="V80" s="2420">
        <f>IF(E80="N",0,IF((W27+W33+W39+W45)*0.08&gt;100,(W27+W33+W39+W45)*0.08,100)*PolicyLenght+$L$77)</f>
        <v>0</v>
      </c>
      <c r="W80" s="2440">
        <f>IF(E80="N",0,V80)</f>
        <v>0</v>
      </c>
      <c r="X80" s="2420">
        <f>MAX(X26,X32,(IF(I80&gt;1000000,2500,0)))</f>
        <v>1000</v>
      </c>
      <c r="Y80" s="2471"/>
      <c r="Z80" s="2420">
        <f>IF(E80="N",0,MAX(X80,Y80))</f>
        <v>0</v>
      </c>
      <c r="AA80" s="2481" t="str">
        <f>IF('Input '!$E$1="EN",AC80,AB80)</f>
        <v>F200G</v>
      </c>
      <c r="AB80" s="1289" t="s">
        <v>3374</v>
      </c>
      <c r="AC80" s="1261" t="s">
        <v>3374</v>
      </c>
      <c r="AD80" s="159"/>
      <c r="AE80" s="159"/>
      <c r="AF80" s="159"/>
      <c r="AG80" s="159"/>
      <c r="AH80" s="159"/>
      <c r="AI80" s="159"/>
      <c r="AJ80" s="159"/>
      <c r="AK80" s="159"/>
      <c r="AL80" s="159"/>
      <c r="AM80" s="159"/>
      <c r="AN80" s="159"/>
      <c r="AO80" s="159"/>
      <c r="AP80" s="159"/>
      <c r="AQ80" s="159"/>
      <c r="AR80" s="159"/>
      <c r="AS80" s="159"/>
      <c r="AT80" s="159"/>
      <c r="AU80" s="159"/>
      <c r="AV80" s="159"/>
      <c r="AW80" s="159"/>
      <c r="AX80" s="1031"/>
    </row>
    <row r="81" spans="1:55" ht="29.25" customHeight="1" outlineLevel="1">
      <c r="A81" s="1043"/>
      <c r="B81" s="1043"/>
      <c r="D81" s="1873" t="str">
        <f>IF(AND('Input '!$G$69=TRUE,'Input '!$G$54&gt;4),"","x")</f>
        <v>x</v>
      </c>
      <c r="E81" s="2436" t="str">
        <f t="shared" si="43"/>
        <v>N</v>
      </c>
      <c r="F81" s="2443" t="b">
        <v>0</v>
      </c>
      <c r="G81" s="2281" t="str">
        <f t="shared" si="44"/>
        <v>Boiler</v>
      </c>
      <c r="H81" s="1400" t="str">
        <f>'Input Property info '!C14</f>
        <v>Input Address no 5</v>
      </c>
      <c r="I81" s="2451">
        <f>SUM('Input Property info '!E14:H14)</f>
        <v>0</v>
      </c>
      <c r="J81" s="1048"/>
      <c r="K81" s="2564"/>
      <c r="L81" s="2564"/>
      <c r="M81" s="2466"/>
      <c r="N81" s="2466"/>
      <c r="O81" s="2462"/>
      <c r="P81" s="2466"/>
      <c r="Q81" s="2466"/>
      <c r="R81" s="2466"/>
      <c r="S81" s="2508"/>
      <c r="T81" s="2508"/>
      <c r="U81" s="2466"/>
      <c r="V81" s="2420">
        <f>IF(E81="N",0,IF((W28+W34+W40+W46)*0.08&gt;100,(W28+W34+W40+W46)*0.08,100)*PolicyLenght+$L$77)</f>
        <v>0</v>
      </c>
      <c r="W81" s="2440">
        <f>IF(E81="N",0,V81)</f>
        <v>0</v>
      </c>
      <c r="X81" s="2420">
        <f>MAX(X27,X33,(IF(I81&gt;1000000,2500,0)))</f>
        <v>1000</v>
      </c>
      <c r="Y81" s="2471"/>
      <c r="Z81" s="2420">
        <f>IF(E81="N",0,MAX(X81,Y81))</f>
        <v>0</v>
      </c>
      <c r="AA81" s="2481" t="str">
        <f>IF('Input '!$E$1="EN",AC81,AB81)</f>
        <v>F200G</v>
      </c>
      <c r="AB81" s="1289" t="s">
        <v>3374</v>
      </c>
      <c r="AC81" s="1261" t="s">
        <v>3374</v>
      </c>
      <c r="AD81" s="159"/>
      <c r="AE81" s="159"/>
      <c r="AF81" s="159"/>
      <c r="AG81" s="159"/>
      <c r="AH81" s="159"/>
      <c r="AI81" s="159"/>
      <c r="AJ81" s="159"/>
      <c r="AK81" s="159"/>
      <c r="AL81" s="159"/>
      <c r="AM81" s="159"/>
      <c r="AN81" s="159"/>
      <c r="AO81" s="159"/>
      <c r="AP81" s="159"/>
      <c r="AQ81" s="159"/>
      <c r="AR81" s="159"/>
      <c r="AS81" s="159"/>
      <c r="AT81" s="159"/>
      <c r="AU81" s="159"/>
      <c r="AV81" s="159"/>
      <c r="AW81" s="159"/>
      <c r="AX81" s="1031"/>
    </row>
    <row r="82" spans="1:55" ht="29.25" customHeight="1">
      <c r="A82" s="178" t="s">
        <v>1212</v>
      </c>
      <c r="B82" s="178" t="s">
        <v>3498</v>
      </c>
      <c r="D82" s="182" t="s">
        <v>1192</v>
      </c>
      <c r="E82" s="193" t="str">
        <f>IF(I82=0,"N","Y")</f>
        <v>N</v>
      </c>
      <c r="F82" s="388"/>
      <c r="G82" s="2282" t="str">
        <f>IF('Input '!$E$1="EN",B82,A82)</f>
        <v>Flood</v>
      </c>
      <c r="H82" s="1468"/>
      <c r="I82" s="2418">
        <f>SUM(I83:I87)</f>
        <v>0</v>
      </c>
      <c r="J82" s="406"/>
      <c r="K82" s="2564"/>
      <c r="L82" s="2564"/>
      <c r="M82" s="2466">
        <f>0.01*'April Rating Property'!$F$53</f>
        <v>0.01</v>
      </c>
      <c r="N82" s="2466"/>
      <c r="O82" s="2462"/>
      <c r="P82" s="2466"/>
      <c r="Q82" s="2466"/>
      <c r="R82" s="2466"/>
      <c r="S82" s="2508"/>
      <c r="T82" s="2508"/>
      <c r="U82" s="2466">
        <f>M82</f>
        <v>0.01</v>
      </c>
      <c r="V82" s="2421">
        <f>SUM(V83:V87)</f>
        <v>0</v>
      </c>
      <c r="W82" s="2439">
        <f>SUM(W83:W87)</f>
        <v>0</v>
      </c>
      <c r="X82" s="2420">
        <v>25000</v>
      </c>
      <c r="Y82" s="2471"/>
      <c r="Z82" s="2419">
        <f>MAX(Z83:Z87)</f>
        <v>25000</v>
      </c>
      <c r="AA82" s="2509" t="str">
        <f>IF('Input '!$E$1="EN",AC82,AB82)</f>
        <v>PE9</v>
      </c>
      <c r="AB82" s="1290" t="s">
        <v>1257</v>
      </c>
      <c r="AC82" s="1262" t="s">
        <v>1257</v>
      </c>
      <c r="AD82" s="159"/>
      <c r="AE82" s="159"/>
      <c r="AF82" s="159"/>
      <c r="AG82" s="159"/>
      <c r="AH82" s="159"/>
      <c r="AI82" s="159"/>
      <c r="AJ82" s="159"/>
      <c r="AK82" s="159"/>
      <c r="AL82" s="159"/>
      <c r="AM82" s="159"/>
      <c r="AN82" s="159"/>
      <c r="AO82" s="159"/>
      <c r="AP82" s="159"/>
      <c r="AQ82" s="159"/>
      <c r="AR82" s="159"/>
      <c r="AS82" s="159"/>
      <c r="AT82" s="159"/>
      <c r="AU82" s="159"/>
      <c r="AV82" s="159"/>
      <c r="AW82" s="159"/>
      <c r="AX82" s="1031"/>
    </row>
    <row r="83" spans="1:55" ht="29.25" customHeight="1">
      <c r="A83" s="1043"/>
      <c r="B83" s="1043"/>
      <c r="D83" s="1873" t="str">
        <f>IF('Input '!$G$69=FALSE,"x","")</f>
        <v>x</v>
      </c>
      <c r="E83" s="193" t="str">
        <f>IF(AND('Input Property info '!$F$16&lt;2,I83=0),"N","Y")</f>
        <v>N</v>
      </c>
      <c r="F83" s="388">
        <v>1</v>
      </c>
      <c r="G83" s="2281" t="str">
        <f>G82</f>
        <v>Flood</v>
      </c>
      <c r="H83" s="1400">
        <f>'Input Property info '!C10</f>
        <v>0</v>
      </c>
      <c r="I83" s="2449"/>
      <c r="J83" s="1467"/>
      <c r="K83" s="2564"/>
      <c r="L83" s="2564"/>
      <c r="M83" s="2466">
        <f>0.01*'April Rating Property'!$F$53</f>
        <v>0.01</v>
      </c>
      <c r="N83" s="2466"/>
      <c r="O83" s="2462"/>
      <c r="P83" s="2466"/>
      <c r="Q83" s="2466"/>
      <c r="R83" s="2466"/>
      <c r="S83" s="2508"/>
      <c r="T83" s="2508"/>
      <c r="U83" s="2466">
        <f>M83</f>
        <v>0.01</v>
      </c>
      <c r="V83" s="2420">
        <f>M83*I83*(1+Q83+S83)/100</f>
        <v>0</v>
      </c>
      <c r="W83" s="2441">
        <f t="shared" si="42"/>
        <v>0</v>
      </c>
      <c r="X83" s="2420">
        <f>X82</f>
        <v>25000</v>
      </c>
      <c r="Y83" s="2471"/>
      <c r="Z83" s="2419">
        <f t="shared" ref="Z83:Z87" si="45">MAX(X83:Y83)</f>
        <v>25000</v>
      </c>
      <c r="AA83" s="2509" t="str">
        <f>IF('Input '!$E$1="EN",AC83,AB83)</f>
        <v>PE9</v>
      </c>
      <c r="AB83" s="1290" t="s">
        <v>1257</v>
      </c>
      <c r="AC83" s="1262" t="s">
        <v>1257</v>
      </c>
      <c r="AD83" s="159"/>
      <c r="AE83" s="159"/>
      <c r="AF83" s="159"/>
      <c r="AG83" s="159"/>
      <c r="AH83" s="159"/>
      <c r="AI83" s="159"/>
      <c r="AJ83" s="159"/>
      <c r="AK83" s="159"/>
      <c r="AL83" s="159"/>
      <c r="AM83" s="159"/>
      <c r="AN83" s="159"/>
      <c r="AO83" s="159"/>
      <c r="AP83" s="159"/>
      <c r="AQ83" s="159"/>
      <c r="AR83" s="159"/>
      <c r="AS83" s="159"/>
      <c r="AT83" s="159"/>
      <c r="AU83" s="159"/>
      <c r="AV83" s="159"/>
      <c r="AW83" s="159"/>
      <c r="AX83" s="1031"/>
    </row>
    <row r="84" spans="1:55" s="33" customFormat="1" ht="29.25" customHeight="1">
      <c r="A84" s="402"/>
      <c r="B84" s="402"/>
      <c r="D84" s="1873" t="str">
        <f>IF(AND('Input '!$G$69=TRUE,'Input '!$G$54&gt;1),"","x")</f>
        <v>x</v>
      </c>
      <c r="E84" s="193" t="str">
        <f>IF(I84=0,"N","Y")</f>
        <v>N</v>
      </c>
      <c r="F84" s="388">
        <v>2</v>
      </c>
      <c r="G84" s="2280" t="str">
        <f t="shared" ref="G84:G87" si="46">G83</f>
        <v>Flood</v>
      </c>
      <c r="H84" s="1399" t="str">
        <f>'Input Property info '!C11</f>
        <v>Input Address no 2</v>
      </c>
      <c r="I84" s="2449"/>
      <c r="J84" s="1467"/>
      <c r="K84" s="2564"/>
      <c r="L84" s="2564"/>
      <c r="M84" s="2466">
        <f>0.01*'April Rating Property'!$F$53</f>
        <v>0.01</v>
      </c>
      <c r="N84" s="2466"/>
      <c r="O84" s="2512"/>
      <c r="P84" s="2466"/>
      <c r="Q84" s="2466"/>
      <c r="R84" s="2466"/>
      <c r="S84" s="2508"/>
      <c r="T84" s="2508"/>
      <c r="U84" s="2466">
        <f t="shared" ref="U84:U87" si="47">M84</f>
        <v>0.01</v>
      </c>
      <c r="V84" s="2420">
        <f t="shared" ref="V84:V87" si="48">M84*I84*(1+Q84+S84)/100</f>
        <v>0</v>
      </c>
      <c r="W84" s="2440">
        <f t="shared" si="42"/>
        <v>0</v>
      </c>
      <c r="X84" s="2420">
        <f t="shared" ref="X84:X87" si="49">X83</f>
        <v>25000</v>
      </c>
      <c r="Y84" s="2471"/>
      <c r="Z84" s="2420">
        <f t="shared" si="45"/>
        <v>25000</v>
      </c>
      <c r="AA84" s="2509" t="str">
        <f>IF('Input '!$E$1="EN",AC84,AB84)</f>
        <v>PE9</v>
      </c>
      <c r="AB84" s="1290" t="s">
        <v>1257</v>
      </c>
      <c r="AC84" s="1262" t="s">
        <v>1257</v>
      </c>
      <c r="AD84" s="398"/>
      <c r="AE84" s="398"/>
      <c r="AF84" s="398"/>
      <c r="AG84" s="398"/>
      <c r="AH84" s="398"/>
      <c r="AI84" s="398"/>
      <c r="AJ84" s="398"/>
      <c r="AK84" s="398"/>
      <c r="AL84" s="398"/>
      <c r="AM84" s="398"/>
      <c r="AN84" s="398"/>
      <c r="AO84" s="398"/>
      <c r="AP84" s="398"/>
      <c r="AQ84" s="398"/>
      <c r="AR84" s="398"/>
      <c r="AS84" s="398"/>
      <c r="AT84" s="398"/>
      <c r="AU84" s="398"/>
      <c r="AV84" s="398"/>
      <c r="AW84" s="398"/>
      <c r="AX84" s="399"/>
    </row>
    <row r="85" spans="1:55" s="33" customFormat="1" ht="29.25" customHeight="1">
      <c r="A85" s="402"/>
      <c r="B85" s="402"/>
      <c r="D85" s="1873" t="str">
        <f>IF(AND('Input '!$G$69=TRUE,'Input '!$G$54&gt;2),"","x")</f>
        <v>x</v>
      </c>
      <c r="E85" s="193" t="str">
        <f>IF(I85=0,"N","Y")</f>
        <v>N</v>
      </c>
      <c r="F85" s="388">
        <v>3</v>
      </c>
      <c r="G85" s="2280" t="str">
        <f t="shared" si="46"/>
        <v>Flood</v>
      </c>
      <c r="H85" s="1399" t="str">
        <f>'Input Property info '!C12</f>
        <v>Input Address no 3</v>
      </c>
      <c r="I85" s="2449"/>
      <c r="J85" s="1467"/>
      <c r="K85" s="2564"/>
      <c r="L85" s="2564"/>
      <c r="M85" s="2466">
        <f>0.01*'April Rating Property'!$F$53</f>
        <v>0.01</v>
      </c>
      <c r="N85" s="2466"/>
      <c r="O85" s="2512"/>
      <c r="P85" s="2466"/>
      <c r="Q85" s="2466"/>
      <c r="R85" s="2466"/>
      <c r="S85" s="2508"/>
      <c r="T85" s="2508"/>
      <c r="U85" s="2466">
        <f t="shared" si="47"/>
        <v>0.01</v>
      </c>
      <c r="V85" s="2420">
        <f t="shared" si="48"/>
        <v>0</v>
      </c>
      <c r="W85" s="2440">
        <f t="shared" si="42"/>
        <v>0</v>
      </c>
      <c r="X85" s="2420">
        <f t="shared" si="49"/>
        <v>25000</v>
      </c>
      <c r="Y85" s="2471"/>
      <c r="Z85" s="2420">
        <f t="shared" si="45"/>
        <v>25000</v>
      </c>
      <c r="AA85" s="2509" t="str">
        <f>IF('Input '!$E$1="EN",AC85,AB85)</f>
        <v>PE9</v>
      </c>
      <c r="AB85" s="1290" t="s">
        <v>1257</v>
      </c>
      <c r="AC85" s="1262" t="s">
        <v>1257</v>
      </c>
      <c r="AD85" s="398"/>
      <c r="AE85" s="398"/>
      <c r="AF85" s="398"/>
      <c r="AG85" s="398"/>
      <c r="AH85" s="398"/>
      <c r="AI85" s="398"/>
      <c r="AJ85" s="398"/>
      <c r="AK85" s="398"/>
      <c r="AL85" s="398"/>
      <c r="AM85" s="398"/>
      <c r="AN85" s="398"/>
      <c r="AO85" s="398"/>
      <c r="AP85" s="398"/>
      <c r="AQ85" s="398"/>
      <c r="AR85" s="398"/>
      <c r="AS85" s="398"/>
      <c r="AT85" s="398"/>
      <c r="AU85" s="398"/>
      <c r="AV85" s="398"/>
      <c r="AW85" s="398"/>
      <c r="AX85" s="399"/>
    </row>
    <row r="86" spans="1:55" s="33" customFormat="1" ht="29.25" customHeight="1" outlineLevel="1">
      <c r="A86" s="402"/>
      <c r="B86" s="402"/>
      <c r="D86" s="1873" t="str">
        <f>IF(AND('Input '!$G$69=TRUE,'Input '!$G$54&gt;3),"","x")</f>
        <v>x</v>
      </c>
      <c r="E86" s="193" t="str">
        <f>IF(I86=0,"N","Y")</f>
        <v>N</v>
      </c>
      <c r="F86" s="388">
        <v>4</v>
      </c>
      <c r="G86" s="2280" t="str">
        <f t="shared" si="46"/>
        <v>Flood</v>
      </c>
      <c r="H86" s="1399" t="str">
        <f>'Input Property info '!C13</f>
        <v>Input Address no 4</v>
      </c>
      <c r="I86" s="2449"/>
      <c r="J86" s="1467"/>
      <c r="K86" s="2564"/>
      <c r="L86" s="2564"/>
      <c r="M86" s="2466">
        <f>0.01*'April Rating Property'!$F$53</f>
        <v>0.01</v>
      </c>
      <c r="N86" s="2466"/>
      <c r="O86" s="2512"/>
      <c r="P86" s="2466"/>
      <c r="Q86" s="2466"/>
      <c r="R86" s="2466"/>
      <c r="S86" s="2508"/>
      <c r="T86" s="2508"/>
      <c r="U86" s="2466">
        <f t="shared" si="47"/>
        <v>0.01</v>
      </c>
      <c r="V86" s="2420">
        <f t="shared" si="48"/>
        <v>0</v>
      </c>
      <c r="W86" s="2440">
        <f t="shared" si="42"/>
        <v>0</v>
      </c>
      <c r="X86" s="2420">
        <f t="shared" si="49"/>
        <v>25000</v>
      </c>
      <c r="Y86" s="2471"/>
      <c r="Z86" s="2420">
        <f t="shared" si="45"/>
        <v>25000</v>
      </c>
      <c r="AA86" s="2509" t="str">
        <f>IF('Input '!$E$1="EN",AC86,AB86)</f>
        <v>PE9</v>
      </c>
      <c r="AB86" s="1290" t="s">
        <v>1257</v>
      </c>
      <c r="AC86" s="1262" t="s">
        <v>1257</v>
      </c>
      <c r="AD86" s="398"/>
      <c r="AE86" s="398"/>
      <c r="AF86" s="398"/>
      <c r="AG86" s="398"/>
      <c r="AH86" s="398"/>
      <c r="AI86" s="398"/>
      <c r="AJ86" s="398"/>
      <c r="AK86" s="398"/>
      <c r="AL86" s="398"/>
      <c r="AM86" s="398"/>
      <c r="AN86" s="398"/>
      <c r="AO86" s="398"/>
      <c r="AP86" s="398"/>
      <c r="AQ86" s="398"/>
      <c r="AR86" s="398"/>
      <c r="AS86" s="398"/>
      <c r="AT86" s="398"/>
      <c r="AU86" s="398"/>
      <c r="AV86" s="398"/>
      <c r="AW86" s="398"/>
      <c r="AX86" s="399"/>
    </row>
    <row r="87" spans="1:55" s="33" customFormat="1" ht="29.25" customHeight="1" outlineLevel="1">
      <c r="A87" s="402"/>
      <c r="B87" s="402"/>
      <c r="D87" s="1873" t="str">
        <f>IF(AND('Input '!$G$69=TRUE,'Input '!$G$54&gt;4),"","x")</f>
        <v>x</v>
      </c>
      <c r="E87" s="193" t="str">
        <f>IF(I87=0,"N","Y")</f>
        <v>N</v>
      </c>
      <c r="F87" s="388">
        <v>5</v>
      </c>
      <c r="G87" s="2280" t="str">
        <f t="shared" si="46"/>
        <v>Flood</v>
      </c>
      <c r="H87" s="1399" t="str">
        <f>'Input Property info '!C14</f>
        <v>Input Address no 5</v>
      </c>
      <c r="I87" s="2449"/>
      <c r="J87" s="1467"/>
      <c r="K87" s="2564"/>
      <c r="L87" s="2564"/>
      <c r="M87" s="2466">
        <f>0.01*'April Rating Property'!$F$53</f>
        <v>0.01</v>
      </c>
      <c r="N87" s="2466"/>
      <c r="O87" s="2512"/>
      <c r="P87" s="2466"/>
      <c r="Q87" s="2466"/>
      <c r="R87" s="2466"/>
      <c r="S87" s="2508"/>
      <c r="T87" s="2508"/>
      <c r="U87" s="2466">
        <f t="shared" si="47"/>
        <v>0.01</v>
      </c>
      <c r="V87" s="2420">
        <f t="shared" si="48"/>
        <v>0</v>
      </c>
      <c r="W87" s="2440">
        <f t="shared" si="42"/>
        <v>0</v>
      </c>
      <c r="X87" s="2420">
        <f t="shared" si="49"/>
        <v>25000</v>
      </c>
      <c r="Y87" s="2471"/>
      <c r="Z87" s="2420">
        <f t="shared" si="45"/>
        <v>25000</v>
      </c>
      <c r="AA87" s="2509" t="str">
        <f>IF('Input '!$E$1="EN",AC87,AB87)</f>
        <v>PE9</v>
      </c>
      <c r="AB87" s="1290" t="s">
        <v>1257</v>
      </c>
      <c r="AC87" s="1262" t="s">
        <v>1257</v>
      </c>
      <c r="AD87" s="398"/>
      <c r="AE87" s="398"/>
      <c r="AF87" s="398"/>
      <c r="AG87" s="398"/>
      <c r="AH87" s="398"/>
      <c r="AI87" s="398"/>
      <c r="AJ87" s="398"/>
      <c r="AK87" s="398"/>
      <c r="AL87" s="398"/>
      <c r="AM87" s="398"/>
      <c r="AN87" s="398"/>
      <c r="AO87" s="398"/>
      <c r="AP87" s="398"/>
      <c r="AQ87" s="398"/>
      <c r="AR87" s="398"/>
      <c r="AS87" s="398"/>
      <c r="AT87" s="398"/>
      <c r="AU87" s="398"/>
      <c r="AV87" s="398"/>
      <c r="AW87" s="398"/>
      <c r="AX87" s="399"/>
    </row>
    <row r="88" spans="1:55" ht="29.25" customHeight="1">
      <c r="A88" s="1044" t="s">
        <v>3369</v>
      </c>
      <c r="B88" s="1044" t="s">
        <v>3499</v>
      </c>
      <c r="D88" s="182" t="s">
        <v>1192</v>
      </c>
      <c r="E88" s="193" t="str">
        <f>IF(I88=0,"N","Y")</f>
        <v>N</v>
      </c>
      <c r="F88" s="388"/>
      <c r="G88" s="2282" t="str">
        <f>IF('Input '!$E$1="EN",B88,A88)</f>
        <v xml:space="preserve">Earthquake </v>
      </c>
      <c r="H88" s="1468"/>
      <c r="I88" s="2418">
        <f>SUM(I89:I93)</f>
        <v>0</v>
      </c>
      <c r="J88" s="406"/>
      <c r="K88" s="2564"/>
      <c r="L88" s="2564"/>
      <c r="M88" s="2466"/>
      <c r="N88" s="2466"/>
      <c r="O88" s="2462"/>
      <c r="P88" s="2466"/>
      <c r="Q88" s="2466"/>
      <c r="R88" s="2466"/>
      <c r="S88" s="2508"/>
      <c r="T88" s="2508"/>
      <c r="U88" s="2466"/>
      <c r="V88" s="2421">
        <f>SUM(V89:V93)</f>
        <v>0</v>
      </c>
      <c r="W88" s="2439">
        <f>SUM(W89:W93)</f>
        <v>0</v>
      </c>
      <c r="X88" s="2462"/>
      <c r="Y88" s="2462"/>
      <c r="Z88" s="2462"/>
      <c r="AA88" s="2513" t="str">
        <f>IF('Input '!$E$1="EN",AC88,AB88)</f>
        <v>PE10</v>
      </c>
      <c r="AB88" s="1284" t="s">
        <v>1258</v>
      </c>
      <c r="AC88" s="1256" t="s">
        <v>1258</v>
      </c>
      <c r="AD88" s="159"/>
      <c r="AE88" s="159"/>
      <c r="AF88" s="159"/>
      <c r="AG88" s="159"/>
      <c r="AH88" s="159"/>
      <c r="AI88" s="159"/>
      <c r="AJ88" s="159"/>
      <c r="AK88" s="159"/>
      <c r="AL88" s="159"/>
      <c r="AM88" s="159"/>
      <c r="AN88" s="159"/>
      <c r="AO88" s="159"/>
      <c r="AP88" s="159"/>
      <c r="AQ88" s="159"/>
      <c r="AR88" s="159"/>
      <c r="AS88" s="159"/>
      <c r="AT88" s="159"/>
      <c r="AU88" s="159"/>
      <c r="AV88" s="159"/>
      <c r="AW88" s="159"/>
      <c r="AX88" s="1031"/>
    </row>
    <row r="89" spans="1:55" s="33" customFormat="1" ht="29.25" customHeight="1">
      <c r="A89" s="402"/>
      <c r="B89" s="1044"/>
      <c r="D89" s="1873" t="str">
        <f>IF('Input '!$G$69=FALSE,"x","")</f>
        <v>x</v>
      </c>
      <c r="E89" s="193" t="str">
        <f>IF(AND('Input Property info '!$F$16&lt;2,I89=0),"N","Y")</f>
        <v>N</v>
      </c>
      <c r="F89" s="388">
        <v>1</v>
      </c>
      <c r="G89" s="2280" t="str">
        <f>G88</f>
        <v xml:space="preserve">Earthquake </v>
      </c>
      <c r="H89" s="1399">
        <f>'Input Property info '!C10</f>
        <v>0</v>
      </c>
      <c r="I89" s="2452"/>
      <c r="J89" s="1467"/>
      <c r="K89" s="2571"/>
      <c r="L89" s="2571"/>
      <c r="M89" s="2514">
        <f>IF(I89=0,,'EQ rate no1'!$F$37)</f>
        <v>0</v>
      </c>
      <c r="N89" s="2482"/>
      <c r="O89" s="2512"/>
      <c r="P89" s="2482"/>
      <c r="Q89" s="2482"/>
      <c r="R89" s="2482"/>
      <c r="S89" s="2515"/>
      <c r="T89" s="2515"/>
      <c r="U89" s="2516">
        <f>M89</f>
        <v>0</v>
      </c>
      <c r="V89" s="2517">
        <f>(U89*I89)/100</f>
        <v>0</v>
      </c>
      <c r="W89" s="2442">
        <f>V89</f>
        <v>0</v>
      </c>
      <c r="X89" s="2600" t="e">
        <f ca="1">'EQ rate no1'!$F$39</f>
        <v>#N/A</v>
      </c>
      <c r="Y89" s="2488"/>
      <c r="Z89" s="2518" t="e">
        <f ca="1">X89</f>
        <v>#N/A</v>
      </c>
      <c r="AA89" s="2513" t="str">
        <f>IF('Input '!$E$1="EN",AC89,AB89)</f>
        <v>PE10</v>
      </c>
      <c r="AB89" s="1284" t="s">
        <v>1258</v>
      </c>
      <c r="AC89" s="1256" t="s">
        <v>1258</v>
      </c>
      <c r="AD89" s="398"/>
      <c r="AE89" s="398"/>
      <c r="AF89" s="398"/>
      <c r="AG89" s="398"/>
      <c r="AH89" s="398"/>
      <c r="AI89" s="398"/>
      <c r="AJ89" s="398"/>
      <c r="AK89" s="398"/>
      <c r="AL89" s="398"/>
      <c r="AM89" s="398"/>
      <c r="AN89" s="398"/>
      <c r="AO89" s="398"/>
      <c r="AP89" s="398"/>
      <c r="AQ89" s="398"/>
      <c r="AR89" s="398"/>
      <c r="AS89" s="398"/>
      <c r="AT89" s="398"/>
      <c r="AU89" s="398"/>
      <c r="AV89" s="398"/>
      <c r="AW89" s="398"/>
      <c r="AX89" s="399"/>
    </row>
    <row r="90" spans="1:55" s="33" customFormat="1" ht="29.25" customHeight="1">
      <c r="A90" s="402"/>
      <c r="B90" s="402"/>
      <c r="D90" s="1873" t="str">
        <f>IF(AND('Input '!$G$69=TRUE,'Input '!$G$54&gt;1),"","x")</f>
        <v>x</v>
      </c>
      <c r="E90" s="193" t="str">
        <f>IF(I90=0,"N","Y")</f>
        <v>N</v>
      </c>
      <c r="F90" s="388">
        <v>2</v>
      </c>
      <c r="G90" s="2280" t="str">
        <f t="shared" ref="G90:G93" si="50">G89</f>
        <v xml:space="preserve">Earthquake </v>
      </c>
      <c r="H90" s="1399" t="str">
        <f>'Input Property info '!C11</f>
        <v>Input Address no 2</v>
      </c>
      <c r="I90" s="2452"/>
      <c r="J90" s="1467"/>
      <c r="K90" s="2564"/>
      <c r="L90" s="2564"/>
      <c r="M90" s="2514">
        <f>IF(I90=0,,'EQ rate no2'!$F$37)</f>
        <v>0</v>
      </c>
      <c r="N90" s="2482"/>
      <c r="O90" s="2512"/>
      <c r="P90" s="2482"/>
      <c r="Q90" s="2482"/>
      <c r="R90" s="2482"/>
      <c r="S90" s="2515"/>
      <c r="T90" s="2515"/>
      <c r="U90" s="2516">
        <f t="shared" ref="U90:U93" si="51">M90</f>
        <v>0</v>
      </c>
      <c r="V90" s="2517">
        <f t="shared" ref="V90:V93" si="52">(U90*I90)/100</f>
        <v>0</v>
      </c>
      <c r="W90" s="2442">
        <f t="shared" ref="W90:W93" si="53">V90</f>
        <v>0</v>
      </c>
      <c r="X90" s="2482" t="e">
        <f ca="1">'EQ rate no2'!$F$39</f>
        <v>#N/A</v>
      </c>
      <c r="Y90" s="2488"/>
      <c r="Z90" s="2518" t="e">
        <f ca="1">X90</f>
        <v>#N/A</v>
      </c>
      <c r="AA90" s="2513" t="str">
        <f>IF('Input '!$E$1="EN",AC90,AB90)</f>
        <v>PE10</v>
      </c>
      <c r="AB90" s="1284" t="s">
        <v>1258</v>
      </c>
      <c r="AC90" s="1256" t="s">
        <v>1258</v>
      </c>
      <c r="AD90" s="398"/>
      <c r="AE90" s="398"/>
      <c r="AF90" s="398"/>
      <c r="AG90" s="398"/>
      <c r="AH90" s="398"/>
      <c r="AI90" s="398"/>
      <c r="AJ90" s="398"/>
      <c r="AK90" s="398"/>
      <c r="AL90" s="398"/>
      <c r="AM90" s="398"/>
      <c r="AN90" s="398"/>
      <c r="AO90" s="398"/>
      <c r="AP90" s="398"/>
      <c r="AQ90" s="398"/>
      <c r="AR90" s="398"/>
      <c r="AS90" s="398"/>
      <c r="AT90" s="398"/>
      <c r="AU90" s="398"/>
      <c r="AV90" s="398"/>
      <c r="AW90" s="398"/>
      <c r="AX90" s="399"/>
    </row>
    <row r="91" spans="1:55" s="33" customFormat="1" ht="29.25" customHeight="1">
      <c r="A91" s="402"/>
      <c r="B91" s="402"/>
      <c r="D91" s="1873" t="str">
        <f>IF(AND('Input '!$G$69=TRUE,'Input '!$G$54&gt;2),"","x")</f>
        <v>x</v>
      </c>
      <c r="E91" s="193" t="str">
        <f>IF(I91=0,"N","Y")</f>
        <v>N</v>
      </c>
      <c r="F91" s="388">
        <v>3</v>
      </c>
      <c r="G91" s="2280" t="str">
        <f t="shared" si="50"/>
        <v xml:space="preserve">Earthquake </v>
      </c>
      <c r="H91" s="1399" t="str">
        <f>'Input Property info '!C12</f>
        <v>Input Address no 3</v>
      </c>
      <c r="I91" s="2452"/>
      <c r="J91" s="1467"/>
      <c r="K91" s="2564"/>
      <c r="L91" s="2564"/>
      <c r="M91" s="2514">
        <f>IF(I91=0,,'EQ rate no3'!$F$37)</f>
        <v>0</v>
      </c>
      <c r="N91" s="2482"/>
      <c r="O91" s="2512"/>
      <c r="P91" s="2482"/>
      <c r="Q91" s="2482"/>
      <c r="R91" s="2482"/>
      <c r="S91" s="2515"/>
      <c r="T91" s="2515"/>
      <c r="U91" s="2516">
        <f t="shared" si="51"/>
        <v>0</v>
      </c>
      <c r="V91" s="2517">
        <f t="shared" si="52"/>
        <v>0</v>
      </c>
      <c r="W91" s="2442">
        <f t="shared" si="53"/>
        <v>0</v>
      </c>
      <c r="X91" s="2482" t="e">
        <f ca="1">'EQ rate no3'!$F$39</f>
        <v>#N/A</v>
      </c>
      <c r="Y91" s="2488"/>
      <c r="Z91" s="2518" t="e">
        <f ca="1">X91</f>
        <v>#N/A</v>
      </c>
      <c r="AA91" s="2513" t="str">
        <f>IF('Input '!$E$1="EN",AC91,AB91)</f>
        <v>PE10</v>
      </c>
      <c r="AB91" s="1284" t="s">
        <v>1258</v>
      </c>
      <c r="AC91" s="1256" t="s">
        <v>1258</v>
      </c>
      <c r="AD91" s="398"/>
      <c r="AE91" s="398"/>
      <c r="AF91" s="398"/>
      <c r="AG91" s="398"/>
      <c r="AH91" s="398"/>
      <c r="AI91" s="398"/>
      <c r="AJ91" s="398"/>
      <c r="AK91" s="398"/>
      <c r="AL91" s="398"/>
      <c r="AM91" s="398"/>
      <c r="AN91" s="398"/>
      <c r="AO91" s="398"/>
      <c r="AP91" s="398"/>
      <c r="AQ91" s="398"/>
      <c r="AR91" s="398"/>
      <c r="AS91" s="398"/>
      <c r="AT91" s="398"/>
      <c r="AU91" s="398"/>
      <c r="AV91" s="398"/>
      <c r="AW91" s="398"/>
      <c r="AX91" s="399"/>
    </row>
    <row r="92" spans="1:55" s="33" customFormat="1" ht="29.25" customHeight="1" outlineLevel="1">
      <c r="A92" s="402"/>
      <c r="B92" s="402"/>
      <c r="D92" s="1873" t="str">
        <f>IF(AND('Input '!$G$69=TRUE,'Input '!$G$54&gt;3),"","x")</f>
        <v>x</v>
      </c>
      <c r="E92" s="193" t="str">
        <f>IF(I92=0,"N","Y")</f>
        <v>N</v>
      </c>
      <c r="F92" s="388">
        <v>4</v>
      </c>
      <c r="G92" s="2280" t="str">
        <f t="shared" si="50"/>
        <v xml:space="preserve">Earthquake </v>
      </c>
      <c r="H92" s="1399" t="str">
        <f>'Input Property info '!C13</f>
        <v>Input Address no 4</v>
      </c>
      <c r="I92" s="2449"/>
      <c r="J92" s="1467"/>
      <c r="K92" s="2564"/>
      <c r="L92" s="2564"/>
      <c r="M92" s="2514">
        <f>IF(I92=0,,'EQ rate no4'!$F$37)</f>
        <v>0</v>
      </c>
      <c r="N92" s="2482"/>
      <c r="O92" s="2512"/>
      <c r="P92" s="2482"/>
      <c r="Q92" s="2482"/>
      <c r="R92" s="2482"/>
      <c r="S92" s="2515"/>
      <c r="T92" s="2515"/>
      <c r="U92" s="2516">
        <f t="shared" si="51"/>
        <v>0</v>
      </c>
      <c r="V92" s="2517">
        <f t="shared" si="52"/>
        <v>0</v>
      </c>
      <c r="W92" s="2442">
        <f t="shared" si="53"/>
        <v>0</v>
      </c>
      <c r="X92" s="2482" t="e">
        <f ca="1">'EQ rate no4'!$F$39</f>
        <v>#N/A</v>
      </c>
      <c r="Y92" s="2488"/>
      <c r="Z92" s="2518" t="e">
        <f ca="1">X92</f>
        <v>#N/A</v>
      </c>
      <c r="AA92" s="2513" t="str">
        <f>IF('Input '!$E$1="EN",AC92,AB92)</f>
        <v>PE10</v>
      </c>
      <c r="AB92" s="1284" t="s">
        <v>1258</v>
      </c>
      <c r="AC92" s="1256" t="s">
        <v>1258</v>
      </c>
      <c r="AD92" s="398"/>
      <c r="AE92" s="398"/>
      <c r="AF92" s="398"/>
      <c r="AG92" s="398"/>
      <c r="AH92" s="398"/>
      <c r="AI92" s="398"/>
      <c r="AJ92" s="398"/>
      <c r="AK92" s="398"/>
      <c r="AL92" s="398"/>
      <c r="AM92" s="398"/>
      <c r="AN92" s="398"/>
      <c r="AO92" s="398"/>
      <c r="AP92" s="398"/>
      <c r="AQ92" s="398"/>
      <c r="AR92" s="398"/>
      <c r="AS92" s="398"/>
      <c r="AT92" s="398"/>
      <c r="AU92" s="398"/>
      <c r="AV92" s="398"/>
      <c r="AW92" s="398"/>
      <c r="AX92" s="399"/>
    </row>
    <row r="93" spans="1:55" s="33" customFormat="1" ht="29.25" customHeight="1" outlineLevel="1">
      <c r="A93" s="402"/>
      <c r="B93" s="402"/>
      <c r="D93" s="1873" t="str">
        <f>IF(AND('Input '!$G$69=TRUE,'Input '!$G$54&gt;4),"","x")</f>
        <v>x</v>
      </c>
      <c r="E93" s="193" t="str">
        <f>IF(I93=0,"N","Y")</f>
        <v>N</v>
      </c>
      <c r="F93" s="195">
        <v>5</v>
      </c>
      <c r="G93" s="2280" t="str">
        <f t="shared" si="50"/>
        <v xml:space="preserve">Earthquake </v>
      </c>
      <c r="H93" s="1399" t="str">
        <f>'Input Property info '!C14</f>
        <v>Input Address no 5</v>
      </c>
      <c r="I93" s="2453"/>
      <c r="J93" s="1515"/>
      <c r="K93" s="2572"/>
      <c r="L93" s="2572"/>
      <c r="M93" s="2514">
        <f>IF(I93=0,,'EQ rate no5'!$F$37)</f>
        <v>0</v>
      </c>
      <c r="N93" s="2482"/>
      <c r="O93" s="2519"/>
      <c r="P93" s="2482"/>
      <c r="Q93" s="2482"/>
      <c r="R93" s="2482"/>
      <c r="S93" s="2515"/>
      <c r="T93" s="2515"/>
      <c r="U93" s="2516">
        <f t="shared" si="51"/>
        <v>0</v>
      </c>
      <c r="V93" s="2517">
        <f t="shared" si="52"/>
        <v>0</v>
      </c>
      <c r="W93" s="2517">
        <f t="shared" si="53"/>
        <v>0</v>
      </c>
      <c r="X93" s="2482" t="e">
        <f ca="1">'EQ rate no5'!$F$39</f>
        <v>#N/A</v>
      </c>
      <c r="Y93" s="2488"/>
      <c r="Z93" s="2518" t="e">
        <f ca="1">X93</f>
        <v>#N/A</v>
      </c>
      <c r="AA93" s="2513" t="str">
        <f>IF('Input '!$E$1="EN",AC93,AB93)</f>
        <v>PE10</v>
      </c>
      <c r="AB93" s="1284" t="s">
        <v>1258</v>
      </c>
      <c r="AC93" s="1256" t="s">
        <v>1258</v>
      </c>
      <c r="AD93" s="398"/>
      <c r="AE93" s="398"/>
      <c r="AF93" s="398"/>
      <c r="AG93" s="398"/>
      <c r="AH93" s="398"/>
      <c r="AI93" s="398"/>
      <c r="AJ93" s="398"/>
      <c r="AK93" s="398"/>
      <c r="AL93" s="398"/>
      <c r="AM93" s="398"/>
      <c r="AN93" s="398"/>
      <c r="AO93" s="398"/>
      <c r="AP93" s="398"/>
      <c r="AQ93" s="398"/>
      <c r="AR93" s="398"/>
      <c r="AS93" s="398"/>
      <c r="AT93" s="398"/>
      <c r="AU93" s="398"/>
      <c r="AV93" s="398"/>
      <c r="AW93" s="398"/>
      <c r="AX93" s="399"/>
    </row>
    <row r="94" spans="1:55" ht="17.25">
      <c r="G94" s="83"/>
      <c r="I94" s="2345"/>
      <c r="K94" s="2366"/>
      <c r="L94" s="2366"/>
      <c r="M94" s="2462"/>
      <c r="N94" s="2462"/>
      <c r="O94" s="2462"/>
      <c r="P94" s="2462"/>
      <c r="Q94" s="2462"/>
      <c r="R94" s="2462"/>
      <c r="S94" s="2462"/>
      <c r="T94" s="2462"/>
      <c r="U94" s="2462"/>
      <c r="V94" s="2462"/>
      <c r="W94" s="2462"/>
      <c r="X94" s="2345"/>
      <c r="Y94" s="2345"/>
      <c r="Z94" s="2345"/>
      <c r="AA94" s="2345"/>
    </row>
    <row r="95" spans="1:55" s="84" customFormat="1" ht="15.75">
      <c r="A95" s="108" t="s">
        <v>1070</v>
      </c>
      <c r="B95" s="108" t="s">
        <v>3426</v>
      </c>
      <c r="F95" s="128"/>
      <c r="G95" s="1401"/>
      <c r="H95" s="2374" t="s">
        <v>4089</v>
      </c>
      <c r="I95" s="2375">
        <f>I23+I29+I35+I41+I57+SUM(I63:I75)</f>
        <v>0</v>
      </c>
      <c r="J95" s="403"/>
      <c r="K95" s="2573"/>
      <c r="L95" s="2574" t="str">
        <f>IFERROR(VLOOKUP(#REF!,#REF!,1,FALSE),"")</f>
        <v/>
      </c>
      <c r="M95" s="2454"/>
      <c r="N95" s="2520"/>
      <c r="O95" s="2520"/>
      <c r="P95" s="2454"/>
      <c r="Q95" s="2454"/>
      <c r="R95" s="2454"/>
      <c r="S95" s="2454"/>
      <c r="T95" s="2454"/>
      <c r="U95" s="2454"/>
      <c r="V95" s="2454"/>
      <c r="W95" s="2375">
        <f ca="1">W23+W29+W35+W41+W57+W76+W82+W88+SUM(W63:W75)</f>
        <v>0</v>
      </c>
      <c r="X95" s="2454"/>
      <c r="Y95" s="2454"/>
      <c r="Z95" s="2454"/>
      <c r="AA95" s="2521"/>
      <c r="AB95" s="1142"/>
      <c r="AC95" s="1241"/>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34"/>
      <c r="BB95" s="34"/>
      <c r="BC95" s="34"/>
    </row>
    <row r="96" spans="1:55" s="110" customFormat="1" ht="17.25">
      <c r="A96" s="110" t="s">
        <v>1058</v>
      </c>
      <c r="B96" s="110" t="s">
        <v>3427</v>
      </c>
      <c r="F96" s="188"/>
      <c r="H96" s="188"/>
      <c r="I96" s="2455"/>
      <c r="J96" s="401"/>
      <c r="K96" s="2575"/>
      <c r="L96" s="2575"/>
      <c r="M96" s="2522"/>
      <c r="N96" s="2523"/>
      <c r="O96" s="2523"/>
      <c r="P96" s="2522"/>
      <c r="Q96" s="2522"/>
      <c r="R96" s="2522"/>
      <c r="S96" s="2524"/>
      <c r="T96" s="2524"/>
      <c r="U96" s="2522"/>
      <c r="V96" s="2525"/>
      <c r="W96" s="2525"/>
      <c r="X96" s="2525"/>
      <c r="Y96" s="2525"/>
      <c r="Z96" s="2525"/>
      <c r="AA96" s="2526"/>
      <c r="AB96" s="1144"/>
      <c r="AC96" s="1263"/>
      <c r="BA96" s="34"/>
      <c r="BB96" s="34"/>
      <c r="BC96" s="34"/>
    </row>
    <row r="97" spans="1:55">
      <c r="X97" s="2345"/>
      <c r="Y97" s="2345"/>
      <c r="Z97" s="2345"/>
      <c r="AA97" s="2345"/>
    </row>
    <row r="98" spans="1:55" s="84" customFormat="1" ht="20.25">
      <c r="A98" s="122" t="s">
        <v>1065</v>
      </c>
      <c r="B98" s="122" t="s">
        <v>3506</v>
      </c>
      <c r="D98" s="1873"/>
      <c r="E98" s="2284" t="str">
        <f>IF('Input '!$E$1="EN",B98,A98)</f>
        <v>Total Property Section</v>
      </c>
      <c r="F98" s="122"/>
      <c r="G98" s="123"/>
      <c r="H98" s="122"/>
      <c r="I98" s="2527">
        <f>Propertytotal+I13</f>
        <v>0</v>
      </c>
      <c r="J98" s="128"/>
      <c r="K98" s="2576"/>
      <c r="L98" s="2576"/>
      <c r="M98" s="2456"/>
      <c r="N98" s="2456"/>
      <c r="O98" s="2520"/>
      <c r="P98" s="2456"/>
      <c r="Q98" s="2456"/>
      <c r="R98" s="2456"/>
      <c r="S98" s="2456"/>
      <c r="T98" s="2456"/>
      <c r="U98" s="2456"/>
      <c r="V98" s="2527"/>
      <c r="W98" s="2528">
        <f ca="1">W13+SUM(W58:W75)+W76+W82+W88+W41+W35+W29+W23</f>
        <v>0</v>
      </c>
      <c r="X98" s="2529"/>
      <c r="Y98" s="2529"/>
      <c r="Z98" s="2529"/>
      <c r="AA98" s="2529"/>
      <c r="AB98" s="1291"/>
      <c r="AC98" s="1264"/>
      <c r="AD98" s="129"/>
      <c r="AE98" s="129"/>
      <c r="AF98" s="129"/>
      <c r="AG98" s="129"/>
      <c r="AH98" s="129"/>
      <c r="AI98" s="129"/>
      <c r="AJ98" s="129"/>
      <c r="AK98" s="129"/>
      <c r="AL98" s="129"/>
      <c r="AM98" s="129"/>
      <c r="AN98" s="129"/>
      <c r="AO98" s="129"/>
      <c r="AP98" s="129"/>
      <c r="AQ98" s="129"/>
      <c r="AR98" s="129"/>
      <c r="AS98" s="129"/>
      <c r="AT98" s="129"/>
      <c r="AU98" s="129"/>
      <c r="AV98" s="129"/>
      <c r="AW98" s="129"/>
      <c r="AX98" s="75"/>
    </row>
    <row r="99" spans="1:55" s="84" customFormat="1" ht="17.25">
      <c r="A99" s="128"/>
      <c r="B99" s="128"/>
      <c r="D99" s="1885"/>
      <c r="E99" s="189"/>
      <c r="F99" s="189"/>
      <c r="G99" s="84" t="s">
        <v>4100</v>
      </c>
      <c r="H99" s="189"/>
      <c r="I99" s="2621">
        <f>I95+I47+I13-I98</f>
        <v>0</v>
      </c>
      <c r="J99" s="32"/>
      <c r="K99" s="2366"/>
      <c r="L99" s="2366"/>
      <c r="M99" s="2462"/>
      <c r="N99" s="2462"/>
      <c r="O99" s="2462"/>
      <c r="P99" s="2462"/>
      <c r="Q99" s="2462"/>
      <c r="R99" s="2462"/>
      <c r="S99" s="2462"/>
      <c r="T99" s="2462"/>
      <c r="U99" s="2462"/>
      <c r="V99" s="2462"/>
      <c r="W99" s="2621">
        <f ca="1">W95+W47+W13-W98</f>
        <v>0</v>
      </c>
      <c r="X99" s="2530"/>
      <c r="Y99" s="2530"/>
      <c r="Z99" s="2530"/>
      <c r="AA99" s="2530"/>
      <c r="AB99" s="1291"/>
      <c r="AC99" s="1264"/>
      <c r="AD99" s="129"/>
      <c r="AE99" s="129"/>
      <c r="AF99" s="129"/>
      <c r="AG99" s="129"/>
      <c r="AH99" s="129"/>
      <c r="AI99" s="129"/>
      <c r="AJ99" s="129"/>
      <c r="AK99" s="129"/>
      <c r="AL99" s="129"/>
      <c r="AM99" s="129"/>
      <c r="AN99" s="129"/>
      <c r="AO99" s="129"/>
      <c r="AP99" s="129"/>
      <c r="AQ99" s="129"/>
      <c r="AR99" s="129"/>
      <c r="AS99" s="129"/>
      <c r="AT99" s="129"/>
      <c r="AU99" s="129"/>
      <c r="AV99" s="129"/>
      <c r="AW99" s="129"/>
      <c r="AX99" s="77"/>
    </row>
    <row r="100" spans="1:55" ht="17.25">
      <c r="A100" s="77"/>
      <c r="B100" s="77"/>
      <c r="D100" s="1885"/>
      <c r="E100" s="76"/>
      <c r="F100" s="189"/>
      <c r="G100" s="77"/>
      <c r="H100" s="189"/>
      <c r="I100" s="2457"/>
      <c r="J100" s="78"/>
      <c r="K100" s="2577"/>
      <c r="L100" s="2577"/>
      <c r="M100" s="2457"/>
      <c r="N100" s="2462"/>
      <c r="O100" s="2457"/>
      <c r="P100" s="2457"/>
      <c r="Q100" s="2457"/>
      <c r="R100" s="2457"/>
      <c r="S100" s="2457"/>
      <c r="T100" s="2457"/>
      <c r="U100" s="2457"/>
      <c r="V100" s="2457"/>
      <c r="W100" s="2457"/>
      <c r="X100" s="2531"/>
      <c r="Y100" s="2531"/>
      <c r="Z100" s="2531"/>
      <c r="AA100" s="2531"/>
      <c r="AB100" s="1281"/>
      <c r="AC100" s="1253"/>
      <c r="AD100" s="80"/>
      <c r="AE100" s="80"/>
      <c r="AF100" s="80"/>
      <c r="AG100" s="80"/>
      <c r="AH100" s="80"/>
      <c r="AI100" s="80"/>
      <c r="AJ100" s="80"/>
      <c r="AK100" s="80"/>
      <c r="AL100" s="80"/>
      <c r="AM100" s="80"/>
      <c r="AN100" s="80"/>
      <c r="AO100" s="80"/>
      <c r="AP100" s="80"/>
      <c r="AQ100" s="80"/>
      <c r="AR100" s="80"/>
      <c r="AS100" s="80"/>
      <c r="AT100" s="80"/>
      <c r="AU100" s="80"/>
      <c r="AV100" s="80"/>
      <c r="AW100" s="80"/>
      <c r="AX100" s="78"/>
    </row>
    <row r="101" spans="1:55" ht="22.5">
      <c r="A101" s="74" t="s">
        <v>1040</v>
      </c>
      <c r="B101" s="74" t="s">
        <v>3510</v>
      </c>
      <c r="D101" s="1885"/>
      <c r="E101" s="2285" t="str">
        <f>IF('Input '!$E$1="EN",B101,A101)</f>
        <v>C. Other coverages</v>
      </c>
      <c r="F101" s="190"/>
      <c r="H101" s="189"/>
      <c r="I101" s="2345"/>
      <c r="K101" s="2366"/>
      <c r="L101" s="2366"/>
      <c r="M101" s="2462"/>
      <c r="N101" s="2462"/>
      <c r="O101" s="2462"/>
      <c r="P101" s="2462"/>
      <c r="Q101" s="2462"/>
      <c r="R101" s="2462"/>
      <c r="S101" s="2462"/>
      <c r="T101" s="2462"/>
      <c r="U101" s="2462"/>
      <c r="V101" s="2462"/>
      <c r="W101" s="2462"/>
      <c r="X101" s="2345"/>
      <c r="Y101" s="2345"/>
      <c r="Z101" s="2345"/>
      <c r="AA101" s="2345"/>
    </row>
    <row r="102" spans="1:55" ht="18">
      <c r="E102" s="74"/>
      <c r="F102" s="190"/>
      <c r="H102" s="189"/>
      <c r="I102" s="2345"/>
      <c r="K102" s="2366"/>
      <c r="L102" s="2366"/>
      <c r="M102" s="2462"/>
      <c r="N102" s="2462"/>
      <c r="O102" s="2462"/>
      <c r="P102" s="2462"/>
      <c r="Q102" s="2462"/>
      <c r="R102" s="2462"/>
      <c r="S102" s="2462"/>
      <c r="T102" s="2462"/>
      <c r="U102" s="2462"/>
      <c r="V102" s="2462"/>
      <c r="W102" s="2462"/>
      <c r="X102" s="2345"/>
      <c r="Y102" s="2345"/>
      <c r="Z102" s="2345"/>
      <c r="AA102" s="2345"/>
    </row>
    <row r="103" spans="1:55" s="1105" customFormat="1" ht="47.25" hidden="1" outlineLevel="1">
      <c r="A103" s="1104"/>
      <c r="B103" s="1104"/>
      <c r="D103" s="1873" t="s">
        <v>4067</v>
      </c>
      <c r="E103" s="1159"/>
      <c r="F103" s="1160"/>
      <c r="G103" s="1104"/>
      <c r="H103" s="1193"/>
      <c r="I103" s="2458" t="s">
        <v>1015</v>
      </c>
      <c r="J103" s="1503"/>
      <c r="K103" s="2578" t="s">
        <v>1025</v>
      </c>
      <c r="L103" s="2579" t="s">
        <v>223</v>
      </c>
      <c r="M103" s="2532" t="s">
        <v>1127</v>
      </c>
      <c r="N103" s="2533" t="s">
        <v>223</v>
      </c>
      <c r="O103" s="2532"/>
      <c r="P103" s="2532"/>
      <c r="Q103" s="2532"/>
      <c r="R103" s="2532"/>
      <c r="S103" s="2533" t="s">
        <v>223</v>
      </c>
      <c r="T103" s="2533"/>
      <c r="U103" s="2534" t="s">
        <v>1036</v>
      </c>
      <c r="V103" s="2534" t="s">
        <v>1028</v>
      </c>
      <c r="W103" s="2534" t="s">
        <v>1095</v>
      </c>
      <c r="X103" s="2535" t="s">
        <v>1072</v>
      </c>
      <c r="Y103" s="2535" t="s">
        <v>1073</v>
      </c>
      <c r="Z103" s="2535" t="s">
        <v>1074</v>
      </c>
      <c r="AA103" s="2536" t="s">
        <v>27</v>
      </c>
      <c r="AB103" s="1195" t="s">
        <v>27</v>
      </c>
      <c r="AC103" s="1190" t="s">
        <v>27</v>
      </c>
      <c r="AD103" s="1196"/>
      <c r="AE103" s="1196"/>
      <c r="AF103" s="1196"/>
      <c r="AG103" s="1196"/>
      <c r="AH103" s="1196"/>
      <c r="AI103" s="1196"/>
      <c r="AJ103" s="1196"/>
      <c r="AK103" s="1196"/>
      <c r="AL103" s="1196"/>
      <c r="AM103" s="1196"/>
      <c r="AN103" s="1196"/>
      <c r="AO103" s="1196"/>
      <c r="AP103" s="1196"/>
      <c r="AQ103" s="1196"/>
      <c r="AR103" s="1196"/>
      <c r="AS103" s="1196"/>
      <c r="AT103" s="1196"/>
      <c r="AU103" s="1196"/>
      <c r="AV103" s="1196"/>
      <c r="AW103" s="1196"/>
    </row>
    <row r="104" spans="1:55" s="1097" customFormat="1" ht="63" hidden="1" outlineLevel="1">
      <c r="A104" s="1096"/>
      <c r="B104" s="1096"/>
      <c r="D104" s="1873" t="s">
        <v>4067</v>
      </c>
      <c r="E104" s="1155"/>
      <c r="F104" s="1156"/>
      <c r="G104" s="1096"/>
      <c r="H104" s="1188"/>
      <c r="I104" s="2459" t="s">
        <v>231</v>
      </c>
      <c r="J104" s="1503"/>
      <c r="K104" s="2580" t="s">
        <v>3530</v>
      </c>
      <c r="L104" s="2581" t="s">
        <v>223</v>
      </c>
      <c r="M104" s="2537" t="s">
        <v>3525</v>
      </c>
      <c r="N104" s="2538" t="s">
        <v>223</v>
      </c>
      <c r="O104" s="2537"/>
      <c r="P104" s="2537"/>
      <c r="Q104" s="2537"/>
      <c r="R104" s="2537"/>
      <c r="S104" s="2538" t="s">
        <v>223</v>
      </c>
      <c r="T104" s="2538"/>
      <c r="U104" s="2539" t="s">
        <v>3527</v>
      </c>
      <c r="V104" s="2539" t="s">
        <v>3528</v>
      </c>
      <c r="W104" s="2539" t="s">
        <v>3462</v>
      </c>
      <c r="X104" s="2540" t="s">
        <v>3463</v>
      </c>
      <c r="Y104" s="2540" t="s">
        <v>3522</v>
      </c>
      <c r="Z104" s="2540" t="s">
        <v>3465</v>
      </c>
      <c r="AA104" s="2541" t="s">
        <v>3456</v>
      </c>
      <c r="AB104" s="1195" t="s">
        <v>3456</v>
      </c>
      <c r="AC104" s="1190" t="s">
        <v>3456</v>
      </c>
      <c r="AD104" s="1191"/>
      <c r="AE104" s="1191"/>
      <c r="AF104" s="1191"/>
      <c r="AG104" s="1191"/>
      <c r="AH104" s="1191"/>
      <c r="AI104" s="1191"/>
      <c r="AJ104" s="1191"/>
      <c r="AK104" s="1191"/>
      <c r="AL104" s="1191"/>
      <c r="AM104" s="1191"/>
      <c r="AN104" s="1191"/>
      <c r="AO104" s="1191"/>
      <c r="AP104" s="1191"/>
      <c r="AQ104" s="1191"/>
      <c r="AR104" s="1191"/>
      <c r="AS104" s="1191"/>
      <c r="AT104" s="1191"/>
      <c r="AU104" s="1191"/>
      <c r="AV104" s="1191"/>
      <c r="AW104" s="1191"/>
    </row>
    <row r="105" spans="1:55" s="35" customFormat="1" ht="51.75" customHeight="1" collapsed="1">
      <c r="A105" s="140" t="s">
        <v>1017</v>
      </c>
      <c r="B105" s="140" t="s">
        <v>3424</v>
      </c>
      <c r="D105" s="1873"/>
      <c r="E105" s="2595" t="str">
        <f>IF('Input '!$E$1="EN","Quote: Y/N","Offerte : Y/N")</f>
        <v>Quote: Y/N</v>
      </c>
      <c r="F105" s="2596"/>
      <c r="G105" s="2597" t="str">
        <f>IF('Input '!$E$1="EN",B105,A105)</f>
        <v>Other coverages</v>
      </c>
      <c r="H105" s="2598"/>
      <c r="I105" s="2593" t="str">
        <f>IF('Input '!$E$1="EN",I104,I103)</f>
        <v>Limit</v>
      </c>
      <c r="J105" s="2599"/>
      <c r="K105" s="2388" t="str">
        <f>IF('Input '!$E$1="EN",K104,K103)</f>
        <v>Revenues</v>
      </c>
      <c r="L105" s="2388" t="str">
        <f>IF('Input '!$E$1="EN",L104,L103)</f>
        <v/>
      </c>
      <c r="M105" s="2593" t="str">
        <f>IF('Input '!$E$1="EN",M104,M103)</f>
        <v>Quoted rate</v>
      </c>
      <c r="N105" s="2593" t="str">
        <f>IF('Input '!$E$1="EN",N104,N103)</f>
        <v/>
      </c>
      <c r="O105" s="2593">
        <f>IF('Input '!$E$1="EN",O104,O103)</f>
        <v>0</v>
      </c>
      <c r="P105" s="2593">
        <f>IF('Input '!$E$1="EN",P104,P103)</f>
        <v>0</v>
      </c>
      <c r="Q105" s="2593">
        <f>IF('Input '!$E$1="EN",Q104,Q103)</f>
        <v>0</v>
      </c>
      <c r="R105" s="2593"/>
      <c r="S105" s="2593" t="str">
        <f>IF('Input '!$E$1="EN",S104,S103)</f>
        <v/>
      </c>
      <c r="T105" s="2593"/>
      <c r="U105" s="2593" t="str">
        <f>IF('Input '!$E$1="EN",U104,U103)</f>
        <v>Min contractual Premium</v>
      </c>
      <c r="V105" s="2593" t="str">
        <f>IF('Input '!$E$1="EN",V104,V103)</f>
        <v>Premium Quoted</v>
      </c>
      <c r="W105" s="2593" t="str">
        <f>IF('Input '!$E$1="EN",W104,W103)</f>
        <v>Premium displayed</v>
      </c>
      <c r="X105" s="2593" t="str">
        <f>IF('Input '!$E$1="EN",X104,X103)</f>
        <v>Min Deductible</v>
      </c>
      <c r="Y105" s="2593" t="str">
        <f>IF('Input '!$E$1="EN",Y104,Y103)</f>
        <v>Deductible quoted</v>
      </c>
      <c r="Z105" s="2593" t="str">
        <f>IF('Input '!$E$1="EN",Z104,Z103)</f>
        <v>Deductible displayed</v>
      </c>
      <c r="AA105" s="2594" t="str">
        <f>IF('Input '!$E$1="EN",AA104,AA103)</f>
        <v>Form</v>
      </c>
      <c r="AB105" s="1195" t="s">
        <v>3668</v>
      </c>
      <c r="AC105" s="1190" t="str">
        <f>IF('Input '!$E$1="EN",AC104,AC103)</f>
        <v>Form</v>
      </c>
      <c r="AD105" s="32">
        <f>IF('Input '!$E$1="EN",AD104,AD103)</f>
        <v>0</v>
      </c>
      <c r="AE105" s="32">
        <f>IF('Input '!$E$1="EN",AE104,AE103)</f>
        <v>0</v>
      </c>
      <c r="AF105" s="32">
        <f>IF('Input '!$E$1="EN",AF104,AF103)</f>
        <v>0</v>
      </c>
      <c r="AG105" s="32">
        <f>IF('Input '!$E$1="EN",AG104,AG103)</f>
        <v>0</v>
      </c>
      <c r="AH105" s="32">
        <f>IF('Input '!$E$1="EN",AH104,AH103)</f>
        <v>0</v>
      </c>
      <c r="AI105" s="32">
        <f>IF('Input '!$E$1="EN",AI104,AI103)</f>
        <v>0</v>
      </c>
      <c r="AJ105" s="32">
        <f>IF('Input '!$E$1="EN",AJ104,AJ103)</f>
        <v>0</v>
      </c>
      <c r="AK105" s="32">
        <f>IF('Input '!$E$1="EN",AK104,AK103)</f>
        <v>0</v>
      </c>
      <c r="AL105" s="32">
        <f>IF('Input '!$E$1="EN",AL104,AL103)</f>
        <v>0</v>
      </c>
      <c r="AM105" s="32">
        <f>IF('Input '!$E$1="EN",AM104,AM103)</f>
        <v>0</v>
      </c>
      <c r="AN105" s="32">
        <f>IF('Input '!$E$1="EN",AN104,AN103)</f>
        <v>0</v>
      </c>
      <c r="AO105" s="32">
        <f>IF('Input '!$E$1="EN",AO104,AO103)</f>
        <v>0</v>
      </c>
      <c r="AP105" s="32">
        <f>IF('Input '!$E$1="EN",AP104,AP103)</f>
        <v>0</v>
      </c>
      <c r="AQ105" s="32">
        <f>IF('Input '!$E$1="EN",AQ104,AQ103)</f>
        <v>0</v>
      </c>
      <c r="AR105" s="32">
        <f>IF('Input '!$E$1="EN",AR104,AR103)</f>
        <v>0</v>
      </c>
      <c r="AS105" s="32"/>
      <c r="AT105" s="32"/>
      <c r="AU105" s="32"/>
      <c r="AV105" s="32"/>
      <c r="AW105" s="32"/>
      <c r="AX105" s="32" t="s">
        <v>1041</v>
      </c>
      <c r="AY105" s="31"/>
      <c r="AZ105" s="31"/>
      <c r="BA105" s="31"/>
      <c r="BB105" s="31"/>
      <c r="BC105" s="31"/>
    </row>
    <row r="106" spans="1:55" ht="31.5" customHeight="1">
      <c r="A106" s="124" t="s">
        <v>1280</v>
      </c>
      <c r="B106" s="124" t="s">
        <v>3565</v>
      </c>
      <c r="D106" s="1873"/>
      <c r="E106" s="410" t="str">
        <f t="shared" ref="E106:E109" si="54">IF(F106=TRUE,"Y","N")</f>
        <v>N</v>
      </c>
      <c r="F106" s="3454" t="b">
        <f>Map!U262</f>
        <v>0</v>
      </c>
      <c r="G106" s="2444" t="str">
        <f>IF('Input '!$E$1="EN",B106,A106)</f>
        <v>Legal -Unlimited telephone advice</v>
      </c>
      <c r="H106" s="2412"/>
      <c r="I106" s="3456">
        <f>Map!U263</f>
        <v>0</v>
      </c>
      <c r="J106" s="125"/>
      <c r="K106" s="2582"/>
      <c r="L106" s="2582"/>
      <c r="M106" s="2542"/>
      <c r="N106" s="2542"/>
      <c r="O106" s="2542"/>
      <c r="P106" s="2542"/>
      <c r="Q106" s="2542"/>
      <c r="R106" s="2542"/>
      <c r="S106" s="2542"/>
      <c r="T106" s="2542"/>
      <c r="U106" s="2543">
        <v>40</v>
      </c>
      <c r="V106" s="2544"/>
      <c r="W106" s="2545">
        <f>IF(E106="Y",MAX(U106:V106),0)</f>
        <v>0</v>
      </c>
      <c r="X106" s="2713">
        <v>500</v>
      </c>
      <c r="Y106" s="2542"/>
      <c r="Z106" s="2546">
        <f>IF(MAX(X106:Y106)=0,"",MAX(X106:Y106))</f>
        <v>500</v>
      </c>
      <c r="AA106" s="2547" t="str">
        <f>IF('Input '!$E$1="EN",AC106,AB106)</f>
        <v>ARAG-TAT</v>
      </c>
      <c r="AB106" s="1292" t="s">
        <v>4516</v>
      </c>
      <c r="AC106" s="1265" t="s">
        <v>4516</v>
      </c>
      <c r="AX106" s="120"/>
    </row>
    <row r="107" spans="1:55" ht="25.5" customHeight="1">
      <c r="A107" s="43" t="s">
        <v>1047</v>
      </c>
      <c r="B107" s="43" t="s">
        <v>3425</v>
      </c>
      <c r="D107" s="1873"/>
      <c r="E107" s="411" t="str">
        <f t="shared" si="54"/>
        <v>N</v>
      </c>
      <c r="F107" s="3455" t="b">
        <f>Map!U266</f>
        <v>0</v>
      </c>
      <c r="G107" s="2445" t="str">
        <f>IF('Input '!$E$1="EN",B107,A107)</f>
        <v xml:space="preserve">Legal - option full coverage </v>
      </c>
      <c r="H107" s="2413"/>
      <c r="I107" s="3456">
        <f>Map!U267</f>
        <v>0</v>
      </c>
      <c r="J107" s="47"/>
      <c r="K107" s="2583"/>
      <c r="L107" s="2583"/>
      <c r="M107" s="2548"/>
      <c r="N107" s="2548"/>
      <c r="O107" s="2548"/>
      <c r="P107" s="2548"/>
      <c r="Q107" s="2548"/>
      <c r="R107" s="2548"/>
      <c r="S107" s="2548"/>
      <c r="T107" s="2548"/>
      <c r="U107" s="2549">
        <v>140</v>
      </c>
      <c r="V107" s="2544"/>
      <c r="W107" s="2545">
        <f>IF(E107="Y",MAX(U107:V107),0)</f>
        <v>0</v>
      </c>
      <c r="X107" s="2713">
        <v>2500</v>
      </c>
      <c r="Y107" s="2548"/>
      <c r="Z107" s="2545">
        <f t="shared" ref="Z107:Z108" si="55">IF(MAX(X107:Y107)=0,"",MAX(X107:Y107))</f>
        <v>2500</v>
      </c>
      <c r="AA107" s="2545" t="str">
        <f>IF('Input '!$E$1="EN",AC107,AB107)</f>
        <v>ARAG-COM</v>
      </c>
      <c r="AB107" s="1293" t="s">
        <v>4517</v>
      </c>
      <c r="AC107" s="1266" t="s">
        <v>4517</v>
      </c>
      <c r="AX107" s="120"/>
    </row>
    <row r="108" spans="1:55" ht="25.5" customHeight="1">
      <c r="A108" s="43" t="s">
        <v>230</v>
      </c>
      <c r="B108" s="43" t="s">
        <v>230</v>
      </c>
      <c r="D108" s="1873"/>
      <c r="E108" s="411" t="str">
        <f t="shared" si="54"/>
        <v>N</v>
      </c>
      <c r="F108" s="3455" t="b">
        <f>Map!U273</f>
        <v>0</v>
      </c>
      <c r="G108" s="43" t="str">
        <f>IF('Input '!$E$1="EN",B108,A108)</f>
        <v>Cyber</v>
      </c>
      <c r="H108" s="2413"/>
      <c r="I108" s="3457">
        <f>Map!U274</f>
        <v>0</v>
      </c>
      <c r="J108" s="1512"/>
      <c r="K108" s="3551" t="str">
        <f>VLOOKUP('Input '!G39,Settings!$A$70:$B$81,2,TRUE)</f>
        <v>Up to 100,000</v>
      </c>
      <c r="L108" s="3551"/>
      <c r="M108" s="2548"/>
      <c r="N108" s="2548"/>
      <c r="O108" s="2548"/>
      <c r="P108" s="2548"/>
      <c r="Q108" s="2548"/>
      <c r="R108" s="2548"/>
      <c r="S108" s="2548"/>
      <c r="T108" s="2548"/>
      <c r="U108" s="2549">
        <f>IF(I108=0,0,INDEX(Settings!$B$69:$G$81,MATCH(Property!$K$108,Settings!$B$69:$B$81,0),MATCH(Property!$I$108,Settings!$B$69:$G$69,0)))*2</f>
        <v>0</v>
      </c>
      <c r="V108" s="2544"/>
      <c r="W108" s="2545">
        <f>IF(E108="Y",MAX(U108:V108),0)</f>
        <v>0</v>
      </c>
      <c r="X108" s="2713">
        <f>VLOOKUP($K$108,Settings!$B$70:$I$81,8,FALSE)*2</f>
        <v>2000</v>
      </c>
      <c r="Y108" s="2548"/>
      <c r="Z108" s="2545">
        <f t="shared" si="55"/>
        <v>2000</v>
      </c>
      <c r="AA108" s="2545" t="str">
        <f>IF('Input '!$E$1="EN",AC108,AB108)</f>
        <v>CYB001</v>
      </c>
      <c r="AB108" s="1293" t="s">
        <v>3682</v>
      </c>
      <c r="AC108" s="1266" t="s">
        <v>3682</v>
      </c>
      <c r="AX108" s="120"/>
    </row>
    <row r="109" spans="1:55" ht="25.5" customHeight="1">
      <c r="A109" s="157" t="s">
        <v>4162</v>
      </c>
      <c r="B109" s="157" t="s">
        <v>4162</v>
      </c>
      <c r="D109" s="1873"/>
      <c r="E109" s="411" t="str">
        <f t="shared" si="54"/>
        <v>N</v>
      </c>
      <c r="F109" s="3461" t="b">
        <f>Map!U288</f>
        <v>0</v>
      </c>
      <c r="G109" s="157" t="str">
        <f>IF('Input '!$E$1="EN",B109,A109)</f>
        <v>Crime**</v>
      </c>
      <c r="H109" s="2414"/>
      <c r="I109" s="3460">
        <f>Map!U289</f>
        <v>0</v>
      </c>
      <c r="J109" s="1516"/>
      <c r="K109" s="2584"/>
      <c r="L109" s="2584"/>
      <c r="M109" s="2550">
        <f>IF(E109="Y",IF(I109=5000,100,200),0)</f>
        <v>0</v>
      </c>
      <c r="N109" s="2550"/>
      <c r="O109" s="2550"/>
      <c r="P109" s="2550"/>
      <c r="Q109" s="2550"/>
      <c r="R109" s="2550"/>
      <c r="S109" s="2550"/>
      <c r="T109" s="2550"/>
      <c r="U109" s="2358">
        <f>IF('Quote template-1'!$N$24="Quebec",IF((W98)&gt;0,M109,0),M109)</f>
        <v>0</v>
      </c>
      <c r="V109" s="2544"/>
      <c r="W109" s="2545">
        <f>IF(E109="Y",MAX(U109:V109),0)</f>
        <v>0</v>
      </c>
      <c r="X109" s="2551">
        <v>500</v>
      </c>
      <c r="Y109" s="2460"/>
      <c r="Z109" s="2550">
        <f>MAX(X109:Y109)</f>
        <v>500</v>
      </c>
      <c r="AA109" s="2550" t="str">
        <f>IF('Input '!$E$1="EN",AC109,AB109)</f>
        <v>C1</v>
      </c>
      <c r="AB109" s="1305" t="s">
        <v>3681</v>
      </c>
      <c r="AC109" s="1266" t="s">
        <v>3681</v>
      </c>
      <c r="AD109" s="159"/>
      <c r="AE109" s="159"/>
      <c r="AF109" s="159"/>
      <c r="AG109" s="159"/>
      <c r="AH109" s="159"/>
      <c r="AI109" s="159"/>
      <c r="AJ109" s="159"/>
      <c r="AK109" s="159"/>
      <c r="AL109" s="159"/>
      <c r="AM109" s="159"/>
      <c r="AN109" s="159"/>
      <c r="AO109" s="159"/>
      <c r="AP109" s="159"/>
      <c r="AQ109" s="159"/>
      <c r="AR109" s="159"/>
      <c r="AS109" s="159"/>
      <c r="AT109" s="159"/>
      <c r="AU109" s="159"/>
      <c r="AV109" s="159"/>
      <c r="AW109" s="159"/>
      <c r="AX109" s="120"/>
    </row>
    <row r="110" spans="1:55" s="84" customFormat="1">
      <c r="A110" s="412" t="s">
        <v>1066</v>
      </c>
      <c r="B110" s="412" t="s">
        <v>3509</v>
      </c>
      <c r="D110" s="1873"/>
      <c r="E110" s="122" t="str">
        <f>IF('Input '!$E$1="EN",B110,A110)</f>
        <v>Total Section Other coverages</v>
      </c>
      <c r="F110" s="413"/>
      <c r="G110" s="414"/>
      <c r="H110" s="413"/>
      <c r="I110" s="2461"/>
      <c r="J110" s="1517"/>
      <c r="K110" s="2585"/>
      <c r="L110" s="2585"/>
      <c r="M110" s="2461"/>
      <c r="N110" s="2461"/>
      <c r="O110" s="2461"/>
      <c r="P110" s="2461"/>
      <c r="Q110" s="2461"/>
      <c r="R110" s="2461"/>
      <c r="S110" s="2461"/>
      <c r="T110" s="2461"/>
      <c r="U110" s="2461"/>
      <c r="V110" s="2552">
        <f>SUM(V106:V109)</f>
        <v>0</v>
      </c>
      <c r="W110" s="2552">
        <f>SUM(W106:W109)</f>
        <v>0</v>
      </c>
      <c r="X110" s="2553"/>
      <c r="Y110" s="2553"/>
      <c r="Z110" s="2553"/>
      <c r="AA110" s="2554"/>
      <c r="AB110" s="1294"/>
      <c r="AC110" s="1267"/>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75"/>
    </row>
    <row r="111" spans="1:55">
      <c r="A111" s="77"/>
      <c r="B111" s="77"/>
      <c r="D111"/>
      <c r="E111" s="76"/>
      <c r="F111"/>
      <c r="G111"/>
      <c r="H111"/>
      <c r="I111"/>
      <c r="J111" s="78"/>
      <c r="K111" s="79"/>
      <c r="L111" s="79"/>
      <c r="M111" s="78"/>
      <c r="N111" s="78"/>
      <c r="O111" s="78"/>
      <c r="P111" s="78"/>
      <c r="Q111" s="78"/>
      <c r="R111" s="78"/>
      <c r="S111" s="78"/>
      <c r="T111" s="78"/>
      <c r="U111" s="78"/>
      <c r="V111" s="78"/>
      <c r="W111" s="78"/>
      <c r="X111" s="79"/>
      <c r="Y111" s="79"/>
      <c r="Z111" s="79"/>
      <c r="AA111" s="79"/>
      <c r="AB111" s="1281"/>
      <c r="AC111" s="1253"/>
      <c r="AD111" s="80"/>
      <c r="AE111" s="80"/>
      <c r="AF111" s="80"/>
      <c r="AG111" s="80"/>
      <c r="AH111" s="80"/>
      <c r="AI111" s="80"/>
      <c r="AJ111" s="80"/>
      <c r="AK111" s="80"/>
      <c r="AL111" s="80"/>
      <c r="AM111" s="80"/>
      <c r="AN111" s="80"/>
      <c r="AO111" s="80"/>
      <c r="AP111" s="80"/>
      <c r="AQ111" s="80"/>
      <c r="AR111" s="80"/>
      <c r="AS111" s="80"/>
      <c r="AT111" s="80"/>
      <c r="AU111" s="80"/>
      <c r="AV111" s="80"/>
      <c r="AW111" s="80"/>
      <c r="AX111" s="78"/>
    </row>
    <row r="112" spans="1:55" ht="18.75">
      <c r="A112" s="2700" t="s">
        <v>4137</v>
      </c>
      <c r="B112" s="2700" t="s">
        <v>4138</v>
      </c>
      <c r="D112" s="1711"/>
      <c r="G112" s="2700" t="str">
        <f>IF('Input '!E1="EN",B112,A112)</f>
        <v>Input Capacity split</v>
      </c>
      <c r="H112" s="2701" t="str">
        <f>'Quote template-1'!G22</f>
        <v>-</v>
      </c>
      <c r="I112" s="427"/>
      <c r="J112" s="128"/>
      <c r="K112" s="128"/>
      <c r="L112" s="84"/>
      <c r="M112" s="128"/>
      <c r="N112" s="128"/>
      <c r="O112" s="128"/>
      <c r="P112" s="128"/>
      <c r="Q112" s="128"/>
      <c r="R112" s="128"/>
      <c r="S112" s="422"/>
      <c r="T112" s="422"/>
      <c r="U112" s="2702"/>
      <c r="V112" s="78"/>
      <c r="W112" s="79"/>
      <c r="X112" s="79"/>
      <c r="Y112" s="79"/>
      <c r="Z112"/>
      <c r="AA112"/>
      <c r="AB112" s="1253"/>
      <c r="AC112" s="80"/>
      <c r="AD112" s="80"/>
      <c r="AE112" s="80"/>
      <c r="AF112" s="80"/>
      <c r="AG112" s="80"/>
      <c r="AH112" s="80"/>
      <c r="AI112" s="80"/>
      <c r="AJ112" s="80"/>
      <c r="AK112" s="80"/>
      <c r="AL112" s="80"/>
      <c r="AM112" s="80"/>
      <c r="AN112" s="80"/>
      <c r="AO112" s="80"/>
      <c r="AP112" s="80"/>
      <c r="AQ112" s="80"/>
      <c r="AR112" s="80"/>
      <c r="AS112" s="80"/>
      <c r="AT112" s="80"/>
      <c r="AU112" s="80"/>
      <c r="AV112" s="80"/>
      <c r="AW112" s="78"/>
    </row>
    <row r="113" spans="1:49" ht="45">
      <c r="A113" s="77"/>
      <c r="B113" s="77"/>
      <c r="D113" s="1711"/>
      <c r="G113" s="2696" t="s">
        <v>4135</v>
      </c>
      <c r="H113" s="2696" t="s">
        <v>1164</v>
      </c>
      <c r="I113" s="2696" t="s">
        <v>1163</v>
      </c>
      <c r="J113" s="31"/>
      <c r="K113" s="2696" t="s">
        <v>4136</v>
      </c>
      <c r="L113" s="2696" t="s">
        <v>1165</v>
      </c>
      <c r="M113"/>
      <c r="N113"/>
      <c r="O113"/>
      <c r="P113"/>
      <c r="Q113"/>
      <c r="R113"/>
      <c r="S113"/>
      <c r="T113" s="2695" t="s">
        <v>1167</v>
      </c>
      <c r="U113" s="2696" t="s">
        <v>1166</v>
      </c>
      <c r="V113" s="2696" t="s">
        <v>1168</v>
      </c>
      <c r="W113" s="79"/>
      <c r="X113" s="79"/>
      <c r="Y113" s="79"/>
      <c r="Z113"/>
      <c r="AA113"/>
      <c r="AB113" s="80"/>
      <c r="AC113" s="80"/>
      <c r="AD113" s="80"/>
      <c r="AE113" s="80"/>
      <c r="AF113" s="80"/>
      <c r="AG113" s="80"/>
      <c r="AH113" s="80"/>
      <c r="AI113" s="80"/>
      <c r="AJ113" s="80"/>
      <c r="AK113" s="80"/>
      <c r="AL113" s="80"/>
      <c r="AM113" s="80"/>
      <c r="AN113" s="80"/>
      <c r="AO113" s="80"/>
      <c r="AP113" s="80"/>
      <c r="AQ113" s="80"/>
      <c r="AR113" s="80"/>
      <c r="AS113" s="80"/>
      <c r="AT113" s="80"/>
      <c r="AU113" s="80"/>
      <c r="AV113" s="78"/>
      <c r="AW113" s="31"/>
    </row>
    <row r="114" spans="1:49" ht="18.75">
      <c r="A114" s="77"/>
      <c r="B114" s="77"/>
      <c r="D114" s="1711"/>
      <c r="G114" s="2703" t="e">
        <f>#REF!</f>
        <v>#REF!</v>
      </c>
      <c r="H114" s="2704" t="e">
        <f>#REF!</f>
        <v>#REF!</v>
      </c>
      <c r="I114" s="2705" t="e">
        <f>#REF!</f>
        <v>#REF!</v>
      </c>
      <c r="J114" s="31"/>
      <c r="K114" s="2706" t="e">
        <f>#REF!</f>
        <v>#REF!</v>
      </c>
      <c r="L114" s="2699" t="e">
        <f>#REF!</f>
        <v>#REF!</v>
      </c>
      <c r="M114"/>
      <c r="N114"/>
      <c r="O114"/>
      <c r="P114"/>
      <c r="Q114"/>
      <c r="R114"/>
      <c r="S114"/>
      <c r="T114" s="2697"/>
      <c r="U114" s="2698">
        <f>Propertytotal*T114</f>
        <v>0</v>
      </c>
      <c r="V114" s="2699" t="e">
        <f>IF(AND($T$117=0,Propertytotal&gt;0),$G$112,IF(T114&lt;=K114,IF(U114&lt;=H114,"OK","NO"),"NO"))</f>
        <v>#REF!</v>
      </c>
      <c r="W114" s="79"/>
      <c r="X114" s="79"/>
      <c r="Y114" s="79"/>
      <c r="Z114"/>
      <c r="AA114"/>
      <c r="AB114" s="80"/>
      <c r="AC114" s="80"/>
      <c r="AD114" s="80"/>
      <c r="AE114" s="80"/>
      <c r="AF114" s="80"/>
      <c r="AG114" s="80"/>
      <c r="AH114" s="80"/>
      <c r="AI114" s="80"/>
      <c r="AJ114" s="80"/>
      <c r="AK114" s="80"/>
      <c r="AL114" s="80"/>
      <c r="AM114" s="80"/>
      <c r="AN114" s="80"/>
      <c r="AO114" s="80"/>
      <c r="AP114" s="80"/>
      <c r="AQ114" s="80"/>
      <c r="AR114" s="80"/>
      <c r="AS114" s="80"/>
      <c r="AT114" s="80"/>
      <c r="AU114" s="80"/>
      <c r="AV114" s="78"/>
      <c r="AW114" s="31"/>
    </row>
    <row r="115" spans="1:49" ht="18.75">
      <c r="A115" s="77"/>
      <c r="B115" s="77"/>
      <c r="D115" s="1711"/>
      <c r="G115" s="2703" t="e">
        <f>#REF!</f>
        <v>#REF!</v>
      </c>
      <c r="H115" s="2704" t="e">
        <f>#REF!</f>
        <v>#REF!</v>
      </c>
      <c r="I115" s="2705" t="e">
        <f>#REF!</f>
        <v>#REF!</v>
      </c>
      <c r="J115" s="31"/>
      <c r="K115" s="2706" t="e">
        <f>#REF!</f>
        <v>#REF!</v>
      </c>
      <c r="L115" s="2699" t="e">
        <f>#REF!</f>
        <v>#REF!</v>
      </c>
      <c r="M115"/>
      <c r="N115"/>
      <c r="O115"/>
      <c r="P115"/>
      <c r="Q115"/>
      <c r="R115"/>
      <c r="S115"/>
      <c r="T115" s="2697"/>
      <c r="U115" s="2698">
        <f>Propertytotal*T115</f>
        <v>0</v>
      </c>
      <c r="V115" s="2699" t="e">
        <f>IF(AND($T$117=0,Propertytotal&gt;0),$G$112,IF(T115&lt;=K115,IF(U115&lt;=H115,"OK","NO"),"NO"))</f>
        <v>#REF!</v>
      </c>
      <c r="W115" s="79"/>
      <c r="X115" s="79"/>
      <c r="Y115" s="79"/>
      <c r="Z115"/>
      <c r="AA115"/>
      <c r="AB115" s="80"/>
      <c r="AC115" s="80"/>
      <c r="AD115" s="80"/>
      <c r="AE115" s="80"/>
      <c r="AF115" s="80"/>
      <c r="AG115" s="80"/>
      <c r="AH115" s="80"/>
      <c r="AI115" s="80"/>
      <c r="AJ115" s="80"/>
      <c r="AK115" s="80"/>
      <c r="AL115" s="80"/>
      <c r="AM115" s="80"/>
      <c r="AN115" s="80"/>
      <c r="AO115" s="80"/>
      <c r="AP115" s="80"/>
      <c r="AQ115" s="80"/>
      <c r="AR115" s="80"/>
      <c r="AS115" s="80"/>
      <c r="AT115" s="80"/>
      <c r="AU115" s="80"/>
      <c r="AV115" s="78"/>
      <c r="AW115" s="31"/>
    </row>
    <row r="116" spans="1:49" ht="18.75">
      <c r="A116" s="77"/>
      <c r="B116" s="77"/>
      <c r="D116" s="1711"/>
      <c r="G116" s="2703" t="e">
        <f>#REF!</f>
        <v>#REF!</v>
      </c>
      <c r="H116" s="2704" t="e">
        <f>#REF!</f>
        <v>#REF!</v>
      </c>
      <c r="I116" s="2705" t="e">
        <f>#REF!</f>
        <v>#REF!</v>
      </c>
      <c r="J116" s="31"/>
      <c r="K116" s="2706" t="e">
        <f>#REF!</f>
        <v>#REF!</v>
      </c>
      <c r="L116" s="2699" t="e">
        <f>#REF!</f>
        <v>#REF!</v>
      </c>
      <c r="M116"/>
      <c r="N116"/>
      <c r="O116"/>
      <c r="P116"/>
      <c r="Q116"/>
      <c r="R116"/>
      <c r="S116"/>
      <c r="T116" s="2697"/>
      <c r="U116" s="2698">
        <f>Propertytotal*T116</f>
        <v>0</v>
      </c>
      <c r="V116" s="2699" t="e">
        <f>IF(AND($T$117=0,Propertytotal&gt;0),$G$112,IF(T116&lt;=K116,IF(U116&lt;=H116,"OK","NO"),"NO"))</f>
        <v>#REF!</v>
      </c>
      <c r="W116" s="79"/>
      <c r="X116" s="79"/>
      <c r="Y116" s="79"/>
      <c r="Z116"/>
      <c r="AA116"/>
      <c r="AB116" s="80"/>
      <c r="AC116" s="80"/>
      <c r="AD116" s="80"/>
      <c r="AE116" s="80"/>
      <c r="AF116" s="80"/>
      <c r="AG116" s="80"/>
      <c r="AH116" s="80"/>
      <c r="AI116" s="80"/>
      <c r="AJ116" s="80"/>
      <c r="AK116" s="80"/>
      <c r="AL116" s="80"/>
      <c r="AM116" s="80"/>
      <c r="AN116" s="80"/>
      <c r="AO116" s="80"/>
      <c r="AP116" s="80"/>
      <c r="AQ116" s="80"/>
      <c r="AR116" s="80"/>
      <c r="AS116" s="80"/>
      <c r="AT116" s="80"/>
      <c r="AU116" s="80"/>
      <c r="AV116" s="78"/>
      <c r="AW116" s="31"/>
    </row>
    <row r="117" spans="1:49">
      <c r="A117" s="77"/>
      <c r="B117" s="77"/>
      <c r="D117" s="1711"/>
      <c r="G117" s="77" t="s">
        <v>1172</v>
      </c>
      <c r="H117" s="428" t="e">
        <f>SUM(H114:H116)</f>
        <v>#REF!</v>
      </c>
      <c r="I117" s="79"/>
      <c r="J117" s="78"/>
      <c r="K117"/>
      <c r="L117"/>
      <c r="M117"/>
      <c r="N117"/>
      <c r="O117"/>
      <c r="P117"/>
      <c r="Q117"/>
      <c r="R117"/>
      <c r="S117"/>
      <c r="T117" s="748">
        <f>SUM(T114:T116)</f>
        <v>0</v>
      </c>
      <c r="U117" s="79"/>
      <c r="V117" s="78"/>
      <c r="W117" s="79"/>
      <c r="X117" s="79"/>
      <c r="Y117" s="79"/>
      <c r="Z117"/>
      <c r="AA117"/>
      <c r="AB117" s="1253"/>
      <c r="AC117" s="80"/>
      <c r="AD117" s="80"/>
      <c r="AE117" s="80"/>
      <c r="AF117" s="80"/>
      <c r="AG117" s="80"/>
      <c r="AH117" s="80"/>
      <c r="AI117" s="80"/>
      <c r="AJ117" s="80"/>
      <c r="AK117" s="80"/>
      <c r="AL117" s="80"/>
      <c r="AM117" s="80"/>
      <c r="AN117" s="80"/>
      <c r="AO117" s="80"/>
      <c r="AP117" s="80"/>
      <c r="AQ117" s="80"/>
      <c r="AR117" s="80"/>
      <c r="AS117" s="80"/>
      <c r="AT117" s="80"/>
      <c r="AU117" s="80"/>
      <c r="AV117" s="80"/>
      <c r="AW117" s="78"/>
    </row>
    <row r="118" spans="1:49">
      <c r="D118"/>
      <c r="E118"/>
      <c r="F118"/>
      <c r="G118"/>
      <c r="H118"/>
      <c r="K118"/>
      <c r="L118"/>
      <c r="M118"/>
      <c r="N118"/>
      <c r="O118"/>
      <c r="P118"/>
      <c r="Q118"/>
      <c r="R118"/>
      <c r="S118"/>
      <c r="T118"/>
      <c r="W118" s="32"/>
      <c r="Z118"/>
      <c r="AA118"/>
      <c r="AB118" s="1191"/>
      <c r="AC118" s="40"/>
      <c r="AW118" s="31"/>
    </row>
    <row r="119" spans="1:49" ht="20.25" hidden="1">
      <c r="D119" s="1873" t="str">
        <f>IF('Input '!$E$1="EN","x","")</f>
        <v>x</v>
      </c>
      <c r="F119" s="2677" t="s">
        <v>4120</v>
      </c>
      <c r="G119" s="1042" t="s">
        <v>4119</v>
      </c>
      <c r="I119" s="2056"/>
      <c r="J119" s="2056"/>
      <c r="K119" s="1042"/>
      <c r="L119" s="2056"/>
      <c r="X119" s="2056"/>
      <c r="Y119" s="2056"/>
      <c r="Z119" s="2056"/>
      <c r="AA119" s="2056"/>
    </row>
    <row r="120" spans="1:49" ht="20.25" hidden="1" customHeight="1">
      <c r="D120" s="1873" t="str">
        <f>IF('Input '!$E$1="EN","x","")</f>
        <v>x</v>
      </c>
      <c r="F120" s="2678"/>
      <c r="G120" s="3552" t="s">
        <v>1284</v>
      </c>
      <c r="H120" s="3552"/>
      <c r="I120" s="3552"/>
      <c r="J120" s="3552"/>
      <c r="K120" s="2676"/>
      <c r="L120" s="2056"/>
      <c r="X120" s="2056"/>
      <c r="Y120" s="2056"/>
      <c r="Z120" s="2056"/>
      <c r="AA120" s="2056"/>
    </row>
    <row r="121" spans="1:49" ht="20.25" hidden="1" customHeight="1">
      <c r="D121" s="1873" t="str">
        <f>IF('Input '!$E$1="EN","x","")</f>
        <v>x</v>
      </c>
      <c r="F121" s="2678"/>
      <c r="G121" s="3552" t="s">
        <v>3669</v>
      </c>
      <c r="H121" s="3552"/>
      <c r="I121" s="3552"/>
      <c r="J121" s="3552"/>
      <c r="K121" s="2676"/>
      <c r="L121" s="2056"/>
      <c r="X121" s="2056"/>
      <c r="Y121" s="2056"/>
      <c r="Z121" s="2056"/>
      <c r="AA121" s="2056"/>
    </row>
    <row r="122" spans="1:49" ht="20.25" hidden="1" customHeight="1">
      <c r="D122" s="1873" t="str">
        <f>IF('Input '!$E$1="EN","x","")</f>
        <v>x</v>
      </c>
      <c r="F122" s="2678"/>
      <c r="G122" s="3552" t="s">
        <v>974</v>
      </c>
      <c r="H122" s="3552"/>
      <c r="I122" s="3552"/>
      <c r="J122" s="3552"/>
      <c r="K122" s="2676"/>
      <c r="L122" s="2056"/>
      <c r="X122" s="2056"/>
      <c r="Y122" s="2056"/>
      <c r="Z122" s="2056"/>
      <c r="AA122" s="2056"/>
    </row>
    <row r="123" spans="1:49" ht="20.25" hidden="1" customHeight="1">
      <c r="D123" s="1873" t="str">
        <f>IF('Input '!$E$1="EN","x","")</f>
        <v>x</v>
      </c>
      <c r="F123" s="2678"/>
      <c r="G123" s="3552" t="s">
        <v>1285</v>
      </c>
      <c r="H123" s="3552"/>
      <c r="I123" s="3552"/>
      <c r="J123" s="3552"/>
      <c r="K123" s="2676"/>
      <c r="L123" s="2056"/>
      <c r="X123" s="2056"/>
      <c r="Y123" s="2056"/>
      <c r="Z123" s="2056"/>
      <c r="AA123" s="2056"/>
    </row>
    <row r="124" spans="1:49" ht="20.25" hidden="1" customHeight="1">
      <c r="D124" s="1873" t="str">
        <f>IF('Input '!$E$1="EN","x","")</f>
        <v>x</v>
      </c>
      <c r="F124" s="2678"/>
      <c r="G124" s="3552" t="s">
        <v>1282</v>
      </c>
      <c r="H124" s="3552"/>
      <c r="I124" s="3552"/>
      <c r="J124" s="3552"/>
      <c r="K124" s="2676"/>
      <c r="L124" s="2056"/>
      <c r="X124" s="2056"/>
      <c r="Y124" s="2056"/>
      <c r="Z124" s="2056"/>
      <c r="AA124" s="2056"/>
    </row>
    <row r="125" spans="1:49" ht="20.25" hidden="1" customHeight="1">
      <c r="D125" s="1873" t="str">
        <f>IF('Input '!$E$1="EN","x","")</f>
        <v>x</v>
      </c>
      <c r="F125" s="2678"/>
      <c r="G125" s="3552" t="s">
        <v>975</v>
      </c>
      <c r="H125" s="3552"/>
      <c r="I125" s="3552"/>
      <c r="J125" s="3552"/>
      <c r="K125" s="2676"/>
      <c r="L125" s="2056"/>
      <c r="X125" s="2056"/>
      <c r="Y125" s="2056"/>
      <c r="Z125" s="2056"/>
      <c r="AA125" s="2056"/>
    </row>
    <row r="126" spans="1:49" ht="20.25" hidden="1" customHeight="1">
      <c r="D126" s="1873" t="str">
        <f>IF('Input '!$E$1="EN","x","")</f>
        <v>x</v>
      </c>
      <c r="F126" s="2678"/>
      <c r="G126" s="3552" t="s">
        <v>1283</v>
      </c>
      <c r="H126" s="3552"/>
      <c r="I126" s="3552"/>
      <c r="J126" s="3552"/>
      <c r="K126" s="2676"/>
      <c r="L126" s="2056"/>
      <c r="X126" s="2056"/>
      <c r="Y126" s="2056"/>
      <c r="Z126" s="2056"/>
      <c r="AA126" s="2056"/>
    </row>
    <row r="127" spans="1:49" ht="20.25" hidden="1" customHeight="1">
      <c r="D127" s="1873" t="str">
        <f>IF('Input '!$E$1="EN","x","")</f>
        <v>x</v>
      </c>
      <c r="F127" s="2678"/>
      <c r="G127" s="3552" t="s">
        <v>1007</v>
      </c>
      <c r="H127" s="3552"/>
      <c r="I127" s="3552"/>
      <c r="J127" s="3552"/>
      <c r="K127" s="2676"/>
      <c r="L127" s="2056"/>
      <c r="X127" s="2056"/>
      <c r="Y127" s="2056"/>
      <c r="Z127" s="2056"/>
      <c r="AA127" s="2056"/>
    </row>
    <row r="128" spans="1:49" ht="20.25" hidden="1" customHeight="1">
      <c r="D128" s="1873" t="str">
        <f>IF('Input '!$E$1="EN","x","")</f>
        <v>x</v>
      </c>
      <c r="F128" s="2678"/>
      <c r="G128" s="3552" t="s">
        <v>981</v>
      </c>
      <c r="H128" s="3552"/>
      <c r="I128" s="3552"/>
      <c r="J128" s="3552"/>
      <c r="K128" s="2676"/>
      <c r="L128" s="2056"/>
      <c r="X128" s="2056"/>
      <c r="Y128" s="2056"/>
      <c r="Z128" s="2056"/>
      <c r="AA128" s="2056"/>
    </row>
    <row r="129" spans="4:27" ht="20.25" hidden="1" customHeight="1">
      <c r="D129" s="1873" t="str">
        <f>IF('Input '!$E$1="EN","x","")</f>
        <v>x</v>
      </c>
      <c r="F129" s="2678"/>
      <c r="G129" s="3552" t="s">
        <v>984</v>
      </c>
      <c r="H129" s="3552"/>
      <c r="I129" s="3552"/>
      <c r="J129" s="3552"/>
      <c r="K129" s="2676"/>
      <c r="L129" s="2056"/>
      <c r="X129" s="2056"/>
      <c r="Y129" s="2056"/>
      <c r="Z129" s="2056"/>
      <c r="AA129" s="2056"/>
    </row>
    <row r="130" spans="4:27" ht="20.25" hidden="1" customHeight="1">
      <c r="D130" s="1873" t="str">
        <f>IF('Input '!$E$1="EN","x","")</f>
        <v>x</v>
      </c>
      <c r="F130" s="2678"/>
      <c r="G130" s="3552" t="s">
        <v>976</v>
      </c>
      <c r="H130" s="3552"/>
      <c r="I130" s="3552"/>
      <c r="J130" s="3552"/>
      <c r="K130" s="2676"/>
      <c r="L130" s="2056"/>
      <c r="X130" s="2056"/>
      <c r="Y130" s="2056"/>
      <c r="Z130" s="2056"/>
      <c r="AA130" s="2056"/>
    </row>
    <row r="131" spans="4:27" ht="20.25" hidden="1" customHeight="1">
      <c r="D131" s="1873" t="str">
        <f>IF('Input '!$E$1="EN","x","")</f>
        <v>x</v>
      </c>
      <c r="F131" s="2678"/>
      <c r="G131" s="3552" t="s">
        <v>986</v>
      </c>
      <c r="H131" s="3552"/>
      <c r="I131" s="3552"/>
      <c r="J131" s="3552"/>
      <c r="K131" s="2676"/>
      <c r="L131" s="2056"/>
      <c r="X131" s="2056"/>
      <c r="Y131" s="2056"/>
      <c r="Z131" s="2056"/>
      <c r="AA131" s="2056"/>
    </row>
    <row r="132" spans="4:27" ht="36.75" hidden="1" customHeight="1">
      <c r="D132" s="1873" t="str">
        <f>IF('Input '!$E$1="EN","x","")</f>
        <v>x</v>
      </c>
      <c r="F132" s="2678"/>
      <c r="G132" s="3552" t="s">
        <v>977</v>
      </c>
      <c r="H132" s="3552"/>
      <c r="I132" s="3552"/>
      <c r="J132" s="3552"/>
      <c r="K132" s="2676"/>
      <c r="L132" s="2056"/>
      <c r="X132" s="2056"/>
      <c r="Y132" s="2056"/>
      <c r="Z132" s="2056"/>
      <c r="AA132" s="2056"/>
    </row>
    <row r="133" spans="4:27" ht="36.75" hidden="1" customHeight="1">
      <c r="D133" s="1873" t="str">
        <f>IF('Input '!$E$1="EN","x","")</f>
        <v>x</v>
      </c>
      <c r="F133" s="2678"/>
      <c r="G133" s="3552" t="s">
        <v>977</v>
      </c>
      <c r="H133" s="3552"/>
      <c r="I133" s="3552"/>
      <c r="J133" s="3552"/>
      <c r="K133" s="2676"/>
      <c r="L133" s="2056"/>
      <c r="X133" s="2056"/>
      <c r="Y133" s="2056"/>
      <c r="Z133" s="2056"/>
      <c r="AA133" s="2056"/>
    </row>
    <row r="134" spans="4:27" ht="20.25" hidden="1" customHeight="1">
      <c r="D134" s="1873" t="str">
        <f>IF('Input '!$E$1="EN","x","")</f>
        <v>x</v>
      </c>
      <c r="F134" s="2678"/>
      <c r="G134" s="3552" t="s">
        <v>985</v>
      </c>
      <c r="H134" s="3552"/>
      <c r="I134" s="3552"/>
      <c r="J134" s="3552"/>
      <c r="K134" s="2676"/>
      <c r="L134" s="2056"/>
      <c r="X134" s="2056"/>
      <c r="Y134" s="2056"/>
      <c r="Z134" s="2056"/>
      <c r="AA134" s="2056"/>
    </row>
    <row r="135" spans="4:27" ht="20.25" hidden="1" customHeight="1">
      <c r="D135" s="1873" t="str">
        <f>IF('Input '!$E$1="EN","x","")</f>
        <v>x</v>
      </c>
      <c r="F135" s="2678"/>
      <c r="G135" s="3552" t="s">
        <v>978</v>
      </c>
      <c r="H135" s="3552"/>
      <c r="I135" s="3552"/>
      <c r="J135" s="3552"/>
      <c r="K135" s="2676"/>
      <c r="L135" s="2056"/>
      <c r="X135" s="2056"/>
      <c r="Y135" s="2056"/>
      <c r="Z135" s="2056"/>
      <c r="AA135" s="2056"/>
    </row>
    <row r="136" spans="4:27" ht="20.25" hidden="1" customHeight="1">
      <c r="D136" s="1873" t="str">
        <f>IF('Input '!$E$1="EN","x","")</f>
        <v>x</v>
      </c>
      <c r="F136" s="2678"/>
      <c r="G136" s="3552" t="s">
        <v>979</v>
      </c>
      <c r="H136" s="3552"/>
      <c r="I136" s="3552"/>
      <c r="J136" s="3552"/>
      <c r="K136" s="2676"/>
      <c r="L136" s="2056"/>
      <c r="X136" s="2056"/>
      <c r="Y136" s="2056"/>
      <c r="Z136" s="2056"/>
      <c r="AA136" s="2056"/>
    </row>
    <row r="137" spans="4:27" ht="20.25" hidden="1" customHeight="1">
      <c r="D137" s="1873" t="str">
        <f>IF('Input '!$E$1="EN","x","")</f>
        <v>x</v>
      </c>
      <c r="F137" s="2678"/>
      <c r="G137" s="3552" t="s">
        <v>980</v>
      </c>
      <c r="H137" s="3552"/>
      <c r="I137" s="3552"/>
      <c r="J137" s="3552"/>
      <c r="K137" s="2676"/>
      <c r="L137" s="2056"/>
      <c r="X137" s="2056"/>
      <c r="Y137" s="2056"/>
      <c r="Z137" s="2056"/>
      <c r="AA137" s="2056"/>
    </row>
    <row r="138" spans="4:27" ht="20.25" hidden="1" customHeight="1">
      <c r="D138" s="1873" t="str">
        <f>IF('Input '!$E$1="EN","x","")</f>
        <v>x</v>
      </c>
      <c r="F138" s="2678"/>
      <c r="G138" s="3552" t="s">
        <v>987</v>
      </c>
      <c r="H138" s="3552"/>
      <c r="I138" s="3552"/>
      <c r="J138" s="3552"/>
      <c r="K138" s="2676"/>
      <c r="L138" s="2056"/>
      <c r="X138" s="2056"/>
      <c r="Y138" s="2056"/>
      <c r="Z138" s="2056"/>
      <c r="AA138" s="2056"/>
    </row>
    <row r="143" spans="4:27" ht="20.25">
      <c r="D143" s="1873" t="str">
        <f>IF('Input '!$E$1="FR","x","")</f>
        <v/>
      </c>
      <c r="F143" s="2675" t="s">
        <v>4121</v>
      </c>
      <c r="G143" s="1481" t="s">
        <v>3759</v>
      </c>
      <c r="K143" s="1042"/>
    </row>
    <row r="144" spans="4:27" ht="20.25" customHeight="1">
      <c r="D144" s="1873" t="str">
        <f>IF('Input '!$E$1="FR","x","")</f>
        <v/>
      </c>
      <c r="F144" s="2679"/>
      <c r="G144" s="3552" t="s">
        <v>3618</v>
      </c>
      <c r="H144" s="3552" t="s">
        <v>3618</v>
      </c>
      <c r="I144" s="3552" t="s">
        <v>3618</v>
      </c>
      <c r="J144" s="3552" t="s">
        <v>3618</v>
      </c>
      <c r="K144" s="2676"/>
    </row>
    <row r="145" spans="4:11" ht="20.25" customHeight="1">
      <c r="D145" s="1873" t="str">
        <f>IF('Input '!$E$1="FR","x","")</f>
        <v/>
      </c>
      <c r="F145" s="2679"/>
      <c r="G145" s="3552" t="s">
        <v>3619</v>
      </c>
      <c r="H145" s="3552" t="s">
        <v>3619</v>
      </c>
      <c r="I145" s="3552" t="s">
        <v>3619</v>
      </c>
      <c r="J145" s="3552" t="s">
        <v>3619</v>
      </c>
      <c r="K145" s="2676"/>
    </row>
    <row r="146" spans="4:11" ht="20.25" customHeight="1">
      <c r="D146" s="1873" t="str">
        <f>IF('Input '!$E$1="FR","x","")</f>
        <v/>
      </c>
      <c r="F146" s="2679"/>
      <c r="G146" s="3552" t="s">
        <v>3621</v>
      </c>
      <c r="H146" s="3552" t="s">
        <v>3621</v>
      </c>
      <c r="I146" s="3552" t="s">
        <v>3621</v>
      </c>
      <c r="J146" s="3552" t="s">
        <v>3621</v>
      </c>
      <c r="K146" s="2676"/>
    </row>
    <row r="147" spans="4:11" ht="20.25" customHeight="1">
      <c r="D147" s="1873" t="str">
        <f>IF('Input '!$E$1="FR","x","")</f>
        <v/>
      </c>
      <c r="F147" s="2679"/>
      <c r="G147" s="3552" t="s">
        <v>3622</v>
      </c>
      <c r="H147" s="3552" t="s">
        <v>3622</v>
      </c>
      <c r="I147" s="3552" t="s">
        <v>3622</v>
      </c>
      <c r="J147" s="3552" t="s">
        <v>3622</v>
      </c>
      <c r="K147" s="2676"/>
    </row>
    <row r="148" spans="4:11" ht="20.25" customHeight="1">
      <c r="D148" s="1873" t="str">
        <f>IF('Input '!$E$1="FR","x","")</f>
        <v/>
      </c>
      <c r="F148" s="2679"/>
      <c r="G148" s="3552" t="s">
        <v>3623</v>
      </c>
      <c r="H148" s="3552" t="s">
        <v>3623</v>
      </c>
      <c r="I148" s="3552" t="s">
        <v>3623</v>
      </c>
      <c r="J148" s="3552" t="s">
        <v>3623</v>
      </c>
      <c r="K148" s="2676"/>
    </row>
    <row r="149" spans="4:11" ht="20.25" customHeight="1">
      <c r="D149" s="1873" t="str">
        <f>IF('Input '!$E$1="FR","x","")</f>
        <v/>
      </c>
      <c r="F149" s="2679"/>
      <c r="G149" s="3552" t="s">
        <v>3624</v>
      </c>
      <c r="H149" s="3552" t="s">
        <v>3624</v>
      </c>
      <c r="I149" s="3552" t="s">
        <v>3624</v>
      </c>
      <c r="J149" s="3552" t="s">
        <v>3624</v>
      </c>
      <c r="K149" s="2676"/>
    </row>
    <row r="150" spans="4:11" ht="20.25" customHeight="1">
      <c r="D150" s="1873" t="str">
        <f>IF('Input '!$E$1="FR","x","")</f>
        <v/>
      </c>
      <c r="F150" s="2679"/>
      <c r="G150" s="3552" t="s">
        <v>3625</v>
      </c>
      <c r="H150" s="3552" t="s">
        <v>3625</v>
      </c>
      <c r="I150" s="3552" t="s">
        <v>3625</v>
      </c>
      <c r="J150" s="3552" t="s">
        <v>3625</v>
      </c>
      <c r="K150" s="2676"/>
    </row>
    <row r="151" spans="4:11" ht="20.25" customHeight="1">
      <c r="D151" s="1873" t="str">
        <f>IF('Input '!$E$1="FR","x","")</f>
        <v/>
      </c>
      <c r="F151" s="2679"/>
      <c r="G151" s="3552" t="s">
        <v>3626</v>
      </c>
      <c r="H151" s="3552" t="s">
        <v>3626</v>
      </c>
      <c r="I151" s="3552" t="s">
        <v>3626</v>
      </c>
      <c r="J151" s="3552" t="s">
        <v>3626</v>
      </c>
      <c r="K151" s="2676"/>
    </row>
    <row r="152" spans="4:11" ht="20.25" customHeight="1">
      <c r="D152" s="1873" t="str">
        <f>IF('Input '!$E$1="FR","x","")</f>
        <v/>
      </c>
      <c r="F152" s="2679"/>
      <c r="G152" s="3552" t="s">
        <v>3627</v>
      </c>
      <c r="H152" s="3552" t="s">
        <v>3627</v>
      </c>
      <c r="I152" s="3552" t="s">
        <v>3627</v>
      </c>
      <c r="J152" s="3552" t="s">
        <v>3627</v>
      </c>
      <c r="K152" s="2676"/>
    </row>
    <row r="153" spans="4:11" ht="20.25" customHeight="1">
      <c r="D153" s="1873" t="str">
        <f>IF('Input '!$E$1="FR","x","")</f>
        <v/>
      </c>
      <c r="F153" s="2679"/>
      <c r="G153" s="3552" t="s">
        <v>3628</v>
      </c>
      <c r="H153" s="3552" t="s">
        <v>3628</v>
      </c>
      <c r="I153" s="3552" t="s">
        <v>3628</v>
      </c>
      <c r="J153" s="3552" t="s">
        <v>3628</v>
      </c>
      <c r="K153" s="2676"/>
    </row>
    <row r="154" spans="4:11" ht="20.25" customHeight="1">
      <c r="D154" s="1873" t="str">
        <f>IF('Input '!$E$1="FR","x","")</f>
        <v/>
      </c>
      <c r="F154" s="2679"/>
      <c r="G154" s="3552" t="s">
        <v>3629</v>
      </c>
      <c r="H154" s="3552" t="s">
        <v>3629</v>
      </c>
      <c r="I154" s="3552" t="s">
        <v>3629</v>
      </c>
      <c r="J154" s="3552" t="s">
        <v>3629</v>
      </c>
      <c r="K154" s="2676"/>
    </row>
    <row r="155" spans="4:11" ht="20.25" customHeight="1">
      <c r="D155" s="1873" t="str">
        <f>IF('Input '!$E$1="FR","x","")</f>
        <v/>
      </c>
      <c r="F155" s="2679"/>
      <c r="G155" s="3552" t="s">
        <v>3632</v>
      </c>
      <c r="H155" s="3552" t="s">
        <v>3632</v>
      </c>
      <c r="I155" s="3552" t="s">
        <v>3632</v>
      </c>
      <c r="J155" s="3552" t="s">
        <v>3632</v>
      </c>
      <c r="K155" s="2676"/>
    </row>
    <row r="156" spans="4:11" ht="20.25" customHeight="1">
      <c r="D156" s="1873" t="str">
        <f>IF('Input '!$E$1="FR","x","")</f>
        <v/>
      </c>
      <c r="F156" s="2679"/>
      <c r="G156" s="3552" t="s">
        <v>3633</v>
      </c>
      <c r="H156" s="3552" t="s">
        <v>3633</v>
      </c>
      <c r="I156" s="3552" t="s">
        <v>3633</v>
      </c>
      <c r="J156" s="3552" t="s">
        <v>3633</v>
      </c>
      <c r="K156" s="2676"/>
    </row>
    <row r="157" spans="4:11" ht="20.25" customHeight="1">
      <c r="D157" s="1873" t="str">
        <f>IF('Input '!$E$1="FR","x","")</f>
        <v/>
      </c>
      <c r="F157" s="2679"/>
      <c r="G157" s="3552" t="s">
        <v>3634</v>
      </c>
      <c r="H157" s="3552" t="s">
        <v>3634</v>
      </c>
      <c r="I157" s="3552" t="s">
        <v>3634</v>
      </c>
      <c r="J157" s="3552" t="s">
        <v>3634</v>
      </c>
      <c r="K157" s="2676"/>
    </row>
    <row r="158" spans="4:11" ht="20.25" customHeight="1">
      <c r="D158" s="1873" t="str">
        <f>IF('Input '!$E$1="FR","x","")</f>
        <v/>
      </c>
      <c r="F158" s="2679"/>
      <c r="G158" s="3552" t="s">
        <v>3635</v>
      </c>
      <c r="H158" s="3552" t="s">
        <v>3635</v>
      </c>
      <c r="I158" s="3552" t="s">
        <v>3635</v>
      </c>
      <c r="J158" s="3552" t="s">
        <v>3635</v>
      </c>
      <c r="K158" s="2676"/>
    </row>
    <row r="159" spans="4:11" ht="20.25" customHeight="1">
      <c r="D159" s="1873" t="str">
        <f>IF('Input '!$E$1="FR","x","")</f>
        <v/>
      </c>
      <c r="F159" s="2679"/>
      <c r="G159" s="3552" t="s">
        <v>3636</v>
      </c>
      <c r="H159" s="3552" t="s">
        <v>3636</v>
      </c>
      <c r="I159" s="3552" t="s">
        <v>3636</v>
      </c>
      <c r="J159" s="3552" t="s">
        <v>3636</v>
      </c>
      <c r="K159" s="2676"/>
    </row>
    <row r="160" spans="4:11" ht="20.25" customHeight="1">
      <c r="D160" s="1873" t="str">
        <f>IF('Input '!$E$1="FR","x","")</f>
        <v/>
      </c>
      <c r="F160" s="2679"/>
      <c r="G160" s="3552" t="s">
        <v>3637</v>
      </c>
      <c r="H160" s="3552" t="s">
        <v>3637</v>
      </c>
      <c r="I160" s="3552" t="s">
        <v>3637</v>
      </c>
      <c r="J160" s="3552" t="s">
        <v>3637</v>
      </c>
      <c r="K160" s="2676"/>
    </row>
    <row r="161" spans="4:11" ht="20.25" customHeight="1">
      <c r="D161" s="1873" t="str">
        <f>IF('Input '!$E$1="FR","x","")</f>
        <v/>
      </c>
      <c r="F161" s="2679"/>
      <c r="G161" s="3552" t="s">
        <v>3639</v>
      </c>
      <c r="H161" s="3552" t="s">
        <v>3639</v>
      </c>
      <c r="I161" s="3552" t="s">
        <v>3639</v>
      </c>
      <c r="J161" s="3552" t="s">
        <v>3639</v>
      </c>
      <c r="K161" s="2676"/>
    </row>
    <row r="162" spans="4:11" ht="20.25" customHeight="1">
      <c r="D162" s="1873" t="str">
        <f>IF('Input '!$E$1="FR","x","")</f>
        <v/>
      </c>
      <c r="F162" s="2679"/>
      <c r="G162" s="3552" t="s">
        <v>3594</v>
      </c>
      <c r="H162" s="3552" t="s">
        <v>3594</v>
      </c>
      <c r="I162" s="3552" t="s">
        <v>3594</v>
      </c>
      <c r="J162" s="3552" t="s">
        <v>3594</v>
      </c>
      <c r="K162" s="2676"/>
    </row>
    <row r="163" spans="4:11" ht="20.25" customHeight="1">
      <c r="D163" s="1873" t="str">
        <f>IF('Input '!$E$1="FR","x","")</f>
        <v/>
      </c>
      <c r="F163" s="2679"/>
      <c r="G163" s="3552" t="s">
        <v>3641</v>
      </c>
      <c r="H163" s="3552" t="s">
        <v>3641</v>
      </c>
      <c r="I163" s="3552" t="s">
        <v>3641</v>
      </c>
      <c r="J163" s="3552" t="s">
        <v>3641</v>
      </c>
      <c r="K163" s="2676"/>
    </row>
    <row r="164" spans="4:11" ht="20.25" customHeight="1">
      <c r="D164" s="1873" t="str">
        <f>IF('Input '!$E$1="FR","x","")</f>
        <v/>
      </c>
      <c r="F164" s="2679"/>
      <c r="G164" s="3552" t="s">
        <v>3644</v>
      </c>
      <c r="H164" s="3552" t="s">
        <v>3644</v>
      </c>
      <c r="I164" s="3552" t="s">
        <v>3644</v>
      </c>
      <c r="J164" s="3552" t="s">
        <v>3644</v>
      </c>
      <c r="K164" s="2676"/>
    </row>
    <row r="165" spans="4:11" ht="20.25" customHeight="1">
      <c r="D165" s="1873" t="str">
        <f>IF('Input '!$E$1="FR","x","")</f>
        <v/>
      </c>
      <c r="F165" s="2679"/>
      <c r="G165" s="3552" t="s">
        <v>3645</v>
      </c>
      <c r="H165" s="3552" t="s">
        <v>3645</v>
      </c>
      <c r="I165" s="3552" t="s">
        <v>3645</v>
      </c>
      <c r="J165" s="3552" t="s">
        <v>3645</v>
      </c>
      <c r="K165" s="2676"/>
    </row>
    <row r="166" spans="4:11" ht="20.25" customHeight="1">
      <c r="D166" s="1873" t="str">
        <f>IF('Input '!$E$1="FR","x","")</f>
        <v/>
      </c>
      <c r="F166" s="2679"/>
      <c r="G166" s="3552" t="s">
        <v>3659</v>
      </c>
      <c r="H166" s="3552" t="s">
        <v>3659</v>
      </c>
      <c r="I166" s="3552" t="s">
        <v>3659</v>
      </c>
      <c r="J166" s="3552" t="s">
        <v>3659</v>
      </c>
      <c r="K166" s="2676"/>
    </row>
    <row r="167" spans="4:11" ht="20.25" customHeight="1">
      <c r="D167" s="1873" t="str">
        <f>IF('Input '!$E$1="FR","x","")</f>
        <v/>
      </c>
      <c r="F167" s="2679"/>
      <c r="G167" s="3552" t="s">
        <v>3660</v>
      </c>
      <c r="H167" s="3552" t="s">
        <v>3660</v>
      </c>
      <c r="I167" s="3552" t="s">
        <v>3660</v>
      </c>
      <c r="J167" s="3552" t="s">
        <v>3660</v>
      </c>
      <c r="K167" s="2676"/>
    </row>
    <row r="168" spans="4:11" ht="20.25" customHeight="1">
      <c r="D168" s="1873" t="str">
        <f>IF('Input '!$E$1="FR","x","")</f>
        <v/>
      </c>
      <c r="F168" s="2679"/>
      <c r="G168" s="3552" t="s">
        <v>3590</v>
      </c>
      <c r="H168" s="3552" t="s">
        <v>3590</v>
      </c>
      <c r="I168" s="3552" t="s">
        <v>3590</v>
      </c>
      <c r="J168" s="3552" t="s">
        <v>3590</v>
      </c>
      <c r="K168" s="2676"/>
    </row>
    <row r="169" spans="4:11" ht="20.25" customHeight="1">
      <c r="D169" s="1873" t="str">
        <f>IF('Input '!$E$1="FR","x","")</f>
        <v/>
      </c>
      <c r="F169" s="2679"/>
      <c r="G169" s="3552" t="s">
        <v>3591</v>
      </c>
      <c r="H169" s="3552" t="s">
        <v>3591</v>
      </c>
      <c r="I169" s="3552" t="s">
        <v>3591</v>
      </c>
      <c r="J169" s="3552" t="s">
        <v>3591</v>
      </c>
      <c r="K169" s="2676"/>
    </row>
    <row r="170" spans="4:11" ht="20.25" customHeight="1">
      <c r="D170" s="1873" t="str">
        <f>IF('Input '!$E$1="FR","x","")</f>
        <v/>
      </c>
      <c r="F170" s="2679"/>
      <c r="G170" s="3552" t="s">
        <v>3592</v>
      </c>
      <c r="H170" s="3552" t="s">
        <v>3592</v>
      </c>
      <c r="I170" s="3552" t="s">
        <v>3592</v>
      </c>
      <c r="J170" s="3552" t="s">
        <v>3592</v>
      </c>
      <c r="K170" s="2676"/>
    </row>
    <row r="171" spans="4:11" ht="20.25" customHeight="1">
      <c r="D171" s="1873" t="str">
        <f>IF('Input '!$E$1="FR","x","")</f>
        <v/>
      </c>
      <c r="F171" s="2679"/>
      <c r="G171" s="3552" t="s">
        <v>3593</v>
      </c>
      <c r="H171" s="3552" t="s">
        <v>3593</v>
      </c>
      <c r="I171" s="3552" t="s">
        <v>3593</v>
      </c>
      <c r="J171" s="3552" t="s">
        <v>3593</v>
      </c>
      <c r="K171" s="2676"/>
    </row>
    <row r="172" spans="4:11" ht="20.25" customHeight="1">
      <c r="D172" s="1873" t="str">
        <f>IF('Input '!$E$1="FR","x","")</f>
        <v/>
      </c>
      <c r="F172" s="2679"/>
      <c r="G172" s="3552" t="s">
        <v>3595</v>
      </c>
      <c r="H172" s="3552" t="s">
        <v>3595</v>
      </c>
      <c r="I172" s="3552" t="s">
        <v>3595</v>
      </c>
      <c r="J172" s="3552" t="s">
        <v>3595</v>
      </c>
      <c r="K172" s="2676"/>
    </row>
  </sheetData>
  <mergeCells count="49">
    <mergeCell ref="G137:J137"/>
    <mergeCell ref="G132:J132"/>
    <mergeCell ref="G133:J133"/>
    <mergeCell ref="G134:J134"/>
    <mergeCell ref="G135:J135"/>
    <mergeCell ref="G136:J136"/>
    <mergeCell ref="G144:J144"/>
    <mergeCell ref="G145:J145"/>
    <mergeCell ref="G146:J146"/>
    <mergeCell ref="G120:J120"/>
    <mergeCell ref="G121:J121"/>
    <mergeCell ref="G122:J122"/>
    <mergeCell ref="G123:J123"/>
    <mergeCell ref="G124:J124"/>
    <mergeCell ref="G125:J125"/>
    <mergeCell ref="G126:J126"/>
    <mergeCell ref="G138:J138"/>
    <mergeCell ref="G127:J127"/>
    <mergeCell ref="G128:J128"/>
    <mergeCell ref="G129:J129"/>
    <mergeCell ref="G130:J130"/>
    <mergeCell ref="G131:J131"/>
    <mergeCell ref="G165:J165"/>
    <mergeCell ref="G147:J147"/>
    <mergeCell ref="G148:J148"/>
    <mergeCell ref="G149:J149"/>
    <mergeCell ref="G150:J150"/>
    <mergeCell ref="G151:J151"/>
    <mergeCell ref="G152:J152"/>
    <mergeCell ref="G153:J153"/>
    <mergeCell ref="G154:J154"/>
    <mergeCell ref="G155:J155"/>
    <mergeCell ref="G156:J156"/>
    <mergeCell ref="K108:L108"/>
    <mergeCell ref="G172:J172"/>
    <mergeCell ref="G166:J166"/>
    <mergeCell ref="G167:J167"/>
    <mergeCell ref="G168:J168"/>
    <mergeCell ref="G169:J169"/>
    <mergeCell ref="G170:J170"/>
    <mergeCell ref="G157:J157"/>
    <mergeCell ref="G158:J158"/>
    <mergeCell ref="G159:J159"/>
    <mergeCell ref="G160:J160"/>
    <mergeCell ref="G171:J171"/>
    <mergeCell ref="G161:J161"/>
    <mergeCell ref="G162:J162"/>
    <mergeCell ref="G163:J163"/>
    <mergeCell ref="G164:J164"/>
  </mergeCells>
  <conditionalFormatting sqref="E102:E104 A101:B101 E106:E109 A110:B110 E99:E100 E95:E97 A98 E2:E4 A1 B2:B4 AA56:AR56 E6:E12 E119:E1048576 E111 F56:V56 X56:Y56 E15:E21 E57:E93 E23:E55">
    <cfRule type="containsText" dxfId="48" priority="244" operator="containsText" text="Y">
      <formula>NOT(ISERROR(SEARCH("Y",A1)))</formula>
    </cfRule>
  </conditionalFormatting>
  <conditionalFormatting sqref="V114:V116 H114:I116 K114:L116 H117 A49:B56 AB49:AC56">
    <cfRule type="containsErrors" dxfId="47" priority="151">
      <formula>ISERROR(A49)</formula>
    </cfRule>
  </conditionalFormatting>
  <conditionalFormatting sqref="D98:D101 D3:D4 D103:D110 D119:D138 D143:D172 D6:D47 D49:D93">
    <cfRule type="cellIs" dxfId="46" priority="33" operator="equal">
      <formula>0</formula>
    </cfRule>
  </conditionalFormatting>
  <conditionalFormatting sqref="W6:W12">
    <cfRule type="cellIs" dxfId="45" priority="21" operator="equal">
      <formula>0</formula>
    </cfRule>
  </conditionalFormatting>
  <conditionalFormatting sqref="G49">
    <cfRule type="expression" dxfId="44" priority="16">
      <formula>$E49="Y"</formula>
    </cfRule>
  </conditionalFormatting>
  <conditionalFormatting sqref="G51">
    <cfRule type="expression" dxfId="43" priority="15">
      <formula>$E51="Y"</formula>
    </cfRule>
  </conditionalFormatting>
  <conditionalFormatting sqref="G50">
    <cfRule type="expression" dxfId="42" priority="14">
      <formula>$E50="Y"</formula>
    </cfRule>
  </conditionalFormatting>
  <conditionalFormatting sqref="G52">
    <cfRule type="expression" dxfId="41" priority="13">
      <formula>$E52="Y"</formula>
    </cfRule>
  </conditionalFormatting>
  <conditionalFormatting sqref="G53">
    <cfRule type="expression" dxfId="40" priority="12">
      <formula>$E53="Y"</formula>
    </cfRule>
  </conditionalFormatting>
  <conditionalFormatting sqref="G54">
    <cfRule type="expression" dxfId="39" priority="11">
      <formula>$E54="Y"</formula>
    </cfRule>
  </conditionalFormatting>
  <conditionalFormatting sqref="G15">
    <cfRule type="expression" dxfId="38" priority="10">
      <formula>$E15="Y"</formula>
    </cfRule>
  </conditionalFormatting>
  <conditionalFormatting sqref="G16">
    <cfRule type="expression" dxfId="37" priority="9">
      <formula>$E16="Y"</formula>
    </cfRule>
  </conditionalFormatting>
  <conditionalFormatting sqref="G17:G18">
    <cfRule type="expression" dxfId="36" priority="8">
      <formula>$E17="Y"</formula>
    </cfRule>
  </conditionalFormatting>
  <conditionalFormatting sqref="G55">
    <cfRule type="expression" dxfId="35" priority="4">
      <formula>$E55="Y"</formula>
    </cfRule>
  </conditionalFormatting>
  <conditionalFormatting sqref="G55">
    <cfRule type="expression" dxfId="34" priority="3">
      <formula>$E55="Y"</formula>
    </cfRule>
  </conditionalFormatting>
  <conditionalFormatting sqref="H9">
    <cfRule type="containsText" dxfId="33" priority="2" operator="containsText" text="Free in package">
      <formula>NOT(ISERROR(SEARCH("Free in package",H9)))</formula>
    </cfRule>
  </conditionalFormatting>
  <dataValidations count="10">
    <dataValidation type="list" allowBlank="1" showInputMessage="1" showErrorMessage="1" sqref="J36:K40 J30:K34 J42:K46 K47:K55 K24:K28" xr:uid="{00000000-0002-0000-0600-000000000000}">
      <formula1>Broadform</formula1>
    </dataValidation>
    <dataValidation type="list" allowBlank="1" showInputMessage="1" showErrorMessage="1" sqref="K77" xr:uid="{00000000-0002-0000-0600-000001000000}">
      <formula1>BrisMachine</formula1>
    </dataValidation>
    <dataValidation type="list" allowBlank="1" showInputMessage="1" showErrorMessage="1" sqref="I108:J108" xr:uid="{00000000-0002-0000-0600-000002000000}">
      <formula1>cyber</formula1>
    </dataValidation>
    <dataValidation allowBlank="1" showInputMessage="1" showErrorMessage="1" error="Maximum Autorisé par Amlin 250 000$" sqref="J95 V95 S95:T95" xr:uid="{00000000-0002-0000-0600-000004000000}"/>
    <dataValidation type="list" allowBlank="1" showInputMessage="1" showErrorMessage="1" sqref="E23:E48 E6:E8 E57 E20:E21 E59:E76 E82:E93" xr:uid="{00000000-0002-0000-0600-000005000000}">
      <formula1>Y_N</formula1>
    </dataValidation>
    <dataValidation type="list" allowBlank="1" showInputMessage="1" showErrorMessage="1" sqref="L36:L40 L24:L28 L30:L34 L42:L55" xr:uid="{00000000-0002-0000-0600-000006000000}">
      <formula1>Form</formula1>
    </dataValidation>
    <dataValidation type="list" allowBlank="1" showInputMessage="1" showErrorMessage="1" sqref="Q31:R34" xr:uid="{00000000-0002-0000-0600-000007000000}">
      <formula1>#REF!</formula1>
    </dataValidation>
    <dataValidation type="list" allowBlank="1" showInputMessage="1" showErrorMessage="1" sqref="I12 I14" xr:uid="{00000000-0002-0000-0600-000008000000}">
      <formula1>CW182_</formula1>
    </dataValidation>
    <dataValidation type="whole" allowBlank="1" showInputMessage="1" showErrorMessage="1" errorTitle="max 50K$ per item rented" error="max 50K$ per item rented" sqref="I8" xr:uid="{00000000-0002-0000-0600-000009000000}">
      <formula1>0</formula1>
      <formula2>50000</formula2>
    </dataValidation>
    <dataValidation type="decimal" allowBlank="1" showInputMessage="1" showErrorMessage="1" sqref="L1" xr:uid="{00000000-0002-0000-0600-00000A000000}">
      <formula1>0</formula1>
      <formula2>N1</formula2>
    </dataValidation>
  </dataValidations>
  <printOptions horizontalCentered="1" verticalCentered="1"/>
  <pageMargins left="0" right="0" top="0" bottom="0" header="0.3" footer="0.3"/>
  <pageSetup scale="38" fitToHeight="2"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90" r:id="rId4" name="Check Box 42">
              <controlPr defaultSize="0" autoFill="0" autoLine="0" autoPict="0">
                <anchor moveWithCells="1">
                  <from>
                    <xdr:col>5</xdr:col>
                    <xdr:colOff>38100</xdr:colOff>
                    <xdr:row>107</xdr:row>
                    <xdr:rowOff>304800</xdr:rowOff>
                  </from>
                  <to>
                    <xdr:col>5</xdr:col>
                    <xdr:colOff>409575</xdr:colOff>
                    <xdr:row>109</xdr:row>
                    <xdr:rowOff>9525</xdr:rowOff>
                  </to>
                </anchor>
              </controlPr>
            </control>
          </mc:Choice>
        </mc:AlternateContent>
        <mc:AlternateContent xmlns:mc="http://schemas.openxmlformats.org/markup-compatibility/2006">
          <mc:Choice Requires="x14">
            <control shapeId="2092" r:id="rId5" name="Check Box 44">
              <controlPr defaultSize="0" autoFill="0" autoLine="0" autoPict="0">
                <anchor moveWithCells="1">
                  <from>
                    <xdr:col>5</xdr:col>
                    <xdr:colOff>76200</xdr:colOff>
                    <xdr:row>105</xdr:row>
                    <xdr:rowOff>123825</xdr:rowOff>
                  </from>
                  <to>
                    <xdr:col>5</xdr:col>
                    <xdr:colOff>466725</xdr:colOff>
                    <xdr:row>105</xdr:row>
                    <xdr:rowOff>342900</xdr:rowOff>
                  </to>
                </anchor>
              </controlPr>
            </control>
          </mc:Choice>
        </mc:AlternateContent>
        <mc:AlternateContent xmlns:mc="http://schemas.openxmlformats.org/markup-compatibility/2006">
          <mc:Choice Requires="x14">
            <control shapeId="2093" r:id="rId6" name="Check Box 45">
              <controlPr defaultSize="0" autoFill="0" autoLine="0" autoPict="0">
                <anchor moveWithCells="1">
                  <from>
                    <xdr:col>5</xdr:col>
                    <xdr:colOff>57150</xdr:colOff>
                    <xdr:row>106</xdr:row>
                    <xdr:rowOff>266700</xdr:rowOff>
                  </from>
                  <to>
                    <xdr:col>5</xdr:col>
                    <xdr:colOff>438150</xdr:colOff>
                    <xdr:row>107</xdr:row>
                    <xdr:rowOff>295275</xdr:rowOff>
                  </to>
                </anchor>
              </controlPr>
            </control>
          </mc:Choice>
        </mc:AlternateContent>
        <mc:AlternateContent xmlns:mc="http://schemas.openxmlformats.org/markup-compatibility/2006">
          <mc:Choice Requires="x14">
            <control shapeId="2094" r:id="rId7" name="Check Box 46">
              <controlPr defaultSize="0" autoFill="0" autoLine="0" autoPict="0">
                <anchor moveWithCells="1">
                  <from>
                    <xdr:col>5</xdr:col>
                    <xdr:colOff>66675</xdr:colOff>
                    <xdr:row>105</xdr:row>
                    <xdr:rowOff>304800</xdr:rowOff>
                  </from>
                  <to>
                    <xdr:col>5</xdr:col>
                    <xdr:colOff>438150</xdr:colOff>
                    <xdr:row>106</xdr:row>
                    <xdr:rowOff>266700</xdr:rowOff>
                  </to>
                </anchor>
              </controlPr>
            </control>
          </mc:Choice>
        </mc:AlternateContent>
        <mc:AlternateContent xmlns:mc="http://schemas.openxmlformats.org/markup-compatibility/2006">
          <mc:Choice Requires="x14">
            <control shapeId="2169" r:id="rId8" name="Check Box 121">
              <controlPr defaultSize="0" autoFill="0" autoLine="0" autoPict="0">
                <anchor moveWithCells="1">
                  <from>
                    <xdr:col>5</xdr:col>
                    <xdr:colOff>66675</xdr:colOff>
                    <xdr:row>48</xdr:row>
                    <xdr:rowOff>400050</xdr:rowOff>
                  </from>
                  <to>
                    <xdr:col>5</xdr:col>
                    <xdr:colOff>438150</xdr:colOff>
                    <xdr:row>49</xdr:row>
                    <xdr:rowOff>285750</xdr:rowOff>
                  </to>
                </anchor>
              </controlPr>
            </control>
          </mc:Choice>
        </mc:AlternateContent>
        <mc:AlternateContent xmlns:mc="http://schemas.openxmlformats.org/markup-compatibility/2006">
          <mc:Choice Requires="x14">
            <control shapeId="2170" r:id="rId9" name="Check Box 122">
              <controlPr defaultSize="0" autoFill="0" autoLine="0" autoPict="0">
                <anchor moveWithCells="1">
                  <from>
                    <xdr:col>5</xdr:col>
                    <xdr:colOff>66675</xdr:colOff>
                    <xdr:row>49</xdr:row>
                    <xdr:rowOff>400050</xdr:rowOff>
                  </from>
                  <to>
                    <xdr:col>5</xdr:col>
                    <xdr:colOff>438150</xdr:colOff>
                    <xdr:row>50</xdr:row>
                    <xdr:rowOff>342900</xdr:rowOff>
                  </to>
                </anchor>
              </controlPr>
            </control>
          </mc:Choice>
        </mc:AlternateContent>
        <mc:AlternateContent xmlns:mc="http://schemas.openxmlformats.org/markup-compatibility/2006">
          <mc:Choice Requires="x14">
            <control shapeId="2172" r:id="rId10" name="Check Box 124">
              <controlPr defaultSize="0" autoFill="0" autoLine="0" autoPict="0">
                <anchor moveWithCells="1">
                  <from>
                    <xdr:col>5</xdr:col>
                    <xdr:colOff>66675</xdr:colOff>
                    <xdr:row>48</xdr:row>
                    <xdr:rowOff>400050</xdr:rowOff>
                  </from>
                  <to>
                    <xdr:col>5</xdr:col>
                    <xdr:colOff>438150</xdr:colOff>
                    <xdr:row>49</xdr:row>
                    <xdr:rowOff>285750</xdr:rowOff>
                  </to>
                </anchor>
              </controlPr>
            </control>
          </mc:Choice>
        </mc:AlternateContent>
        <mc:AlternateContent xmlns:mc="http://schemas.openxmlformats.org/markup-compatibility/2006">
          <mc:Choice Requires="x14">
            <control shapeId="2175" r:id="rId11" name="Check Box 127">
              <controlPr defaultSize="0" autoFill="0" autoLine="0" autoPict="0">
                <anchor moveWithCells="1">
                  <from>
                    <xdr:col>5</xdr:col>
                    <xdr:colOff>66675</xdr:colOff>
                    <xdr:row>51</xdr:row>
                    <xdr:rowOff>0</xdr:rowOff>
                  </from>
                  <to>
                    <xdr:col>5</xdr:col>
                    <xdr:colOff>438150</xdr:colOff>
                    <xdr:row>51</xdr:row>
                    <xdr:rowOff>342900</xdr:rowOff>
                  </to>
                </anchor>
              </controlPr>
            </control>
          </mc:Choice>
        </mc:AlternateContent>
        <mc:AlternateContent xmlns:mc="http://schemas.openxmlformats.org/markup-compatibility/2006">
          <mc:Choice Requires="x14">
            <control shapeId="2176" r:id="rId12" name="Check Box 128">
              <controlPr defaultSize="0" autoFill="0" autoLine="0" autoPict="0">
                <anchor moveWithCells="1">
                  <from>
                    <xdr:col>5</xdr:col>
                    <xdr:colOff>66675</xdr:colOff>
                    <xdr:row>52</xdr:row>
                    <xdr:rowOff>0</xdr:rowOff>
                  </from>
                  <to>
                    <xdr:col>5</xdr:col>
                    <xdr:colOff>438150</xdr:colOff>
                    <xdr:row>52</xdr:row>
                    <xdr:rowOff>342900</xdr:rowOff>
                  </to>
                </anchor>
              </controlPr>
            </control>
          </mc:Choice>
        </mc:AlternateContent>
        <mc:AlternateContent xmlns:mc="http://schemas.openxmlformats.org/markup-compatibility/2006">
          <mc:Choice Requires="x14">
            <control shapeId="2177" r:id="rId13" name="Check Box 129">
              <controlPr defaultSize="0" autoFill="0" autoLine="0" autoPict="0">
                <anchor moveWithCells="1">
                  <from>
                    <xdr:col>5</xdr:col>
                    <xdr:colOff>66675</xdr:colOff>
                    <xdr:row>53</xdr:row>
                    <xdr:rowOff>0</xdr:rowOff>
                  </from>
                  <to>
                    <xdr:col>5</xdr:col>
                    <xdr:colOff>438150</xdr:colOff>
                    <xdr:row>53</xdr:row>
                    <xdr:rowOff>342900</xdr:rowOff>
                  </to>
                </anchor>
              </controlPr>
            </control>
          </mc:Choice>
        </mc:AlternateContent>
        <mc:AlternateContent xmlns:mc="http://schemas.openxmlformats.org/markup-compatibility/2006">
          <mc:Choice Requires="x14">
            <control shapeId="2258" r:id="rId14" name="Check Box 210">
              <controlPr defaultSize="0" autoFill="0" autoLine="0" autoPict="0">
                <anchor moveWithCells="1">
                  <from>
                    <xdr:col>5</xdr:col>
                    <xdr:colOff>66675</xdr:colOff>
                    <xdr:row>10</xdr:row>
                    <xdr:rowOff>28575</xdr:rowOff>
                  </from>
                  <to>
                    <xdr:col>5</xdr:col>
                    <xdr:colOff>438150</xdr:colOff>
                    <xdr:row>11</xdr:row>
                    <xdr:rowOff>9525</xdr:rowOff>
                  </to>
                </anchor>
              </controlPr>
            </control>
          </mc:Choice>
        </mc:AlternateContent>
        <mc:AlternateContent xmlns:mc="http://schemas.openxmlformats.org/markup-compatibility/2006">
          <mc:Choice Requires="x14">
            <control shapeId="2273" r:id="rId15" name="Check Box 225">
              <controlPr defaultSize="0" autoFill="0" autoLine="0" autoPict="0">
                <anchor moveWithCells="1">
                  <from>
                    <xdr:col>5</xdr:col>
                    <xdr:colOff>66675</xdr:colOff>
                    <xdr:row>76</xdr:row>
                    <xdr:rowOff>0</xdr:rowOff>
                  </from>
                  <to>
                    <xdr:col>5</xdr:col>
                    <xdr:colOff>438150</xdr:colOff>
                    <xdr:row>76</xdr:row>
                    <xdr:rowOff>342900</xdr:rowOff>
                  </to>
                </anchor>
              </controlPr>
            </control>
          </mc:Choice>
        </mc:AlternateContent>
        <mc:AlternateContent xmlns:mc="http://schemas.openxmlformats.org/markup-compatibility/2006">
          <mc:Choice Requires="x14">
            <control shapeId="2274" r:id="rId16" name="Check Box 226">
              <controlPr defaultSize="0" autoFill="0" autoLine="0" autoPict="0">
                <anchor moveWithCells="1">
                  <from>
                    <xdr:col>5</xdr:col>
                    <xdr:colOff>66675</xdr:colOff>
                    <xdr:row>77</xdr:row>
                    <xdr:rowOff>0</xdr:rowOff>
                  </from>
                  <to>
                    <xdr:col>5</xdr:col>
                    <xdr:colOff>438150</xdr:colOff>
                    <xdr:row>77</xdr:row>
                    <xdr:rowOff>342900</xdr:rowOff>
                  </to>
                </anchor>
              </controlPr>
            </control>
          </mc:Choice>
        </mc:AlternateContent>
        <mc:AlternateContent xmlns:mc="http://schemas.openxmlformats.org/markup-compatibility/2006">
          <mc:Choice Requires="x14">
            <control shapeId="2275" r:id="rId17" name="Check Box 227">
              <controlPr defaultSize="0" autoFill="0" autoLine="0" autoPict="0">
                <anchor moveWithCells="1">
                  <from>
                    <xdr:col>5</xdr:col>
                    <xdr:colOff>66675</xdr:colOff>
                    <xdr:row>78</xdr:row>
                    <xdr:rowOff>0</xdr:rowOff>
                  </from>
                  <to>
                    <xdr:col>5</xdr:col>
                    <xdr:colOff>438150</xdr:colOff>
                    <xdr:row>78</xdr:row>
                    <xdr:rowOff>342900</xdr:rowOff>
                  </to>
                </anchor>
              </controlPr>
            </control>
          </mc:Choice>
        </mc:AlternateContent>
        <mc:AlternateContent xmlns:mc="http://schemas.openxmlformats.org/markup-compatibility/2006">
          <mc:Choice Requires="x14">
            <control shapeId="2276" r:id="rId18" name="Check Box 228">
              <controlPr defaultSize="0" autoFill="0" autoLine="0" autoPict="0">
                <anchor moveWithCells="1">
                  <from>
                    <xdr:col>5</xdr:col>
                    <xdr:colOff>66675</xdr:colOff>
                    <xdr:row>79</xdr:row>
                    <xdr:rowOff>0</xdr:rowOff>
                  </from>
                  <to>
                    <xdr:col>5</xdr:col>
                    <xdr:colOff>438150</xdr:colOff>
                    <xdr:row>79</xdr:row>
                    <xdr:rowOff>342900</xdr:rowOff>
                  </to>
                </anchor>
              </controlPr>
            </control>
          </mc:Choice>
        </mc:AlternateContent>
        <mc:AlternateContent xmlns:mc="http://schemas.openxmlformats.org/markup-compatibility/2006">
          <mc:Choice Requires="x14">
            <control shapeId="2277" r:id="rId19" name="Check Box 229">
              <controlPr defaultSize="0" autoFill="0" autoLine="0" autoPict="0">
                <anchor moveWithCells="1">
                  <from>
                    <xdr:col>5</xdr:col>
                    <xdr:colOff>66675</xdr:colOff>
                    <xdr:row>80</xdr:row>
                    <xdr:rowOff>0</xdr:rowOff>
                  </from>
                  <to>
                    <xdr:col>5</xdr:col>
                    <xdr:colOff>438150</xdr:colOff>
                    <xdr:row>80</xdr:row>
                    <xdr:rowOff>342900</xdr:rowOff>
                  </to>
                </anchor>
              </controlPr>
            </control>
          </mc:Choice>
        </mc:AlternateContent>
        <mc:AlternateContent xmlns:mc="http://schemas.openxmlformats.org/markup-compatibility/2006">
          <mc:Choice Requires="x14">
            <control shapeId="2282" r:id="rId20" name="Button 234">
              <controlPr defaultSize="0" print="0" autoFill="0" autoPict="0" macro="[0]!AfficherProperty">
                <anchor moveWithCells="1" sizeWithCells="1">
                  <from>
                    <xdr:col>19</xdr:col>
                    <xdr:colOff>314325</xdr:colOff>
                    <xdr:row>0</xdr:row>
                    <xdr:rowOff>57150</xdr:rowOff>
                  </from>
                  <to>
                    <xdr:col>20</xdr:col>
                    <xdr:colOff>666750</xdr:colOff>
                    <xdr:row>1</xdr:row>
                    <xdr:rowOff>123825</xdr:rowOff>
                  </to>
                </anchor>
              </controlPr>
            </control>
          </mc:Choice>
        </mc:AlternateContent>
        <mc:AlternateContent xmlns:mc="http://schemas.openxmlformats.org/markup-compatibility/2006">
          <mc:Choice Requires="x14">
            <control shapeId="2283" r:id="rId21" name="Check Box 235">
              <controlPr defaultSize="0" autoFill="0" autoLine="0" autoPict="0">
                <anchor moveWithCells="1">
                  <from>
                    <xdr:col>5</xdr:col>
                    <xdr:colOff>66675</xdr:colOff>
                    <xdr:row>15</xdr:row>
                    <xdr:rowOff>28575</xdr:rowOff>
                  </from>
                  <to>
                    <xdr:col>5</xdr:col>
                    <xdr:colOff>438150</xdr:colOff>
                    <xdr:row>16</xdr:row>
                    <xdr:rowOff>352425</xdr:rowOff>
                  </to>
                </anchor>
              </controlPr>
            </control>
          </mc:Choice>
        </mc:AlternateContent>
        <mc:AlternateContent xmlns:mc="http://schemas.openxmlformats.org/markup-compatibility/2006">
          <mc:Choice Requires="x14">
            <control shapeId="2284" r:id="rId22" name="Check Box 236">
              <controlPr defaultSize="0" autoFill="0" autoLine="0" autoPict="0">
                <anchor moveWithCells="1">
                  <from>
                    <xdr:col>5</xdr:col>
                    <xdr:colOff>66675</xdr:colOff>
                    <xdr:row>16</xdr:row>
                    <xdr:rowOff>28575</xdr:rowOff>
                  </from>
                  <to>
                    <xdr:col>5</xdr:col>
                    <xdr:colOff>438150</xdr:colOff>
                    <xdr:row>18</xdr:row>
                    <xdr:rowOff>9525</xdr:rowOff>
                  </to>
                </anchor>
              </controlPr>
            </control>
          </mc:Choice>
        </mc:AlternateContent>
        <mc:AlternateContent xmlns:mc="http://schemas.openxmlformats.org/markup-compatibility/2006">
          <mc:Choice Requires="x14">
            <control shapeId="2285" r:id="rId23" name="Check Box 237">
              <controlPr defaultSize="0" autoFill="0" autoLine="0" autoPict="0">
                <anchor moveWithCells="1">
                  <from>
                    <xdr:col>5</xdr:col>
                    <xdr:colOff>66675</xdr:colOff>
                    <xdr:row>17</xdr:row>
                    <xdr:rowOff>28575</xdr:rowOff>
                  </from>
                  <to>
                    <xdr:col>5</xdr:col>
                    <xdr:colOff>438150</xdr:colOff>
                    <xdr:row>19</xdr:row>
                    <xdr:rowOff>38100</xdr:rowOff>
                  </to>
                </anchor>
              </controlPr>
            </control>
          </mc:Choice>
        </mc:AlternateContent>
        <mc:AlternateContent xmlns:mc="http://schemas.openxmlformats.org/markup-compatibility/2006">
          <mc:Choice Requires="x14">
            <control shapeId="2286" r:id="rId24" name="Check Box 238">
              <controlPr defaultSize="0" autoFill="0" autoLine="0" autoPict="0">
                <anchor moveWithCells="1">
                  <from>
                    <xdr:col>5</xdr:col>
                    <xdr:colOff>66675</xdr:colOff>
                    <xdr:row>14</xdr:row>
                    <xdr:rowOff>28575</xdr:rowOff>
                  </from>
                  <to>
                    <xdr:col>5</xdr:col>
                    <xdr:colOff>438150</xdr:colOff>
                    <xdr:row>14</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B1:Q13"/>
  <sheetViews>
    <sheetView workbookViewId="0">
      <selection activeCell="H41" sqref="H41"/>
    </sheetView>
  </sheetViews>
  <sheetFormatPr defaultColWidth="9.140625" defaultRowHeight="15"/>
  <cols>
    <col min="3" max="3" width="29.7109375" style="1711" customWidth="1"/>
    <col min="4" max="4" width="6.140625" style="1711" bestFit="1" customWidth="1"/>
    <col min="5" max="6" width="6.140625" style="1711" customWidth="1"/>
    <col min="7" max="7" width="13.7109375" customWidth="1"/>
    <col min="8" max="8" width="13.28515625" customWidth="1"/>
    <col min="9" max="9" width="12.140625" customWidth="1"/>
    <col min="12" max="12" width="14.7109375" customWidth="1"/>
    <col min="13" max="13" width="14.7109375" style="1711" customWidth="1"/>
    <col min="14" max="14" width="13.7109375" customWidth="1"/>
  </cols>
  <sheetData>
    <row r="1" spans="2:17">
      <c r="L1" s="100" t="s">
        <v>3415</v>
      </c>
      <c r="M1" s="1662" t="s">
        <v>4292</v>
      </c>
      <c r="N1" s="100" t="s">
        <v>259</v>
      </c>
      <c r="O1" s="893" t="s">
        <v>4294</v>
      </c>
      <c r="P1" s="2886" t="s">
        <v>4296</v>
      </c>
      <c r="Q1" s="2886"/>
    </row>
    <row r="2" spans="2:17" ht="54">
      <c r="D2" s="1711" t="s">
        <v>4291</v>
      </c>
      <c r="E2" s="1711" t="s">
        <v>4294</v>
      </c>
      <c r="F2" s="1711" t="s">
        <v>4295</v>
      </c>
      <c r="G2" s="2136" t="s">
        <v>3764</v>
      </c>
      <c r="H2" s="2136" t="s">
        <v>3775</v>
      </c>
      <c r="I2" s="2136" t="s">
        <v>3763</v>
      </c>
      <c r="J2" s="2136" t="s">
        <v>3766</v>
      </c>
      <c r="L2" s="1662" t="str">
        <f>'Input '!G37</f>
        <v/>
      </c>
      <c r="M2" s="1662">
        <f>IF(OR(L2=1812,L2=1811),1,2)</f>
        <v>2</v>
      </c>
      <c r="N2" s="1662">
        <f>'Quote template-1'!N24</f>
        <v>0</v>
      </c>
      <c r="O2" s="2885" t="str">
        <f>IF(N2="Quebec","QC","ON")</f>
        <v>ON</v>
      </c>
      <c r="P2" s="2887" t="str">
        <f>M2&amp;O2</f>
        <v>2ON</v>
      </c>
      <c r="Q2" s="2888" t="str">
        <f>'Input '!G36</f>
        <v>New Business</v>
      </c>
    </row>
    <row r="3" spans="2:17">
      <c r="B3" s="1711" t="s">
        <v>246</v>
      </c>
      <c r="C3" s="1711" t="s">
        <v>4290</v>
      </c>
      <c r="D3" s="1711">
        <v>1</v>
      </c>
      <c r="E3" s="1711" t="s">
        <v>247</v>
      </c>
      <c r="F3" s="1711" t="str">
        <f>D3&amp;E3</f>
        <v>1QC</v>
      </c>
      <c r="G3" s="2883"/>
      <c r="H3" s="2883"/>
      <c r="I3" s="2884"/>
      <c r="J3" s="2884"/>
      <c r="M3" s="60"/>
    </row>
    <row r="4" spans="2:17">
      <c r="B4" s="1711" t="s">
        <v>246</v>
      </c>
      <c r="C4" s="1711" t="s">
        <v>1236</v>
      </c>
      <c r="D4" s="1711">
        <v>2</v>
      </c>
      <c r="E4" s="1711" t="s">
        <v>247</v>
      </c>
      <c r="F4" s="1711" t="str">
        <f t="shared" ref="F4:F6" si="0">D4&amp;E4</f>
        <v>2QC</v>
      </c>
      <c r="G4" s="2883"/>
      <c r="H4" s="2883"/>
      <c r="I4" s="2884"/>
      <c r="J4" s="2884"/>
      <c r="L4" s="2885" t="s">
        <v>4293</v>
      </c>
      <c r="M4" s="2889">
        <f>INDEX($F$2:$J$6,MATCH(P2,F2:F6,0),MATCH(Q2,F2:J2,0))</f>
        <v>0</v>
      </c>
      <c r="N4" s="1711"/>
    </row>
    <row r="5" spans="2:17">
      <c r="B5" s="1711" t="s">
        <v>4289</v>
      </c>
      <c r="C5" s="1711" t="s">
        <v>4290</v>
      </c>
      <c r="D5" s="1711">
        <v>1</v>
      </c>
      <c r="E5" s="1711" t="s">
        <v>1191</v>
      </c>
      <c r="F5" s="1711" t="str">
        <f t="shared" si="0"/>
        <v>1ON</v>
      </c>
      <c r="G5" s="2883"/>
      <c r="H5" s="2883"/>
      <c r="I5" s="2884"/>
      <c r="J5" s="2884"/>
    </row>
    <row r="6" spans="2:17">
      <c r="B6" s="1711" t="s">
        <v>4289</v>
      </c>
      <c r="C6" s="1711" t="s">
        <v>1236</v>
      </c>
      <c r="D6" s="1711">
        <v>2</v>
      </c>
      <c r="E6" s="1711" t="s">
        <v>1191</v>
      </c>
      <c r="F6" s="1711" t="str">
        <f t="shared" si="0"/>
        <v>2ON</v>
      </c>
      <c r="G6" s="2883"/>
      <c r="H6" s="2883"/>
      <c r="I6" s="2884"/>
      <c r="J6" s="2884"/>
    </row>
    <row r="8" spans="2:17">
      <c r="N8" s="748"/>
    </row>
    <row r="9" spans="2:17">
      <c r="N9" s="748"/>
    </row>
    <row r="10" spans="2:17">
      <c r="N10" s="748"/>
    </row>
    <row r="11" spans="2:17">
      <c r="N11" s="748"/>
    </row>
    <row r="12" spans="2:17">
      <c r="N12" s="748"/>
    </row>
    <row r="13" spans="2:17">
      <c r="N13" s="74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7">
    <tabColor rgb="FFFFFF00"/>
  </sheetPr>
  <dimension ref="A1:D158"/>
  <sheetViews>
    <sheetView showGridLines="0" workbookViewId="0">
      <selection activeCell="C34" sqref="C34"/>
    </sheetView>
  </sheetViews>
  <sheetFormatPr defaultColWidth="65.42578125" defaultRowHeight="15"/>
  <cols>
    <col min="1" max="1" width="3.7109375" style="1306" customWidth="1"/>
    <col min="2" max="3" width="65.42578125" style="1306"/>
    <col min="4" max="4" width="65.42578125" style="1711"/>
    <col min="5" max="16384" width="65.42578125" style="1306"/>
  </cols>
  <sheetData>
    <row r="1" spans="1:4" ht="14.25" customHeight="1"/>
    <row r="2" spans="1:4" ht="30.75" customHeight="1">
      <c r="B2" s="2881" t="s">
        <v>3684</v>
      </c>
      <c r="C2" s="2881" t="s">
        <v>3683</v>
      </c>
    </row>
    <row r="3" spans="1:4" ht="30.75" customHeight="1">
      <c r="B3" s="2881" t="s">
        <v>4022</v>
      </c>
      <c r="C3" s="2881" t="s">
        <v>4033</v>
      </c>
    </row>
    <row r="4" spans="1:4">
      <c r="B4" s="2881" t="s">
        <v>3671</v>
      </c>
      <c r="C4" s="2881" t="s">
        <v>3346</v>
      </c>
    </row>
    <row r="5" spans="1:4" s="1336" customFormat="1" ht="14.25">
      <c r="B5" s="2881" t="s">
        <v>3714</v>
      </c>
      <c r="C5" s="2881" t="s">
        <v>3713</v>
      </c>
    </row>
    <row r="6" spans="1:4" ht="28.5">
      <c r="B6" s="2881" t="s">
        <v>4247</v>
      </c>
      <c r="C6" s="2881" t="s">
        <v>4087</v>
      </c>
      <c r="D6" s="1306"/>
    </row>
    <row r="7" spans="1:4" ht="21.75" customHeight="1">
      <c r="B7" s="2881"/>
      <c r="C7" s="2881"/>
      <c r="D7" s="1306"/>
    </row>
    <row r="8" spans="1:4" s="1337" customFormat="1" ht="14.25">
      <c r="A8" s="1338"/>
      <c r="B8" s="2881" t="s">
        <v>3676</v>
      </c>
      <c r="C8" s="2881" t="s">
        <v>3662</v>
      </c>
    </row>
    <row r="9" spans="1:4" ht="28.5">
      <c r="B9" s="2881" t="s">
        <v>4253</v>
      </c>
      <c r="C9" s="2881" t="s">
        <v>4254</v>
      </c>
      <c r="D9" s="1306"/>
    </row>
    <row r="10" spans="1:4" ht="21.75" customHeight="1">
      <c r="B10" s="2881"/>
      <c r="C10" s="2881"/>
      <c r="D10" s="1306"/>
    </row>
    <row r="11" spans="1:4" s="1337" customFormat="1" ht="14.25">
      <c r="B11" s="2881" t="s">
        <v>3687</v>
      </c>
      <c r="C11" s="2881" t="s">
        <v>991</v>
      </c>
    </row>
    <row r="12" spans="1:4" s="1337" customFormat="1" ht="28.5">
      <c r="B12" s="2881" t="s">
        <v>3672</v>
      </c>
      <c r="C12" s="2881" t="s">
        <v>3667</v>
      </c>
    </row>
    <row r="13" spans="1:4" ht="28.5" customHeight="1">
      <c r="B13" s="2881" t="s">
        <v>4284</v>
      </c>
      <c r="C13" s="1306" t="s">
        <v>4285</v>
      </c>
      <c r="D13" s="1306"/>
    </row>
    <row r="14" spans="1:4" s="1337" customFormat="1" ht="14.25">
      <c r="B14" s="2881" t="s">
        <v>4255</v>
      </c>
      <c r="C14" s="2881" t="s">
        <v>4256</v>
      </c>
    </row>
    <row r="15" spans="1:4" ht="28.5">
      <c r="B15" s="2881" t="s">
        <v>3673</v>
      </c>
      <c r="C15" s="2881" t="s">
        <v>3663</v>
      </c>
      <c r="D15" s="1306"/>
    </row>
    <row r="16" spans="1:4" ht="14.25">
      <c r="B16" s="2881" t="s">
        <v>3592</v>
      </c>
      <c r="C16" s="2881" t="s">
        <v>4257</v>
      </c>
      <c r="D16" s="1306"/>
    </row>
    <row r="17" spans="2:4" ht="14.25">
      <c r="B17" s="2881" t="s">
        <v>4258</v>
      </c>
      <c r="C17" s="2881" t="s">
        <v>4259</v>
      </c>
      <c r="D17" s="1306"/>
    </row>
    <row r="18" spans="2:4" ht="14.25">
      <c r="B18" s="2881" t="s">
        <v>3645</v>
      </c>
      <c r="C18" s="2881" t="s">
        <v>4260</v>
      </c>
      <c r="D18" s="1306"/>
    </row>
    <row r="19" spans="2:4" ht="14.25">
      <c r="B19" s="2881" t="s">
        <v>3590</v>
      </c>
      <c r="C19" s="2881" t="s">
        <v>4261</v>
      </c>
      <c r="D19" s="1306"/>
    </row>
    <row r="20" spans="2:4" ht="14.25">
      <c r="B20" s="2881" t="s">
        <v>3601</v>
      </c>
      <c r="C20" s="2881" t="s">
        <v>3723</v>
      </c>
      <c r="D20" s="1306"/>
    </row>
    <row r="21" spans="2:4" ht="14.25">
      <c r="B21" s="2881" t="s">
        <v>4262</v>
      </c>
      <c r="C21" s="2881" t="s">
        <v>4263</v>
      </c>
      <c r="D21" s="1306"/>
    </row>
    <row r="22" spans="2:4" ht="14.25">
      <c r="B22" s="2881" t="s">
        <v>4021</v>
      </c>
      <c r="C22" s="2881" t="s">
        <v>4015</v>
      </c>
      <c r="D22" s="1306"/>
    </row>
    <row r="23" spans="2:4" ht="14.25">
      <c r="B23" s="2881" t="s">
        <v>4042</v>
      </c>
      <c r="C23" s="2881" t="s">
        <v>4041</v>
      </c>
      <c r="D23" s="1306"/>
    </row>
    <row r="24" spans="2:4" ht="28.5">
      <c r="B24" s="2881" t="s">
        <v>4234</v>
      </c>
      <c r="C24" s="2881" t="s">
        <v>4264</v>
      </c>
      <c r="D24" s="1306"/>
    </row>
    <row r="25" spans="2:4" ht="14.25">
      <c r="B25" s="2881" t="s">
        <v>4235</v>
      </c>
      <c r="C25" s="2881" t="s">
        <v>4265</v>
      </c>
      <c r="D25" s="1306"/>
    </row>
    <row r="26" spans="2:4" ht="14.25">
      <c r="B26" s="2881" t="s">
        <v>3676</v>
      </c>
      <c r="C26" s="2881" t="s">
        <v>3662</v>
      </c>
      <c r="D26" s="1306"/>
    </row>
    <row r="27" spans="2:4" ht="14.25">
      <c r="B27" s="2881" t="s">
        <v>4236</v>
      </c>
      <c r="C27" s="2881" t="s">
        <v>4266</v>
      </c>
      <c r="D27" s="1306"/>
    </row>
    <row r="28" spans="2:4" ht="14.25">
      <c r="B28" s="2881" t="s">
        <v>4231</v>
      </c>
      <c r="C28" s="2881" t="s">
        <v>4267</v>
      </c>
      <c r="D28" s="1306"/>
    </row>
    <row r="29" spans="2:4" ht="14.25">
      <c r="B29" s="2881" t="s">
        <v>4042</v>
      </c>
      <c r="C29" s="2881" t="s">
        <v>4041</v>
      </c>
      <c r="D29" s="1306"/>
    </row>
    <row r="30" spans="2:4" ht="14.25">
      <c r="B30" s="2881" t="s">
        <v>4237</v>
      </c>
      <c r="C30" s="2881" t="s">
        <v>4268</v>
      </c>
      <c r="D30" s="1306"/>
    </row>
    <row r="31" spans="2:4" ht="14.25">
      <c r="B31" s="2881" t="s">
        <v>4233</v>
      </c>
      <c r="C31" s="2881" t="s">
        <v>4269</v>
      </c>
      <c r="D31" s="1306"/>
    </row>
    <row r="32" spans="2:4" ht="14.25">
      <c r="B32" s="2881" t="s">
        <v>4232</v>
      </c>
      <c r="C32" s="2881" t="s">
        <v>4270</v>
      </c>
      <c r="D32" s="1306"/>
    </row>
    <row r="33" spans="2:4" ht="14.25">
      <c r="B33" s="2881" t="s">
        <v>4230</v>
      </c>
      <c r="C33" s="2881" t="s">
        <v>4271</v>
      </c>
      <c r="D33" s="1306"/>
    </row>
    <row r="34" spans="2:4" ht="14.25">
      <c r="B34" s="2881" t="s">
        <v>4250</v>
      </c>
      <c r="C34" s="2881" t="s">
        <v>4272</v>
      </c>
      <c r="D34" s="1306"/>
    </row>
    <row r="35" spans="2:4" ht="14.25">
      <c r="B35" s="2881" t="s">
        <v>4249</v>
      </c>
      <c r="C35" s="2881" t="s">
        <v>1000</v>
      </c>
      <c r="D35" s="1306"/>
    </row>
    <row r="36" spans="2:4" ht="14.25">
      <c r="B36" s="2881" t="s">
        <v>4251</v>
      </c>
      <c r="C36" s="2881" t="s">
        <v>4129</v>
      </c>
      <c r="D36" s="1306"/>
    </row>
    <row r="37" spans="2:4" ht="14.25">
      <c r="B37" s="2881" t="s">
        <v>4026</v>
      </c>
      <c r="C37" s="2881" t="s">
        <v>4273</v>
      </c>
      <c r="D37" s="1306"/>
    </row>
    <row r="38" spans="2:4" ht="14.25">
      <c r="D38" s="1306"/>
    </row>
    <row r="39" spans="2:4" ht="18">
      <c r="C39" s="2862"/>
      <c r="D39" s="1306"/>
    </row>
    <row r="40" spans="2:4" ht="14.25">
      <c r="D40" s="1306"/>
    </row>
    <row r="41" spans="2:4" ht="14.25">
      <c r="D41" s="1306"/>
    </row>
    <row r="42" spans="2:4" ht="14.25">
      <c r="D42" s="1306"/>
    </row>
    <row r="43" spans="2:4" ht="14.25">
      <c r="D43" s="1306"/>
    </row>
    <row r="44" spans="2:4" ht="14.25">
      <c r="D44" s="1306"/>
    </row>
    <row r="45" spans="2:4" ht="14.25">
      <c r="D45" s="1306"/>
    </row>
    <row r="46" spans="2:4" ht="14.25">
      <c r="D46" s="1306"/>
    </row>
    <row r="47" spans="2:4" ht="14.25">
      <c r="D47" s="1306"/>
    </row>
    <row r="48" spans="2:4" ht="14.25">
      <c r="D48" s="1306"/>
    </row>
    <row r="49" spans="4:4" ht="14.25">
      <c r="D49" s="1306"/>
    </row>
    <row r="50" spans="4:4" ht="14.25">
      <c r="D50" s="1306"/>
    </row>
    <row r="51" spans="4:4" ht="14.25">
      <c r="D51" s="1306"/>
    </row>
    <row r="52" spans="4:4" ht="14.25">
      <c r="D52" s="1306"/>
    </row>
    <row r="53" spans="4:4" ht="14.25">
      <c r="D53" s="1306"/>
    </row>
    <row r="54" spans="4:4" ht="14.25">
      <c r="D54" s="1306"/>
    </row>
    <row r="55" spans="4:4" ht="14.25">
      <c r="D55" s="1306"/>
    </row>
    <row r="56" spans="4:4" ht="14.25">
      <c r="D56" s="1306"/>
    </row>
    <row r="57" spans="4:4" ht="14.25">
      <c r="D57" s="1306"/>
    </row>
    <row r="58" spans="4:4" ht="14.25">
      <c r="D58" s="1306"/>
    </row>
    <row r="59" spans="4:4" ht="14.25">
      <c r="D59" s="1306"/>
    </row>
    <row r="60" spans="4:4" ht="14.25">
      <c r="D60" s="1306"/>
    </row>
    <row r="61" spans="4:4" ht="14.25">
      <c r="D61" s="1306"/>
    </row>
    <row r="62" spans="4:4" ht="14.25">
      <c r="D62" s="1306"/>
    </row>
    <row r="63" spans="4:4" ht="14.25">
      <c r="D63" s="1306"/>
    </row>
    <row r="64" spans="4:4" ht="14.25">
      <c r="D64" s="1306"/>
    </row>
    <row r="65" spans="4:4" ht="14.25">
      <c r="D65" s="1306"/>
    </row>
    <row r="66" spans="4:4" ht="14.25">
      <c r="D66" s="1306"/>
    </row>
    <row r="67" spans="4:4" ht="14.25">
      <c r="D67" s="1306"/>
    </row>
    <row r="68" spans="4:4" ht="14.25">
      <c r="D68" s="1306"/>
    </row>
    <row r="69" spans="4:4" ht="14.25">
      <c r="D69" s="1306"/>
    </row>
    <row r="70" spans="4:4" ht="14.25">
      <c r="D70" s="1306"/>
    </row>
    <row r="71" spans="4:4" ht="14.25">
      <c r="D71" s="1306"/>
    </row>
    <row r="72" spans="4:4" ht="14.25">
      <c r="D72" s="1306"/>
    </row>
    <row r="73" spans="4:4" ht="14.25">
      <c r="D73" s="1306"/>
    </row>
    <row r="74" spans="4:4" ht="14.25">
      <c r="D74" s="1306"/>
    </row>
    <row r="75" spans="4:4" ht="14.25">
      <c r="D75" s="1306"/>
    </row>
    <row r="76" spans="4:4" ht="14.25">
      <c r="D76" s="1306"/>
    </row>
    <row r="77" spans="4:4" ht="14.25">
      <c r="D77" s="1306"/>
    </row>
    <row r="78" spans="4:4" ht="14.25">
      <c r="D78" s="1306"/>
    </row>
    <row r="79" spans="4:4" ht="14.25">
      <c r="D79" s="1306"/>
    </row>
    <row r="80" spans="4:4" ht="14.25">
      <c r="D80" s="1306"/>
    </row>
    <row r="81" spans="4:4" ht="14.25">
      <c r="D81" s="1306"/>
    </row>
    <row r="82" spans="4:4" ht="14.25">
      <c r="D82" s="1306"/>
    </row>
    <row r="83" spans="4:4" ht="14.25">
      <c r="D83" s="1306"/>
    </row>
    <row r="84" spans="4:4" ht="14.25">
      <c r="D84" s="1306"/>
    </row>
    <row r="85" spans="4:4" ht="14.25">
      <c r="D85" s="1306"/>
    </row>
    <row r="86" spans="4:4" ht="14.25">
      <c r="D86" s="1306"/>
    </row>
    <row r="87" spans="4:4" ht="14.25">
      <c r="D87" s="1306"/>
    </row>
    <row r="88" spans="4:4" ht="14.25">
      <c r="D88" s="1306"/>
    </row>
    <row r="89" spans="4:4" ht="14.25">
      <c r="D89" s="1306"/>
    </row>
    <row r="90" spans="4:4" ht="14.25">
      <c r="D90" s="1306"/>
    </row>
    <row r="91" spans="4:4" ht="14.25">
      <c r="D91" s="1306"/>
    </row>
    <row r="92" spans="4:4" ht="14.25">
      <c r="D92" s="1306"/>
    </row>
    <row r="93" spans="4:4" ht="14.25">
      <c r="D93" s="1306"/>
    </row>
    <row r="94" spans="4:4" ht="14.25">
      <c r="D94" s="1306"/>
    </row>
    <row r="95" spans="4:4" ht="14.25">
      <c r="D95" s="1306"/>
    </row>
    <row r="96" spans="4:4" ht="14.25">
      <c r="D96" s="1306"/>
    </row>
    <row r="97" spans="4:4" ht="14.25">
      <c r="D97" s="1306"/>
    </row>
    <row r="98" spans="4:4" ht="14.25">
      <c r="D98" s="1306"/>
    </row>
    <row r="99" spans="4:4" ht="14.25">
      <c r="D99" s="1306"/>
    </row>
    <row r="100" spans="4:4" ht="14.25">
      <c r="D100" s="1306"/>
    </row>
    <row r="101" spans="4:4" ht="14.25">
      <c r="D101" s="1306"/>
    </row>
    <row r="102" spans="4:4" ht="14.25">
      <c r="D102" s="1306"/>
    </row>
    <row r="103" spans="4:4" ht="14.25">
      <c r="D103" s="1306"/>
    </row>
    <row r="104" spans="4:4" ht="14.25">
      <c r="D104" s="1306"/>
    </row>
    <row r="105" spans="4:4" ht="14.25">
      <c r="D105" s="1306"/>
    </row>
    <row r="106" spans="4:4" ht="14.25">
      <c r="D106" s="1306"/>
    </row>
    <row r="107" spans="4:4" ht="14.25">
      <c r="D107" s="1306"/>
    </row>
    <row r="108" spans="4:4" ht="14.25">
      <c r="D108" s="1306"/>
    </row>
    <row r="109" spans="4:4" ht="14.25">
      <c r="D109" s="1306"/>
    </row>
    <row r="110" spans="4:4" ht="14.25">
      <c r="D110" s="1306"/>
    </row>
    <row r="111" spans="4:4" ht="14.25">
      <c r="D111" s="1306"/>
    </row>
    <row r="112" spans="4:4" ht="14.25">
      <c r="D112" s="1306"/>
    </row>
    <row r="113" spans="4:4" ht="14.25">
      <c r="D113" s="1306"/>
    </row>
    <row r="114" spans="4:4" ht="14.25">
      <c r="D114" s="1306"/>
    </row>
    <row r="115" spans="4:4" ht="14.25">
      <c r="D115" s="1306"/>
    </row>
    <row r="116" spans="4:4" ht="14.25">
      <c r="D116" s="1306"/>
    </row>
    <row r="117" spans="4:4" ht="14.25">
      <c r="D117" s="1306"/>
    </row>
    <row r="118" spans="4:4" ht="14.25">
      <c r="D118" s="1306"/>
    </row>
    <row r="119" spans="4:4" ht="14.25">
      <c r="D119" s="1306"/>
    </row>
    <row r="120" spans="4:4" ht="14.25">
      <c r="D120" s="1306"/>
    </row>
    <row r="121" spans="4:4" ht="14.25">
      <c r="D121" s="1306"/>
    </row>
    <row r="122" spans="4:4" ht="14.25">
      <c r="D122" s="1306"/>
    </row>
    <row r="123" spans="4:4" ht="14.25">
      <c r="D123" s="1306"/>
    </row>
    <row r="124" spans="4:4" ht="14.25">
      <c r="D124" s="1306"/>
    </row>
    <row r="125" spans="4:4" ht="14.25">
      <c r="D125" s="1306"/>
    </row>
    <row r="126" spans="4:4" ht="14.25">
      <c r="D126" s="1306"/>
    </row>
    <row r="127" spans="4:4" ht="14.25">
      <c r="D127" s="1306"/>
    </row>
    <row r="128" spans="4:4" ht="14.25">
      <c r="D128" s="1306"/>
    </row>
    <row r="129" spans="4:4" ht="14.25">
      <c r="D129" s="1306"/>
    </row>
    <row r="130" spans="4:4" ht="14.25">
      <c r="D130" s="1306"/>
    </row>
    <row r="131" spans="4:4" ht="14.25">
      <c r="D131" s="1306"/>
    </row>
    <row r="132" spans="4:4" ht="14.25">
      <c r="D132" s="1306"/>
    </row>
    <row r="133" spans="4:4" ht="14.25">
      <c r="D133" s="1306"/>
    </row>
    <row r="134" spans="4:4" ht="14.25">
      <c r="D134" s="1306"/>
    </row>
    <row r="135" spans="4:4" ht="14.25">
      <c r="D135" s="1306"/>
    </row>
    <row r="136" spans="4:4" ht="14.25">
      <c r="D136" s="1306"/>
    </row>
    <row r="137" spans="4:4" ht="14.25">
      <c r="D137" s="1306"/>
    </row>
    <row r="138" spans="4:4" ht="14.25">
      <c r="D138" s="1306"/>
    </row>
    <row r="139" spans="4:4" ht="14.25">
      <c r="D139" s="1306"/>
    </row>
    <row r="140" spans="4:4" ht="14.25">
      <c r="D140" s="1306"/>
    </row>
    <row r="141" spans="4:4" ht="14.25">
      <c r="D141" s="1306"/>
    </row>
    <row r="142" spans="4:4" ht="14.25">
      <c r="D142" s="1306"/>
    </row>
    <row r="143" spans="4:4" ht="14.25">
      <c r="D143" s="1306"/>
    </row>
    <row r="144" spans="4:4" ht="14.25">
      <c r="D144" s="1306"/>
    </row>
    <row r="145" spans="4:4" ht="14.25">
      <c r="D145" s="1306"/>
    </row>
    <row r="146" spans="4:4" ht="14.25">
      <c r="D146" s="1306"/>
    </row>
    <row r="147" spans="4:4" ht="14.25">
      <c r="D147" s="1306"/>
    </row>
    <row r="148" spans="4:4" ht="14.25">
      <c r="D148" s="1306"/>
    </row>
    <row r="149" spans="4:4" ht="14.25">
      <c r="D149" s="1306"/>
    </row>
    <row r="150" spans="4:4" ht="14.25">
      <c r="D150" s="1306"/>
    </row>
    <row r="151" spans="4:4" ht="14.25">
      <c r="D151" s="1306"/>
    </row>
    <row r="152" spans="4:4" ht="14.25">
      <c r="D152" s="1306"/>
    </row>
    <row r="153" spans="4:4" ht="14.25">
      <c r="D153" s="1306"/>
    </row>
    <row r="154" spans="4:4" ht="14.25">
      <c r="D154" s="1306"/>
    </row>
    <row r="155" spans="4:4" ht="14.25">
      <c r="D155" s="1306"/>
    </row>
    <row r="156" spans="4:4" ht="14.25">
      <c r="D156" s="1306"/>
    </row>
    <row r="157" spans="4:4" ht="14.25">
      <c r="D157" s="1306"/>
    </row>
    <row r="158" spans="4:4" ht="14.25">
      <c r="D158" s="130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dimension ref="B3:H9"/>
  <sheetViews>
    <sheetView workbookViewId="0">
      <selection activeCell="E13" sqref="E13"/>
    </sheetView>
  </sheetViews>
  <sheetFormatPr defaultColWidth="9.140625" defaultRowHeight="15"/>
  <cols>
    <col min="2" max="2" width="33.140625" customWidth="1"/>
    <col min="4" max="4" width="30.7109375" customWidth="1"/>
    <col min="5" max="5" width="12.5703125" customWidth="1"/>
    <col min="6" max="6" width="16" customWidth="1"/>
    <col min="7" max="7" width="16" style="1711" customWidth="1"/>
    <col min="8" max="8" width="23.28515625" customWidth="1"/>
  </cols>
  <sheetData>
    <row r="3" spans="2:8">
      <c r="B3" s="1711" t="s">
        <v>4220</v>
      </c>
    </row>
    <row r="4" spans="2:8">
      <c r="B4" s="1711" t="s">
        <v>4220</v>
      </c>
    </row>
    <row r="6" spans="2:8">
      <c r="D6" s="1711" t="s">
        <v>4225</v>
      </c>
      <c r="E6" s="1711" t="s">
        <v>4224</v>
      </c>
    </row>
    <row r="7" spans="2:8">
      <c r="D7" s="1711" t="s">
        <v>4226</v>
      </c>
      <c r="E7" s="1711" t="s">
        <v>4223</v>
      </c>
      <c r="F7" s="2796" t="s">
        <v>4229</v>
      </c>
      <c r="G7" s="2796"/>
      <c r="H7" s="2796" t="s">
        <v>4228</v>
      </c>
    </row>
    <row r="8" spans="2:8">
      <c r="B8" s="1711" t="s">
        <v>4221</v>
      </c>
      <c r="C8" s="748">
        <v>0.15</v>
      </c>
      <c r="D8" s="1736">
        <f ca="1">C8*('Quote template-1'!N$151+'Quote template-1'!N$152)</f>
        <v>0</v>
      </c>
      <c r="E8" s="249">
        <f ca="1">D9-D8</f>
        <v>0</v>
      </c>
      <c r="F8" s="2797">
        <f ca="1">ROUNDUP(E8/100,1)*100</f>
        <v>0</v>
      </c>
      <c r="G8" s="2797"/>
      <c r="H8" s="2797" t="e">
        <f>IF(AND('Input '!S45="Y",'Input '!T45=TRUE),'Low risk commission'!F8,0)</f>
        <v>#DIV/0!</v>
      </c>
    </row>
    <row r="9" spans="2:8">
      <c r="B9" s="1711" t="s">
        <v>4222</v>
      </c>
      <c r="C9" s="2795">
        <v>0.17499999999999999</v>
      </c>
      <c r="D9" s="1736">
        <f ca="1">C9*('Quote template-1'!N$151+'Quote template-1'!N$152)</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99CC00"/>
  </sheetPr>
  <dimension ref="A1:AI253"/>
  <sheetViews>
    <sheetView showGridLines="0" topLeftCell="A145" zoomScale="130" zoomScaleNormal="130" zoomScaleSheetLayoutView="90" workbookViewId="0">
      <selection activeCell="N156" sqref="N156"/>
    </sheetView>
  </sheetViews>
  <sheetFormatPr defaultColWidth="5.140625" defaultRowHeight="16.5" outlineLevelRow="1" outlineLevelCol="1"/>
  <cols>
    <col min="1" max="1" width="7.28515625" style="467" customWidth="1" outlineLevel="1"/>
    <col min="2" max="2" width="6.5703125" style="460" customWidth="1"/>
    <col min="3" max="3" width="0.85546875" style="1" customWidth="1"/>
    <col min="4" max="4" width="0.7109375" style="1" customWidth="1"/>
    <col min="5" max="5" width="14.5703125" style="1" customWidth="1"/>
    <col min="6" max="6" width="35.7109375" style="1" customWidth="1"/>
    <col min="7" max="7" width="48.7109375" style="1" customWidth="1"/>
    <col min="8" max="8" width="15" style="1" customWidth="1"/>
    <col min="9" max="10" width="18.5703125" style="1" hidden="1" customWidth="1" outlineLevel="1"/>
    <col min="11" max="11" width="20.42578125" style="1" customWidth="1" collapsed="1"/>
    <col min="12" max="12" width="22.140625" style="1" customWidth="1"/>
    <col min="13" max="13" width="0.5703125" style="1" customWidth="1"/>
    <col min="14" max="14" width="23.42578125" style="2803" customWidth="1"/>
    <col min="15" max="15" width="0.42578125" style="458" customWidth="1"/>
    <col min="16" max="16" width="2.28515625" style="184" customWidth="1"/>
    <col min="17" max="17" width="1.7109375" style="1" customWidth="1"/>
    <col min="18" max="18" width="1.42578125" style="1" customWidth="1" outlineLevel="1"/>
    <col min="19" max="19" width="11.28515625" style="1" customWidth="1"/>
    <col min="20" max="20" width="8.5703125" style="1" customWidth="1"/>
    <col min="21" max="23" width="8.7109375" style="1" hidden="1" customWidth="1" outlineLevel="1"/>
    <col min="24" max="24" width="5.140625" style="1" collapsed="1"/>
    <col min="25" max="25" width="5.140625" style="1" hidden="1" customWidth="1" outlineLevel="1"/>
    <col min="26" max="26" width="30.7109375" style="1197" hidden="1" customWidth="1" outlineLevel="1"/>
    <col min="27" max="27" width="18.5703125" style="1204" hidden="1" customWidth="1" outlineLevel="1"/>
    <col min="28" max="28" width="5.140625" style="1" hidden="1" customWidth="1" outlineLevel="1"/>
    <col min="29" max="29" width="5.140625" style="1" collapsed="1"/>
    <col min="30" max="16384" width="5.140625" style="1"/>
  </cols>
  <sheetData>
    <row r="1" spans="1:27">
      <c r="O1" s="2791"/>
    </row>
    <row r="2" spans="1:27">
      <c r="O2" s="2791"/>
    </row>
    <row r="3" spans="1:27">
      <c r="O3" s="2791"/>
    </row>
    <row r="4" spans="1:27" ht="6.75" customHeight="1">
      <c r="A4" s="1851"/>
      <c r="C4" s="1851"/>
      <c r="D4" s="1851"/>
      <c r="E4" s="1851"/>
      <c r="F4" s="1851"/>
      <c r="G4" s="1851"/>
      <c r="H4" s="1851"/>
      <c r="I4" s="1851"/>
      <c r="J4" s="1851"/>
      <c r="K4" s="1851"/>
      <c r="L4" s="1851"/>
      <c r="M4" s="1851"/>
      <c r="N4" s="2804"/>
      <c r="O4" s="1852"/>
      <c r="P4" s="1851"/>
    </row>
    <row r="5" spans="1:27" s="2" customFormat="1" ht="58.5" customHeight="1">
      <c r="A5" s="1853"/>
      <c r="B5" s="2763"/>
      <c r="C5" s="1854"/>
      <c r="D5" s="1854"/>
      <c r="E5" s="1854"/>
      <c r="F5" s="3564" t="str">
        <f>'Quote template-2'!F6</f>
        <v>CONTRACTOR'S QUOTE</v>
      </c>
      <c r="G5" s="3564"/>
      <c r="H5" s="3564"/>
      <c r="I5" s="3564"/>
      <c r="J5" s="3564"/>
      <c r="K5" s="3564"/>
      <c r="L5" s="3564"/>
      <c r="M5" s="3564"/>
      <c r="N5" s="3564"/>
      <c r="O5" s="1855"/>
      <c r="P5" s="1854"/>
      <c r="Q5" s="1074"/>
      <c r="Z5" s="1198"/>
      <c r="AA5" s="1205"/>
    </row>
    <row r="6" spans="1:27" ht="8.25" hidden="1" customHeight="1">
      <c r="A6" s="1851"/>
      <c r="B6" s="2764"/>
      <c r="C6" s="1856"/>
      <c r="D6" s="1856"/>
      <c r="E6" s="1856"/>
      <c r="F6" s="1851"/>
      <c r="G6" s="1851"/>
      <c r="H6" s="1851"/>
      <c r="I6" s="1851"/>
      <c r="J6" s="1851"/>
      <c r="K6" s="1851"/>
      <c r="L6" s="1851"/>
      <c r="M6" s="1851"/>
      <c r="N6" s="2804"/>
      <c r="O6" s="1852"/>
      <c r="P6" s="1851"/>
      <c r="Q6" s="3"/>
      <c r="R6" s="3"/>
    </row>
    <row r="7" spans="1:27" ht="8.25" hidden="1" customHeight="1">
      <c r="A7" s="1851"/>
      <c r="B7" s="2764"/>
      <c r="C7" s="1856"/>
      <c r="D7" s="1856"/>
      <c r="E7" s="1856"/>
      <c r="F7" s="1851"/>
      <c r="G7" s="1851"/>
      <c r="H7" s="1851"/>
      <c r="I7" s="1851"/>
      <c r="J7" s="1851"/>
      <c r="K7" s="1851"/>
      <c r="L7" s="1851"/>
      <c r="M7" s="1851"/>
      <c r="N7" s="2804"/>
      <c r="O7" s="1852"/>
      <c r="P7" s="1851"/>
      <c r="Q7" s="3"/>
      <c r="R7" s="3"/>
    </row>
    <row r="8" spans="1:27" ht="8.25" hidden="1" customHeight="1">
      <c r="A8" s="1851"/>
      <c r="B8" s="2764"/>
      <c r="C8" s="1856"/>
      <c r="D8" s="1856"/>
      <c r="E8" s="1856"/>
      <c r="F8" s="1851"/>
      <c r="G8" s="1851"/>
      <c r="H8" s="1851"/>
      <c r="I8" s="1851"/>
      <c r="J8" s="1851"/>
      <c r="K8" s="1851"/>
      <c r="L8" s="1851"/>
      <c r="M8" s="1851"/>
      <c r="N8" s="2804"/>
      <c r="O8" s="1852"/>
      <c r="P8" s="1851"/>
      <c r="Q8" s="3"/>
      <c r="R8" s="3"/>
    </row>
    <row r="9" spans="1:27" ht="8.25" hidden="1" customHeight="1">
      <c r="A9" s="1851"/>
      <c r="B9" s="2764"/>
      <c r="C9" s="1856"/>
      <c r="D9" s="1856"/>
      <c r="E9" s="1856"/>
      <c r="F9" s="1851"/>
      <c r="G9" s="1851"/>
      <c r="H9" s="1851"/>
      <c r="I9" s="1851"/>
      <c r="J9" s="1851"/>
      <c r="K9" s="1851"/>
      <c r="L9" s="1851"/>
      <c r="M9" s="1851"/>
      <c r="N9" s="2804"/>
      <c r="O9" s="1852"/>
      <c r="P9" s="1851"/>
      <c r="Q9" s="3"/>
      <c r="R9" s="3"/>
    </row>
    <row r="10" spans="1:27" ht="8.25" hidden="1" customHeight="1">
      <c r="A10" s="1851"/>
      <c r="B10" s="2764"/>
      <c r="C10" s="1856"/>
      <c r="D10" s="1856"/>
      <c r="E10" s="1856"/>
      <c r="F10" s="1851"/>
      <c r="G10" s="1851"/>
      <c r="H10" s="1851"/>
      <c r="I10" s="1851"/>
      <c r="J10" s="1851"/>
      <c r="K10" s="1851"/>
      <c r="L10" s="1851"/>
      <c r="M10" s="1851"/>
      <c r="N10" s="2804"/>
      <c r="O10" s="1852"/>
      <c r="P10" s="1851"/>
      <c r="Q10" s="3"/>
      <c r="R10" s="3"/>
    </row>
    <row r="11" spans="1:27" ht="8.25" hidden="1" customHeight="1">
      <c r="A11" s="1851"/>
      <c r="B11" s="2764"/>
      <c r="C11" s="1856"/>
      <c r="D11" s="1856"/>
      <c r="E11" s="1856"/>
      <c r="F11" s="1851"/>
      <c r="G11" s="1851"/>
      <c r="H11" s="1851"/>
      <c r="I11" s="1851"/>
      <c r="J11" s="1851"/>
      <c r="K11" s="1851"/>
      <c r="L11" s="1851"/>
      <c r="M11" s="1851"/>
      <c r="N11" s="2804"/>
      <c r="O11" s="1852"/>
      <c r="P11" s="1851"/>
      <c r="Q11" s="3"/>
      <c r="R11" s="3"/>
    </row>
    <row r="12" spans="1:27" ht="8.25" hidden="1" customHeight="1">
      <c r="A12" s="1851"/>
      <c r="B12" s="2764"/>
      <c r="C12" s="1856"/>
      <c r="D12" s="1856"/>
      <c r="E12" s="1856"/>
      <c r="F12" s="1851"/>
      <c r="G12" s="1851"/>
      <c r="H12" s="1851"/>
      <c r="I12" s="1851"/>
      <c r="J12" s="1851"/>
      <c r="K12" s="1851"/>
      <c r="L12" s="1851"/>
      <c r="M12" s="1851"/>
      <c r="N12" s="2804"/>
      <c r="O12" s="1852"/>
      <c r="P12" s="1851"/>
      <c r="Q12" s="3"/>
      <c r="R12" s="3"/>
    </row>
    <row r="13" spans="1:27" ht="3.75" customHeight="1">
      <c r="A13" s="1851"/>
      <c r="B13" s="2764"/>
      <c r="C13" s="1856"/>
      <c r="D13" s="1856"/>
      <c r="E13" s="1856"/>
      <c r="F13" s="1851"/>
      <c r="G13" s="1851"/>
      <c r="H13" s="1851"/>
      <c r="I13" s="1851"/>
      <c r="J13" s="1851"/>
      <c r="K13" s="1851"/>
      <c r="L13" s="1851"/>
      <c r="M13" s="1851"/>
      <c r="N13" s="2804"/>
      <c r="O13" s="1852"/>
      <c r="P13" s="1851"/>
      <c r="Q13" s="3"/>
      <c r="R13" s="3"/>
    </row>
    <row r="14" spans="1:27" s="3" customFormat="1" ht="18.75">
      <c r="A14" s="1856"/>
      <c r="B14" s="2764"/>
      <c r="C14" s="1856"/>
      <c r="D14" s="1856"/>
      <c r="E14" s="1856"/>
      <c r="F14" s="1856" t="str">
        <f>'Quote template-2'!F15</f>
        <v>Underwiter's name:</v>
      </c>
      <c r="G14" s="3565"/>
      <c r="H14" s="3565"/>
      <c r="I14" s="3565"/>
      <c r="J14" s="3565"/>
      <c r="K14" s="3565"/>
      <c r="L14" s="1856"/>
      <c r="M14" s="1857" t="str">
        <f>'Quote template-2'!K15</f>
        <v>How can we help?</v>
      </c>
      <c r="N14" s="2802"/>
      <c r="O14" s="1857"/>
      <c r="P14" s="1856"/>
      <c r="Z14" s="1199"/>
      <c r="AA14" s="1206"/>
    </row>
    <row r="15" spans="1:27" ht="17.25">
      <c r="A15" s="1851"/>
      <c r="C15" s="1851"/>
      <c r="D15" s="1851"/>
      <c r="E15" s="1851"/>
      <c r="F15" s="1856" t="str">
        <f>'Quote template-2'!F16</f>
        <v>Submission date:</v>
      </c>
      <c r="G15" s="1858"/>
      <c r="H15" s="1856"/>
      <c r="I15" s="1856"/>
      <c r="J15" s="1856"/>
      <c r="K15" s="1856"/>
      <c r="L15" s="1856"/>
      <c r="M15" s="1859" t="str">
        <f>'Quote template-2'!K16</f>
        <v>1-855-745-1010</v>
      </c>
      <c r="N15" s="2801"/>
      <c r="O15" s="1859"/>
      <c r="P15" s="1851"/>
    </row>
    <row r="16" spans="1:27" ht="17.25">
      <c r="A16" s="1851"/>
      <c r="C16" s="1851"/>
      <c r="D16" s="1851"/>
      <c r="E16" s="1851"/>
      <c r="F16" s="1856" t="str">
        <f>'Quote template-2'!F17</f>
        <v>Broker:</v>
      </c>
      <c r="G16" s="1860"/>
      <c r="H16" s="1856"/>
      <c r="I16" s="1856"/>
      <c r="J16" s="1856"/>
      <c r="K16" s="1856"/>
      <c r="L16" s="1861"/>
      <c r="M16" s="1856"/>
      <c r="N16" s="2805"/>
      <c r="O16" s="1856"/>
      <c r="P16" s="1861"/>
    </row>
    <row r="17" spans="1:35" ht="17.25">
      <c r="A17" s="1851"/>
      <c r="C17" s="1851"/>
      <c r="D17" s="1851"/>
      <c r="E17" s="1851"/>
      <c r="F17" s="2601" t="str">
        <f>'Quote template-2'!F18</f>
        <v>Quote ref:</v>
      </c>
      <c r="G17" s="1862"/>
      <c r="H17" s="1856"/>
      <c r="I17" s="1856"/>
      <c r="J17" s="1856"/>
      <c r="K17" s="1856"/>
      <c r="L17" s="1861"/>
      <c r="M17" s="1856"/>
      <c r="N17" s="2805"/>
      <c r="O17" s="1856"/>
      <c r="P17" s="1861"/>
    </row>
    <row r="18" spans="1:35" ht="7.5" customHeight="1">
      <c r="A18" s="1851"/>
      <c r="C18" s="1851"/>
      <c r="D18" s="1851"/>
      <c r="E18" s="1851"/>
      <c r="F18" s="1856"/>
      <c r="G18" s="1856"/>
      <c r="H18" s="1856"/>
      <c r="I18" s="1856"/>
      <c r="J18" s="1856"/>
      <c r="K18" s="1856"/>
      <c r="L18" s="1861"/>
      <c r="M18" s="1856"/>
      <c r="N18" s="2801"/>
      <c r="O18" s="1859"/>
      <c r="P18" s="1856"/>
    </row>
    <row r="19" spans="1:35" s="3" customFormat="1" ht="17.25">
      <c r="A19" s="1856"/>
      <c r="B19" s="2764"/>
      <c r="C19" s="1856"/>
      <c r="D19" s="1856"/>
      <c r="E19" s="1856"/>
      <c r="F19" s="1863" t="str">
        <f>'Quote template-2'!F20</f>
        <v>Information Insured</v>
      </c>
      <c r="G19" s="1856"/>
      <c r="H19" s="1856"/>
      <c r="I19" s="1856"/>
      <c r="J19" s="1856"/>
      <c r="K19" s="1856"/>
      <c r="L19" s="1856"/>
      <c r="M19" s="1856"/>
      <c r="N19" s="2801"/>
      <c r="O19" s="1859"/>
      <c r="P19" s="1861"/>
      <c r="Z19" s="1199"/>
      <c r="AA19" s="1206"/>
    </row>
    <row r="20" spans="1:35" ht="17.25">
      <c r="A20" s="1851"/>
      <c r="C20" s="1851"/>
      <c r="D20" s="1851"/>
      <c r="E20" s="1851"/>
      <c r="F20" s="1856" t="str">
        <f>'Quote template-2'!F21</f>
        <v>Insured's Name:</v>
      </c>
      <c r="G20" s="1860"/>
      <c r="H20" s="1856"/>
      <c r="I20" s="1856"/>
      <c r="J20" s="1856"/>
      <c r="K20" s="1856"/>
      <c r="L20" s="1856"/>
      <c r="M20" s="1856"/>
      <c r="N20" s="2801"/>
      <c r="O20" s="1859"/>
      <c r="P20" s="1856"/>
    </row>
    <row r="21" spans="1:35" ht="21" customHeight="1">
      <c r="A21" s="1851"/>
      <c r="C21" s="1851"/>
      <c r="D21" s="1851"/>
      <c r="E21" s="1851"/>
      <c r="F21" s="1864" t="str">
        <f>'Quote template-2'!F22</f>
        <v>Operations of the insured:</v>
      </c>
      <c r="G21" s="3569">
        <f>'Input '!G4</f>
        <v>0</v>
      </c>
      <c r="H21" s="3569"/>
      <c r="I21" s="3569"/>
      <c r="J21" s="3569"/>
      <c r="K21" s="3569"/>
      <c r="L21" s="3569"/>
      <c r="M21" s="3569"/>
      <c r="N21" s="3569"/>
      <c r="O21" s="3569"/>
      <c r="P21" s="3569"/>
    </row>
    <row r="22" spans="1:35" ht="17.25">
      <c r="A22" s="1851"/>
      <c r="C22" s="1851"/>
      <c r="D22" s="1851"/>
      <c r="E22" s="1851"/>
      <c r="F22" s="1864" t="str">
        <f>'Quote template-2'!F23</f>
        <v>Main IBC Code:</v>
      </c>
      <c r="G22" s="2634" t="str">
        <f>CONCATENATE('Input '!G37,"-",'Input '!K37)</f>
        <v>-</v>
      </c>
      <c r="H22" s="2635"/>
      <c r="I22" s="2635"/>
      <c r="J22" s="2635"/>
      <c r="K22" s="2636"/>
      <c r="L22" s="2636"/>
      <c r="M22" s="2636"/>
      <c r="N22" s="2828"/>
      <c r="O22" s="2637"/>
      <c r="P22" s="2636"/>
    </row>
    <row r="23" spans="1:35" ht="18.75">
      <c r="A23" s="1851"/>
      <c r="C23" s="1851"/>
      <c r="D23" s="1851"/>
      <c r="E23" s="1851"/>
      <c r="F23" s="1864" t="str">
        <f>'Quote template-2'!F24</f>
        <v>Total revenues declared:</v>
      </c>
      <c r="G23" s="3250">
        <f>'Input '!G39</f>
        <v>0</v>
      </c>
      <c r="H23" s="1860"/>
      <c r="I23" s="1860"/>
      <c r="J23" s="1860"/>
      <c r="K23" s="1856"/>
      <c r="L23" s="1856"/>
      <c r="M23" s="1856"/>
      <c r="N23" s="2807"/>
      <c r="O23" s="1859"/>
      <c r="P23" s="1856"/>
      <c r="AE23" s="3554"/>
      <c r="AF23" s="3554"/>
      <c r="AG23" s="3554"/>
      <c r="AH23" s="3554"/>
      <c r="AI23" s="3554"/>
    </row>
    <row r="24" spans="1:35" ht="24" customHeight="1">
      <c r="A24" s="1851"/>
      <c r="C24" s="1851"/>
      <c r="D24" s="1851"/>
      <c r="E24" s="1851"/>
      <c r="F24" s="1864" t="str">
        <f>'Quote template-2'!F25</f>
        <v>Address:</v>
      </c>
      <c r="G24" s="3563"/>
      <c r="H24" s="3563"/>
      <c r="I24" s="3563"/>
      <c r="J24" s="3563"/>
      <c r="K24" s="3563"/>
      <c r="L24" s="1861" t="str">
        <f>'Quote template-2'!K25</f>
        <v>Province:</v>
      </c>
      <c r="M24" s="1856"/>
      <c r="N24" s="2805">
        <f>Map!U315</f>
        <v>0</v>
      </c>
      <c r="O24" s="1856"/>
      <c r="P24" s="1856"/>
    </row>
    <row r="25" spans="1:35" ht="17.25">
      <c r="A25" s="1851"/>
      <c r="C25" s="1851"/>
      <c r="D25" s="1851"/>
      <c r="E25" s="1851"/>
      <c r="F25" s="1864" t="str">
        <f>'Quote template-2'!F26</f>
        <v>City:</v>
      </c>
      <c r="G25" s="1860"/>
      <c r="H25" s="1856"/>
      <c r="I25" s="1856"/>
      <c r="J25" s="1856"/>
      <c r="K25" s="1861"/>
      <c r="L25" s="1861" t="str">
        <f>'Quote template-2'!K26</f>
        <v>Postal code:</v>
      </c>
      <c r="M25" s="1856"/>
      <c r="N25" s="2807">
        <f>Map!U314</f>
        <v>0</v>
      </c>
      <c r="O25" s="1861"/>
      <c r="P25" s="1861"/>
    </row>
    <row r="26" spans="1:35" ht="17.25">
      <c r="A26" s="1851"/>
      <c r="C26" s="1851"/>
      <c r="D26" s="1851"/>
      <c r="E26" s="1851"/>
      <c r="F26" s="1864" t="str">
        <f>'Quote template-2'!F27</f>
        <v>Effective date:</v>
      </c>
      <c r="G26" s="1858">
        <v>43470</v>
      </c>
      <c r="H26" s="1856"/>
      <c r="I26" s="1856"/>
      <c r="J26" s="1856"/>
      <c r="K26" s="1856"/>
      <c r="L26" s="1861" t="str">
        <f>'Quote template-2'!K27</f>
        <v>Term:</v>
      </c>
      <c r="M26" s="1856"/>
      <c r="N26" s="1858">
        <v>43835</v>
      </c>
      <c r="O26" s="1865"/>
      <c r="P26" s="1856"/>
    </row>
    <row r="27" spans="1:35" ht="19.5" customHeight="1">
      <c r="A27" s="1851"/>
      <c r="C27" s="1851"/>
      <c r="D27" s="1851"/>
      <c r="E27" s="1851"/>
      <c r="F27" s="1864" t="str">
        <f>IF(OR('Input '!$G$36="Endorsement",'Input '!$G$36="Avenant"),IF('Input '!$E$1="EN","Endorsement effective date:","Date Avenant"),"")</f>
        <v/>
      </c>
      <c r="G27" s="1858"/>
      <c r="H27" s="1866"/>
      <c r="I27" s="1866"/>
      <c r="J27" s="1866"/>
      <c r="K27" s="1866"/>
      <c r="L27" s="1866"/>
      <c r="M27" s="1866"/>
      <c r="N27" s="2802"/>
      <c r="O27" s="1857"/>
      <c r="P27" s="1866"/>
    </row>
    <row r="28" spans="1:35" ht="21" customHeight="1">
      <c r="A28" s="1851"/>
      <c r="C28" s="1851"/>
      <c r="D28" s="1851"/>
      <c r="E28" s="1851"/>
      <c r="F28" s="1851"/>
      <c r="G28" s="1858"/>
      <c r="H28" s="1851"/>
      <c r="I28" s="1851"/>
      <c r="J28" s="1851"/>
      <c r="K28" s="1851"/>
      <c r="L28" s="1851"/>
      <c r="M28" s="1851"/>
      <c r="N28" s="2804"/>
      <c r="O28" s="1852"/>
      <c r="P28" s="1851"/>
    </row>
    <row r="29" spans="1:35" s="469" customFormat="1" ht="33" customHeight="1">
      <c r="A29" s="1864"/>
      <c r="B29" s="2748"/>
      <c r="C29" s="1867"/>
      <c r="D29" s="1867"/>
      <c r="E29" s="1868" t="str">
        <f>'Quote template-2'!E30</f>
        <v>Form</v>
      </c>
      <c r="F29" s="1869" t="str">
        <f>'Quote template-2'!F30</f>
        <v xml:space="preserve">Quote Conditions </v>
      </c>
      <c r="G29" s="1870"/>
      <c r="H29" s="1871" t="str">
        <f>'Quote template-2'!H30</f>
        <v>%Co -Ins</v>
      </c>
      <c r="I29" s="1868">
        <f>'Quote template-2'!I30</f>
        <v>0</v>
      </c>
      <c r="J29" s="1864"/>
      <c r="K29" s="1872" t="str">
        <f>'Quote template-2'!J30</f>
        <v>Deductible</v>
      </c>
      <c r="L29" s="1872" t="str">
        <f>'Quote template-2'!K30</f>
        <v>Limit</v>
      </c>
      <c r="M29" s="1872">
        <f>'Quote template-2'!L30</f>
        <v>0</v>
      </c>
      <c r="N29" s="2829" t="str">
        <f>'Quote template-2'!M30</f>
        <v>Premium</v>
      </c>
      <c r="O29" s="1868">
        <f>'Quote template-2'!N30</f>
        <v>0</v>
      </c>
      <c r="P29" s="1864"/>
      <c r="Q29" s="385"/>
      <c r="Z29" s="1235"/>
      <c r="AA29" s="1234"/>
    </row>
    <row r="30" spans="1:35" s="471" customFormat="1" ht="24.75" customHeight="1">
      <c r="A30" s="1873" t="str">
        <f ca="1">IF(N30=0,"x","")</f>
        <v>x</v>
      </c>
      <c r="B30" s="2749"/>
      <c r="C30" s="1874"/>
      <c r="D30" s="1874"/>
      <c r="E30" s="1875"/>
      <c r="F30" s="1876" t="str">
        <f>Property!E1</f>
        <v>A. Property Section</v>
      </c>
      <c r="G30" s="1877"/>
      <c r="H30" s="1877"/>
      <c r="I30" s="1877"/>
      <c r="J30" s="1877"/>
      <c r="K30" s="1877"/>
      <c r="L30" s="1877"/>
      <c r="M30" s="1877"/>
      <c r="N30" s="1878">
        <f ca="1">Property!W98</f>
        <v>0</v>
      </c>
      <c r="O30" s="1878"/>
      <c r="P30" s="1879"/>
      <c r="Q30" s="470"/>
      <c r="Z30" s="1200"/>
      <c r="AA30" s="1207"/>
    </row>
    <row r="31" spans="1:35" ht="18.75">
      <c r="A31" s="1873" t="str">
        <f>IF(Property!E6="Y","","x")</f>
        <v>x</v>
      </c>
      <c r="B31" s="1822"/>
      <c r="C31" s="1880"/>
      <c r="D31" s="1880"/>
      <c r="E31" s="1954" t="str">
        <f>Property!AA6</f>
        <v>PA12</v>
      </c>
      <c r="F31" s="1955" t="str">
        <f>'Quote template-2'!F32</f>
        <v>Contractor's tools</v>
      </c>
      <c r="G31" s="1969" t="str">
        <f>IF('Input '!$E$1="EN",'Quote template-1'!AA31,Z31)</f>
        <v>Tool value over $2500 must be on schedule</v>
      </c>
      <c r="H31" s="3469">
        <v>1</v>
      </c>
      <c r="I31" s="1956"/>
      <c r="J31" s="1956"/>
      <c r="K31" s="3467">
        <f>Property!Z6</f>
        <v>1000</v>
      </c>
      <c r="L31" s="3467">
        <f>Property!I6</f>
        <v>0</v>
      </c>
      <c r="M31" s="1958"/>
      <c r="N31" s="2852">
        <f>IF('Input '!$G$9=TRUE,Property!W6,"")</f>
        <v>0</v>
      </c>
      <c r="O31" s="1881"/>
      <c r="P31" s="1851"/>
      <c r="Q31" s="472"/>
      <c r="Z31" s="1197" t="s">
        <v>4525</v>
      </c>
      <c r="AA31" s="1204" t="s">
        <v>4526</v>
      </c>
    </row>
    <row r="32" spans="1:35" ht="18.75">
      <c r="A32" s="1873" t="str">
        <f>IF(Property!E7="Y","","x")</f>
        <v>x</v>
      </c>
      <c r="B32" s="1822"/>
      <c r="C32" s="1880"/>
      <c r="D32" s="1880"/>
      <c r="E32" s="1954" t="str">
        <f>Property!AA7</f>
        <v>PA11</v>
      </c>
      <c r="F32" s="1955" t="str">
        <f>Property!G7</f>
        <v>Contractor Equipment</v>
      </c>
      <c r="G32" s="2898" t="str">
        <f>IF('Input '!$E$1="EN",'Quote template-1'!AA32,Z32)</f>
        <v>Equipement over $2500 must be on schedule. Max  value per equipment $75,000  / aggregate limit $125,000</v>
      </c>
      <c r="H32" s="2717">
        <v>0.9</v>
      </c>
      <c r="I32" s="1956"/>
      <c r="J32" s="1956"/>
      <c r="K32" s="3467">
        <f>Property!Z7</f>
        <v>2500</v>
      </c>
      <c r="L32" s="3467">
        <f>Property!I7</f>
        <v>0</v>
      </c>
      <c r="M32" s="1958"/>
      <c r="N32" s="2852">
        <f>IF('Input '!$G$9=TRUE,Property!W7,"")</f>
        <v>0</v>
      </c>
      <c r="O32" s="1882"/>
      <c r="P32" s="1851"/>
      <c r="Q32" s="472"/>
      <c r="Z32" s="1197" t="s">
        <v>4527</v>
      </c>
      <c r="AA32" s="1204" t="s">
        <v>4528</v>
      </c>
    </row>
    <row r="33" spans="1:27" ht="18.75">
      <c r="A33" s="1873" t="str">
        <f>IF(Property!E8="Y","","x")</f>
        <v>x</v>
      </c>
      <c r="B33" s="1822"/>
      <c r="C33" s="1880"/>
      <c r="D33" s="1880"/>
      <c r="E33" s="1954" t="str">
        <f>Property!AA8</f>
        <v>PA11</v>
      </c>
      <c r="F33" s="1955" t="str">
        <f>Property!G8</f>
        <v>Contractor's equipment Rented(max 45 days per year)</v>
      </c>
      <c r="G33" s="2898" t="str">
        <f>IF('Input '!$E$1="EN",'Quote template-1'!AA33,Z33)</f>
        <v>Max  value per equipment $50,000  / aggregate limit $50,000</v>
      </c>
      <c r="H33" s="2717">
        <v>0.9</v>
      </c>
      <c r="I33" s="1956"/>
      <c r="J33" s="1956"/>
      <c r="K33" s="1957">
        <f>Property!Z8</f>
        <v>2500</v>
      </c>
      <c r="L33" s="3467">
        <f>Property!I8</f>
        <v>0</v>
      </c>
      <c r="M33" s="1958"/>
      <c r="N33" s="2852">
        <f>IF('Input '!$G$9=TRUE,Property!W8,"")</f>
        <v>0</v>
      </c>
      <c r="O33" s="1882"/>
      <c r="P33" s="1851"/>
      <c r="Q33" s="472"/>
      <c r="Z33" s="1197" t="s">
        <v>4395</v>
      </c>
      <c r="AA33" s="1204" t="s">
        <v>4396</v>
      </c>
    </row>
    <row r="34" spans="1:27" ht="18.75">
      <c r="A34" s="1873" t="str">
        <f>IF(Property!E55="Y","","x")</f>
        <v>x</v>
      </c>
      <c r="B34" s="1822"/>
      <c r="C34" s="1880"/>
      <c r="D34" s="1880"/>
      <c r="E34" s="1954" t="str">
        <f>Property!AA55</f>
        <v>CW216</v>
      </c>
      <c r="F34" s="2863" t="str">
        <f>Property!G55</f>
        <v>*Amendment to PA11 coverage:  amends new acquisitions</v>
      </c>
      <c r="G34" s="1956"/>
      <c r="H34" s="2717"/>
      <c r="I34" s="1956"/>
      <c r="J34" s="1956"/>
      <c r="K34" s="1957"/>
      <c r="L34" s="1957"/>
      <c r="M34" s="1958"/>
      <c r="N34" s="2852"/>
      <c r="O34" s="1882"/>
      <c r="P34" s="1851"/>
      <c r="Q34" s="472"/>
    </row>
    <row r="35" spans="1:27" ht="18.75">
      <c r="A35" s="1873" t="str">
        <f>IF(Property!E9="Y","","x")</f>
        <v>x</v>
      </c>
      <c r="B35" s="1822"/>
      <c r="C35" s="1880"/>
      <c r="D35" s="1880"/>
      <c r="E35" s="1954" t="str">
        <f>Property!AA9</f>
        <v>PA19</v>
      </c>
      <c r="F35" s="1955" t="str">
        <f>Property!G9</f>
        <v>Installation floater</v>
      </c>
      <c r="G35" s="1956"/>
      <c r="H35" s="2717">
        <v>1</v>
      </c>
      <c r="I35" s="1956"/>
      <c r="J35" s="1956"/>
      <c r="K35" s="1957">
        <f>Property!Z9</f>
        <v>1000</v>
      </c>
      <c r="L35" s="3467">
        <f>Property!I9</f>
        <v>0</v>
      </c>
      <c r="M35" s="1958"/>
      <c r="N35" s="2852">
        <f>IF('Input '!$G$9=TRUE,Property!W9,"")</f>
        <v>0</v>
      </c>
      <c r="O35" s="1882"/>
      <c r="P35" s="1851"/>
      <c r="Q35" s="472"/>
    </row>
    <row r="36" spans="1:27" ht="18.75">
      <c r="A36" s="1873" t="str">
        <f>IF(Property!E10="Y","","x")</f>
        <v>x</v>
      </c>
      <c r="B36" s="1822"/>
      <c r="C36" s="1880"/>
      <c r="D36" s="1880"/>
      <c r="E36" s="1954" t="str">
        <f>Property!AA10</f>
        <v>CM05</v>
      </c>
      <c r="F36" s="1955" t="str">
        <f>Property!G10</f>
        <v xml:space="preserve">Extension of Coverage </v>
      </c>
      <c r="G36" s="1956"/>
      <c r="H36" s="1959"/>
      <c r="I36" s="1956"/>
      <c r="J36" s="1956"/>
      <c r="K36" s="1957">
        <f>Property!Z10</f>
        <v>1000</v>
      </c>
      <c r="L36" s="3467">
        <f>Property!I10</f>
        <v>0</v>
      </c>
      <c r="M36" s="1958"/>
      <c r="N36" s="2852">
        <f>IF('Input '!$G$9=TRUE,Property!W10,"")</f>
        <v>0</v>
      </c>
      <c r="O36" s="1882"/>
      <c r="P36" s="1851"/>
      <c r="Q36" s="472"/>
    </row>
    <row r="37" spans="1:27" ht="18.75">
      <c r="A37" s="1873" t="str">
        <f>IF(Property!E11="Y","","x")</f>
        <v>x</v>
      </c>
      <c r="B37" s="1822"/>
      <c r="C37" s="1880"/>
      <c r="D37" s="1880"/>
      <c r="E37" s="1954" t="str">
        <f>Property!AA11</f>
        <v>CM05</v>
      </c>
      <c r="F37" s="1955" t="str">
        <f>Property!G11</f>
        <v xml:space="preserve">Extension of Coverage </v>
      </c>
      <c r="G37" s="1956"/>
      <c r="H37" s="1959"/>
      <c r="I37" s="1956"/>
      <c r="J37" s="1956"/>
      <c r="K37" s="1957">
        <f>Property!Z11</f>
        <v>1000</v>
      </c>
      <c r="L37" s="3467">
        <f>Property!I11</f>
        <v>0</v>
      </c>
      <c r="M37" s="1958"/>
      <c r="N37" s="2852">
        <f>IF('Input '!$G$9=TRUE,Property!W11,"")</f>
        <v>0</v>
      </c>
      <c r="O37" s="1882"/>
      <c r="P37" s="1851"/>
      <c r="Q37" s="472"/>
    </row>
    <row r="38" spans="1:27" ht="18.75">
      <c r="A38" s="1873" t="str">
        <f>IF(Property!E12="Y","","x")</f>
        <v>x</v>
      </c>
      <c r="B38" s="1822"/>
      <c r="C38" s="1880"/>
      <c r="D38" s="1880"/>
      <c r="E38" s="1954" t="str">
        <f>Property!AA12</f>
        <v>CW182</v>
      </c>
      <c r="F38" s="1955" t="str">
        <f>Property!G12</f>
        <v>Rental Expenses ( min value $5000)</v>
      </c>
      <c r="G38" s="1960"/>
      <c r="H38" s="1961" t="str">
        <f>IF('Input '!$E$1="EN",'Quote template-2'!AA41&amp;Property!K12,'Quote template-2'!Z41&amp;Property!K12)</f>
        <v>*Nb days of coverage:10</v>
      </c>
      <c r="I38" s="1956"/>
      <c r="J38" s="1956"/>
      <c r="K38" s="1957">
        <f>Property!Z12</f>
        <v>0</v>
      </c>
      <c r="L38" s="1957" t="str">
        <f>Property!I12</f>
        <v>option:</v>
      </c>
      <c r="M38" s="1958"/>
      <c r="N38" s="2852">
        <f>IF('Input '!$G$9=TRUE,Property!W12,"")</f>
        <v>0</v>
      </c>
      <c r="O38" s="1881"/>
      <c r="P38" s="1851"/>
      <c r="Q38" s="472"/>
    </row>
    <row r="39" spans="1:27" ht="24">
      <c r="A39" s="1879"/>
      <c r="B39" s="1822"/>
      <c r="C39" s="1880"/>
      <c r="D39" s="1880"/>
      <c r="E39" s="1954"/>
      <c r="F39" s="1955"/>
      <c r="G39" s="1962"/>
      <c r="H39" s="1963"/>
      <c r="I39" s="1956"/>
      <c r="J39" s="1956"/>
      <c r="K39" s="1957"/>
      <c r="L39" s="1957"/>
      <c r="M39" s="1958"/>
      <c r="N39" s="2852"/>
      <c r="O39" s="1881"/>
      <c r="P39" s="1851"/>
      <c r="Q39" s="472"/>
    </row>
    <row r="40" spans="1:27" ht="18.75">
      <c r="A40" s="1873" t="str">
        <f>IF(Property!E23="Y","","x")</f>
        <v>x</v>
      </c>
      <c r="B40" s="1822"/>
      <c r="C40" s="1880"/>
      <c r="D40" s="1880"/>
      <c r="E40" s="1954" t="str">
        <f>Property!AA23</f>
        <v>PA1</v>
      </c>
      <c r="F40" s="1955" t="str">
        <f>Property!G23</f>
        <v>Building</v>
      </c>
      <c r="G40" s="1964" t="str">
        <f ca="1">IF(Property!W25=0,'Quote template-1'!H41,"")</f>
        <v>All Risks-RC</v>
      </c>
      <c r="H40" s="1959">
        <f>Property!K23</f>
        <v>0.9</v>
      </c>
      <c r="I40" s="1956"/>
      <c r="J40" s="1956"/>
      <c r="K40" s="1957">
        <f>Property!Z24</f>
        <v>1000</v>
      </c>
      <c r="L40" s="3467">
        <f>Property!I23</f>
        <v>0</v>
      </c>
      <c r="M40" s="1957"/>
      <c r="N40" s="1957">
        <f ca="1">IF('Input '!$G$9,Property!W23,"")</f>
        <v>0</v>
      </c>
      <c r="O40" s="1882"/>
      <c r="P40" s="1851"/>
      <c r="Q40" s="472"/>
    </row>
    <row r="41" spans="1:27" s="184" customFormat="1" ht="17.25">
      <c r="A41" s="1873" t="str">
        <f>IF(Property!E24="Y","","x")</f>
        <v>x</v>
      </c>
      <c r="B41" s="2750"/>
      <c r="C41" s="1884"/>
      <c r="D41" s="1884"/>
      <c r="E41" s="1954" t="str">
        <f>Property!AA24</f>
        <v>PA1</v>
      </c>
      <c r="F41" s="1965">
        <f>Property!H24</f>
        <v>0</v>
      </c>
      <c r="G41" s="1966"/>
      <c r="H41" s="1967" t="str">
        <f>CONCATENATE(Property!K24,"-",Property!L24)</f>
        <v>All Risks-RC</v>
      </c>
      <c r="I41" s="1956"/>
      <c r="J41" s="1956"/>
      <c r="K41" s="1968">
        <f>Property!Z24</f>
        <v>1000</v>
      </c>
      <c r="L41" s="3468">
        <f>Property!I24</f>
        <v>0</v>
      </c>
      <c r="M41" s="1968"/>
      <c r="N41" s="1957">
        <f ca="1">IF('Input '!$G$9,Property!W24,"")</f>
        <v>0</v>
      </c>
      <c r="O41" s="1884"/>
      <c r="P41" s="1851"/>
      <c r="Q41" s="381"/>
      <c r="Z41" s="1201"/>
      <c r="AA41" s="1208"/>
    </row>
    <row r="42" spans="1:27" s="184" customFormat="1" ht="17.25">
      <c r="A42" s="1873" t="str">
        <f>IF(Property!E25="Y","","x")</f>
        <v>x</v>
      </c>
      <c r="B42" s="2750"/>
      <c r="C42" s="1884"/>
      <c r="D42" s="1884"/>
      <c r="E42" s="1954" t="str">
        <f>Property!AA25</f>
        <v>PA1</v>
      </c>
      <c r="F42" s="1965" t="str">
        <f>Property!H25</f>
        <v>Input Address no 2</v>
      </c>
      <c r="G42" s="1962"/>
      <c r="H42" s="1967" t="str">
        <f ca="1">CONCATENATE(Property!K25,"-",Property!L25)</f>
        <v>All risks-RC</v>
      </c>
      <c r="I42" s="1956"/>
      <c r="J42" s="1956"/>
      <c r="K42" s="1968">
        <f>Property!Z25</f>
        <v>1000</v>
      </c>
      <c r="L42" s="3468">
        <f>Property!I25</f>
        <v>0</v>
      </c>
      <c r="M42" s="1968"/>
      <c r="N42" s="1957">
        <f ca="1">IF('Input '!$G$9,Property!W25,"")</f>
        <v>0</v>
      </c>
      <c r="O42" s="1884"/>
      <c r="P42" s="1851"/>
      <c r="Q42" s="381"/>
      <c r="Z42" s="1201"/>
      <c r="AA42" s="1208"/>
    </row>
    <row r="43" spans="1:27" s="184" customFormat="1" ht="17.25">
      <c r="A43" s="1873" t="str">
        <f>IF(Property!E26="Y","","x")</f>
        <v>x</v>
      </c>
      <c r="B43" s="2750"/>
      <c r="C43" s="1884"/>
      <c r="D43" s="1884"/>
      <c r="E43" s="1954" t="str">
        <f>Property!AA26</f>
        <v>PA1</v>
      </c>
      <c r="F43" s="1965" t="str">
        <f>Property!H26</f>
        <v>Input Address no 3</v>
      </c>
      <c r="G43" s="1962"/>
      <c r="H43" s="1967" t="str">
        <f ca="1">CONCATENATE(Property!K26,"-",Property!L26)</f>
        <v>All risks-RC</v>
      </c>
      <c r="I43" s="1956"/>
      <c r="J43" s="1956"/>
      <c r="K43" s="1968">
        <f>Property!Z26</f>
        <v>1000</v>
      </c>
      <c r="L43" s="3468">
        <f>Property!I26</f>
        <v>0</v>
      </c>
      <c r="M43" s="1968"/>
      <c r="N43" s="1957">
        <f ca="1">IF('Input '!$G$9,Property!W26,"")</f>
        <v>0</v>
      </c>
      <c r="O43" s="1884"/>
      <c r="P43" s="1851"/>
      <c r="Q43" s="381"/>
      <c r="Z43" s="1201"/>
      <c r="AA43" s="1208"/>
    </row>
    <row r="44" spans="1:27" s="184" customFormat="1" ht="17.25">
      <c r="A44" s="1873" t="str">
        <f>IF(Property!E27="Y","","x")</f>
        <v>x</v>
      </c>
      <c r="B44" s="2750"/>
      <c r="C44" s="1884"/>
      <c r="D44" s="1884"/>
      <c r="E44" s="1954" t="str">
        <f>Property!AA27</f>
        <v>PA1</v>
      </c>
      <c r="F44" s="1965" t="str">
        <f>Property!H27</f>
        <v>Input Address no 4</v>
      </c>
      <c r="G44" s="1962"/>
      <c r="H44" s="1967" t="str">
        <f ca="1">CONCATENATE(Property!K27,"-",Property!L27)</f>
        <v>All risks-RC</v>
      </c>
      <c r="I44" s="1956"/>
      <c r="J44" s="1956"/>
      <c r="K44" s="1968">
        <f>Property!Z27</f>
        <v>1000</v>
      </c>
      <c r="L44" s="3468">
        <f>Property!I27</f>
        <v>0</v>
      </c>
      <c r="M44" s="1968"/>
      <c r="N44" s="1957">
        <f ca="1">IF('Input '!$G$9,Property!W27,"")</f>
        <v>0</v>
      </c>
      <c r="O44" s="1884"/>
      <c r="P44" s="1851"/>
      <c r="Q44" s="381"/>
      <c r="Z44" s="1201"/>
      <c r="AA44" s="1208"/>
    </row>
    <row r="45" spans="1:27" s="184" customFormat="1" ht="17.25">
      <c r="A45" s="1873" t="str">
        <f>IF(Property!E28="Y","","x")</f>
        <v>x</v>
      </c>
      <c r="B45" s="2750"/>
      <c r="C45" s="1884"/>
      <c r="D45" s="1884"/>
      <c r="E45" s="1954" t="str">
        <f>Property!AA28</f>
        <v>PA1</v>
      </c>
      <c r="F45" s="1965" t="str">
        <f>Property!H28</f>
        <v>Input Address no 5</v>
      </c>
      <c r="G45" s="1962"/>
      <c r="H45" s="1967" t="str">
        <f ca="1">CONCATENATE(Property!K28,"-",Property!L28)</f>
        <v>All risks-RC</v>
      </c>
      <c r="I45" s="1956"/>
      <c r="J45" s="1956"/>
      <c r="K45" s="1968">
        <f>Property!Z28</f>
        <v>1000</v>
      </c>
      <c r="L45" s="3468">
        <f>Property!I28</f>
        <v>0</v>
      </c>
      <c r="M45" s="1968"/>
      <c r="N45" s="1957">
        <f ca="1">IF('Input '!$G$9,Property!W28,"")</f>
        <v>0</v>
      </c>
      <c r="O45" s="1884"/>
      <c r="P45" s="1851"/>
      <c r="Q45" s="381"/>
      <c r="Z45" s="1201"/>
      <c r="AA45" s="1208"/>
    </row>
    <row r="46" spans="1:27" ht="18.75">
      <c r="A46" s="1873" t="str">
        <f>IF(Property!E29="Y","","x")</f>
        <v>x</v>
      </c>
      <c r="B46" s="1822"/>
      <c r="C46" s="1880"/>
      <c r="D46" s="1880"/>
      <c r="E46" s="1954" t="str">
        <f>Property!AA29</f>
        <v>PA1</v>
      </c>
      <c r="F46" s="1955" t="str">
        <f>Property!G29</f>
        <v>Contents</v>
      </c>
      <c r="G46" s="1969" t="str">
        <f ca="1">IF(Property!W31=0,'Quote template-1'!H47,"")</f>
        <v>All Risks-RC</v>
      </c>
      <c r="H46" s="1959">
        <f>Property!K29</f>
        <v>0.9</v>
      </c>
      <c r="I46" s="1956"/>
      <c r="J46" s="1956"/>
      <c r="K46" s="1957">
        <f>Property!Z30</f>
        <v>1000</v>
      </c>
      <c r="L46" s="3467">
        <f>Property!I29</f>
        <v>0</v>
      </c>
      <c r="M46" s="1957"/>
      <c r="N46" s="1957">
        <f ca="1">IF('Input '!$G$9,Property!W29,"")</f>
        <v>0</v>
      </c>
      <c r="O46" s="1882"/>
      <c r="P46" s="1851"/>
      <c r="Q46" s="472"/>
    </row>
    <row r="47" spans="1:27" s="184" customFormat="1" ht="17.25">
      <c r="A47" s="1873" t="str">
        <f>IF(Property!E30="Y","","x")</f>
        <v>x</v>
      </c>
      <c r="B47" s="2750"/>
      <c r="C47" s="1884"/>
      <c r="D47" s="1884"/>
      <c r="E47" s="1954" t="str">
        <f>Property!AA30</f>
        <v>PA1</v>
      </c>
      <c r="F47" s="1965">
        <f>Property!H30</f>
        <v>0</v>
      </c>
      <c r="G47" s="1962"/>
      <c r="H47" s="1967" t="str">
        <f>CONCATENATE(Property!K30,"-",Property!L30)</f>
        <v>All Risks-RC</v>
      </c>
      <c r="I47" s="1956"/>
      <c r="J47" s="1956"/>
      <c r="K47" s="1968">
        <f>Property!Z30</f>
        <v>1000</v>
      </c>
      <c r="L47" s="3468">
        <f>Property!I30</f>
        <v>0</v>
      </c>
      <c r="M47" s="1968"/>
      <c r="N47" s="1957">
        <f ca="1">IF('Input '!$G$9,Property!W30,"")</f>
        <v>0</v>
      </c>
      <c r="O47" s="1884"/>
      <c r="P47" s="1851"/>
      <c r="Q47" s="381"/>
      <c r="Z47" s="1201"/>
      <c r="AA47" s="1208"/>
    </row>
    <row r="48" spans="1:27" s="184" customFormat="1" ht="17.25">
      <c r="A48" s="1873" t="str">
        <f>IF(Property!E31="Y","","x")</f>
        <v>x</v>
      </c>
      <c r="B48" s="2750"/>
      <c r="C48" s="1884"/>
      <c r="D48" s="1884"/>
      <c r="E48" s="1954" t="str">
        <f>Property!AA31</f>
        <v>PA1</v>
      </c>
      <c r="F48" s="1965" t="str">
        <f>Property!H31</f>
        <v>Input Address no 2</v>
      </c>
      <c r="G48" s="1962"/>
      <c r="H48" s="1967" t="str">
        <f ca="1">CONCATENATE(Property!K31,"-",Property!L31)</f>
        <v>All risks-RC</v>
      </c>
      <c r="I48" s="1956"/>
      <c r="J48" s="1956"/>
      <c r="K48" s="1968">
        <f>Property!Z31</f>
        <v>1000</v>
      </c>
      <c r="L48" s="3468">
        <f>Property!I31</f>
        <v>0</v>
      </c>
      <c r="M48" s="1968"/>
      <c r="N48" s="1957">
        <f ca="1">IF('Input '!$G$9,Property!W31,"")</f>
        <v>0</v>
      </c>
      <c r="O48" s="1884"/>
      <c r="P48" s="1851"/>
      <c r="Q48" s="381"/>
      <c r="Z48" s="1201"/>
      <c r="AA48" s="1208"/>
    </row>
    <row r="49" spans="1:27" s="184" customFormat="1" ht="17.25">
      <c r="A49" s="1873" t="str">
        <f>IF(Property!E32="Y","","x")</f>
        <v>x</v>
      </c>
      <c r="B49" s="2750"/>
      <c r="C49" s="1884"/>
      <c r="D49" s="1884"/>
      <c r="E49" s="1954" t="str">
        <f>Property!AA32</f>
        <v>PA1</v>
      </c>
      <c r="F49" s="1965" t="str">
        <f>Property!H32</f>
        <v>Input Address no 3</v>
      </c>
      <c r="G49" s="1962"/>
      <c r="H49" s="1967" t="str">
        <f ca="1">CONCATENATE(Property!K32,"-",Property!L32)</f>
        <v>All risks-RC</v>
      </c>
      <c r="I49" s="1956"/>
      <c r="J49" s="1956"/>
      <c r="K49" s="1968">
        <f>Property!Z32</f>
        <v>1000</v>
      </c>
      <c r="L49" s="3468">
        <f>Property!I32</f>
        <v>0</v>
      </c>
      <c r="M49" s="1968"/>
      <c r="N49" s="1957">
        <f ca="1">IF('Input '!$G$9,Property!W32,"")</f>
        <v>0</v>
      </c>
      <c r="O49" s="1884"/>
      <c r="P49" s="1851"/>
      <c r="Q49" s="381"/>
      <c r="Z49" s="1201"/>
      <c r="AA49" s="1208"/>
    </row>
    <row r="50" spans="1:27" s="184" customFormat="1" ht="17.25">
      <c r="A50" s="1873" t="str">
        <f>IF(Property!E33="Y","","x")</f>
        <v>x</v>
      </c>
      <c r="B50" s="2750"/>
      <c r="C50" s="1884"/>
      <c r="D50" s="1884"/>
      <c r="E50" s="1954" t="str">
        <f>Property!AA33</f>
        <v>PA1</v>
      </c>
      <c r="F50" s="1965" t="str">
        <f>Property!H33</f>
        <v>Input Address no 4</v>
      </c>
      <c r="G50" s="1962"/>
      <c r="H50" s="1967" t="str">
        <f ca="1">CONCATENATE(Property!K33,"-",Property!L33)</f>
        <v>All risks-RC</v>
      </c>
      <c r="I50" s="1956"/>
      <c r="J50" s="1956"/>
      <c r="K50" s="1968">
        <f>Property!Z33</f>
        <v>1000</v>
      </c>
      <c r="L50" s="3468">
        <f>Property!I33</f>
        <v>0</v>
      </c>
      <c r="M50" s="1968"/>
      <c r="N50" s="1957">
        <f ca="1">IF('Input '!$G$9,Property!W33,"")</f>
        <v>0</v>
      </c>
      <c r="O50" s="1884"/>
      <c r="P50" s="1851"/>
      <c r="Q50" s="381"/>
      <c r="Z50" s="1201"/>
      <c r="AA50" s="1208"/>
    </row>
    <row r="51" spans="1:27" s="184" customFormat="1" ht="17.25">
      <c r="A51" s="1873" t="str">
        <f>IF(Property!E34="Y","","x")</f>
        <v>x</v>
      </c>
      <c r="B51" s="2750"/>
      <c r="C51" s="1884"/>
      <c r="D51" s="1884"/>
      <c r="E51" s="1954" t="str">
        <f>Property!AA34</f>
        <v>PA1</v>
      </c>
      <c r="F51" s="1965" t="str">
        <f>Property!H34</f>
        <v>Input Address no 5</v>
      </c>
      <c r="G51" s="1962"/>
      <c r="H51" s="1967" t="str">
        <f ca="1">CONCATENATE(Property!K34,"-",Property!L34)</f>
        <v>All risks-RC</v>
      </c>
      <c r="I51" s="1956"/>
      <c r="J51" s="1956"/>
      <c r="K51" s="1968">
        <f>Property!Z34</f>
        <v>1000</v>
      </c>
      <c r="L51" s="3468">
        <f>Property!I34</f>
        <v>0</v>
      </c>
      <c r="M51" s="1968"/>
      <c r="N51" s="1957">
        <f ca="1">IF('Input '!$G$9,Property!W34,"")</f>
        <v>0</v>
      </c>
      <c r="O51" s="1884"/>
      <c r="P51" s="1851"/>
      <c r="Q51" s="381"/>
      <c r="Z51" s="1201"/>
      <c r="AA51" s="1208"/>
    </row>
    <row r="52" spans="1:27" ht="18.75">
      <c r="A52" s="1873" t="str">
        <f>IF(Property!E35="Y","","x")</f>
        <v>x</v>
      </c>
      <c r="B52" s="1822"/>
      <c r="C52" s="1880"/>
      <c r="D52" s="1880"/>
      <c r="E52" s="1954" t="str">
        <f>Property!AA35</f>
        <v>PA1</v>
      </c>
      <c r="F52" s="1955" t="str">
        <f>Property!G35</f>
        <v>Stock</v>
      </c>
      <c r="G52" s="1969" t="str">
        <f ca="1">IF(Property!W37=0,'Quote template-1'!H53,"")</f>
        <v>All Risks-RC</v>
      </c>
      <c r="H52" s="1959">
        <f>Property!K35</f>
        <v>0.9</v>
      </c>
      <c r="I52" s="1956"/>
      <c r="J52" s="1956"/>
      <c r="K52" s="1957">
        <f>Property!Z36</f>
        <v>1000</v>
      </c>
      <c r="L52" s="3467">
        <f>Property!I35</f>
        <v>0</v>
      </c>
      <c r="M52" s="1957"/>
      <c r="N52" s="1957">
        <f ca="1">IF('Input '!$G$9,Property!W35,"")</f>
        <v>0</v>
      </c>
      <c r="O52" s="1882"/>
      <c r="P52" s="1851"/>
      <c r="Q52" s="472"/>
    </row>
    <row r="53" spans="1:27" s="184" customFormat="1" ht="17.25">
      <c r="A53" s="1873" t="str">
        <f>IF(Property!E36="Y","","x")</f>
        <v>x</v>
      </c>
      <c r="B53" s="2750"/>
      <c r="C53" s="1884"/>
      <c r="D53" s="1884"/>
      <c r="E53" s="1954" t="str">
        <f>Property!AA36</f>
        <v>PA1</v>
      </c>
      <c r="F53" s="1965">
        <f>Property!H36</f>
        <v>0</v>
      </c>
      <c r="G53" s="1962"/>
      <c r="H53" s="1967" t="str">
        <f>CONCATENATE(Property!K36,"-",Property!L36)</f>
        <v>All Risks-RC</v>
      </c>
      <c r="I53" s="1956"/>
      <c r="J53" s="1956"/>
      <c r="K53" s="1968">
        <f>Property!Z36</f>
        <v>1000</v>
      </c>
      <c r="L53" s="3468">
        <f>Property!I36</f>
        <v>0</v>
      </c>
      <c r="M53" s="1968"/>
      <c r="N53" s="1957">
        <f ca="1">IF('Input '!$G$9,Property!W36,"")</f>
        <v>0</v>
      </c>
      <c r="O53" s="1884"/>
      <c r="P53" s="1851"/>
      <c r="Q53" s="381"/>
      <c r="Z53" s="1201"/>
      <c r="AA53" s="1208"/>
    </row>
    <row r="54" spans="1:27" s="184" customFormat="1" ht="17.25">
      <c r="A54" s="1873" t="str">
        <f>IF(Property!E37="Y","","x")</f>
        <v>x</v>
      </c>
      <c r="B54" s="2750"/>
      <c r="C54" s="1884"/>
      <c r="D54" s="1884"/>
      <c r="E54" s="1954" t="str">
        <f>Property!AA37</f>
        <v>PA1</v>
      </c>
      <c r="F54" s="1965" t="str">
        <f>Property!H37</f>
        <v>Input Address no 2</v>
      </c>
      <c r="G54" s="1962"/>
      <c r="H54" s="1967" t="str">
        <f ca="1">CONCATENATE(Property!K37,"-",Property!L37)</f>
        <v>All risks-RC</v>
      </c>
      <c r="I54" s="1956"/>
      <c r="J54" s="1956"/>
      <c r="K54" s="1968">
        <f>Property!Z37</f>
        <v>1000</v>
      </c>
      <c r="L54" s="3468">
        <f>Property!I37</f>
        <v>0</v>
      </c>
      <c r="M54" s="1968"/>
      <c r="N54" s="1957">
        <f ca="1">IF('Input '!$G$9,Property!W37,"")</f>
        <v>0</v>
      </c>
      <c r="O54" s="1884"/>
      <c r="P54" s="1851"/>
      <c r="Q54" s="381"/>
      <c r="Z54" s="1201"/>
      <c r="AA54" s="1208"/>
    </row>
    <row r="55" spans="1:27" s="184" customFormat="1" ht="17.25">
      <c r="A55" s="1873" t="str">
        <f>IF(Property!E38="Y","","x")</f>
        <v>x</v>
      </c>
      <c r="B55" s="2750"/>
      <c r="C55" s="1884"/>
      <c r="D55" s="1884"/>
      <c r="E55" s="1954" t="str">
        <f>Property!AA38</f>
        <v>PA1</v>
      </c>
      <c r="F55" s="1965" t="str">
        <f>Property!H38</f>
        <v>Input Address no 3</v>
      </c>
      <c r="G55" s="1962"/>
      <c r="H55" s="1967" t="str">
        <f ca="1">CONCATENATE(Property!K38,"-",Property!L38)</f>
        <v>All risks-RC</v>
      </c>
      <c r="I55" s="1956"/>
      <c r="J55" s="1956"/>
      <c r="K55" s="1968">
        <f>Property!Z38</f>
        <v>1000</v>
      </c>
      <c r="L55" s="3468">
        <f>Property!I38</f>
        <v>0</v>
      </c>
      <c r="M55" s="1968"/>
      <c r="N55" s="1957">
        <f ca="1">IF('Input '!$G$9,Property!W38,"")</f>
        <v>0</v>
      </c>
      <c r="O55" s="1884"/>
      <c r="P55" s="1851"/>
      <c r="Q55" s="381"/>
      <c r="Z55" s="1201"/>
      <c r="AA55" s="1208"/>
    </row>
    <row r="56" spans="1:27" s="184" customFormat="1" ht="17.25">
      <c r="A56" s="1873" t="str">
        <f>IF(Property!E39="Y","","x")</f>
        <v>x</v>
      </c>
      <c r="B56" s="2750"/>
      <c r="C56" s="1884"/>
      <c r="D56" s="1884"/>
      <c r="E56" s="1954" t="str">
        <f>Property!AA39</f>
        <v>PA1</v>
      </c>
      <c r="F56" s="1965" t="str">
        <f>Property!H39</f>
        <v>Input Address no 4</v>
      </c>
      <c r="G56" s="1962"/>
      <c r="H56" s="1967" t="str">
        <f ca="1">CONCATENATE(Property!K39,"-",Property!L39)</f>
        <v>All risks-RC</v>
      </c>
      <c r="I56" s="1956"/>
      <c r="J56" s="1956"/>
      <c r="K56" s="1968">
        <f>Property!Z39</f>
        <v>1000</v>
      </c>
      <c r="L56" s="3468">
        <f>Property!I39</f>
        <v>0</v>
      </c>
      <c r="M56" s="1968"/>
      <c r="N56" s="1957">
        <f ca="1">IF('Input '!$G$9,Property!W39,"")</f>
        <v>0</v>
      </c>
      <c r="O56" s="1884"/>
      <c r="P56" s="1851"/>
      <c r="Q56" s="381"/>
      <c r="Z56" s="1201"/>
      <c r="AA56" s="1208"/>
    </row>
    <row r="57" spans="1:27" s="184" customFormat="1" ht="17.25">
      <c r="A57" s="1873" t="str">
        <f>IF(Property!E40="Y","","x")</f>
        <v>x</v>
      </c>
      <c r="B57" s="2750"/>
      <c r="C57" s="1884"/>
      <c r="D57" s="1884"/>
      <c r="E57" s="1954" t="str">
        <f>Property!AA40</f>
        <v>PA1</v>
      </c>
      <c r="F57" s="1965" t="str">
        <f>Property!H40</f>
        <v>Input Address no 5</v>
      </c>
      <c r="G57" s="1962"/>
      <c r="H57" s="1967" t="str">
        <f ca="1">CONCATENATE(Property!K40,"-",Property!L40)</f>
        <v>All risks-RC</v>
      </c>
      <c r="I57" s="1956"/>
      <c r="J57" s="1956"/>
      <c r="K57" s="1968">
        <f>Property!Z40</f>
        <v>1000</v>
      </c>
      <c r="L57" s="3468">
        <f>Property!I40</f>
        <v>0</v>
      </c>
      <c r="M57" s="1968"/>
      <c r="N57" s="1957">
        <f ca="1">IF('Input '!$G$9,Property!W40,"")</f>
        <v>0</v>
      </c>
      <c r="O57" s="1884"/>
      <c r="P57" s="1851"/>
      <c r="Q57" s="381"/>
      <c r="Z57" s="1201"/>
      <c r="AA57" s="1208"/>
    </row>
    <row r="58" spans="1:27" ht="18.75">
      <c r="A58" s="1873" t="str">
        <f>IF(Property!E41="Y","","x")</f>
        <v>x</v>
      </c>
      <c r="B58" s="1822"/>
      <c r="C58" s="1880"/>
      <c r="D58" s="1880"/>
      <c r="E58" s="1954" t="str">
        <f>Property!AA41</f>
        <v>PA1</v>
      </c>
      <c r="F58" s="1955" t="str">
        <f>Property!G41</f>
        <v>Equipment</v>
      </c>
      <c r="G58" s="1962"/>
      <c r="H58" s="1959">
        <f>Property!K41</f>
        <v>0.9</v>
      </c>
      <c r="I58" s="1956"/>
      <c r="J58" s="1956"/>
      <c r="K58" s="1957">
        <f>Property!Z42</f>
        <v>1000</v>
      </c>
      <c r="L58" s="3467">
        <f>Property!I41</f>
        <v>0</v>
      </c>
      <c r="M58" s="1957"/>
      <c r="N58" s="1957">
        <f ca="1">IF('Input '!$G$9,Property!W41,"")</f>
        <v>0</v>
      </c>
      <c r="O58" s="1882"/>
      <c r="P58" s="1851"/>
      <c r="Q58" s="472"/>
    </row>
    <row r="59" spans="1:27" s="184" customFormat="1" ht="17.25">
      <c r="A59" s="1873" t="str">
        <f>IF(Property!E42="Y","","x")</f>
        <v>x</v>
      </c>
      <c r="B59" s="2750"/>
      <c r="C59" s="1884"/>
      <c r="D59" s="1884"/>
      <c r="E59" s="1954" t="str">
        <f>Property!AA42</f>
        <v>PA1</v>
      </c>
      <c r="F59" s="1965">
        <f>Property!H42</f>
        <v>0</v>
      </c>
      <c r="G59" s="1962"/>
      <c r="H59" s="1967" t="str">
        <f>CONCATENATE(Property!K42,"-",Property!L42)</f>
        <v>All Risks-RC</v>
      </c>
      <c r="I59" s="1956"/>
      <c r="J59" s="1956"/>
      <c r="K59" s="1968">
        <f>Property!Z42</f>
        <v>1000</v>
      </c>
      <c r="L59" s="3468">
        <f>Property!I42</f>
        <v>0</v>
      </c>
      <c r="M59" s="1968"/>
      <c r="N59" s="1957">
        <f ca="1">IF('Input '!$G$9,Property!W42,"")</f>
        <v>0</v>
      </c>
      <c r="O59" s="1884"/>
      <c r="P59" s="1851"/>
      <c r="Q59" s="381"/>
      <c r="Z59" s="1201"/>
      <c r="AA59" s="1208"/>
    </row>
    <row r="60" spans="1:27" s="184" customFormat="1" ht="17.25">
      <c r="A60" s="1873" t="str">
        <f>IF(Property!E43="Y","","x")</f>
        <v>x</v>
      </c>
      <c r="B60" s="2750"/>
      <c r="C60" s="1884"/>
      <c r="D60" s="1884"/>
      <c r="E60" s="1954" t="str">
        <f>Property!AA43</f>
        <v>PA1</v>
      </c>
      <c r="F60" s="1965" t="str">
        <f>Property!H43</f>
        <v>Input Address no 2</v>
      </c>
      <c r="G60" s="1962"/>
      <c r="H60" s="1967" t="str">
        <f ca="1">CONCATENATE(Property!K43,"-",Property!L43)</f>
        <v>All risks-RC</v>
      </c>
      <c r="I60" s="1956"/>
      <c r="J60" s="1956"/>
      <c r="K60" s="1968">
        <f>Property!Z43</f>
        <v>1000</v>
      </c>
      <c r="L60" s="3468">
        <f>Property!I43</f>
        <v>0</v>
      </c>
      <c r="M60" s="1968"/>
      <c r="N60" s="1957">
        <f ca="1">IF('Input '!$G$9,Property!W43,"")</f>
        <v>0</v>
      </c>
      <c r="O60" s="1884"/>
      <c r="P60" s="1851"/>
      <c r="Q60" s="381"/>
      <c r="Z60" s="1201"/>
      <c r="AA60" s="1208"/>
    </row>
    <row r="61" spans="1:27" s="184" customFormat="1" ht="17.25">
      <c r="A61" s="1873" t="str">
        <f>IF(Property!E44="Y","","x")</f>
        <v>x</v>
      </c>
      <c r="B61" s="2750"/>
      <c r="C61" s="1884"/>
      <c r="D61" s="1884"/>
      <c r="E61" s="1954" t="str">
        <f>Property!AA44</f>
        <v>PA1</v>
      </c>
      <c r="F61" s="1965" t="str">
        <f>Property!H44</f>
        <v>Input Address no 3</v>
      </c>
      <c r="G61" s="1962"/>
      <c r="H61" s="1967" t="str">
        <f ca="1">CONCATENATE(Property!K44,"-",Property!L44)</f>
        <v>All risks-RC</v>
      </c>
      <c r="I61" s="1956"/>
      <c r="J61" s="1956"/>
      <c r="K61" s="1968">
        <f>Property!Z44</f>
        <v>1000</v>
      </c>
      <c r="L61" s="3468">
        <f>Property!I44</f>
        <v>0</v>
      </c>
      <c r="M61" s="1968"/>
      <c r="N61" s="1957">
        <f ca="1">IF('Input '!$G$9,Property!W44,"")</f>
        <v>0</v>
      </c>
      <c r="O61" s="1884"/>
      <c r="P61" s="1851"/>
      <c r="Q61" s="381"/>
      <c r="Z61" s="1201"/>
      <c r="AA61" s="1208"/>
    </row>
    <row r="62" spans="1:27" s="184" customFormat="1" ht="17.25">
      <c r="A62" s="1873" t="str">
        <f>IF(Property!E45="Y","","x")</f>
        <v>x</v>
      </c>
      <c r="B62" s="2750"/>
      <c r="C62" s="1884"/>
      <c r="D62" s="1884"/>
      <c r="E62" s="1954" t="str">
        <f>Property!AA45</f>
        <v>PA1</v>
      </c>
      <c r="F62" s="1965" t="str">
        <f>Property!H45</f>
        <v>Input Address no 4</v>
      </c>
      <c r="G62" s="1962"/>
      <c r="H62" s="1967" t="str">
        <f ca="1">CONCATENATE(Property!K45,"-",Property!L45)</f>
        <v>All risks-RC</v>
      </c>
      <c r="I62" s="1956"/>
      <c r="J62" s="1956"/>
      <c r="K62" s="1968">
        <f>Property!Z45</f>
        <v>1000</v>
      </c>
      <c r="L62" s="3468">
        <f>Property!I45</f>
        <v>0</v>
      </c>
      <c r="M62" s="1968"/>
      <c r="N62" s="1957">
        <f ca="1">IF('Input '!$G$9,Property!W45,"")</f>
        <v>0</v>
      </c>
      <c r="O62" s="1884"/>
      <c r="P62" s="1851"/>
      <c r="Q62" s="381"/>
      <c r="Z62" s="1201"/>
      <c r="AA62" s="1208"/>
    </row>
    <row r="63" spans="1:27" s="184" customFormat="1" ht="17.25">
      <c r="A63" s="1873" t="str">
        <f>IF(Property!E46="Y","","x")</f>
        <v>x</v>
      </c>
      <c r="B63" s="2750"/>
      <c r="C63" s="1884"/>
      <c r="D63" s="1884"/>
      <c r="E63" s="1954" t="str">
        <f>Property!AA46</f>
        <v>PA1</v>
      </c>
      <c r="F63" s="1965" t="str">
        <f>Property!H46</f>
        <v>Input Address no 5</v>
      </c>
      <c r="G63" s="1962"/>
      <c r="H63" s="1967" t="str">
        <f ca="1">CONCATENATE(Property!K46,"-",Property!L46)</f>
        <v>All risks-RC</v>
      </c>
      <c r="I63" s="1956"/>
      <c r="J63" s="1956"/>
      <c r="K63" s="1968">
        <f>Property!Z46</f>
        <v>1000</v>
      </c>
      <c r="L63" s="3468">
        <f>Property!I46</f>
        <v>0</v>
      </c>
      <c r="M63" s="1968"/>
      <c r="N63" s="1957">
        <f ca="1">IF('Input '!$G$9,Property!W46,"")</f>
        <v>0</v>
      </c>
      <c r="O63" s="1884"/>
      <c r="P63" s="1851"/>
      <c r="Q63" s="381"/>
      <c r="Z63" s="1201"/>
      <c r="AA63" s="1208"/>
    </row>
    <row r="64" spans="1:27" s="184" customFormat="1">
      <c r="A64" s="1873" t="str">
        <f>IF(COUNTIF($A$65:$A$70,"x")=6,"x","")</f>
        <v>x</v>
      </c>
      <c r="B64" s="2750"/>
      <c r="C64" s="1884"/>
      <c r="D64" s="1884"/>
      <c r="E64" s="1954"/>
      <c r="F64" s="1970" t="str">
        <f>IF('Input '!$E$1="FR",'Quote template-1'!Z64,'Quote template-1'!AA64)</f>
        <v>Deducbitbles and Exclusions here below are applied to the following coverages: Building, Contents, Stock, Equipment</v>
      </c>
      <c r="G64" s="1962"/>
      <c r="H64" s="1962"/>
      <c r="I64" s="1956"/>
      <c r="J64" s="1956"/>
      <c r="K64" s="1968"/>
      <c r="L64" s="1968"/>
      <c r="M64" s="1968"/>
      <c r="N64" s="2830"/>
      <c r="O64" s="1884"/>
      <c r="P64" s="1851"/>
      <c r="Q64" s="381"/>
      <c r="Z64" s="1213" t="s">
        <v>3750</v>
      </c>
      <c r="AA64" s="1224" t="s">
        <v>3751</v>
      </c>
    </row>
    <row r="65" spans="1:27" s="1472" customFormat="1">
      <c r="A65" s="1873" t="str">
        <f>IF(Property!E49="Y","","x")</f>
        <v>x</v>
      </c>
      <c r="B65" s="2750"/>
      <c r="C65" s="1884"/>
      <c r="D65" s="1884"/>
      <c r="E65" s="1954" t="str">
        <f>Property!AA49</f>
        <v>CW160</v>
      </c>
      <c r="F65" s="1965" t="str">
        <f>Property!G49</f>
        <v>Water Damage Limitation</v>
      </c>
      <c r="G65" s="1962"/>
      <c r="H65" s="1962"/>
      <c r="I65" s="1956"/>
      <c r="J65" s="1956"/>
      <c r="K65" s="1968"/>
      <c r="L65" s="1968">
        <f>Property!I49</f>
        <v>0</v>
      </c>
      <c r="M65" s="1968"/>
      <c r="N65" s="1968"/>
      <c r="O65" s="1884"/>
      <c r="P65" s="1851"/>
      <c r="Q65" s="1471"/>
      <c r="Z65" s="1473"/>
      <c r="AA65" s="1474"/>
    </row>
    <row r="66" spans="1:27" s="1472" customFormat="1">
      <c r="A66" s="1873" t="str">
        <f>IF(Property!E50="Y","","x")</f>
        <v>x</v>
      </c>
      <c r="B66" s="2750"/>
      <c r="C66" s="1884"/>
      <c r="D66" s="1884"/>
      <c r="E66" s="1954" t="str">
        <f>Property!AA50</f>
        <v>CW168</v>
      </c>
      <c r="F66" s="1965" t="str">
        <f>Property!G50</f>
        <v>Water Damage Deductible</v>
      </c>
      <c r="G66" s="1962"/>
      <c r="H66" s="1962"/>
      <c r="I66" s="1956"/>
      <c r="J66" s="1956"/>
      <c r="K66" s="1968">
        <f ca="1">Property!Z50</f>
        <v>2500</v>
      </c>
      <c r="L66" s="1968"/>
      <c r="M66" s="1968"/>
      <c r="N66" s="1968"/>
      <c r="O66" s="1884"/>
      <c r="P66" s="1851"/>
      <c r="Q66" s="1471"/>
      <c r="Z66" s="1473"/>
      <c r="AA66" s="1474"/>
    </row>
    <row r="67" spans="1:27" s="1472" customFormat="1">
      <c r="A67" s="1873" t="str">
        <f>IF(Property!E51="Y","","x")</f>
        <v>x</v>
      </c>
      <c r="B67" s="2750"/>
      <c r="C67" s="1884"/>
      <c r="D67" s="1884"/>
      <c r="E67" s="1954" t="str">
        <f>Property!AA51</f>
        <v>CW198</v>
      </c>
      <c r="F67" s="1965" t="str">
        <f>Property!G51</f>
        <v>Water Damage Exclusion</v>
      </c>
      <c r="G67" s="1962"/>
      <c r="H67" s="1962"/>
      <c r="I67" s="1956"/>
      <c r="J67" s="1956"/>
      <c r="K67" s="1968"/>
      <c r="L67" s="1968"/>
      <c r="M67" s="1968"/>
      <c r="N67" s="1968"/>
      <c r="O67" s="1884"/>
      <c r="P67" s="1851"/>
      <c r="Q67" s="1471"/>
      <c r="Z67" s="1473"/>
      <c r="AA67" s="1474"/>
    </row>
    <row r="68" spans="1:27" s="1472" customFormat="1">
      <c r="A68" s="1873" t="str">
        <f>IF(Property!E52="Y","","x")</f>
        <v>x</v>
      </c>
      <c r="B68" s="2750"/>
      <c r="C68" s="1884"/>
      <c r="D68" s="1884"/>
      <c r="E68" s="1954" t="str">
        <f>Property!AA52</f>
        <v>CW158</v>
      </c>
      <c r="F68" s="1965" t="str">
        <f>Property!G52</f>
        <v>Roof Limitation Endorsement</v>
      </c>
      <c r="G68" s="1962"/>
      <c r="H68" s="1962"/>
      <c r="I68" s="1956"/>
      <c r="J68" s="1956"/>
      <c r="K68" s="1968"/>
      <c r="L68" s="1968">
        <f>Property!I52</f>
        <v>0</v>
      </c>
      <c r="M68" s="1968"/>
      <c r="N68" s="1968"/>
      <c r="O68" s="1884"/>
      <c r="P68" s="1851"/>
      <c r="Q68" s="1471"/>
      <c r="Z68" s="1473"/>
      <c r="AA68" s="1474"/>
    </row>
    <row r="69" spans="1:27" s="1472" customFormat="1">
      <c r="A69" s="1873" t="str">
        <f>IF(Property!E53="Y","","x")</f>
        <v>x</v>
      </c>
      <c r="B69" s="2750"/>
      <c r="C69" s="1884"/>
      <c r="D69" s="1884"/>
      <c r="E69" s="1954" t="str">
        <f>Property!AA53</f>
        <v>PW5</v>
      </c>
      <c r="F69" s="1965" t="str">
        <f>Property!G53</f>
        <v>Sprinkler Systems Warranty</v>
      </c>
      <c r="G69" s="1962"/>
      <c r="H69" s="1962"/>
      <c r="I69" s="1956"/>
      <c r="J69" s="1956"/>
      <c r="K69" s="1968"/>
      <c r="L69" s="1968"/>
      <c r="M69" s="1968"/>
      <c r="N69" s="1968"/>
      <c r="O69" s="1884"/>
      <c r="P69" s="1851"/>
      <c r="Q69" s="1471"/>
      <c r="Z69" s="1473"/>
      <c r="AA69" s="1474"/>
    </row>
    <row r="70" spans="1:27" s="1472" customFormat="1">
      <c r="A70" s="1873" t="str">
        <f>IF(Property!E54="Y","","x")</f>
        <v>x</v>
      </c>
      <c r="B70" s="2750"/>
      <c r="C70" s="1884"/>
      <c r="D70" s="1884"/>
      <c r="E70" s="1954" t="str">
        <f>Property!AA54</f>
        <v xml:space="preserve">PW3 </v>
      </c>
      <c r="F70" s="1965" t="str">
        <f>Property!G54</f>
        <v>Alarm Warranty</v>
      </c>
      <c r="G70" s="1962"/>
      <c r="H70" s="1962"/>
      <c r="I70" s="1956"/>
      <c r="J70" s="1956"/>
      <c r="K70" s="1968"/>
      <c r="L70" s="1968"/>
      <c r="M70" s="1968"/>
      <c r="N70" s="1968"/>
      <c r="O70" s="1884"/>
      <c r="P70" s="1851"/>
      <c r="Q70" s="1471"/>
      <c r="Z70" s="1473"/>
      <c r="AA70" s="1474"/>
    </row>
    <row r="71" spans="1:27" ht="18.75">
      <c r="A71" s="1873" t="str">
        <f>IF(Property!E57="Y","","x")</f>
        <v>x</v>
      </c>
      <c r="B71" s="1822"/>
      <c r="C71" s="1880"/>
      <c r="D71" s="1880"/>
      <c r="E71" s="1954" t="str">
        <f>Property!AA57</f>
        <v>PE8</v>
      </c>
      <c r="F71" s="1955" t="str">
        <f>Property!G57</f>
        <v xml:space="preserve">Sewer Back-up </v>
      </c>
      <c r="G71" s="1962"/>
      <c r="H71" s="1963"/>
      <c r="I71" s="1956"/>
      <c r="J71" s="1956"/>
      <c r="K71" s="1957">
        <f>K72</f>
        <v>2500</v>
      </c>
      <c r="L71" s="1957">
        <f>Property!I57</f>
        <v>0</v>
      </c>
      <c r="M71" s="1957"/>
      <c r="N71" s="1957">
        <f>IF('Input '!$G$9=TRUE,Property!W57,"")</f>
        <v>0</v>
      </c>
      <c r="O71" s="1882"/>
      <c r="P71" s="1851"/>
      <c r="Q71" s="472"/>
    </row>
    <row r="72" spans="1:27" s="184" customFormat="1" ht="18">
      <c r="A72" s="1873" t="str">
        <f>IF(Property!E58="Y","","x")</f>
        <v>x</v>
      </c>
      <c r="B72" s="2750"/>
      <c r="C72" s="1884"/>
      <c r="D72" s="1884"/>
      <c r="E72" s="1954" t="str">
        <f>Property!AA58</f>
        <v>PE8</v>
      </c>
      <c r="F72" s="1965">
        <f>Property!H58</f>
        <v>0</v>
      </c>
      <c r="G72" s="1962"/>
      <c r="H72" s="1963"/>
      <c r="I72" s="1956"/>
      <c r="J72" s="1956"/>
      <c r="K72" s="1968">
        <f>Property!Z58</f>
        <v>2500</v>
      </c>
      <c r="L72" s="1968">
        <f>Property!I58</f>
        <v>0</v>
      </c>
      <c r="M72" s="1971"/>
      <c r="N72" s="1957">
        <f>IF('Input '!$G$9=TRUE,Property!W58,"")</f>
        <v>0</v>
      </c>
      <c r="O72" s="1884"/>
      <c r="P72" s="1851"/>
      <c r="Q72" s="381"/>
      <c r="Z72" s="1201"/>
      <c r="AA72" s="1208"/>
    </row>
    <row r="73" spans="1:27" s="184" customFormat="1" ht="17.25">
      <c r="A73" s="1873" t="str">
        <f>IF(Property!E59="Y","","x")</f>
        <v>x</v>
      </c>
      <c r="B73" s="2750"/>
      <c r="C73" s="1884"/>
      <c r="D73" s="1884"/>
      <c r="E73" s="1954" t="str">
        <f>Property!AA59</f>
        <v>PE8</v>
      </c>
      <c r="F73" s="1965" t="str">
        <f>Property!H59</f>
        <v>Input Address no 2</v>
      </c>
      <c r="G73" s="1962"/>
      <c r="H73" s="1963"/>
      <c r="I73" s="1956"/>
      <c r="J73" s="1956"/>
      <c r="K73" s="1968">
        <f>Property!Z59</f>
        <v>2500</v>
      </c>
      <c r="L73" s="1968">
        <f>Property!I59</f>
        <v>0</v>
      </c>
      <c r="M73" s="1968"/>
      <c r="N73" s="1957">
        <f>IF('Input '!$G$9=TRUE,Property!W59,"")</f>
        <v>0</v>
      </c>
      <c r="O73" s="1884"/>
      <c r="P73" s="1851"/>
      <c r="Q73" s="381"/>
      <c r="Z73" s="1201"/>
      <c r="AA73" s="1208"/>
    </row>
    <row r="74" spans="1:27" s="184" customFormat="1" ht="18">
      <c r="A74" s="1873" t="str">
        <f>IF(Property!E60="Y","","x")</f>
        <v>x</v>
      </c>
      <c r="B74" s="2750"/>
      <c r="C74" s="1884"/>
      <c r="D74" s="1884"/>
      <c r="E74" s="1954" t="str">
        <f>Property!AA60</f>
        <v>PE8</v>
      </c>
      <c r="F74" s="1965" t="str">
        <f>Property!H60</f>
        <v>Input Address no 3</v>
      </c>
      <c r="G74" s="1962"/>
      <c r="H74" s="1963"/>
      <c r="I74" s="1956"/>
      <c r="J74" s="1956"/>
      <c r="K74" s="1968">
        <f>Property!Z60</f>
        <v>2500</v>
      </c>
      <c r="L74" s="1968">
        <f>Property!I60</f>
        <v>0</v>
      </c>
      <c r="M74" s="1971"/>
      <c r="N74" s="1957">
        <f>IF('Input '!$G$9=TRUE,Property!W60,"")</f>
        <v>0</v>
      </c>
      <c r="O74" s="1884"/>
      <c r="P74" s="1851"/>
      <c r="Q74" s="381"/>
      <c r="Z74" s="1201"/>
      <c r="AA74" s="1208"/>
    </row>
    <row r="75" spans="1:27" s="184" customFormat="1" ht="17.25">
      <c r="A75" s="1873" t="str">
        <f>IF(Property!E61="Y","","x")</f>
        <v>x</v>
      </c>
      <c r="B75" s="2750"/>
      <c r="C75" s="1884"/>
      <c r="D75" s="1884"/>
      <c r="E75" s="1954" t="str">
        <f>Property!AA61</f>
        <v>PE8</v>
      </c>
      <c r="F75" s="1965" t="str">
        <f>Property!H61</f>
        <v>Input Address no 4</v>
      </c>
      <c r="G75" s="1962"/>
      <c r="H75" s="1963"/>
      <c r="I75" s="1956"/>
      <c r="J75" s="1956"/>
      <c r="K75" s="1968">
        <f>Property!Z61</f>
        <v>2500</v>
      </c>
      <c r="L75" s="1968">
        <f>Property!I61</f>
        <v>0</v>
      </c>
      <c r="M75" s="1968"/>
      <c r="N75" s="1957">
        <f>IF('Input '!$G$9=TRUE,Property!W61,"")</f>
        <v>0</v>
      </c>
      <c r="O75" s="1884"/>
      <c r="P75" s="1851"/>
      <c r="Q75" s="381"/>
      <c r="Z75" s="1201"/>
      <c r="AA75" s="1208"/>
    </row>
    <row r="76" spans="1:27" s="184" customFormat="1" ht="17.25">
      <c r="A76" s="1873" t="str">
        <f>IF(Property!E62="Y","","x")</f>
        <v>x</v>
      </c>
      <c r="B76" s="2750"/>
      <c r="C76" s="1884"/>
      <c r="D76" s="1884"/>
      <c r="E76" s="1954" t="str">
        <f>Property!AA62</f>
        <v>PE8</v>
      </c>
      <c r="F76" s="1965" t="str">
        <f>Property!H62</f>
        <v>Input Address no 5</v>
      </c>
      <c r="G76" s="1962"/>
      <c r="H76" s="1963"/>
      <c r="I76" s="1956"/>
      <c r="J76" s="1956"/>
      <c r="K76" s="1968">
        <f>Property!Z62</f>
        <v>2500</v>
      </c>
      <c r="L76" s="1968">
        <f>Property!I62</f>
        <v>0</v>
      </c>
      <c r="M76" s="1968"/>
      <c r="N76" s="1957">
        <f>IF('Input '!$G$9=TRUE,Property!W62,"")</f>
        <v>0</v>
      </c>
      <c r="O76" s="1884"/>
      <c r="P76" s="1851"/>
      <c r="Q76" s="381"/>
      <c r="Z76" s="1201"/>
      <c r="AA76" s="1208"/>
    </row>
    <row r="77" spans="1:27" ht="18.75">
      <c r="A77" s="1873" t="str">
        <f>IF(Property!E63="Y","","x")</f>
        <v>x</v>
      </c>
      <c r="B77" s="1822"/>
      <c r="C77" s="1880"/>
      <c r="D77" s="1880"/>
      <c r="E77" s="1954" t="str">
        <f>Property!AA63</f>
        <v>PA13A</v>
      </c>
      <c r="F77" s="1955" t="str">
        <f>Property!G63</f>
        <v>Transit</v>
      </c>
      <c r="G77" s="1956"/>
      <c r="H77" s="1959">
        <f>Property!K63</f>
        <v>0.9</v>
      </c>
      <c r="I77" s="1956"/>
      <c r="J77" s="1956"/>
      <c r="K77" s="1957">
        <f>Property!Z63</f>
        <v>1000</v>
      </c>
      <c r="L77" s="1957">
        <f>Property!I63</f>
        <v>0</v>
      </c>
      <c r="M77" s="1957"/>
      <c r="N77" s="1957">
        <f>IF('Input '!$G$9=TRUE,Property!W63,"")</f>
        <v>0</v>
      </c>
      <c r="O77" s="1882"/>
      <c r="P77" s="1851"/>
      <c r="Q77" s="472"/>
    </row>
    <row r="78" spans="1:27" ht="18.75">
      <c r="A78" s="1873" t="str">
        <f>IF(Property!E64="Y","","x")</f>
        <v>x</v>
      </c>
      <c r="B78" s="1822"/>
      <c r="C78" s="1880"/>
      <c r="D78" s="1880"/>
      <c r="E78" s="1954" t="str">
        <f>Property!AA64</f>
        <v>PA2</v>
      </c>
      <c r="F78" s="1955" t="str">
        <f>Property!G64</f>
        <v>Off Equip</v>
      </c>
      <c r="G78" s="1956"/>
      <c r="H78" s="1959">
        <f>Property!K64</f>
        <v>0.9</v>
      </c>
      <c r="I78" s="1956"/>
      <c r="J78" s="1956"/>
      <c r="K78" s="1957">
        <f>Property!Z64</f>
        <v>1000</v>
      </c>
      <c r="L78" s="1957">
        <f>Property!I64</f>
        <v>0</v>
      </c>
      <c r="M78" s="1957"/>
      <c r="N78" s="1957">
        <f ca="1">IF('Input '!$G$9=TRUE,Property!W64,"")</f>
        <v>0</v>
      </c>
      <c r="O78" s="1882"/>
      <c r="P78" s="1851"/>
      <c r="Q78" s="472"/>
    </row>
    <row r="79" spans="1:27" ht="18.75">
      <c r="A79" s="1873" t="str">
        <f>IF(Property!E65="Y","","x")</f>
        <v>x</v>
      </c>
      <c r="B79" s="1822"/>
      <c r="C79" s="1880"/>
      <c r="D79" s="1880"/>
      <c r="E79" s="1954" t="str">
        <f>E78</f>
        <v>PA2</v>
      </c>
      <c r="F79" s="1955" t="str">
        <f>Property!G65</f>
        <v>Off Equip</v>
      </c>
      <c r="G79" s="1956"/>
      <c r="H79" s="1959">
        <f>Property!K65</f>
        <v>0.9</v>
      </c>
      <c r="I79" s="1956"/>
      <c r="J79" s="1956"/>
      <c r="K79" s="1957">
        <f>Property!Z65</f>
        <v>1000</v>
      </c>
      <c r="L79" s="1957">
        <f>Property!I65</f>
        <v>0</v>
      </c>
      <c r="M79" s="1957"/>
      <c r="N79" s="1957">
        <f ca="1">IF('Input '!$G$9=TRUE,Property!W65,"")</f>
        <v>0</v>
      </c>
      <c r="O79" s="1882"/>
      <c r="P79" s="1851"/>
      <c r="Q79" s="472"/>
    </row>
    <row r="80" spans="1:27" ht="18.75">
      <c r="A80" s="1873" t="str">
        <f>IF(Property!E66="Y","","x")</f>
        <v>x</v>
      </c>
      <c r="B80" s="1822"/>
      <c r="C80" s="1880"/>
      <c r="D80" s="1880"/>
      <c r="E80" s="1954" t="str">
        <f>Property!AA66</f>
        <v>PA3</v>
      </c>
      <c r="F80" s="1955" t="str">
        <f>Property!G66</f>
        <v>EDP</v>
      </c>
      <c r="G80" s="1956"/>
      <c r="H80" s="1959">
        <f>Property!K66</f>
        <v>0.9</v>
      </c>
      <c r="I80" s="1956"/>
      <c r="J80" s="1956"/>
      <c r="K80" s="1957">
        <f>Property!Z66</f>
        <v>1000</v>
      </c>
      <c r="L80" s="1957">
        <f>Property!I66</f>
        <v>0</v>
      </c>
      <c r="M80" s="1957"/>
      <c r="N80" s="1957">
        <f ca="1">IF('Input '!$G$9=TRUE,Property!W66,"")</f>
        <v>0</v>
      </c>
      <c r="O80" s="1882"/>
      <c r="P80" s="1851"/>
      <c r="Q80" s="472"/>
    </row>
    <row r="81" spans="1:27" ht="18.75">
      <c r="A81" s="1873" t="str">
        <f>IF(Property!E67="Y","","x")</f>
        <v>x</v>
      </c>
      <c r="B81" s="1822"/>
      <c r="C81" s="1880"/>
      <c r="D81" s="1880"/>
      <c r="E81" s="1954" t="str">
        <f>Property!AA67</f>
        <v>BA11</v>
      </c>
      <c r="F81" s="1955" t="str">
        <f>Property!G67</f>
        <v>Profits</v>
      </c>
      <c r="G81" s="1956"/>
      <c r="H81" s="1959">
        <f>Property!K67</f>
        <v>1</v>
      </c>
      <c r="I81" s="1956"/>
      <c r="J81" s="1956"/>
      <c r="K81" s="1957">
        <f>Property!Z67</f>
        <v>1000</v>
      </c>
      <c r="L81" s="1957">
        <f>Property!I67</f>
        <v>0</v>
      </c>
      <c r="M81" s="1957"/>
      <c r="N81" s="1957">
        <f ca="1">IF('Input '!$G$9=TRUE,Property!W67,"")</f>
        <v>0</v>
      </c>
      <c r="O81" s="1882"/>
      <c r="P81" s="1851"/>
      <c r="Q81" s="472"/>
    </row>
    <row r="82" spans="1:27" ht="18.75">
      <c r="A82" s="1873" t="str">
        <f>IF(Property!E68="Y","","x")</f>
        <v>x</v>
      </c>
      <c r="B82" s="1822"/>
      <c r="C82" s="1880"/>
      <c r="D82" s="1880"/>
      <c r="E82" s="1954" t="str">
        <f>Property!AA68</f>
        <v>BA12</v>
      </c>
      <c r="F82" s="1955" t="str">
        <f>Property!G68</f>
        <v>GE - Merc</v>
      </c>
      <c r="G82" s="1956"/>
      <c r="H82" s="1959">
        <f>Property!K68</f>
        <v>0.8</v>
      </c>
      <c r="I82" s="1956"/>
      <c r="J82" s="1956"/>
      <c r="K82" s="1957">
        <f>Property!Z68</f>
        <v>1000</v>
      </c>
      <c r="L82" s="1957">
        <f>Property!I68</f>
        <v>0</v>
      </c>
      <c r="M82" s="1957"/>
      <c r="N82" s="1957">
        <f ca="1">IF('Input '!$G$9=TRUE,Property!W68,"")</f>
        <v>0</v>
      </c>
      <c r="O82" s="1882"/>
      <c r="P82" s="1851"/>
      <c r="Q82" s="472"/>
    </row>
    <row r="83" spans="1:27" ht="18.75">
      <c r="A83" s="1873" t="str">
        <f>IF(Property!E69="Y","","x")</f>
        <v>x</v>
      </c>
      <c r="B83" s="1822"/>
      <c r="C83" s="1880"/>
      <c r="D83" s="1880"/>
      <c r="E83" s="1954" t="str">
        <f>Property!AA69</f>
        <v>BA14</v>
      </c>
      <c r="F83" s="1955" t="str">
        <f>Property!G69</f>
        <v>GE - Man</v>
      </c>
      <c r="G83" s="1956"/>
      <c r="H83" s="1959" t="str">
        <f>Property!K69</f>
        <v>No-Co</v>
      </c>
      <c r="I83" s="1956"/>
      <c r="J83" s="1956"/>
      <c r="K83" s="1957">
        <f>Property!Z69</f>
        <v>1000</v>
      </c>
      <c r="L83" s="1957">
        <f>Property!I69</f>
        <v>0</v>
      </c>
      <c r="M83" s="1957"/>
      <c r="N83" s="1957">
        <f ca="1">IF('Input '!$G$9=TRUE,Property!W69,"")</f>
        <v>0</v>
      </c>
      <c r="O83" s="1882"/>
      <c r="P83" s="1851"/>
      <c r="Q83" s="472"/>
    </row>
    <row r="84" spans="1:27" ht="18.75">
      <c r="A84" s="1873" t="str">
        <f>IF(Property!E70="Y","","x")</f>
        <v>x</v>
      </c>
      <c r="B84" s="1822"/>
      <c r="C84" s="1880"/>
      <c r="D84" s="1880"/>
      <c r="E84" s="1954" t="str">
        <f>Property!AA70</f>
        <v>PE48</v>
      </c>
      <c r="F84" s="1955" t="str">
        <f>Property!G70</f>
        <v>Prof Fees</v>
      </c>
      <c r="G84" s="1962"/>
      <c r="H84" s="1963"/>
      <c r="I84" s="1956"/>
      <c r="J84" s="1956"/>
      <c r="K84" s="1957">
        <f>Property!Z70</f>
        <v>1000</v>
      </c>
      <c r="L84" s="1957">
        <f>Property!I70</f>
        <v>0</v>
      </c>
      <c r="M84" s="1957"/>
      <c r="N84" s="1957">
        <f>IF('Input '!$G$9=TRUE,Property!W70,"")</f>
        <v>0</v>
      </c>
      <c r="O84" s="1882"/>
      <c r="P84" s="1851"/>
      <c r="Q84" s="472"/>
    </row>
    <row r="85" spans="1:27" ht="18.75">
      <c r="A85" s="1873" t="str">
        <f>IF(Property!E71="Y","","x")</f>
        <v>x</v>
      </c>
      <c r="B85" s="1822"/>
      <c r="C85" s="1880"/>
      <c r="D85" s="1880"/>
      <c r="E85" s="1954" t="str">
        <f>Property!AA71</f>
        <v>BA17</v>
      </c>
      <c r="F85" s="1955" t="str">
        <f>Property!G71</f>
        <v>Ext expenses</v>
      </c>
      <c r="G85" s="1962"/>
      <c r="H85" s="1963"/>
      <c r="I85" s="1956"/>
      <c r="J85" s="1956"/>
      <c r="K85" s="1957">
        <f>Property!Z71</f>
        <v>1000</v>
      </c>
      <c r="L85" s="1957">
        <f>Property!I71</f>
        <v>0</v>
      </c>
      <c r="M85" s="1957"/>
      <c r="N85" s="1957">
        <f ca="1">IF('Input '!$G$9=TRUE,Property!W71,"")</f>
        <v>0</v>
      </c>
      <c r="O85" s="1882"/>
      <c r="P85" s="1851"/>
      <c r="Q85" s="472"/>
    </row>
    <row r="86" spans="1:27" ht="18.75">
      <c r="A86" s="1873" t="str">
        <f>IF(Property!E72="Y","","x")</f>
        <v>x</v>
      </c>
      <c r="B86" s="1822"/>
      <c r="C86" s="1880"/>
      <c r="D86" s="1880"/>
      <c r="E86" s="1954" t="str">
        <f>Property!AA72</f>
        <v>BA3</v>
      </c>
      <c r="F86" s="1955" t="str">
        <f>Property!G72</f>
        <v>Rents</v>
      </c>
      <c r="G86" s="1962"/>
      <c r="H86" s="1963"/>
      <c r="I86" s="1956"/>
      <c r="J86" s="1956"/>
      <c r="K86" s="1957">
        <f>Property!Z72</f>
        <v>1000</v>
      </c>
      <c r="L86" s="1957">
        <f>Property!I72</f>
        <v>0</v>
      </c>
      <c r="M86" s="1957"/>
      <c r="N86" s="1957">
        <f ca="1">IF('Input '!$G$9=TRUE,Property!W72,"")</f>
        <v>0</v>
      </c>
      <c r="O86" s="1882"/>
      <c r="P86" s="1851"/>
      <c r="Q86" s="472"/>
    </row>
    <row r="87" spans="1:27" ht="18.75">
      <c r="A87" s="1873" t="str">
        <f>IF(Property!E73="Y","","x")</f>
        <v>x</v>
      </c>
      <c r="B87" s="1822"/>
      <c r="C87" s="1880"/>
      <c r="D87" s="1880"/>
      <c r="E87" s="1954" t="str">
        <f>Property!AA73</f>
        <v>PA4</v>
      </c>
      <c r="F87" s="1955" t="str">
        <f>Property!G73</f>
        <v>Value Papers</v>
      </c>
      <c r="G87" s="1962"/>
      <c r="H87" s="1963"/>
      <c r="I87" s="1956"/>
      <c r="J87" s="1956"/>
      <c r="K87" s="1957">
        <f>Property!Z73</f>
        <v>1000</v>
      </c>
      <c r="L87" s="1957">
        <f>Property!I73</f>
        <v>0</v>
      </c>
      <c r="M87" s="1957"/>
      <c r="N87" s="1957">
        <f ca="1">IF('Input '!$G$9=TRUE,Property!W73,"")</f>
        <v>0</v>
      </c>
      <c r="O87" s="1882"/>
      <c r="P87" s="1851"/>
      <c r="Q87" s="472"/>
    </row>
    <row r="88" spans="1:27" ht="18.75">
      <c r="A88" s="1873" t="str">
        <f>IF(Property!E74="Y","","x")</f>
        <v>x</v>
      </c>
      <c r="B88" s="1822"/>
      <c r="C88" s="1880"/>
      <c r="D88" s="1880"/>
      <c r="E88" s="1954">
        <f>Property!AA74</f>
        <v>0</v>
      </c>
      <c r="F88" s="1955" t="str">
        <f>Property!G74</f>
        <v>Builder's risk</v>
      </c>
      <c r="G88" s="1962"/>
      <c r="H88" s="1963"/>
      <c r="I88" s="1956"/>
      <c r="J88" s="1956"/>
      <c r="K88" s="1957">
        <f>Property!Z74</f>
        <v>0</v>
      </c>
      <c r="L88" s="1957">
        <f>Property!I74</f>
        <v>0</v>
      </c>
      <c r="M88" s="1957"/>
      <c r="N88" s="1957">
        <f>IF('Input '!$G$9=TRUE,Property!W74,"")</f>
        <v>0</v>
      </c>
      <c r="O88" s="1882"/>
      <c r="P88" s="1851"/>
      <c r="Q88" s="472"/>
    </row>
    <row r="89" spans="1:27" ht="18.75">
      <c r="A89" s="1873" t="str">
        <f>IF(Property!E75="Y","","x")</f>
        <v>x</v>
      </c>
      <c r="B89" s="1822"/>
      <c r="C89" s="1880"/>
      <c r="D89" s="1880"/>
      <c r="E89" s="1954" t="str">
        <f>Property!AA75</f>
        <v>PA26</v>
      </c>
      <c r="F89" s="1955" t="str">
        <f>Property!G75</f>
        <v>Signs</v>
      </c>
      <c r="G89" s="1962"/>
      <c r="H89" s="1963"/>
      <c r="I89" s="1956"/>
      <c r="J89" s="1956"/>
      <c r="K89" s="1957">
        <f>Property!Z75</f>
        <v>1000</v>
      </c>
      <c r="L89" s="1957">
        <f>Property!I75</f>
        <v>0</v>
      </c>
      <c r="M89" s="1957"/>
      <c r="N89" s="1957">
        <f>IF('Input '!$G$9=TRUE,Property!W75,"")</f>
        <v>0</v>
      </c>
      <c r="O89" s="1882"/>
      <c r="P89" s="1851"/>
      <c r="Q89" s="472"/>
    </row>
    <row r="90" spans="1:27" ht="18.75">
      <c r="A90" s="1873" t="str">
        <f>IF(Property!E76="Y","","x")</f>
        <v>x</v>
      </c>
      <c r="B90" s="1822"/>
      <c r="C90" s="1880"/>
      <c r="D90" s="1880"/>
      <c r="E90" s="1954" t="str">
        <f>Property!AA76</f>
        <v>F200G</v>
      </c>
      <c r="F90" s="1955" t="str">
        <f>Property!G76</f>
        <v>Boiler</v>
      </c>
      <c r="G90" s="1962"/>
      <c r="H90" s="1963"/>
      <c r="I90" s="1956"/>
      <c r="J90" s="1956"/>
      <c r="K90" s="1957">
        <f>K91</f>
        <v>0</v>
      </c>
      <c r="L90" s="1957">
        <f>Property!I76</f>
        <v>0</v>
      </c>
      <c r="M90" s="1957"/>
      <c r="N90" s="1957">
        <f>IF('Input '!$G$9=TRUE,Property!W76,"")</f>
        <v>0</v>
      </c>
      <c r="O90" s="1882"/>
      <c r="P90" s="1851"/>
      <c r="Q90" s="472"/>
    </row>
    <row r="91" spans="1:27" s="184" customFormat="1" ht="18">
      <c r="A91" s="1873" t="str">
        <f>IF(Property!E77="Y","","x")</f>
        <v>x</v>
      </c>
      <c r="B91" s="2750"/>
      <c r="C91" s="1884"/>
      <c r="D91" s="1884"/>
      <c r="E91" s="1954" t="str">
        <f>Property!AA77</f>
        <v>F200G</v>
      </c>
      <c r="F91" s="1965">
        <f>Property!H77</f>
        <v>0</v>
      </c>
      <c r="G91" s="1962"/>
      <c r="H91" s="1963"/>
      <c r="I91" s="1956"/>
      <c r="J91" s="1956"/>
      <c r="K91" s="1968">
        <f>Property!Z77</f>
        <v>0</v>
      </c>
      <c r="L91" s="1968">
        <f>Property!I77</f>
        <v>0</v>
      </c>
      <c r="M91" s="1971"/>
      <c r="N91" s="1957">
        <f>IF('Input '!$G$9=TRUE,Property!W77,"")</f>
        <v>0</v>
      </c>
      <c r="O91" s="1884"/>
      <c r="P91" s="1851"/>
      <c r="Q91" s="381"/>
      <c r="Z91" s="1201"/>
      <c r="AA91" s="1208"/>
    </row>
    <row r="92" spans="1:27" s="184" customFormat="1" ht="17.25">
      <c r="A92" s="1873" t="str">
        <f>IF(Property!E78="Y","","x")</f>
        <v>x</v>
      </c>
      <c r="B92" s="2750"/>
      <c r="C92" s="1884"/>
      <c r="D92" s="1884"/>
      <c r="E92" s="1954" t="str">
        <f>Property!AA78</f>
        <v>F200G</v>
      </c>
      <c r="F92" s="1965" t="str">
        <f>Property!H78</f>
        <v>Input Address no 2</v>
      </c>
      <c r="G92" s="1962"/>
      <c r="H92" s="1963"/>
      <c r="I92" s="1956"/>
      <c r="J92" s="1956"/>
      <c r="K92" s="1968">
        <f>K91</f>
        <v>0</v>
      </c>
      <c r="L92" s="1968">
        <f>Property!I78</f>
        <v>0</v>
      </c>
      <c r="M92" s="1968"/>
      <c r="N92" s="1957">
        <f>IF('Input '!$G$9=TRUE,Property!W78,"")</f>
        <v>0</v>
      </c>
      <c r="O92" s="1884"/>
      <c r="P92" s="1851"/>
      <c r="Q92" s="381"/>
      <c r="Z92" s="1201"/>
      <c r="AA92" s="1208"/>
    </row>
    <row r="93" spans="1:27" s="184" customFormat="1" ht="18">
      <c r="A93" s="1873" t="str">
        <f>IF(Property!E79="Y","","x")</f>
        <v>x</v>
      </c>
      <c r="B93" s="2750"/>
      <c r="C93" s="1884"/>
      <c r="D93" s="1884"/>
      <c r="E93" s="1954" t="str">
        <f>Property!AA79</f>
        <v>F200G</v>
      </c>
      <c r="F93" s="1965" t="str">
        <f>Property!H79</f>
        <v>Input Address no 3</v>
      </c>
      <c r="G93" s="1962"/>
      <c r="H93" s="1963"/>
      <c r="I93" s="1956"/>
      <c r="J93" s="1956"/>
      <c r="K93" s="1968">
        <f>K92</f>
        <v>0</v>
      </c>
      <c r="L93" s="1968">
        <f>Property!I79</f>
        <v>0</v>
      </c>
      <c r="M93" s="1971"/>
      <c r="N93" s="1957">
        <f>IF('Input '!$G$9=TRUE,Property!W79,"")</f>
        <v>0</v>
      </c>
      <c r="O93" s="1884"/>
      <c r="P93" s="1851"/>
      <c r="Q93" s="381"/>
      <c r="Z93" s="1201"/>
      <c r="AA93" s="1208"/>
    </row>
    <row r="94" spans="1:27" s="184" customFormat="1" ht="17.25">
      <c r="A94" s="1873" t="str">
        <f>IF(Property!E80="Y","","x")</f>
        <v>x</v>
      </c>
      <c r="B94" s="2750"/>
      <c r="C94" s="1884"/>
      <c r="D94" s="1884"/>
      <c r="E94" s="1954" t="str">
        <f>Property!AA80</f>
        <v>F200G</v>
      </c>
      <c r="F94" s="1965" t="str">
        <f>Property!H80</f>
        <v>Input Address no 4</v>
      </c>
      <c r="G94" s="1962"/>
      <c r="H94" s="1963"/>
      <c r="I94" s="1956"/>
      <c r="J94" s="1956"/>
      <c r="K94" s="1968">
        <f>Property!Z80</f>
        <v>0</v>
      </c>
      <c r="L94" s="1968">
        <f>Property!I80</f>
        <v>0</v>
      </c>
      <c r="M94" s="1968"/>
      <c r="N94" s="1957">
        <f>IF('Input '!$G$9=TRUE,Property!W80,"")</f>
        <v>0</v>
      </c>
      <c r="O94" s="1884"/>
      <c r="P94" s="1851"/>
      <c r="Q94" s="381"/>
      <c r="Z94" s="1201"/>
      <c r="AA94" s="1208"/>
    </row>
    <row r="95" spans="1:27" s="184" customFormat="1" ht="17.25">
      <c r="A95" s="1873" t="str">
        <f>IF(Property!E81="Y","","x")</f>
        <v>x</v>
      </c>
      <c r="B95" s="2750"/>
      <c r="C95" s="1884"/>
      <c r="D95" s="1884"/>
      <c r="E95" s="1954" t="str">
        <f>Property!AA81</f>
        <v>F200G</v>
      </c>
      <c r="F95" s="1965" t="str">
        <f>Property!H81</f>
        <v>Input Address no 5</v>
      </c>
      <c r="G95" s="1962"/>
      <c r="H95" s="1963"/>
      <c r="I95" s="1956"/>
      <c r="J95" s="1956"/>
      <c r="K95" s="1968">
        <f>Property!Z81</f>
        <v>0</v>
      </c>
      <c r="L95" s="1968">
        <f>Property!I81</f>
        <v>0</v>
      </c>
      <c r="M95" s="1968"/>
      <c r="N95" s="1957">
        <f>IF('Input '!$G$9=TRUE,Property!W81,"")</f>
        <v>0</v>
      </c>
      <c r="O95" s="1884"/>
      <c r="P95" s="1851"/>
      <c r="Q95" s="381"/>
      <c r="Z95" s="1201"/>
      <c r="AA95" s="1208"/>
    </row>
    <row r="96" spans="1:27" ht="18.75">
      <c r="A96" s="1873" t="str">
        <f>IF(Property!E82="Y","","x")</f>
        <v>x</v>
      </c>
      <c r="B96" s="1822"/>
      <c r="C96" s="1880"/>
      <c r="D96" s="1880"/>
      <c r="E96" s="1954" t="str">
        <f>Property!AA82</f>
        <v>PE9</v>
      </c>
      <c r="F96" s="1955" t="str">
        <f>Property!G82</f>
        <v>Flood</v>
      </c>
      <c r="G96" s="1962"/>
      <c r="H96" s="1963"/>
      <c r="I96" s="1956"/>
      <c r="J96" s="1956"/>
      <c r="K96" s="1957">
        <f>Property!Z82</f>
        <v>25000</v>
      </c>
      <c r="L96" s="1957">
        <f>Property!I82</f>
        <v>0</v>
      </c>
      <c r="M96" s="1957"/>
      <c r="N96" s="1957">
        <f>IF('Input '!$G$9=TRUE,Property!W82,"")</f>
        <v>0</v>
      </c>
      <c r="O96" s="1882"/>
      <c r="P96" s="1851"/>
      <c r="Q96" s="472"/>
    </row>
    <row r="97" spans="1:27" s="184" customFormat="1" ht="18">
      <c r="A97" s="1873" t="str">
        <f>IF(Property!E83="Y","","x")</f>
        <v>x</v>
      </c>
      <c r="B97" s="2750"/>
      <c r="C97" s="1884"/>
      <c r="D97" s="1884"/>
      <c r="E97" s="1954" t="str">
        <f>Property!AA83</f>
        <v>PE9</v>
      </c>
      <c r="F97" s="1965">
        <f>Property!H83</f>
        <v>0</v>
      </c>
      <c r="G97" s="1962"/>
      <c r="H97" s="1963"/>
      <c r="I97" s="1956"/>
      <c r="J97" s="1956"/>
      <c r="K97" s="1968">
        <f>Property!Z83</f>
        <v>25000</v>
      </c>
      <c r="L97" s="1968">
        <f>Property!I83</f>
        <v>0</v>
      </c>
      <c r="M97" s="1971"/>
      <c r="N97" s="1957">
        <f>IF('Input '!$G$9=TRUE,Property!W83,"")</f>
        <v>0</v>
      </c>
      <c r="O97" s="1884"/>
      <c r="P97" s="1851"/>
      <c r="Q97" s="381"/>
      <c r="Z97" s="1201"/>
      <c r="AA97" s="1208"/>
    </row>
    <row r="98" spans="1:27" s="184" customFormat="1" ht="17.25">
      <c r="A98" s="1873" t="str">
        <f>IF(Property!E84="Y","","x")</f>
        <v>x</v>
      </c>
      <c r="B98" s="2750"/>
      <c r="C98" s="1884"/>
      <c r="D98" s="1884"/>
      <c r="E98" s="1954" t="str">
        <f>Property!AA84</f>
        <v>PE9</v>
      </c>
      <c r="F98" s="1965" t="str">
        <f>Property!H84</f>
        <v>Input Address no 2</v>
      </c>
      <c r="G98" s="1962"/>
      <c r="H98" s="1963"/>
      <c r="I98" s="1956"/>
      <c r="J98" s="1956"/>
      <c r="K98" s="1968">
        <f>Property!Z84</f>
        <v>25000</v>
      </c>
      <c r="L98" s="1968">
        <f>Property!I84</f>
        <v>0</v>
      </c>
      <c r="M98" s="1968"/>
      <c r="N98" s="1957">
        <f>IF('Input '!$G$9=TRUE,Property!W84,"")</f>
        <v>0</v>
      </c>
      <c r="O98" s="1884"/>
      <c r="P98" s="1851"/>
      <c r="Q98" s="381"/>
      <c r="Z98" s="1201"/>
      <c r="AA98" s="1208"/>
    </row>
    <row r="99" spans="1:27" s="184" customFormat="1" ht="18">
      <c r="A99" s="1873" t="str">
        <f>IF(Property!E85="Y","","x")</f>
        <v>x</v>
      </c>
      <c r="B99" s="2750"/>
      <c r="C99" s="1884"/>
      <c r="D99" s="1884"/>
      <c r="E99" s="1954" t="str">
        <f>Property!AA85</f>
        <v>PE9</v>
      </c>
      <c r="F99" s="1965" t="str">
        <f>Property!H85</f>
        <v>Input Address no 3</v>
      </c>
      <c r="G99" s="1962"/>
      <c r="H99" s="1963"/>
      <c r="I99" s="1956"/>
      <c r="J99" s="1956"/>
      <c r="K99" s="1968">
        <f>Property!Z85</f>
        <v>25000</v>
      </c>
      <c r="L99" s="1968">
        <f>Property!I85</f>
        <v>0</v>
      </c>
      <c r="M99" s="1971"/>
      <c r="N99" s="1957">
        <f>IF('Input '!$G$9=TRUE,Property!W85,"")</f>
        <v>0</v>
      </c>
      <c r="O99" s="1884"/>
      <c r="P99" s="1851"/>
      <c r="Q99" s="381"/>
      <c r="Z99" s="1201"/>
      <c r="AA99" s="1208"/>
    </row>
    <row r="100" spans="1:27" s="184" customFormat="1" ht="17.25">
      <c r="A100" s="1873" t="str">
        <f>IF(Property!E86="Y","","x")</f>
        <v>x</v>
      </c>
      <c r="B100" s="2750"/>
      <c r="C100" s="1884"/>
      <c r="D100" s="1884"/>
      <c r="E100" s="1954" t="str">
        <f>Property!AA86</f>
        <v>PE9</v>
      </c>
      <c r="F100" s="1965" t="str">
        <f>Property!H86</f>
        <v>Input Address no 4</v>
      </c>
      <c r="G100" s="1962"/>
      <c r="H100" s="1963"/>
      <c r="I100" s="1956"/>
      <c r="J100" s="1956"/>
      <c r="K100" s="1968">
        <f>Property!Z86</f>
        <v>25000</v>
      </c>
      <c r="L100" s="1968">
        <f>Property!I86</f>
        <v>0</v>
      </c>
      <c r="M100" s="1968"/>
      <c r="N100" s="1957">
        <f>IF('Input '!$G$9=TRUE,Property!W86,"")</f>
        <v>0</v>
      </c>
      <c r="O100" s="1884"/>
      <c r="P100" s="1851"/>
      <c r="Q100" s="381"/>
      <c r="Z100" s="1201"/>
      <c r="AA100" s="1208"/>
    </row>
    <row r="101" spans="1:27" s="184" customFormat="1" ht="17.25">
      <c r="A101" s="1873" t="str">
        <f>IF(Property!E87="Y","","x")</f>
        <v>x</v>
      </c>
      <c r="B101" s="2750"/>
      <c r="C101" s="1884"/>
      <c r="D101" s="1884"/>
      <c r="E101" s="1954" t="str">
        <f>Property!AA87</f>
        <v>PE9</v>
      </c>
      <c r="F101" s="1965" t="str">
        <f>Property!H87</f>
        <v>Input Address no 5</v>
      </c>
      <c r="G101" s="1962"/>
      <c r="H101" s="1963"/>
      <c r="I101" s="1956"/>
      <c r="J101" s="1956"/>
      <c r="K101" s="1968">
        <f>Property!Z87</f>
        <v>25000</v>
      </c>
      <c r="L101" s="1968">
        <f>Property!I87</f>
        <v>0</v>
      </c>
      <c r="M101" s="1968"/>
      <c r="N101" s="1957">
        <f>IF('Input '!$G$9=TRUE,Property!W87,"")</f>
        <v>0</v>
      </c>
      <c r="O101" s="1884"/>
      <c r="P101" s="1851"/>
      <c r="Q101" s="381"/>
      <c r="Z101" s="1201"/>
      <c r="AA101" s="1208"/>
    </row>
    <row r="102" spans="1:27" ht="18.75">
      <c r="A102" s="1873" t="str">
        <f>IF(Property!E88="Y","","x")</f>
        <v>x</v>
      </c>
      <c r="B102" s="1822"/>
      <c r="C102" s="1880"/>
      <c r="D102" s="1880"/>
      <c r="E102" s="1954" t="str">
        <f>Property!AA88</f>
        <v>PE10</v>
      </c>
      <c r="F102" s="1955" t="str">
        <f>Property!G88</f>
        <v xml:space="preserve">Earthquake </v>
      </c>
      <c r="G102" s="1962"/>
      <c r="H102" s="1963"/>
      <c r="I102" s="1956"/>
      <c r="J102" s="1956"/>
      <c r="K102" s="1957">
        <f>Property!Z88</f>
        <v>0</v>
      </c>
      <c r="L102" s="1957">
        <f>Property!I88</f>
        <v>0</v>
      </c>
      <c r="M102" s="1957"/>
      <c r="N102" s="1957">
        <f>IF('Input '!$G$9=TRUE,Property!W88,"")</f>
        <v>0</v>
      </c>
      <c r="O102" s="1882"/>
      <c r="P102" s="1851"/>
      <c r="Q102" s="472"/>
    </row>
    <row r="103" spans="1:27" s="184" customFormat="1" ht="18">
      <c r="A103" s="1873" t="str">
        <f>IF(Property!E89="Y","","x")</f>
        <v>x</v>
      </c>
      <c r="B103" s="2750"/>
      <c r="C103" s="1884"/>
      <c r="D103" s="1884"/>
      <c r="E103" s="1954" t="str">
        <f>Property!AA89</f>
        <v>PE10</v>
      </c>
      <c r="F103" s="1965">
        <f>Property!H89</f>
        <v>0</v>
      </c>
      <c r="G103" s="1962"/>
      <c r="H103" s="1963"/>
      <c r="I103" s="1956"/>
      <c r="J103" s="1956"/>
      <c r="K103" s="1968" t="e">
        <f ca="1">Property!Z89</f>
        <v>#N/A</v>
      </c>
      <c r="L103" s="1968">
        <f>Property!I89</f>
        <v>0</v>
      </c>
      <c r="M103" s="1971"/>
      <c r="N103" s="1957">
        <f>IF('Input '!$G$9=TRUE,Property!W89,"")</f>
        <v>0</v>
      </c>
      <c r="O103" s="1884"/>
      <c r="P103" s="1851"/>
      <c r="Q103" s="381"/>
      <c r="Z103" s="1201"/>
      <c r="AA103" s="1208"/>
    </row>
    <row r="104" spans="1:27" s="184" customFormat="1" ht="17.25">
      <c r="A104" s="1873" t="str">
        <f>IF(Property!E90="Y","","x")</f>
        <v>x</v>
      </c>
      <c r="B104" s="2750"/>
      <c r="C104" s="1884"/>
      <c r="D104" s="1884"/>
      <c r="E104" s="1954" t="str">
        <f>Property!AA90</f>
        <v>PE10</v>
      </c>
      <c r="F104" s="1965" t="str">
        <f>Property!H90</f>
        <v>Input Address no 2</v>
      </c>
      <c r="G104" s="1962"/>
      <c r="H104" s="1963"/>
      <c r="I104" s="1956"/>
      <c r="J104" s="1956"/>
      <c r="K104" s="1968" t="e">
        <f ca="1">Property!Z90</f>
        <v>#N/A</v>
      </c>
      <c r="L104" s="1968">
        <f>Property!I90</f>
        <v>0</v>
      </c>
      <c r="M104" s="1968"/>
      <c r="N104" s="1957">
        <f>IF('Input '!$G$9=TRUE,Property!W90,"")</f>
        <v>0</v>
      </c>
      <c r="O104" s="1884"/>
      <c r="P104" s="1851"/>
      <c r="Q104" s="381"/>
      <c r="Z104" s="1201"/>
      <c r="AA104" s="1208"/>
    </row>
    <row r="105" spans="1:27" s="184" customFormat="1" ht="18">
      <c r="A105" s="1873" t="str">
        <f>IF(Property!E91="Y","","x")</f>
        <v>x</v>
      </c>
      <c r="B105" s="2750"/>
      <c r="C105" s="1884"/>
      <c r="D105" s="1884"/>
      <c r="E105" s="1954" t="str">
        <f>Property!AA91</f>
        <v>PE10</v>
      </c>
      <c r="F105" s="1965" t="str">
        <f>Property!H91</f>
        <v>Input Address no 3</v>
      </c>
      <c r="G105" s="1962"/>
      <c r="H105" s="1963"/>
      <c r="I105" s="1956"/>
      <c r="J105" s="1956"/>
      <c r="K105" s="1968" t="e">
        <f ca="1">Property!Z91</f>
        <v>#N/A</v>
      </c>
      <c r="L105" s="1968">
        <f>Property!I91</f>
        <v>0</v>
      </c>
      <c r="M105" s="1971"/>
      <c r="N105" s="1957">
        <f>IF('Input '!$G$9=TRUE,Property!W91,"")</f>
        <v>0</v>
      </c>
      <c r="O105" s="1884"/>
      <c r="P105" s="1851"/>
      <c r="Q105" s="381"/>
      <c r="Z105" s="1201"/>
      <c r="AA105" s="1208"/>
    </row>
    <row r="106" spans="1:27" s="184" customFormat="1" ht="17.25">
      <c r="A106" s="1873" t="str">
        <f>IF(Property!E92="Y","","x")</f>
        <v>x</v>
      </c>
      <c r="B106" s="2750"/>
      <c r="C106" s="1884"/>
      <c r="D106" s="1884"/>
      <c r="E106" s="1954" t="str">
        <f>Property!AA92</f>
        <v>PE10</v>
      </c>
      <c r="F106" s="1965" t="str">
        <f>Property!H92</f>
        <v>Input Address no 4</v>
      </c>
      <c r="G106" s="1962"/>
      <c r="H106" s="1963"/>
      <c r="I106" s="1956"/>
      <c r="J106" s="1956"/>
      <c r="K106" s="1968" t="e">
        <f ca="1">Property!Z92</f>
        <v>#N/A</v>
      </c>
      <c r="L106" s="1968">
        <f>Property!I92</f>
        <v>0</v>
      </c>
      <c r="M106" s="1968"/>
      <c r="N106" s="1957">
        <f>IF('Input '!$G$9=TRUE,Property!W92,"")</f>
        <v>0</v>
      </c>
      <c r="O106" s="1884"/>
      <c r="P106" s="1851"/>
      <c r="Q106" s="381"/>
      <c r="Z106" s="1201"/>
      <c r="AA106" s="1208"/>
    </row>
    <row r="107" spans="1:27" s="184" customFormat="1" ht="17.25">
      <c r="A107" s="1873" t="str">
        <f>IF(Property!E93="Y","","x")</f>
        <v>x</v>
      </c>
      <c r="B107" s="2750"/>
      <c r="C107" s="1884"/>
      <c r="D107" s="1884"/>
      <c r="E107" s="1954" t="str">
        <f>Property!AA93</f>
        <v>PE10</v>
      </c>
      <c r="F107" s="1965" t="str">
        <f>Property!H93</f>
        <v>Input Address no 5</v>
      </c>
      <c r="G107" s="1962"/>
      <c r="H107" s="1963"/>
      <c r="I107" s="1956"/>
      <c r="J107" s="1956"/>
      <c r="K107" s="1968" t="e">
        <f ca="1">Property!Z93</f>
        <v>#N/A</v>
      </c>
      <c r="L107" s="1968">
        <f>Property!I93</f>
        <v>0</v>
      </c>
      <c r="M107" s="1968"/>
      <c r="N107" s="1957">
        <f>IF('Input '!$G$9=TRUE,Property!W93,"")</f>
        <v>0</v>
      </c>
      <c r="O107" s="1884"/>
      <c r="P107" s="1851"/>
      <c r="Q107" s="381"/>
      <c r="Z107" s="1201"/>
      <c r="AA107" s="1208"/>
    </row>
    <row r="108" spans="1:27" s="471" customFormat="1" ht="24.75" customHeight="1">
      <c r="A108" s="1885"/>
      <c r="B108" s="2749"/>
      <c r="C108" s="1874"/>
      <c r="D108" s="1874"/>
      <c r="E108" s="1972"/>
      <c r="F108" s="1973" t="str">
        <f>'Quote template-2'!F109</f>
        <v>B. Section General Liability</v>
      </c>
      <c r="G108" s="1974"/>
      <c r="H108" s="1974"/>
      <c r="I108" s="1974"/>
      <c r="J108" s="1975"/>
      <c r="K108" s="1974"/>
      <c r="L108" s="1974"/>
      <c r="M108" s="1974"/>
      <c r="N108" s="2853">
        <f>SUM(N109:N143)</f>
        <v>0</v>
      </c>
      <c r="O108" s="1878"/>
      <c r="P108" s="1879"/>
      <c r="Q108" s="470"/>
      <c r="Z108" s="1200"/>
      <c r="AA108" s="1207"/>
    </row>
    <row r="109" spans="1:27" s="1302" customFormat="1" ht="27.75" customHeight="1">
      <c r="A109" s="1887"/>
      <c r="B109" s="2765"/>
      <c r="C109" s="1888"/>
      <c r="D109" s="1888"/>
      <c r="E109" s="1976" t="str">
        <f>'Quote template-2'!E110</f>
        <v>L1A,CW180</v>
      </c>
      <c r="F109" s="1977" t="str">
        <f>'Quote template-2'!F110</f>
        <v xml:space="preserve">Commercial General Liability  </v>
      </c>
      <c r="G109" s="1978"/>
      <c r="H109" s="1978"/>
      <c r="I109" s="1978"/>
      <c r="J109" s="1978"/>
      <c r="K109" s="3470">
        <f>IF('Input '!$G$45&gt;0,'CGL coverage'!AB54,0)</f>
        <v>2500</v>
      </c>
      <c r="L109" s="3470">
        <f>'CGL coverage'!I5</f>
        <v>1000000</v>
      </c>
      <c r="M109" s="1980"/>
      <c r="N109" s="2854">
        <f>IF('Input '!$G$45&gt;0,'CGL coverage'!AA47,'CGL coverage'!AA54)</f>
        <v>0</v>
      </c>
      <c r="O109" s="1889"/>
      <c r="P109" s="1890"/>
      <c r="Q109" s="1301"/>
      <c r="Z109" s="1303"/>
      <c r="AA109" s="1304"/>
    </row>
    <row r="110" spans="1:27" s="1302" customFormat="1" ht="21" customHeight="1">
      <c r="A110" s="1873" t="str">
        <f>IF('CGL coverage'!F38="Y","","x")</f>
        <v>x</v>
      </c>
      <c r="B110" s="2765"/>
      <c r="C110" s="1888"/>
      <c r="D110" s="1888"/>
      <c r="E110" s="1976"/>
      <c r="F110" s="1977" t="str">
        <f>'CGL coverage'!H38</f>
        <v>Deductible by claimant</v>
      </c>
      <c r="G110" s="1978"/>
      <c r="H110" s="1978"/>
      <c r="I110" s="1978"/>
      <c r="J110" s="1978"/>
      <c r="K110" s="1979">
        <f>'CGL coverage'!AD38</f>
        <v>2500</v>
      </c>
      <c r="L110" s="1979"/>
      <c r="M110" s="1980"/>
      <c r="N110" s="2831"/>
      <c r="O110" s="1889"/>
      <c r="P110" s="1890"/>
      <c r="Q110" s="1301"/>
      <c r="Z110" s="1303"/>
      <c r="AA110" s="1304"/>
    </row>
    <row r="111" spans="1:27" ht="18.75">
      <c r="A111" s="1873" t="str">
        <f>IF('CGL coverage'!F39="Y","","x")</f>
        <v/>
      </c>
      <c r="B111" s="1822"/>
      <c r="C111" s="1880"/>
      <c r="D111" s="1880"/>
      <c r="E111" s="1954" t="str">
        <f>'CGL coverage'!AE39</f>
        <v>CW208</v>
      </c>
      <c r="F111" s="1977" t="str">
        <f>'CGL coverage'!H39</f>
        <v>Water Deductible</v>
      </c>
      <c r="G111" s="1956"/>
      <c r="H111" s="1956"/>
      <c r="I111" s="1956"/>
      <c r="J111" s="1956"/>
      <c r="K111" s="1979">
        <f>'CGL coverage'!AD39</f>
        <v>5000</v>
      </c>
      <c r="L111" s="1957"/>
      <c r="M111" s="1957"/>
      <c r="N111" s="2852"/>
      <c r="O111" s="1881"/>
      <c r="P111" s="1851"/>
      <c r="Q111" s="472"/>
    </row>
    <row r="112" spans="1:27" ht="18.75">
      <c r="A112" s="1873" t="str">
        <f>IF('CGL coverage'!F40="Y","","x")</f>
        <v>x</v>
      </c>
      <c r="B112" s="1822"/>
      <c r="C112" s="1880"/>
      <c r="D112" s="1880"/>
      <c r="E112" s="1954"/>
      <c r="F112" s="1977" t="str">
        <f>'CGL coverage'!H40</f>
        <v>Hot works Deductible</v>
      </c>
      <c r="G112" s="1956"/>
      <c r="H112" s="1956"/>
      <c r="I112" s="1956"/>
      <c r="J112" s="1956"/>
      <c r="K112" s="1979">
        <f>'CGL coverage'!AD40</f>
        <v>5000</v>
      </c>
      <c r="L112" s="1957"/>
      <c r="M112" s="1957"/>
      <c r="N112" s="2852"/>
      <c r="O112" s="1881"/>
      <c r="P112" s="1851"/>
      <c r="Q112" s="472"/>
    </row>
    <row r="113" spans="1:17" ht="18.75">
      <c r="A113" s="1873" t="str">
        <f>IF('CGL coverage'!F76="Y","","x")</f>
        <v/>
      </c>
      <c r="B113" s="1822"/>
      <c r="C113" s="1880"/>
      <c r="D113" s="1880"/>
      <c r="E113" s="1954" t="str">
        <f>'CGL coverage'!AE76</f>
        <v/>
      </c>
      <c r="F113" s="1981" t="str">
        <f>'CGL coverage'!H76</f>
        <v>Products-Completed Operations</v>
      </c>
      <c r="G113" s="1956"/>
      <c r="H113" s="1956"/>
      <c r="I113" s="1956"/>
      <c r="J113" s="1956"/>
      <c r="K113" s="1957">
        <f>'CGL coverage'!AD76</f>
        <v>2500</v>
      </c>
      <c r="L113" s="3467">
        <f>'CGL coverage'!I76</f>
        <v>1000000</v>
      </c>
      <c r="M113" s="1957"/>
      <c r="N113" s="2852" t="str">
        <f>'CGL coverage'!AA76</f>
        <v>Included</v>
      </c>
      <c r="O113" s="1881"/>
      <c r="P113" s="1851"/>
      <c r="Q113" s="472"/>
    </row>
    <row r="114" spans="1:17" ht="18.75">
      <c r="A114" s="1873" t="str">
        <f>IF('CGL coverage'!F77="Y","","x")</f>
        <v/>
      </c>
      <c r="B114" s="1822"/>
      <c r="C114" s="1880"/>
      <c r="D114" s="1880"/>
      <c r="E114" s="1954" t="str">
        <f>'CGL coverage'!AE77</f>
        <v/>
      </c>
      <c r="F114" s="1981" t="str">
        <f>'CGL coverage'!H77</f>
        <v>Personal &amp; Advertising</v>
      </c>
      <c r="G114" s="1956"/>
      <c r="H114" s="1956"/>
      <c r="I114" s="1956"/>
      <c r="J114" s="1956"/>
      <c r="K114" s="1957">
        <f>'CGL coverage'!AD77</f>
        <v>2500</v>
      </c>
      <c r="L114" s="3467">
        <f>'CGL coverage'!I77</f>
        <v>1000000</v>
      </c>
      <c r="M114" s="1957"/>
      <c r="N114" s="2852" t="str">
        <f>'CGL coverage'!AA77</f>
        <v>Included</v>
      </c>
      <c r="O114" s="1881"/>
      <c r="P114" s="1851"/>
      <c r="Q114" s="472"/>
    </row>
    <row r="115" spans="1:17" ht="18.75">
      <c r="A115" s="1873" t="str">
        <f>IF('CGL coverage'!F78="Y","","x")</f>
        <v/>
      </c>
      <c r="B115" s="1822"/>
      <c r="C115" s="1880"/>
      <c r="D115" s="1880"/>
      <c r="E115" s="1954" t="str">
        <f>'CGL coverage'!AE78</f>
        <v/>
      </c>
      <c r="F115" s="1981" t="str">
        <f>'CGL coverage'!H78</f>
        <v>Liability Medical Payments</v>
      </c>
      <c r="G115" s="1956"/>
      <c r="H115" s="1956"/>
      <c r="I115" s="1956"/>
      <c r="J115" s="1956"/>
      <c r="K115" s="1957">
        <f>'CGL coverage'!AD78</f>
        <v>2500</v>
      </c>
      <c r="L115" s="3467">
        <f>'CGL coverage'!I78</f>
        <v>25000</v>
      </c>
      <c r="M115" s="1957"/>
      <c r="N115" s="2852" t="str">
        <f>'CGL coverage'!AA78</f>
        <v>Included</v>
      </c>
      <c r="O115" s="1881"/>
      <c r="P115" s="1851"/>
      <c r="Q115" s="472"/>
    </row>
    <row r="116" spans="1:17" ht="18.75">
      <c r="A116" s="1873" t="str">
        <f>IF('CGL coverage'!F79="Y","","x")</f>
        <v/>
      </c>
      <c r="B116" s="1822"/>
      <c r="C116" s="1880"/>
      <c r="D116" s="1880"/>
      <c r="E116" s="1954" t="str">
        <f>'CGL coverage'!AE79</f>
        <v/>
      </c>
      <c r="F116" s="1981" t="str">
        <f>'CGL coverage'!H79</f>
        <v>Tenants Legal Liability</v>
      </c>
      <c r="G116" s="1956"/>
      <c r="H116" s="1956"/>
      <c r="I116" s="1956"/>
      <c r="J116" s="1956"/>
      <c r="K116" s="1957">
        <f>'CGL coverage'!AD79</f>
        <v>2500</v>
      </c>
      <c r="L116" s="3467">
        <f>'CGL coverage'!I79</f>
        <v>250000</v>
      </c>
      <c r="M116" s="1957"/>
      <c r="N116" s="2852" t="str">
        <f>'CGL coverage'!AA79</f>
        <v>Included</v>
      </c>
      <c r="O116" s="1881"/>
      <c r="P116" s="1851"/>
      <c r="Q116" s="472"/>
    </row>
    <row r="117" spans="1:17" ht="18.75">
      <c r="A117" s="1873" t="str">
        <f>IF('CGL coverage'!F80="Y","","x")</f>
        <v/>
      </c>
      <c r="B117" s="1822"/>
      <c r="C117" s="1880"/>
      <c r="D117" s="1880"/>
      <c r="E117" s="1954" t="str">
        <f>'CGL coverage'!AE80</f>
        <v>L14</v>
      </c>
      <c r="F117" s="1981" t="str">
        <f>'CGL coverage'!H80</f>
        <v>Non Owed Automobile</v>
      </c>
      <c r="G117" s="1956"/>
      <c r="H117" s="1956"/>
      <c r="I117" s="1956"/>
      <c r="J117" s="1956"/>
      <c r="K117" s="1957">
        <f>'CGL coverage'!AD80</f>
        <v>2500</v>
      </c>
      <c r="L117" s="3467">
        <f>'CGL coverage'!I80</f>
        <v>1000000</v>
      </c>
      <c r="M117" s="1957"/>
      <c r="N117" s="2852" t="str">
        <f>'CGL coverage'!AA80</f>
        <v>Included</v>
      </c>
      <c r="O117" s="1881"/>
      <c r="P117" s="1851"/>
      <c r="Q117" s="472"/>
    </row>
    <row r="118" spans="1:17" ht="18.75">
      <c r="A118" s="1873" t="str">
        <f>IF($N$24="Quebec","x","")</f>
        <v/>
      </c>
      <c r="B118" s="1822"/>
      <c r="C118" s="1880"/>
      <c r="D118" s="1880"/>
      <c r="E118" s="1954" t="str">
        <f>'CGL coverage'!AE81</f>
        <v>LE25</v>
      </c>
      <c r="F118" s="1981" t="str">
        <f>'CGL coverage'!H81</f>
        <v>Contractual Liability Extension (SEF 96)</v>
      </c>
      <c r="G118" s="1956"/>
      <c r="H118" s="1956"/>
      <c r="I118" s="1956"/>
      <c r="J118" s="1956"/>
      <c r="K118" s="1957">
        <f>'CGL coverage'!AD81</f>
        <v>2500</v>
      </c>
      <c r="L118" s="3467" t="str">
        <f>'CGL coverage'!I81</f>
        <v>Included</v>
      </c>
      <c r="M118" s="1957"/>
      <c r="N118" s="2852" t="str">
        <f>'CGL coverage'!AA81</f>
        <v>Included</v>
      </c>
      <c r="O118" s="1881"/>
      <c r="P118" s="1851"/>
      <c r="Q118" s="472"/>
    </row>
    <row r="119" spans="1:17" ht="18.75">
      <c r="A119" s="1873" t="str">
        <f>IF('CGL coverage'!F82="Y","","x")</f>
        <v/>
      </c>
      <c r="B119" s="1822"/>
      <c r="C119" s="1880"/>
      <c r="D119" s="1880"/>
      <c r="E119" s="1954" t="str">
        <f>'CGL coverage'!AE82</f>
        <v>LE26</v>
      </c>
      <c r="F119" s="1981" t="str">
        <f>'CGL coverage'!H82</f>
        <v>Legal Liability for Damage to Hired Automobiles Extension (SEF 94)</v>
      </c>
      <c r="G119" s="1956"/>
      <c r="H119" s="1956"/>
      <c r="I119" s="1956"/>
      <c r="J119" s="1956"/>
      <c r="K119" s="1957">
        <f>'CGL coverage'!AD82</f>
        <v>2500</v>
      </c>
      <c r="L119" s="3467">
        <f>'CGL coverage'!I82</f>
        <v>50000</v>
      </c>
      <c r="M119" s="1957"/>
      <c r="N119" s="2852" t="str">
        <f>'CGL coverage'!AA82</f>
        <v>Included</v>
      </c>
      <c r="O119" s="1881"/>
      <c r="P119" s="1851"/>
      <c r="Q119" s="472"/>
    </row>
    <row r="120" spans="1:17" ht="18.75">
      <c r="A120" s="1873" t="str">
        <f>IF($N$24="Quebec","x","")</f>
        <v/>
      </c>
      <c r="B120" s="1822"/>
      <c r="C120" s="1880"/>
      <c r="D120" s="1880"/>
      <c r="E120" s="1954" t="str">
        <f>'CGL coverage'!AE83</f>
        <v>LE45</v>
      </c>
      <c r="F120" s="1981" t="str">
        <f>'CGL coverage'!H83</f>
        <v>Reduction of Coverage for Leased Vehicles Endorsement (OEF 98B)</v>
      </c>
      <c r="G120" s="1956"/>
      <c r="H120" s="1956"/>
      <c r="I120" s="1956"/>
      <c r="J120" s="1956"/>
      <c r="K120" s="1957">
        <f>'CGL coverage'!AD83</f>
        <v>2500</v>
      </c>
      <c r="L120" s="3467" t="str">
        <f>'CGL coverage'!I83</f>
        <v>Included</v>
      </c>
      <c r="M120" s="1957"/>
      <c r="N120" s="2852" t="str">
        <f>'CGL coverage'!AA83</f>
        <v>Included</v>
      </c>
      <c r="O120" s="1881"/>
      <c r="P120" s="1851"/>
      <c r="Q120" s="472"/>
    </row>
    <row r="121" spans="1:17" ht="18.75">
      <c r="A121" s="1873" t="str">
        <f>IF('CGL coverage'!F84="Y","","x")</f>
        <v/>
      </c>
      <c r="B121" s="1822"/>
      <c r="C121" s="1880"/>
      <c r="D121" s="1880"/>
      <c r="E121" s="1954" t="str">
        <f>'CGL coverage'!AE84</f>
        <v>LX16</v>
      </c>
      <c r="F121" s="1981" t="str">
        <f>'CGL coverage'!H84</f>
        <v>Long Term Leased Vehicle Exclusion (SEF 99)</v>
      </c>
      <c r="G121" s="1956"/>
      <c r="H121" s="1956"/>
      <c r="I121" s="1956"/>
      <c r="J121" s="1956"/>
      <c r="K121" s="1957">
        <f>'CGL coverage'!AD84</f>
        <v>2500</v>
      </c>
      <c r="L121" s="3467" t="str">
        <f>'CGL coverage'!I84</f>
        <v>Included</v>
      </c>
      <c r="M121" s="1957"/>
      <c r="N121" s="2852" t="str">
        <f>'CGL coverage'!AA84</f>
        <v>Included</v>
      </c>
      <c r="O121" s="1881"/>
      <c r="P121" s="1851"/>
      <c r="Q121" s="472"/>
    </row>
    <row r="122" spans="1:17" ht="18.75">
      <c r="A122" s="1873" t="str">
        <f>IF('CGL coverage'!F85="Y","","x")</f>
        <v/>
      </c>
      <c r="B122" s="1822"/>
      <c r="C122" s="1880"/>
      <c r="D122" s="1880"/>
      <c r="E122" s="1954" t="str">
        <f>'CGL coverage'!AE85</f>
        <v>LE5c</v>
      </c>
      <c r="F122" s="1981" t="str">
        <f>'CGL coverage'!H85</f>
        <v>Employers' Bodily Injury Liability Extension</v>
      </c>
      <c r="G122" s="1956"/>
      <c r="H122" s="1956"/>
      <c r="I122" s="1956"/>
      <c r="J122" s="1956"/>
      <c r="K122" s="1957">
        <f>'CGL coverage'!AD85</f>
        <v>2500</v>
      </c>
      <c r="L122" s="3467">
        <f>'CGL coverage'!I85</f>
        <v>1000000</v>
      </c>
      <c r="M122" s="1957"/>
      <c r="N122" s="2852" t="str">
        <f>'CGL coverage'!AA85</f>
        <v>Included</v>
      </c>
      <c r="O122" s="1881"/>
      <c r="P122" s="1851"/>
      <c r="Q122" s="472"/>
    </row>
    <row r="123" spans="1:17" ht="18.75">
      <c r="A123" s="1873" t="str">
        <f>IF('CGL coverage'!F86="Y","","x")</f>
        <v/>
      </c>
      <c r="B123" s="1822"/>
      <c r="C123" s="1880"/>
      <c r="D123" s="1880"/>
      <c r="E123" s="1954" t="str">
        <f>'CGL coverage'!AE86</f>
        <v>LE33</v>
      </c>
      <c r="F123" s="1981" t="str">
        <f>'CGL coverage'!H86</f>
        <v>Employee Benefits Extension</v>
      </c>
      <c r="G123" s="1956"/>
      <c r="H123" s="1956"/>
      <c r="I123" s="1956"/>
      <c r="J123" s="1956"/>
      <c r="K123" s="1957">
        <f>'CGL coverage'!AD86</f>
        <v>2500</v>
      </c>
      <c r="L123" s="3467">
        <f>'CGL coverage'!I86</f>
        <v>1000000</v>
      </c>
      <c r="M123" s="1957"/>
      <c r="N123" s="2852" t="str">
        <f>'CGL coverage'!AA86</f>
        <v>Included</v>
      </c>
      <c r="O123" s="1881"/>
      <c r="P123" s="1851"/>
      <c r="Q123" s="472"/>
    </row>
    <row r="124" spans="1:17" ht="18.75">
      <c r="A124" s="1873" t="str">
        <f>IF('CGL coverage'!F87="Y","","x")</f>
        <v>x</v>
      </c>
      <c r="B124" s="1822"/>
      <c r="C124" s="1880"/>
      <c r="D124" s="1880"/>
      <c r="E124" s="1954">
        <f>'CGL coverage'!AE87</f>
        <v>0</v>
      </c>
      <c r="F124" s="1981" t="str">
        <f>'CGL coverage'!H87</f>
        <v xml:space="preserve"> Write here other coverage en Price submit</v>
      </c>
      <c r="G124" s="1956"/>
      <c r="H124" s="1956"/>
      <c r="I124" s="1956"/>
      <c r="J124" s="1956"/>
      <c r="K124" s="1957">
        <f>'CGL coverage'!AD87</f>
        <v>0</v>
      </c>
      <c r="L124" s="1957">
        <f>'CGL coverage'!I87</f>
        <v>0</v>
      </c>
      <c r="M124" s="1957"/>
      <c r="N124" s="2852">
        <f>'CGL coverage'!AA87</f>
        <v>0</v>
      </c>
      <c r="O124" s="1881"/>
      <c r="P124" s="1851"/>
      <c r="Q124" s="472"/>
    </row>
    <row r="125" spans="1:17" ht="18.75">
      <c r="A125" s="1873" t="str">
        <f>IF('CGL coverage'!F88="Y","","x")</f>
        <v>x</v>
      </c>
      <c r="B125" s="1822"/>
      <c r="C125" s="1880"/>
      <c r="D125" s="1880"/>
      <c r="E125" s="1954">
        <f>'CGL coverage'!AE88</f>
        <v>0</v>
      </c>
      <c r="F125" s="1981" t="str">
        <f>'CGL coverage'!H88</f>
        <v xml:space="preserve"> Write here other coverage en Price submit</v>
      </c>
      <c r="G125" s="1956"/>
      <c r="H125" s="1956"/>
      <c r="I125" s="1956"/>
      <c r="J125" s="1956"/>
      <c r="K125" s="1957">
        <f>'CGL coverage'!AD88</f>
        <v>0</v>
      </c>
      <c r="L125" s="1957">
        <f>'CGL coverage'!I88</f>
        <v>0</v>
      </c>
      <c r="M125" s="1957"/>
      <c r="N125" s="2852">
        <f>'CGL coverage'!AA88</f>
        <v>0</v>
      </c>
      <c r="O125" s="1881"/>
      <c r="P125" s="1851"/>
      <c r="Q125" s="472"/>
    </row>
    <row r="126" spans="1:17" ht="18.75">
      <c r="A126" s="1873" t="str">
        <f>IF('CGL coverage'!F89="Y","","x")</f>
        <v>x</v>
      </c>
      <c r="B126" s="1822"/>
      <c r="C126" s="1880"/>
      <c r="D126" s="1880"/>
      <c r="E126" s="1954">
        <f>'CGL coverage'!AE89</f>
        <v>0</v>
      </c>
      <c r="F126" s="1981" t="str">
        <f>'CGL coverage'!H89</f>
        <v xml:space="preserve"> Write here other coverage en Price submit</v>
      </c>
      <c r="G126" s="1956"/>
      <c r="H126" s="1956"/>
      <c r="I126" s="1956"/>
      <c r="J126" s="1956"/>
      <c r="K126" s="1957">
        <f>'CGL coverage'!AD89</f>
        <v>0</v>
      </c>
      <c r="L126" s="1957">
        <f>'CGL coverage'!I89</f>
        <v>0</v>
      </c>
      <c r="M126" s="1957"/>
      <c r="N126" s="2852">
        <f>'CGL coverage'!AA89</f>
        <v>0</v>
      </c>
      <c r="O126" s="1881"/>
      <c r="P126" s="1851"/>
      <c r="Q126" s="472"/>
    </row>
    <row r="127" spans="1:17" ht="18.75">
      <c r="A127" s="1873" t="str">
        <f>IF('CGL coverage'!F90="Y","","x")</f>
        <v>x</v>
      </c>
      <c r="B127" s="1822"/>
      <c r="C127" s="1880"/>
      <c r="D127" s="1880"/>
      <c r="E127" s="1954">
        <f>'CGL coverage'!AE90</f>
        <v>0</v>
      </c>
      <c r="F127" s="1981" t="str">
        <f>'CGL coverage'!H90</f>
        <v xml:space="preserve"> Write here other coverage en Price submit</v>
      </c>
      <c r="G127" s="1956"/>
      <c r="H127" s="1956"/>
      <c r="I127" s="1956"/>
      <c r="J127" s="1956"/>
      <c r="K127" s="1957">
        <f>'CGL coverage'!AD90</f>
        <v>0</v>
      </c>
      <c r="L127" s="1957">
        <f>'CGL coverage'!I90</f>
        <v>0</v>
      </c>
      <c r="M127" s="1957"/>
      <c r="N127" s="2852">
        <f>'CGL coverage'!AA90</f>
        <v>0</v>
      </c>
      <c r="O127" s="1881"/>
      <c r="P127" s="1851"/>
      <c r="Q127" s="472"/>
    </row>
    <row r="128" spans="1:17" ht="18.75">
      <c r="A128" s="1873" t="str">
        <f>IF('CGL coverage'!F91="Y","","x")</f>
        <v>x</v>
      </c>
      <c r="B128" s="1822"/>
      <c r="C128" s="1880"/>
      <c r="D128" s="1880"/>
      <c r="E128" s="1954">
        <f>'CGL coverage'!AE91</f>
        <v>0</v>
      </c>
      <c r="F128" s="1981" t="str">
        <f>'CGL coverage'!H91</f>
        <v xml:space="preserve"> Write here other coverage en Price submit</v>
      </c>
      <c r="G128" s="1956"/>
      <c r="H128" s="1956"/>
      <c r="I128" s="1956"/>
      <c r="J128" s="1956"/>
      <c r="K128" s="1957">
        <f>'CGL coverage'!AD91</f>
        <v>0</v>
      </c>
      <c r="L128" s="1957">
        <f>'CGL coverage'!I91</f>
        <v>0</v>
      </c>
      <c r="M128" s="1957"/>
      <c r="N128" s="2852">
        <f>'CGL coverage'!AA91</f>
        <v>0</v>
      </c>
      <c r="O128" s="1881"/>
      <c r="P128" s="1851"/>
      <c r="Q128" s="472"/>
    </row>
    <row r="129" spans="1:27" ht="18.75">
      <c r="A129" s="1873" t="str">
        <f>IF('CGL coverage'!F92="Y","","x")</f>
        <v>x</v>
      </c>
      <c r="B129" s="1822"/>
      <c r="C129" s="1880"/>
      <c r="D129" s="1880"/>
      <c r="E129" s="1954">
        <f>'CGL coverage'!AE92</f>
        <v>0</v>
      </c>
      <c r="F129" s="1981" t="str">
        <f>'CGL coverage'!H92</f>
        <v xml:space="preserve"> Write here other coverage en Price submit</v>
      </c>
      <c r="G129" s="1956"/>
      <c r="H129" s="1956"/>
      <c r="I129" s="1956"/>
      <c r="J129" s="1956"/>
      <c r="K129" s="1957">
        <f>'CGL coverage'!AD92</f>
        <v>0</v>
      </c>
      <c r="L129" s="1957">
        <f>'CGL coverage'!I92</f>
        <v>0</v>
      </c>
      <c r="M129" s="1957"/>
      <c r="N129" s="2852">
        <f>'CGL coverage'!AA92</f>
        <v>0</v>
      </c>
      <c r="O129" s="1881"/>
      <c r="P129" s="1851"/>
      <c r="Q129" s="472"/>
    </row>
    <row r="130" spans="1:27" ht="18.75">
      <c r="A130" s="1873" t="str">
        <f>IF('CGL coverage'!F93="Y","","x")</f>
        <v>x</v>
      </c>
      <c r="B130" s="1822"/>
      <c r="C130" s="1880"/>
      <c r="D130" s="1880"/>
      <c r="E130" s="1954">
        <f>'CGL coverage'!AE93</f>
        <v>0</v>
      </c>
      <c r="F130" s="1981">
        <f>'CGL coverage'!H93</f>
        <v>0</v>
      </c>
      <c r="G130" s="1956"/>
      <c r="H130" s="1956"/>
      <c r="I130" s="1956"/>
      <c r="J130" s="1956"/>
      <c r="K130" s="1957">
        <f>'CGL coverage'!AD93</f>
        <v>0</v>
      </c>
      <c r="L130" s="1957">
        <f>'CGL coverage'!I93</f>
        <v>0</v>
      </c>
      <c r="M130" s="1957"/>
      <c r="N130" s="2852">
        <f>'CGL coverage'!AA93</f>
        <v>0</v>
      </c>
      <c r="O130" s="1881"/>
      <c r="P130" s="1851"/>
      <c r="Q130" s="472"/>
    </row>
    <row r="131" spans="1:27" ht="18.75">
      <c r="A131" s="1873" t="str">
        <f>IF('CGL coverage'!F94="Y","","x")</f>
        <v>x</v>
      </c>
      <c r="B131" s="1822"/>
      <c r="C131" s="1880"/>
      <c r="D131" s="1880"/>
      <c r="E131" s="1954">
        <f>'CGL coverage'!AE94</f>
        <v>0</v>
      </c>
      <c r="F131" s="1981">
        <f>'CGL coverage'!H94</f>
        <v>0</v>
      </c>
      <c r="G131" s="1956"/>
      <c r="H131" s="1956"/>
      <c r="I131" s="1956"/>
      <c r="J131" s="1956"/>
      <c r="K131" s="1957">
        <f>'CGL coverage'!AD94</f>
        <v>0</v>
      </c>
      <c r="L131" s="1957">
        <f>'CGL coverage'!I94</f>
        <v>0</v>
      </c>
      <c r="M131" s="1957"/>
      <c r="N131" s="2852">
        <f>'CGL coverage'!AA94</f>
        <v>0</v>
      </c>
      <c r="O131" s="1881"/>
      <c r="P131" s="1851"/>
      <c r="Q131" s="472"/>
    </row>
    <row r="132" spans="1:27" s="2787" customFormat="1" ht="18">
      <c r="A132" s="2780" t="str">
        <f>IF('Input '!$J$45="Yes",IF(Property!$E$9="Y","x",""),"x")</f>
        <v/>
      </c>
      <c r="B132" s="2781"/>
      <c r="C132" s="2781"/>
      <c r="D132" s="2781"/>
      <c r="E132" s="2782" t="s">
        <v>16</v>
      </c>
      <c r="F132" s="2783" t="str">
        <f>Property!G9</f>
        <v>Installation floater</v>
      </c>
      <c r="G132" s="2784"/>
      <c r="H132" s="2784"/>
      <c r="I132" s="2784"/>
      <c r="J132" s="2784"/>
      <c r="K132" s="2785">
        <v>2500</v>
      </c>
      <c r="L132" s="2785">
        <f>IF(A132="x","",10000)</f>
        <v>10000</v>
      </c>
      <c r="M132" s="2785"/>
      <c r="N132" s="2855" t="str">
        <f>IF('Input '!$E$1="EN","Free","Gratuit")</f>
        <v>Free</v>
      </c>
      <c r="O132" s="2786"/>
      <c r="Q132" s="2781"/>
      <c r="Z132" s="2788"/>
      <c r="AA132" s="2789"/>
    </row>
    <row r="133" spans="1:27" s="2787" customFormat="1" ht="18">
      <c r="A133" s="2780" t="str">
        <f>IF('Input '!$J$45="Yes",IF(OR('Input '!G38=735,'Input '!G38=736,'Input '!G38=1741,'Input '!G38=1743,'Input '!G38=1774),"x",IF('CGL coverage'!F68="Y","x","")),"x")</f>
        <v/>
      </c>
      <c r="B133" s="2781"/>
      <c r="C133" s="2781"/>
      <c r="D133" s="2781"/>
      <c r="E133" s="2782" t="str">
        <f>E138</f>
        <v>CW107</v>
      </c>
      <c r="F133" s="2783" t="str">
        <f>F226</f>
        <v>*Faulty workmanship</v>
      </c>
      <c r="G133" s="2784"/>
      <c r="H133" s="2784"/>
      <c r="I133" s="2784"/>
      <c r="J133" s="2784"/>
      <c r="K133" s="2785">
        <v>2500</v>
      </c>
      <c r="L133" s="2785">
        <f>IF(A133="x","",10000)</f>
        <v>10000</v>
      </c>
      <c r="M133" s="2785"/>
      <c r="N133" s="2855" t="str">
        <f>IF('Input '!$E$1="EN","Free","Gratuit")</f>
        <v>Free</v>
      </c>
      <c r="O133" s="2786"/>
      <c r="Q133" s="2781"/>
      <c r="Z133" s="2788"/>
      <c r="AA133" s="2789"/>
    </row>
    <row r="134" spans="1:27" s="2787" customFormat="1" ht="18">
      <c r="A134" s="2780" t="str">
        <f>IF('Input '!$J$45="Yes",IF(OR('Input '!G38=735,'Input '!G38=736,'Input '!G38=1741,'Input '!G38=1743,'Input '!G38=1774),"x",IF('CGL coverage'!F69="Y","x","")),"x")</f>
        <v/>
      </c>
      <c r="B134" s="2781"/>
      <c r="C134" s="2781"/>
      <c r="D134" s="2781"/>
      <c r="E134" s="2782" t="str">
        <f>E139</f>
        <v>CW106</v>
      </c>
      <c r="F134" s="2783" t="str">
        <f>F227</f>
        <v>*Contractors Professional Liability (retro date)</v>
      </c>
      <c r="G134" s="2784"/>
      <c r="H134" s="2784"/>
      <c r="I134" s="2784"/>
      <c r="J134" s="2784"/>
      <c r="K134" s="2785">
        <v>2500</v>
      </c>
      <c r="L134" s="2785">
        <f>IF(A134="x","",10000)</f>
        <v>10000</v>
      </c>
      <c r="M134" s="2785"/>
      <c r="N134" s="2855" t="str">
        <f>N133</f>
        <v>Free</v>
      </c>
      <c r="O134" s="2786"/>
      <c r="Q134" s="2781"/>
      <c r="Z134" s="2788"/>
      <c r="AA134" s="2789"/>
    </row>
    <row r="135" spans="1:27" s="2787" customFormat="1" ht="18">
      <c r="A135" s="2780" t="str">
        <f>IF('Input '!$J$45="Yes",IF('CGL coverage'!F70="Y","x",""),"x")</f>
        <v/>
      </c>
      <c r="B135" s="2781"/>
      <c r="C135" s="2781"/>
      <c r="D135" s="2781"/>
      <c r="E135" s="2782" t="str">
        <f>E140</f>
        <v>CW150</v>
      </c>
      <c r="F135" s="2783" t="str">
        <f>F228</f>
        <v>*Fungi and fungal derivatives</v>
      </c>
      <c r="G135" s="2784"/>
      <c r="H135" s="2784"/>
      <c r="I135" s="2784"/>
      <c r="J135" s="2784"/>
      <c r="K135" s="2785">
        <v>2500</v>
      </c>
      <c r="L135" s="2785">
        <f>IF(A135="x","",50000)</f>
        <v>50000</v>
      </c>
      <c r="M135" s="2785"/>
      <c r="N135" s="2855" t="str">
        <f>N134</f>
        <v>Free</v>
      </c>
      <c r="O135" s="2786"/>
      <c r="Q135" s="2781"/>
      <c r="Z135" s="2788"/>
      <c r="AA135" s="2789"/>
    </row>
    <row r="136" spans="1:27" s="2787" customFormat="1" ht="18">
      <c r="A136" s="2780" t="str">
        <f>IF('Input '!$J$45="Yes",IF('CGL coverage'!F71="Y","x",""),"x")</f>
        <v/>
      </c>
      <c r="B136" s="2781"/>
      <c r="C136" s="2781"/>
      <c r="D136" s="2781"/>
      <c r="E136" s="2782" t="str">
        <f>E141</f>
        <v>LE44</v>
      </c>
      <c r="F136" s="2783" t="str">
        <f>F229</f>
        <v>*Sudden and accidental pollution(120H)</v>
      </c>
      <c r="G136" s="2784"/>
      <c r="H136" s="2784"/>
      <c r="I136" s="2784"/>
      <c r="J136" s="2784"/>
      <c r="K136" s="2785">
        <v>2500</v>
      </c>
      <c r="L136" s="2785">
        <f>IF(A136="x","",250000)</f>
        <v>250000</v>
      </c>
      <c r="M136" s="2785"/>
      <c r="N136" s="2855" t="str">
        <f>N135</f>
        <v>Free</v>
      </c>
      <c r="O136" s="2786"/>
      <c r="Q136" s="2781"/>
      <c r="Z136" s="2788"/>
      <c r="AA136" s="2789"/>
    </row>
    <row r="137" spans="1:27" s="2787" customFormat="1" ht="18">
      <c r="A137" s="2780" t="str">
        <f>IF('Input '!$J$45="Yes",IF('CGL coverage'!F72="Y","x",""),"x")</f>
        <v/>
      </c>
      <c r="B137" s="2781"/>
      <c r="C137" s="2781"/>
      <c r="D137" s="2781"/>
      <c r="E137" s="2782" t="str">
        <f>E142</f>
        <v>CW199</v>
      </c>
      <c r="F137" s="2783" t="str">
        <f>F230</f>
        <v>*Care, custody and control</v>
      </c>
      <c r="G137" s="2784"/>
      <c r="H137" s="2784"/>
      <c r="I137" s="2784"/>
      <c r="J137" s="2784"/>
      <c r="K137" s="2785">
        <v>2500</v>
      </c>
      <c r="L137" s="2785">
        <f>IF(A137="x","",10000)</f>
        <v>10000</v>
      </c>
      <c r="M137" s="2785"/>
      <c r="N137" s="2855" t="str">
        <f>N136</f>
        <v>Free</v>
      </c>
      <c r="O137" s="2786"/>
      <c r="Q137" s="2781"/>
      <c r="Z137" s="2788"/>
      <c r="AA137" s="2789"/>
    </row>
    <row r="138" spans="1:27" ht="18.75">
      <c r="A138" s="1873" t="str">
        <f>IF('CGL coverage'!F68="Y","","x")</f>
        <v>x</v>
      </c>
      <c r="B138" s="1822"/>
      <c r="C138" s="1880"/>
      <c r="D138" s="1880"/>
      <c r="E138" s="1954" t="str">
        <f>'CGL coverage'!AE68</f>
        <v>CW107</v>
      </c>
      <c r="F138" s="1981" t="str">
        <f>'CGL coverage'!H68</f>
        <v>Faulty workmanship</v>
      </c>
      <c r="G138" s="1956"/>
      <c r="H138" s="1956"/>
      <c r="I138" s="1956"/>
      <c r="J138" s="1956"/>
      <c r="K138" s="1957">
        <f>'CGL coverage'!AD68</f>
        <v>2500</v>
      </c>
      <c r="L138" s="3467">
        <f>'CGL coverage'!I68</f>
        <v>0</v>
      </c>
      <c r="M138" s="1958" t="s">
        <v>1079</v>
      </c>
      <c r="N138" s="2852">
        <f>'CGL coverage'!AA68</f>
        <v>0</v>
      </c>
      <c r="O138" s="1881"/>
      <c r="P138" s="1851"/>
      <c r="Q138" s="472"/>
    </row>
    <row r="139" spans="1:27" ht="21.75">
      <c r="A139" s="1873" t="str">
        <f>IF('CGL coverage'!F69="Y","","x")</f>
        <v>x</v>
      </c>
      <c r="B139" s="1822"/>
      <c r="C139" s="1880"/>
      <c r="D139" s="1880"/>
      <c r="E139" s="1954" t="str">
        <f>'CGL coverage'!AE69</f>
        <v>CW106</v>
      </c>
      <c r="F139" s="1981" t="str">
        <f>'CGL coverage'!H69</f>
        <v xml:space="preserve">Contractors Professional Liability </v>
      </c>
      <c r="G139" s="1956"/>
      <c r="H139" s="1956"/>
      <c r="I139" s="1956"/>
      <c r="J139" s="1956"/>
      <c r="K139" s="1957">
        <f>'CGL coverage'!AD69</f>
        <v>2500</v>
      </c>
      <c r="L139" s="3467">
        <f>'CGL coverage'!I69</f>
        <v>0</v>
      </c>
      <c r="M139" s="1958" t="s">
        <v>1079</v>
      </c>
      <c r="N139" s="2852">
        <f>'CGL coverage'!AA69</f>
        <v>0</v>
      </c>
      <c r="Z139" s="2709" t="s">
        <v>4144</v>
      </c>
    </row>
    <row r="140" spans="1:27" ht="21.75">
      <c r="A140" s="1873" t="str">
        <f>IF('CGL coverage'!F70="Y","","x")</f>
        <v>x</v>
      </c>
      <c r="B140" s="1822"/>
      <c r="C140" s="1880"/>
      <c r="D140" s="1880"/>
      <c r="E140" s="1954" t="str">
        <f>'CGL coverage'!AE70</f>
        <v>CW150</v>
      </c>
      <c r="F140" s="1981" t="str">
        <f>'CGL coverage'!H70</f>
        <v>Fungi and fungal derivatives</v>
      </c>
      <c r="G140" s="1956"/>
      <c r="H140" s="1956"/>
      <c r="I140" s="1956"/>
      <c r="J140" s="1956"/>
      <c r="K140" s="1957">
        <f>'CGL coverage'!AD70</f>
        <v>2500</v>
      </c>
      <c r="L140" s="3467">
        <f>'CGL coverage'!I70</f>
        <v>0</v>
      </c>
      <c r="M140" s="1958" t="s">
        <v>1079</v>
      </c>
      <c r="N140" s="2852">
        <f>'CGL coverage'!AA70</f>
        <v>0</v>
      </c>
      <c r="O140" s="1881"/>
      <c r="P140" s="1851"/>
      <c r="Q140" s="472"/>
      <c r="Z140" s="2709" t="s">
        <v>4147</v>
      </c>
    </row>
    <row r="141" spans="1:27" ht="18.75">
      <c r="A141" s="1873" t="str">
        <f>IF('CGL coverage'!F71="Y","","x")</f>
        <v>x</v>
      </c>
      <c r="B141" s="1822"/>
      <c r="C141" s="1880"/>
      <c r="D141" s="1880"/>
      <c r="E141" s="1954" t="str">
        <f>'CGL coverage'!AE71</f>
        <v>LE44</v>
      </c>
      <c r="F141" s="1981" t="str">
        <f>'CGL coverage'!H71</f>
        <v>Sudden and accidental pollution</v>
      </c>
      <c r="G141" s="1956"/>
      <c r="H141" s="1956"/>
      <c r="I141" s="1956"/>
      <c r="J141" s="1956"/>
      <c r="K141" s="1957">
        <f>'CGL coverage'!AD71</f>
        <v>2500</v>
      </c>
      <c r="L141" s="3467">
        <f>'CGL coverage'!I71</f>
        <v>0</v>
      </c>
      <c r="M141" s="1958" t="s">
        <v>1079</v>
      </c>
      <c r="N141" s="2852">
        <f>'CGL coverage'!AA71</f>
        <v>0</v>
      </c>
      <c r="Z141" s="2708" t="s">
        <v>4143</v>
      </c>
    </row>
    <row r="142" spans="1:27" ht="18.75">
      <c r="A142" s="1873" t="str">
        <f>IF('CGL coverage'!F72="Y","","x")</f>
        <v>x</v>
      </c>
      <c r="B142" s="1822"/>
      <c r="C142" s="1880"/>
      <c r="D142" s="1880"/>
      <c r="E142" s="1954" t="str">
        <f>'CGL coverage'!AE72</f>
        <v>CW199</v>
      </c>
      <c r="F142" s="1981" t="str">
        <f>'CGL coverage'!H72</f>
        <v>Care, custody and control</v>
      </c>
      <c r="G142" s="1956"/>
      <c r="H142" s="1956"/>
      <c r="I142" s="1956"/>
      <c r="J142" s="1956"/>
      <c r="K142" s="1957">
        <f>'CGL coverage'!AD72</f>
        <v>2500</v>
      </c>
      <c r="L142" s="3467">
        <f>'CGL coverage'!I72</f>
        <v>0</v>
      </c>
      <c r="M142" s="1958" t="s">
        <v>1079</v>
      </c>
      <c r="N142" s="2852">
        <f>'CGL coverage'!AA72</f>
        <v>0</v>
      </c>
      <c r="O142" s="1881"/>
      <c r="P142" s="1851"/>
      <c r="Q142" s="472"/>
      <c r="Z142" s="1" t="s">
        <v>4145</v>
      </c>
    </row>
    <row r="143" spans="1:27" ht="18.75">
      <c r="A143" s="1873" t="str">
        <f>IF('CGL coverage'!F73="Y","","x")</f>
        <v>x</v>
      </c>
      <c r="B143" s="1822"/>
      <c r="C143" s="1880"/>
      <c r="D143" s="1880"/>
      <c r="E143" s="1954" t="str">
        <f>'CGL coverage'!AE73</f>
        <v>CW200</v>
      </c>
      <c r="F143" s="1981" t="str">
        <f>'CGL coverage'!H73</f>
        <v>Failure to perform</v>
      </c>
      <c r="G143" s="1956"/>
      <c r="H143" s="1956"/>
      <c r="I143" s="1956"/>
      <c r="J143" s="1956"/>
      <c r="K143" s="1957">
        <f>'CGL coverage'!AD73</f>
        <v>2500</v>
      </c>
      <c r="L143" s="3467">
        <f>'CGL coverage'!I73</f>
        <v>0</v>
      </c>
      <c r="M143" s="1958" t="s">
        <v>1079</v>
      </c>
      <c r="N143" s="2852">
        <f>'CGL coverage'!AA73</f>
        <v>0</v>
      </c>
      <c r="Z143" s="1" t="s">
        <v>4148</v>
      </c>
    </row>
    <row r="144" spans="1:27" ht="9.75" customHeight="1">
      <c r="A144" s="1885"/>
      <c r="B144" s="1822"/>
      <c r="C144" s="1880"/>
      <c r="D144" s="1880"/>
      <c r="E144" s="1983"/>
      <c r="F144" s="1984"/>
      <c r="G144" s="1985"/>
      <c r="H144" s="1985"/>
      <c r="I144" s="1985"/>
      <c r="J144" s="1985"/>
      <c r="K144" s="1986"/>
      <c r="L144" s="1986"/>
      <c r="M144" s="1986"/>
      <c r="N144" s="1986"/>
      <c r="O144" s="1882"/>
      <c r="P144" s="1851"/>
      <c r="Q144" s="472"/>
      <c r="Z144" s="1"/>
    </row>
    <row r="145" spans="1:28" s="54" customFormat="1" ht="15" customHeight="1">
      <c r="A145" s="1873" t="str">
        <f>IF(N145=0,"x","")</f>
        <v>x</v>
      </c>
      <c r="B145" s="2753"/>
      <c r="C145" s="1891"/>
      <c r="D145" s="1891"/>
      <c r="E145" s="1987"/>
      <c r="F145" s="1988" t="str">
        <f>Property!E101</f>
        <v>C. Other coverages</v>
      </c>
      <c r="G145" s="1989"/>
      <c r="H145" s="1989"/>
      <c r="I145" s="1989"/>
      <c r="J145" s="1989"/>
      <c r="K145" s="1990"/>
      <c r="L145" s="1990"/>
      <c r="M145" s="1990"/>
      <c r="N145" s="2856">
        <f>Property!W110</f>
        <v>0</v>
      </c>
      <c r="O145" s="1878"/>
      <c r="P145" s="1893"/>
      <c r="Q145" s="474"/>
      <c r="Z145" s="1" t="s">
        <v>4146</v>
      </c>
      <c r="AA145" s="1209"/>
    </row>
    <row r="146" spans="1:28" s="54" customFormat="1" ht="15" customHeight="1">
      <c r="A146" s="1873" t="str">
        <f>IF(Property!E106="Y","","x")</f>
        <v>x</v>
      </c>
      <c r="B146" s="2753"/>
      <c r="C146" s="1891"/>
      <c r="D146" s="1891"/>
      <c r="E146" s="1954" t="str">
        <f>Property!AA106</f>
        <v>ARAG-TAT</v>
      </c>
      <c r="F146" s="1955" t="str">
        <f>Property!G106</f>
        <v>Legal -Unlimited telephone advice</v>
      </c>
      <c r="G146" s="1956"/>
      <c r="H146" s="1956"/>
      <c r="I146" s="1956"/>
      <c r="J146" s="1982"/>
      <c r="K146" s="1957">
        <f>Property!Z106</f>
        <v>500</v>
      </c>
      <c r="L146" s="3467">
        <f>Property!I106</f>
        <v>0</v>
      </c>
      <c r="M146" s="1957"/>
      <c r="N146" s="2852">
        <f>IF('Input '!$G$9=TRUE,Property!W106,"")</f>
        <v>0</v>
      </c>
      <c r="O146" s="1881"/>
      <c r="P146" s="1893"/>
      <c r="Q146" s="474"/>
      <c r="Z146" s="1" t="s">
        <v>4150</v>
      </c>
      <c r="AA146" s="1209"/>
    </row>
    <row r="147" spans="1:28" s="54" customFormat="1" ht="15" customHeight="1">
      <c r="A147" s="1873" t="str">
        <f>IF(Property!E107="Y","","x")</f>
        <v>x</v>
      </c>
      <c r="B147" s="2753"/>
      <c r="C147" s="1891"/>
      <c r="D147" s="1891"/>
      <c r="E147" s="1954" t="str">
        <f>Property!AA107</f>
        <v>ARAG-COM</v>
      </c>
      <c r="F147" s="1955" t="str">
        <f>Property!G107</f>
        <v xml:space="preserve">Legal - option full coverage </v>
      </c>
      <c r="G147" s="1956"/>
      <c r="H147" s="1956"/>
      <c r="I147" s="1956"/>
      <c r="J147" s="1982"/>
      <c r="K147" s="1957">
        <f>Property!Z107</f>
        <v>2500</v>
      </c>
      <c r="L147" s="3467">
        <f>Property!I107</f>
        <v>0</v>
      </c>
      <c r="M147" s="1957"/>
      <c r="N147" s="2852">
        <f>IF('Input '!$G$9=TRUE,Property!W107,"")</f>
        <v>0</v>
      </c>
      <c r="O147" s="1881"/>
      <c r="P147" s="1893"/>
      <c r="Q147" s="474"/>
      <c r="Z147" s="2711" t="s">
        <v>4149</v>
      </c>
      <c r="AA147" s="1209"/>
    </row>
    <row r="148" spans="1:28" s="54" customFormat="1" ht="15" customHeight="1">
      <c r="A148" s="1873" t="str">
        <f>IF(Property!E108="Y","","x")</f>
        <v>x</v>
      </c>
      <c r="B148" s="2753"/>
      <c r="C148" s="1891"/>
      <c r="D148" s="1891"/>
      <c r="E148" s="1954" t="str">
        <f>Property!AA108</f>
        <v>CYB001</v>
      </c>
      <c r="F148" s="1955" t="str">
        <f>Property!G108</f>
        <v>Cyber</v>
      </c>
      <c r="G148" s="1956"/>
      <c r="H148" s="1956"/>
      <c r="I148" s="1956"/>
      <c r="J148" s="1982"/>
      <c r="K148" s="1957">
        <f>Property!Z108</f>
        <v>2000</v>
      </c>
      <c r="L148" s="1957">
        <f>Property!I108</f>
        <v>0</v>
      </c>
      <c r="M148" s="1957"/>
      <c r="N148" s="2852">
        <f>IF('Input '!$G$9=TRUE,Property!W108,"")</f>
        <v>0</v>
      </c>
      <c r="O148" s="1881"/>
      <c r="P148" s="1893"/>
      <c r="Q148" s="474"/>
      <c r="Z148" s="1202"/>
      <c r="AA148" s="1209"/>
    </row>
    <row r="149" spans="1:28" ht="16.5" customHeight="1">
      <c r="A149" s="1873" t="str">
        <f>IF(Property!E109="Y","","x")</f>
        <v>x</v>
      </c>
      <c r="B149" s="1822"/>
      <c r="C149" s="1880"/>
      <c r="D149" s="1880"/>
      <c r="E149" s="1954" t="str">
        <f>Property!AA109</f>
        <v>C1</v>
      </c>
      <c r="F149" s="1955" t="str">
        <f>Property!G109</f>
        <v>Crime**</v>
      </c>
      <c r="G149" s="1956"/>
      <c r="H149" s="1956"/>
      <c r="I149" s="1956"/>
      <c r="J149" s="1956"/>
      <c r="K149" s="1957">
        <f>Property!Z109</f>
        <v>500</v>
      </c>
      <c r="L149" s="1957">
        <f>Property!I109</f>
        <v>0</v>
      </c>
      <c r="M149" s="1957"/>
      <c r="N149" s="2852">
        <f>IF('Input '!$G$9=TRUE,Property!W109,"")</f>
        <v>0</v>
      </c>
      <c r="O149" s="1881"/>
      <c r="P149" s="1851"/>
      <c r="Q149" s="472"/>
    </row>
    <row r="150" spans="1:28" ht="4.5" customHeight="1">
      <c r="A150" s="182"/>
      <c r="B150" s="1822"/>
      <c r="C150" s="472"/>
      <c r="D150" s="472"/>
      <c r="E150" s="472"/>
      <c r="F150" s="3"/>
      <c r="K150" s="4"/>
      <c r="L150" s="4"/>
      <c r="M150" s="4"/>
      <c r="N150" s="177"/>
      <c r="O150" s="177"/>
      <c r="P150" s="1297"/>
      <c r="Q150" s="472"/>
    </row>
    <row r="151" spans="1:28" ht="25.5" customHeight="1">
      <c r="A151" s="183"/>
      <c r="B151" s="1822"/>
      <c r="C151" s="472"/>
      <c r="D151" s="472"/>
      <c r="E151" s="3570" t="str">
        <f>IF(OR('Input '!$G$36="Nouvelle Affaire",'Input '!$G$36="New Business"),IF('Input '!$E$1="EN",'Quote template-1'!$Z$140,'Quote template-1'!Z139),"")</f>
        <v xml:space="preserve">
Renorun offers the delivery of construction materials to your jobsite in 2 hours or less.</v>
      </c>
      <c r="F151" s="3570"/>
      <c r="G151" s="3570"/>
      <c r="H151" s="2710"/>
      <c r="K151" s="23" t="str">
        <f>'Quote template-2'!J149</f>
        <v>Policy Premium</v>
      </c>
      <c r="L151" s="4"/>
      <c r="M151" s="4"/>
      <c r="N151" s="4">
        <f ca="1">N145+N108+N30</f>
        <v>0</v>
      </c>
      <c r="O151" s="177"/>
      <c r="P151" s="473"/>
      <c r="Q151" s="472"/>
    </row>
    <row r="152" spans="1:28" ht="22.5" customHeight="1">
      <c r="A152" s="183"/>
      <c r="B152" s="1822"/>
      <c r="C152" s="472"/>
      <c r="D152" s="472"/>
      <c r="E152" s="3570"/>
      <c r="F152" s="3570"/>
      <c r="G152" s="3570"/>
      <c r="H152" s="2710"/>
      <c r="K152" s="23" t="str">
        <f>IF('Input '!$E$1="EN",'Quote template-1'!$AA$152,'Quote template-1'!Z152)</f>
        <v>Add in Package</v>
      </c>
      <c r="L152" s="1944" t="str">
        <f>IF('Input '!$E$1="EN","-not included","non inclus")</f>
        <v>-not included</v>
      </c>
      <c r="M152" s="4"/>
      <c r="N152" s="4">
        <f>IF( OR($L$152="Package Silver",$L$152="Package Argent"),$S$235,IF( OR($L$152="Package Gold",$L$152="Package OR"),$T$235,0))</f>
        <v>0</v>
      </c>
      <c r="O152" s="177"/>
      <c r="P152" s="473"/>
      <c r="Q152" s="472"/>
      <c r="Z152" s="1197" t="s">
        <v>3733</v>
      </c>
      <c r="AA152" s="1204" t="s">
        <v>3734</v>
      </c>
    </row>
    <row r="153" spans="1:28" ht="17.25">
      <c r="A153" s="183"/>
      <c r="E153" s="3571" t="str">
        <f>IF(OR('Input '!$G$36="Nouvelle Affaire",'Input '!$G$36="New Business"),IF('Input '!$E$1="EN",'Quote template-1'!$Z$143,'Quote template-1'!Z142),"")</f>
        <v>With each new April insurance policy, Renorun offers you the first delivery for FREE*!</v>
      </c>
      <c r="F153" s="3571"/>
      <c r="G153" s="3571"/>
      <c r="K153" s="23" t="str">
        <f>'Quote template-2'!J150</f>
        <v>Policy fees</v>
      </c>
      <c r="L153" s="25"/>
      <c r="M153" s="25"/>
      <c r="N153" s="25" t="e">
        <f ca="1">IFERROR(VLOOKUP($N$151,Settings!$C$228:$D$231,2,TRUE),135)+'Low risk commission'!H8</f>
        <v>#DIV/0!</v>
      </c>
      <c r="O153" s="25"/>
      <c r="P153" s="468"/>
    </row>
    <row r="154" spans="1:28" ht="17.25">
      <c r="A154" s="183"/>
      <c r="E154" s="3571" t="str">
        <f>IF(OR('Input '!$G$36="Nouvelle Affaire",'Input '!$G$36="New Business"),IF('Input '!$E$1="EN",'Quote template-1'!$Z$146,'Quote template-1'!Z145),"")</f>
        <v>* Territory served: Metropolitan Toronto, Montreal, Laval, conditions may apply</v>
      </c>
      <c r="F154" s="3571"/>
      <c r="G154" s="3571"/>
      <c r="H154" s="50"/>
      <c r="K154" s="23" t="str">
        <f>'Quote template-2'!J151</f>
        <v>Inspection fees</v>
      </c>
      <c r="L154" s="25"/>
      <c r="M154" s="25"/>
      <c r="N154" s="25">
        <f>IF(OR(MAX(L41:L45)&gt;100000,MAX(L47:L51)&gt;100000,MAX(L53:L57)&gt;100000),175,0)</f>
        <v>0</v>
      </c>
      <c r="O154" s="25"/>
      <c r="P154" s="468"/>
      <c r="AA154" s="2708"/>
      <c r="AB154" s="2708"/>
    </row>
    <row r="155" spans="1:28" s="488" customFormat="1" ht="27.75" customHeight="1">
      <c r="A155" s="487"/>
      <c r="B155" s="2766"/>
      <c r="E155" s="3571" t="str">
        <f>IF(OR('Input '!$G$36="Nouvelle Affaire",'Input '!$G$36="New Business"),Z141,"")</f>
        <v>https://www.renorun.ca/</v>
      </c>
      <c r="F155" s="3571"/>
      <c r="G155" s="3571"/>
      <c r="K155" s="488" t="str">
        <f>'Quote template-2'!J152</f>
        <v>Total Policy Premium</v>
      </c>
      <c r="L155" s="489"/>
      <c r="M155" s="489"/>
      <c r="N155" s="489" t="e">
        <f ca="1">N153+N151+N154+N152</f>
        <v>#DIV/0!</v>
      </c>
      <c r="O155" s="489"/>
      <c r="P155" s="490"/>
      <c r="AA155" s="54"/>
      <c r="AB155" s="54"/>
    </row>
    <row r="156" spans="1:28" ht="17.25">
      <c r="A156" s="183"/>
      <c r="F156" s="23"/>
      <c r="K156" s="23" t="str">
        <f>'Quote template-2'!J153</f>
        <v>Commission</v>
      </c>
      <c r="L156" s="454"/>
      <c r="M156" s="454"/>
      <c r="N156" s="2849" t="e">
        <f>IF(AND('Input '!S45="Y",'Input '!T45=TRUE),17.5%,15%)</f>
        <v>#DIV/0!</v>
      </c>
      <c r="O156" s="451"/>
      <c r="P156" s="468"/>
      <c r="S156" s="2800"/>
      <c r="AA156" s="1"/>
    </row>
    <row r="157" spans="1:28" ht="3" customHeight="1">
      <c r="A157" s="183"/>
      <c r="F157" s="23"/>
      <c r="K157" s="23"/>
      <c r="L157" s="454"/>
      <c r="M157" s="454"/>
      <c r="N157" s="2809"/>
      <c r="O157" s="451"/>
      <c r="P157" s="468"/>
      <c r="AA157" s="1"/>
    </row>
    <row r="158" spans="1:28" ht="7.5" customHeight="1">
      <c r="A158" s="183"/>
      <c r="F158" s="23"/>
      <c r="K158" s="23"/>
      <c r="L158" s="454"/>
      <c r="M158" s="454"/>
      <c r="N158" s="2809"/>
      <c r="O158" s="456"/>
      <c r="P158" s="468"/>
      <c r="AA158" s="1"/>
    </row>
    <row r="159" spans="1:28" ht="13.5" customHeight="1">
      <c r="A159" s="183"/>
      <c r="F159" s="23"/>
      <c r="L159" s="454"/>
      <c r="M159" s="454"/>
      <c r="N159" s="49" t="str">
        <f>IF('Input '!$E$1="EN",'Quote template-2'!AA35,'Quote template-2'!Z35)</f>
        <v>Minimum retained premium: 25% or $350 MRP, whichever is higher</v>
      </c>
      <c r="O159" s="456"/>
      <c r="P159" s="468"/>
      <c r="AA159" s="1"/>
    </row>
    <row r="160" spans="1:28" ht="17.25">
      <c r="F160" s="379" t="str">
        <f>F17</f>
        <v>Quote ref:</v>
      </c>
      <c r="G160" s="1443">
        <f>$G$17</f>
        <v>0</v>
      </c>
      <c r="H160" s="23"/>
      <c r="I160" s="23"/>
      <c r="J160" s="23"/>
      <c r="K160" s="23"/>
      <c r="L160" s="23"/>
      <c r="M160" s="1435" t="str">
        <f>M14</f>
        <v>How can we help?</v>
      </c>
      <c r="N160" s="2809"/>
      <c r="O160" s="1435"/>
    </row>
    <row r="161" spans="1:27" ht="25.5">
      <c r="F161" s="3566" t="s">
        <v>3545</v>
      </c>
      <c r="G161" s="3566"/>
      <c r="H161" s="23"/>
      <c r="I161" s="23"/>
      <c r="J161" s="23"/>
      <c r="K161" s="23"/>
      <c r="L161" s="23"/>
      <c r="M161" s="1844" t="str">
        <f>M15</f>
        <v>1-855-745-1010</v>
      </c>
      <c r="N161" s="2809"/>
      <c r="O161" s="1435"/>
    </row>
    <row r="162" spans="1:27" ht="5.25" customHeight="1">
      <c r="F162" s="23"/>
      <c r="G162" s="23"/>
      <c r="H162" s="23"/>
      <c r="I162" s="23"/>
      <c r="J162" s="23"/>
      <c r="K162" s="23"/>
      <c r="L162" s="23"/>
      <c r="M162" s="23"/>
      <c r="N162" s="2809"/>
      <c r="O162" s="456"/>
      <c r="P162" s="454"/>
    </row>
    <row r="163" spans="1:27" ht="10.5" customHeight="1">
      <c r="F163" s="23"/>
      <c r="G163" s="23"/>
      <c r="H163" s="23"/>
      <c r="I163" s="23"/>
      <c r="J163" s="23"/>
      <c r="K163" s="23"/>
      <c r="M163" s="3"/>
      <c r="N163" s="2799"/>
      <c r="O163" s="457"/>
      <c r="P163" s="387"/>
    </row>
    <row r="164" spans="1:27" s="3" customFormat="1" ht="4.5" customHeight="1">
      <c r="A164" s="183"/>
      <c r="B164" s="2764"/>
      <c r="F164" s="1310"/>
      <c r="G164" s="1310"/>
      <c r="H164" s="378"/>
      <c r="I164" s="23"/>
      <c r="J164" s="23"/>
      <c r="K164" s="23"/>
      <c r="L164" s="23"/>
      <c r="M164" s="23"/>
      <c r="N164" s="2809"/>
      <c r="O164" s="1311"/>
      <c r="P164" s="468"/>
      <c r="Z164" s="1199"/>
      <c r="AA164" s="1206"/>
    </row>
    <row r="165" spans="1:27" ht="13.5" customHeight="1">
      <c r="A165" s="183"/>
      <c r="F165" s="24" t="str">
        <f>'Quote template-2'!F163</f>
        <v>All policies are subject to:</v>
      </c>
      <c r="H165" s="23"/>
      <c r="I165" s="23"/>
      <c r="J165" s="23"/>
      <c r="K165" s="23"/>
      <c r="L165" s="23"/>
      <c r="M165" s="23"/>
      <c r="N165" s="2809"/>
      <c r="O165" s="1211"/>
      <c r="P165" s="468"/>
    </row>
    <row r="166" spans="1:27" s="2" customFormat="1" ht="57.75" customHeight="1">
      <c r="A166" s="183"/>
      <c r="B166" s="2767"/>
      <c r="F166" s="3567" t="str">
        <f>'Quote template-2'!F164</f>
        <v>General Policy Exclusions GE001,Additional Terms &amp; Conditions LL001, PR001 Notice concerning Personal Information, CW86 Nuclear Incident Exclusion Clause, R7 Short Rate Cancellation Table, R1 Additional Agreements and conditions (mandatory for all other than AB,MB,BC)</v>
      </c>
      <c r="G166" s="3567"/>
      <c r="H166" s="3567"/>
      <c r="I166" s="3567"/>
      <c r="J166" s="3567"/>
      <c r="K166" s="3567"/>
      <c r="L166" s="3567"/>
      <c r="M166" s="3567"/>
      <c r="N166" s="3567"/>
      <c r="O166" s="1433"/>
      <c r="Z166" s="1198"/>
      <c r="AA166" s="1205"/>
    </row>
    <row r="167" spans="1:27" s="2" customFormat="1" ht="1.5" customHeight="1">
      <c r="A167" s="183"/>
      <c r="B167" s="2767"/>
      <c r="F167" s="453"/>
      <c r="G167" s="453"/>
      <c r="H167" s="453"/>
      <c r="I167" s="453"/>
      <c r="J167" s="453"/>
      <c r="K167" s="453"/>
      <c r="L167" s="453"/>
      <c r="M167" s="453"/>
      <c r="N167" s="2832"/>
      <c r="O167" s="453"/>
      <c r="P167" s="453"/>
      <c r="Z167" s="1198"/>
      <c r="AA167" s="1205"/>
    </row>
    <row r="168" spans="1:27" ht="17.25">
      <c r="A168" s="183"/>
      <c r="F168" s="26" t="str">
        <f>'Quote template-2'!F166</f>
        <v>Specific conditions applied to this quote:</v>
      </c>
      <c r="H168" s="23"/>
      <c r="I168" s="23"/>
      <c r="J168" s="23"/>
      <c r="K168" s="23"/>
      <c r="L168" s="23"/>
      <c r="M168" s="23"/>
      <c r="N168" s="2809"/>
      <c r="O168" s="1857"/>
      <c r="P168" s="1866"/>
    </row>
    <row r="169" spans="1:27" ht="7.5" customHeight="1">
      <c r="A169" s="183"/>
      <c r="F169" s="24"/>
      <c r="G169" s="23"/>
      <c r="H169" s="23"/>
      <c r="I169" s="23"/>
      <c r="J169" s="23"/>
      <c r="K169" s="23"/>
      <c r="L169" s="23"/>
      <c r="M169" s="23"/>
      <c r="N169" s="2809"/>
      <c r="O169" s="1857"/>
      <c r="P169" s="1866"/>
    </row>
    <row r="170" spans="1:27" ht="17.25" customHeight="1">
      <c r="A170" s="183"/>
      <c r="C170" s="485"/>
      <c r="D170" s="485"/>
      <c r="E170" s="383" t="s">
        <v>1097</v>
      </c>
      <c r="F170" s="26" t="str">
        <f>'Quote template-2'!F168</f>
        <v>Underwriter's Comments:</v>
      </c>
      <c r="H170" s="378"/>
      <c r="I170" s="378"/>
      <c r="J170" s="378"/>
      <c r="K170" s="378"/>
      <c r="L170" s="378"/>
      <c r="M170" s="378"/>
      <c r="N170" s="2833"/>
      <c r="O170" s="1896"/>
      <c r="P170" s="1896"/>
    </row>
    <row r="172" spans="1:27" ht="17.25" customHeight="1">
      <c r="A172" s="182" t="str">
        <f>IF(F172="","x","")</f>
        <v>x</v>
      </c>
      <c r="C172" s="460"/>
      <c r="D172" s="460"/>
      <c r="E172" s="382" t="b">
        <v>1</v>
      </c>
      <c r="F172" s="1847" t="str">
        <f>IF(E172=FALSE,"",IF('Input '!$E$1="FR",Z172,AA172))</f>
        <v/>
      </c>
      <c r="G172" s="1847"/>
      <c r="H172" s="1847"/>
      <c r="I172" s="1847"/>
      <c r="J172" s="1847"/>
      <c r="K172" s="1847"/>
      <c r="L172" s="1847"/>
      <c r="M172" s="1847"/>
      <c r="N172" s="2834"/>
      <c r="O172" s="1897"/>
      <c r="P172" s="1862"/>
      <c r="Z172" s="735" t="s">
        <v>4532</v>
      </c>
      <c r="AA172" s="1495" t="s">
        <v>223</v>
      </c>
    </row>
    <row r="173" spans="1:27" ht="17.25">
      <c r="E173" s="382" t="b">
        <f>IF('Input '!$G37=1812,TRUE,FALSE)</f>
        <v>0</v>
      </c>
      <c r="F173" s="1847" t="str">
        <f>IF(E173=FALSE,"",IF('Input '!$E$1="FR",Z173,AA173))</f>
        <v/>
      </c>
      <c r="Z173" s="1197" t="s">
        <v>4488</v>
      </c>
      <c r="AA173" s="1204" t="s">
        <v>4489</v>
      </c>
    </row>
    <row r="174" spans="1:27" ht="17.25" customHeight="1">
      <c r="A174" s="183"/>
      <c r="C174" s="460"/>
      <c r="D174" s="460"/>
      <c r="E174" s="382"/>
      <c r="F174" s="1848" t="str">
        <f>IF('Input '!$E$1="EN",'Quote template-1'!$AA$174,'Quote template-1'!Z174)</f>
        <v xml:space="preserve">This quotation expires 30 days from the Quote Date </v>
      </c>
      <c r="H174" s="1846"/>
      <c r="I174" s="1846"/>
      <c r="J174" s="1846"/>
      <c r="K174" s="1846"/>
      <c r="L174" s="1846"/>
      <c r="M174" s="1846"/>
      <c r="N174" s="2835"/>
      <c r="O174" s="1862"/>
      <c r="P174" s="1862"/>
      <c r="Z174" s="1197" t="s">
        <v>3725</v>
      </c>
      <c r="AA174" s="1204" t="s">
        <v>3724</v>
      </c>
    </row>
    <row r="175" spans="1:27" ht="17.25" customHeight="1">
      <c r="A175" s="183"/>
      <c r="C175" s="460"/>
      <c r="D175" s="460"/>
      <c r="E175" s="382"/>
      <c r="F175" s="1848" t="str">
        <f>IF('Input '!$E$1="EN",'Quote template-1'!$AA$175,'Quote template-1'!Z175)</f>
        <v/>
      </c>
      <c r="H175" s="1846"/>
      <c r="I175" s="1846"/>
      <c r="J175" s="1846"/>
      <c r="K175" s="1846"/>
      <c r="L175" s="1846"/>
      <c r="M175" s="1846"/>
      <c r="N175" s="2835"/>
      <c r="O175" s="1862"/>
      <c r="P175" s="1862"/>
      <c r="Z175" s="1197" t="s">
        <v>4023</v>
      </c>
      <c r="AA175" s="1495" t="s">
        <v>223</v>
      </c>
    </row>
    <row r="176" spans="1:27" ht="17.25" customHeight="1">
      <c r="A176" s="183"/>
      <c r="C176" s="460"/>
      <c r="D176" s="460"/>
      <c r="E176" s="382"/>
      <c r="F176" s="3568"/>
      <c r="G176" s="3568"/>
      <c r="H176" s="3568"/>
      <c r="I176" s="3568"/>
      <c r="J176" s="3568"/>
      <c r="K176" s="3568"/>
      <c r="L176" s="3568"/>
      <c r="M176" s="3568"/>
      <c r="N176" s="3568"/>
      <c r="O176" s="1862"/>
      <c r="P176" s="1862"/>
    </row>
    <row r="177" spans="1:27" ht="17.25" customHeight="1">
      <c r="A177" s="183"/>
      <c r="C177" s="460"/>
      <c r="D177" s="460"/>
      <c r="E177" s="460"/>
      <c r="F177" s="3568"/>
      <c r="G177" s="3568"/>
      <c r="H177" s="3568"/>
      <c r="I177" s="3568"/>
      <c r="J177" s="3568"/>
      <c r="K177" s="3568"/>
      <c r="L177" s="3568"/>
      <c r="M177" s="3568"/>
      <c r="N177" s="3568"/>
      <c r="O177" s="1862"/>
      <c r="P177" s="1862"/>
    </row>
    <row r="178" spans="1:27" ht="6.75" customHeight="1">
      <c r="A178" s="183"/>
      <c r="F178" s="24"/>
      <c r="G178" s="23"/>
      <c r="H178" s="23"/>
      <c r="I178" s="23"/>
      <c r="J178" s="23"/>
      <c r="K178" s="23"/>
      <c r="L178" s="23"/>
      <c r="M178" s="23"/>
      <c r="N178" s="2809"/>
      <c r="O178" s="1857"/>
      <c r="P178" s="1866"/>
    </row>
    <row r="179" spans="1:27" ht="17.25" customHeight="1">
      <c r="A179" s="183"/>
      <c r="C179" s="485"/>
      <c r="D179" s="485"/>
      <c r="E179" s="383" t="s">
        <v>1097</v>
      </c>
      <c r="F179" s="26" t="str">
        <f>'Quote template-2'!F177</f>
        <v>Endorsements and Exclusions</v>
      </c>
      <c r="G179" s="378"/>
      <c r="H179" s="378"/>
      <c r="I179" s="378"/>
      <c r="J179" s="378"/>
      <c r="K179" s="378"/>
      <c r="L179" s="378"/>
      <c r="M179" s="378"/>
      <c r="N179" s="2836" t="s">
        <v>3670</v>
      </c>
      <c r="O179" s="1851"/>
      <c r="P179" s="1851"/>
    </row>
    <row r="180" spans="1:27" ht="17.25" customHeight="1">
      <c r="A180" s="183"/>
      <c r="C180" s="485"/>
      <c r="D180" s="485"/>
      <c r="E180" s="382" t="b">
        <v>1</v>
      </c>
      <c r="F180" s="1847" t="str">
        <f>IF(E180=FALSE,"",IF('Input '!$E$1="FR",'Mandatory endorsements'!D1,'Mandatory endorsements'!E1))</f>
        <v>CW214 Exclusion of activities or work performed prior to the  risk effective date of the current policy</v>
      </c>
      <c r="G180" s="1847"/>
      <c r="H180" s="1847"/>
      <c r="I180" s="1847"/>
      <c r="J180" s="1847"/>
      <c r="K180" s="1847"/>
      <c r="L180" s="1847"/>
      <c r="M180" s="1847"/>
      <c r="N180" s="2816" t="str">
        <f>IF(E180=FALSE,"",IF('Input '!$E$1="EN","CGL","RC"))</f>
        <v>CGL</v>
      </c>
      <c r="O180" s="1851"/>
      <c r="P180" s="1851"/>
    </row>
    <row r="181" spans="1:27" ht="17.25" customHeight="1">
      <c r="A181" s="183"/>
      <c r="C181" s="485"/>
      <c r="D181" s="485"/>
      <c r="E181" s="382" t="b">
        <v>1</v>
      </c>
      <c r="F181" s="1847" t="str">
        <f>IF(E181=FALSE,"",IF('Input '!$E$1="FR",'Mandatory endorsements'!D2,'Mandatory endorsements'!E2))</f>
        <v>CWW225 Virus Bacteria Exclusion Endorsement</v>
      </c>
      <c r="G181" s="1847"/>
      <c r="H181" s="1847"/>
      <c r="I181" s="1847"/>
      <c r="J181" s="1847"/>
      <c r="K181" s="1847"/>
      <c r="L181" s="1847"/>
      <c r="M181" s="1847"/>
      <c r="N181" s="2816" t="str">
        <f>IF(E181=FALSE,"",IF('Input '!$E$1="EN","CGL","RC"))</f>
        <v>CGL</v>
      </c>
      <c r="O181" s="1851"/>
      <c r="P181" s="1851"/>
    </row>
    <row r="182" spans="1:27" ht="17.25" customHeight="1">
      <c r="A182" s="183"/>
      <c r="C182" s="485"/>
      <c r="D182" s="485"/>
      <c r="E182" s="382" t="b">
        <v>1</v>
      </c>
      <c r="F182" s="1847" t="str">
        <f>IF(E182=FALSE,"",IF('Input '!$E$1="FR",'Mandatory endorsements'!D3,'Mandatory endorsements'!E3))</f>
        <v>LMA5468 Cyber and Data Total Exclusion Endorsement</v>
      </c>
      <c r="G182" s="378"/>
      <c r="H182" s="378"/>
      <c r="I182" s="378"/>
      <c r="J182" s="378"/>
      <c r="K182" s="378"/>
      <c r="L182" s="378"/>
      <c r="M182" s="378"/>
      <c r="N182" s="2816" t="str">
        <f>IF(E182=FALSE,"",IF('Input '!$E$1="EN","CGL","RC"))</f>
        <v>CGL</v>
      </c>
      <c r="O182" s="1851"/>
      <c r="P182" s="1851"/>
    </row>
    <row r="183" spans="1:27" ht="17.25" customHeight="1">
      <c r="A183" s="182" t="str">
        <f>IF(F183="","x","")</f>
        <v/>
      </c>
      <c r="C183" s="460"/>
      <c r="D183" s="460"/>
      <c r="E183" s="382" t="b">
        <v>1</v>
      </c>
      <c r="F183" s="1847" t="str">
        <f>IF(E183=FALSE,"",IF(OR('Input '!$G$37=1731,'Input '!G37=1736),IF('Input '!$E$1="EN",'Mandatory endorsements'!$E$5,'Mandatory endorsements'!$D$5),IF('Input '!$E$1="EN",'Mandatory endorsements'!$E$4,'Mandatory endorsements'!$D$4)))</f>
        <v>CM16Q Specified Operation Exclusion:Plumbing, electricity, roofing work done by the insured himself</v>
      </c>
      <c r="G183" s="1847"/>
      <c r="H183" s="1847"/>
      <c r="I183" s="1847"/>
      <c r="J183" s="1847"/>
      <c r="K183" s="1847"/>
      <c r="L183" s="1847"/>
      <c r="M183" s="1847"/>
      <c r="N183" s="2816" t="str">
        <f>IF(E183=FALSE,"",IF('Input '!$E$1="EN","CGL","RC"))</f>
        <v>CGL</v>
      </c>
      <c r="O183" s="1897"/>
      <c r="P183" s="1862"/>
    </row>
    <row r="184" spans="1:27" ht="17.25" customHeight="1">
      <c r="A184" s="182" t="str">
        <f>IF(F184="","x","")</f>
        <v>x</v>
      </c>
      <c r="C184" s="460"/>
      <c r="D184" s="460"/>
      <c r="E184" s="382" t="b">
        <v>1</v>
      </c>
      <c r="F184" s="1847" t="str">
        <f>IF(E184=FALSE,"",IF('Mandatory endorsements'!$C$7="N","",IF('Input '!$E$1="EN",'Mandatory endorsements'!$E$7,'Mandatory endorsements'!$D$7)))</f>
        <v/>
      </c>
      <c r="G184" s="1846"/>
      <c r="H184" s="1846"/>
      <c r="I184" s="1846"/>
      <c r="J184" s="1846"/>
      <c r="K184" s="1846"/>
      <c r="L184" s="1846"/>
      <c r="M184" s="1846"/>
      <c r="N184" s="2816" t="str">
        <f>IF(E184=FALSE,"",IF('Input '!$E$1="EN","CGL","RC"))</f>
        <v>CGL</v>
      </c>
      <c r="O184" s="1862"/>
      <c r="P184" s="1862"/>
      <c r="Z184" s="1555"/>
      <c r="AA184" s="1495"/>
    </row>
    <row r="185" spans="1:27" ht="17.25" customHeight="1">
      <c r="A185" s="182" t="str">
        <f>IF('Mandatory endorsements'!C8="Y","","x")</f>
        <v/>
      </c>
      <c r="C185" s="460"/>
      <c r="D185" s="460"/>
      <c r="E185" s="382" t="b">
        <v>1</v>
      </c>
      <c r="F185" s="1899" t="str">
        <f>IF(E185=FALSE,"",IF('Mandatory endorsements'!$C8="Y",IF('Input '!$E$1="FR",'Mandatory endorsements'!$D8,'Mandatory endorsements'!E8),""))</f>
        <v>CW180 -SubContractors Warranty- min $1,000,000</v>
      </c>
      <c r="G185" s="1899"/>
      <c r="H185" s="1899"/>
      <c r="I185" s="1899"/>
      <c r="J185" s="1899"/>
      <c r="K185" s="1899"/>
      <c r="L185" s="1899"/>
      <c r="M185" s="1899"/>
      <c r="N185" s="2816" t="str">
        <f>IF(E185=FALSE,"",IF('Input '!$E$1="EN","CGL","RC"))</f>
        <v>CGL</v>
      </c>
      <c r="O185" s="1851"/>
      <c r="P185" s="1851"/>
      <c r="Z185" s="1"/>
      <c r="AA185" s="1"/>
    </row>
    <row r="186" spans="1:27" ht="20.25" customHeight="1">
      <c r="A186" s="182" t="str">
        <f>IF('Mandatory endorsements'!C10="Y","","x")</f>
        <v>x</v>
      </c>
      <c r="C186" s="460"/>
      <c r="D186" s="460"/>
      <c r="E186" s="382" t="b">
        <v>1</v>
      </c>
      <c r="F186" s="1899" t="str">
        <f>IF(E186=FALSE,"",IF('Mandatory endorsements'!$C10="Y",IF('Input '!$E$1="FR",'Mandatory endorsements'!$D10,'Mandatory endorsements'!E10),""))</f>
        <v/>
      </c>
      <c r="G186" s="1899"/>
      <c r="H186" s="1899"/>
      <c r="I186" s="1899"/>
      <c r="J186" s="1899"/>
      <c r="K186" s="1899"/>
      <c r="L186" s="1899"/>
      <c r="M186" s="1899"/>
      <c r="N186" s="2816" t="str">
        <f>IF('Input '!$E$1="EN","CGL","RC")</f>
        <v>CGL</v>
      </c>
      <c r="O186" s="1851"/>
      <c r="P186" s="1851"/>
      <c r="Z186" s="1"/>
      <c r="AA186" s="1"/>
    </row>
    <row r="187" spans="1:27" ht="17.25" customHeight="1">
      <c r="A187" s="182" t="str">
        <f>IF('Mandatory endorsements'!C9="Y","","x")</f>
        <v>x</v>
      </c>
      <c r="C187" s="460"/>
      <c r="D187" s="460"/>
      <c r="E187" s="382" t="b">
        <v>1</v>
      </c>
      <c r="F187" s="1899" t="str">
        <f>IF(E187=FALSE,"",IF('Mandatory endorsements'!$C9="Y",IF('Input '!$E$1="FR",'Mandatory endorsements'!$D9,'Mandatory endorsements'!E9),""))</f>
        <v/>
      </c>
      <c r="G187" s="1899"/>
      <c r="H187" s="1899"/>
      <c r="I187" s="1899"/>
      <c r="J187" s="1899"/>
      <c r="K187" s="1899"/>
      <c r="L187" s="1899"/>
      <c r="M187" s="1899"/>
      <c r="N187" s="2816" t="str">
        <f>IF('Input '!$E$1="EN","CGL","RC")</f>
        <v>CGL</v>
      </c>
      <c r="O187" s="1851"/>
      <c r="P187" s="1851"/>
      <c r="Z187" s="1"/>
      <c r="AA187" s="1"/>
    </row>
    <row r="188" spans="1:27" ht="17.25" customHeight="1">
      <c r="A188" s="182" t="str">
        <f>IF('Mandatory endorsements'!C11="Y","","x")</f>
        <v/>
      </c>
      <c r="C188" s="460"/>
      <c r="D188" s="460"/>
      <c r="E188" s="382" t="b">
        <v>1</v>
      </c>
      <c r="F188" s="1899" t="str">
        <f>IF(E188=FALSE,"",IF('Mandatory endorsements'!$C11="Y",IF('Input '!$E$1="FR",'Mandatory endorsements'!$D11,'Mandatory endorsements'!E11),""))</f>
        <v>CW217 LMA5391 Coronavirus Exclusion</v>
      </c>
      <c r="G188" s="1899"/>
      <c r="H188" s="1899"/>
      <c r="I188" s="1899"/>
      <c r="J188" s="1899"/>
      <c r="K188" s="1899"/>
      <c r="L188" s="1899"/>
      <c r="M188" s="1899"/>
      <c r="N188" s="2816" t="str">
        <f>IF(E188=FALSE,"",IF('Input '!$E$1="EN","CGL","RC"))</f>
        <v>CGL</v>
      </c>
      <c r="O188" s="1851"/>
      <c r="P188" s="1851"/>
      <c r="Z188" s="1"/>
      <c r="AA188" s="1"/>
    </row>
    <row r="189" spans="1:27" ht="17.25" customHeight="1">
      <c r="A189" s="182" t="str">
        <f>IF('Mandatory endorsements'!C12="Y","","x")</f>
        <v/>
      </c>
      <c r="C189" s="460"/>
      <c r="D189" s="460"/>
      <c r="E189" s="382" t="b">
        <v>1</v>
      </c>
      <c r="F189" s="1899" t="str">
        <f>IF(E189=FALSE,"",IF('Mandatory endorsements'!$C12="Y",IF('Input '!$E$1="FR",'Mandatory endorsements'!$D12,'Mandatory endorsements'!E12),""))</f>
        <v>CW218 LMA5393 Coronavirus Exclusion</v>
      </c>
      <c r="G189" s="1899"/>
      <c r="H189" s="1899"/>
      <c r="I189" s="1899"/>
      <c r="J189" s="1899"/>
      <c r="K189" s="1899"/>
      <c r="L189" s="1899"/>
      <c r="M189" s="1899"/>
      <c r="N189" s="2816" t="str">
        <f>IF('Input '!$E$1="EN","CGL","RC")</f>
        <v>CGL</v>
      </c>
      <c r="O189" s="1851"/>
      <c r="P189" s="1851"/>
      <c r="Z189" s="1"/>
      <c r="AA189" s="1"/>
    </row>
    <row r="190" spans="1:27" ht="17.25" customHeight="1">
      <c r="A190" s="182" t="str">
        <f>IF('Mandatory endorsements'!C13="Y","","x")</f>
        <v>x</v>
      </c>
      <c r="C190" s="460"/>
      <c r="D190" s="460"/>
      <c r="E190" s="382" t="b">
        <v>1</v>
      </c>
      <c r="F190" s="1899" t="str">
        <f>IF(E190=FALSE,"",IF('Mandatory endorsements'!$C13="Y",IF('Input '!$E$1="FR",'Mandatory endorsements'!$D13,'Mandatory endorsements'!E13),""))</f>
        <v/>
      </c>
      <c r="G190" s="1899"/>
      <c r="H190" s="1899"/>
      <c r="I190" s="1899"/>
      <c r="J190" s="1899"/>
      <c r="K190" s="1899"/>
      <c r="L190" s="1899"/>
      <c r="M190" s="1899"/>
      <c r="N190" s="2816" t="str">
        <f>IF('Input '!$E$1="EN","CGL","RC")</f>
        <v>CGL</v>
      </c>
      <c r="O190" s="1851"/>
      <c r="P190" s="1851"/>
      <c r="Z190" s="1"/>
      <c r="AA190" s="1"/>
    </row>
    <row r="191" spans="1:27" ht="17.25" customHeight="1">
      <c r="A191" s="182" t="str">
        <f>IF('Mandatory endorsements'!C14="Y","","x")</f>
        <v/>
      </c>
      <c r="C191" s="460"/>
      <c r="D191" s="460"/>
      <c r="E191" s="382" t="b">
        <v>1</v>
      </c>
      <c r="F191" s="1899" t="str">
        <f>IF(E191=FALSE,"",IF('Mandatory endorsements'!$C14="Y",IF('Input '!$E$1="FR",'Mandatory endorsements'!$D14,'Mandatory endorsements'!E14),""))</f>
        <v xml:space="preserve">LX6  Blasting, Pile Driving,Weakness of Support Exclusion </v>
      </c>
      <c r="G191" s="1899"/>
      <c r="H191" s="1899"/>
      <c r="I191" s="1899"/>
      <c r="J191" s="1899"/>
      <c r="K191" s="1899"/>
      <c r="L191" s="1899"/>
      <c r="M191" s="1899"/>
      <c r="N191" s="2816" t="str">
        <f>IF('Input '!$E$1="EN","CGL","RC")</f>
        <v>CGL</v>
      </c>
      <c r="O191" s="1851"/>
      <c r="P191" s="1851"/>
      <c r="Z191" s="1"/>
      <c r="AA191" s="1"/>
    </row>
    <row r="192" spans="1:27" ht="17.25" customHeight="1">
      <c r="A192" s="182" t="e">
        <f>IF('Mandatory endorsements'!C15="Y","","x")</f>
        <v>#N/A</v>
      </c>
      <c r="C192" s="460"/>
      <c r="D192" s="460"/>
      <c r="E192" s="382" t="b">
        <v>1</v>
      </c>
      <c r="F192" s="1899" t="e">
        <f>IF(E192=FALSE,"",IF('Mandatory endorsements'!$C15="Y",IF('Input '!$E$1="FR",'Mandatory endorsements'!$D15,'Mandatory endorsements'!E15),""))</f>
        <v>#N/A</v>
      </c>
      <c r="G192" s="1899"/>
      <c r="H192" s="1899"/>
      <c r="I192" s="1899"/>
      <c r="J192" s="1899"/>
      <c r="K192" s="1899"/>
      <c r="L192" s="1899"/>
      <c r="M192" s="1899"/>
      <c r="N192" s="2816" t="str">
        <f>IF(E192=FALSE,"",IF('Input '!$E$1="EN","CGL","RC"))</f>
        <v>CGL</v>
      </c>
      <c r="O192" s="1851"/>
      <c r="P192" s="1851"/>
      <c r="Z192" s="1"/>
      <c r="AA192" s="1"/>
    </row>
    <row r="193" spans="1:27" ht="17.25" customHeight="1">
      <c r="A193" s="182" t="str">
        <f>IF('Mandatory endorsements'!C16="Y","","x")</f>
        <v/>
      </c>
      <c r="C193" s="460"/>
      <c r="D193" s="460"/>
      <c r="E193" s="382" t="b">
        <v>1</v>
      </c>
      <c r="F193" s="1899" t="str">
        <f>IF(E193=FALSE,"",IF('Mandatory endorsements'!$C16="Y",IF('Input '!$E$1="FR",'Mandatory endorsements'!$D16,'Mandatory endorsements'!E16),""))</f>
        <v>LX35 USA Sales and Operations Exclusion</v>
      </c>
      <c r="G193" s="1899"/>
      <c r="H193" s="1899"/>
      <c r="I193" s="1899"/>
      <c r="J193" s="1899"/>
      <c r="K193" s="1899"/>
      <c r="L193" s="1899"/>
      <c r="M193" s="1899"/>
      <c r="N193" s="2816" t="str">
        <f>IF(E193=FALSE,"",IF('Input '!$E$1="EN","CGL","RC"))</f>
        <v>CGL</v>
      </c>
      <c r="O193" s="1851"/>
      <c r="P193" s="1851"/>
      <c r="Z193" s="1"/>
      <c r="AA193" s="1"/>
    </row>
    <row r="194" spans="1:27" ht="17.25" customHeight="1">
      <c r="A194" s="182" t="str">
        <f>IF(F194="","x","")</f>
        <v>x</v>
      </c>
      <c r="B194" s="2668">
        <v>1</v>
      </c>
      <c r="C194" s="486"/>
      <c r="D194" s="486"/>
      <c r="E194" s="382" t="b">
        <v>1</v>
      </c>
      <c r="F194" s="1899" t="str">
        <f>IFERROR(IF('Input '!$E$1="FR",VLOOKUP(B194,'CGL coverage'!$G$98:$H$158,2,FALSE),VLOOKUP(B194,'CGL coverage'!$G$161:$H$222,2,FALSE)),"")</f>
        <v/>
      </c>
      <c r="G194" s="1899"/>
      <c r="H194" s="1899"/>
      <c r="I194" s="1899"/>
      <c r="J194" s="1899"/>
      <c r="K194" s="1899"/>
      <c r="L194" s="1899"/>
      <c r="M194" s="1899"/>
      <c r="N194" s="2816" t="str">
        <f>IF('Input '!$E$1="EN","CGL","RC")</f>
        <v>CGL</v>
      </c>
      <c r="O194" s="1851"/>
      <c r="P194" s="1851"/>
    </row>
    <row r="195" spans="1:27" ht="17.25" customHeight="1">
      <c r="A195" s="182" t="str">
        <f>IF(F195="","x","")</f>
        <v>x</v>
      </c>
      <c r="B195" s="2668">
        <v>2</v>
      </c>
      <c r="C195" s="486"/>
      <c r="D195" s="486"/>
      <c r="E195" s="382" t="b">
        <v>1</v>
      </c>
      <c r="F195" s="1899" t="str">
        <f>IFERROR(IF('Input '!$E$1="FR",VLOOKUP(B195,'CGL coverage'!$G$98:$H$158,2,FALSE),VLOOKUP(B195,'CGL coverage'!$G$161:$H$222,2,FALSE)),"")</f>
        <v/>
      </c>
      <c r="G195" s="1899"/>
      <c r="H195" s="1899"/>
      <c r="I195" s="1899"/>
      <c r="J195" s="1899"/>
      <c r="K195" s="1899"/>
      <c r="L195" s="1899"/>
      <c r="M195" s="1899"/>
      <c r="N195" s="2816" t="str">
        <f>IF('Input '!$E$1="EN","CGL","RC")</f>
        <v>CGL</v>
      </c>
      <c r="O195" s="1851"/>
      <c r="P195" s="1851"/>
    </row>
    <row r="196" spans="1:27" ht="17.25" customHeight="1">
      <c r="A196" s="182" t="str">
        <f>IF(F196="","x","")</f>
        <v>x</v>
      </c>
      <c r="B196" s="2668">
        <v>3</v>
      </c>
      <c r="C196" s="486"/>
      <c r="D196" s="486"/>
      <c r="E196" s="382" t="b">
        <v>1</v>
      </c>
      <c r="F196" s="1899" t="str">
        <f>IFERROR(IF('Input '!$E$1="FR",VLOOKUP(B196,'CGL coverage'!$G$98:$H$158,2,FALSE),VLOOKUP(B196,'CGL coverage'!$G$161:$H$222,2,FALSE)),"")</f>
        <v/>
      </c>
      <c r="G196" s="1899"/>
      <c r="H196" s="1899"/>
      <c r="I196" s="1899"/>
      <c r="J196" s="1899"/>
      <c r="K196" s="1899"/>
      <c r="L196" s="1899"/>
      <c r="M196" s="1899"/>
      <c r="N196" s="2816" t="str">
        <f>IF('Input '!$E$1="EN","CGL","RC")</f>
        <v>CGL</v>
      </c>
      <c r="O196" s="1851"/>
      <c r="P196" s="1851"/>
    </row>
    <row r="197" spans="1:27" ht="17.25" customHeight="1">
      <c r="A197" s="182" t="str">
        <f t="shared" ref="A197:A203" si="0">IF(F197="","x","")</f>
        <v>x</v>
      </c>
      <c r="B197" s="2668">
        <v>4</v>
      </c>
      <c r="C197" s="486"/>
      <c r="D197" s="486"/>
      <c r="E197" s="382" t="b">
        <v>1</v>
      </c>
      <c r="F197" s="1899" t="str">
        <f>IFERROR(IF('Input '!$E$1="FR",VLOOKUP(B197,'CGL coverage'!$G$98:$H$158,2,FALSE),VLOOKUP(B197,'CGL coverage'!$G$161:$H$222,2,FALSE)),"")</f>
        <v/>
      </c>
      <c r="G197" s="1899" t="str">
        <f>IF(F197=FALSE,"",IFERROR(VLOOKUP(B197,'Mandatory endorsements'!C:D,2,FALSE),""))</f>
        <v/>
      </c>
      <c r="H197" s="1899"/>
      <c r="I197" s="1899"/>
      <c r="J197" s="1899"/>
      <c r="K197" s="1899"/>
      <c r="L197" s="1899"/>
      <c r="M197" s="1899"/>
      <c r="N197" s="2816" t="str">
        <f>IF('Input '!$E$1="EN","CGL","RC")</f>
        <v>CGL</v>
      </c>
      <c r="O197" s="1851"/>
      <c r="P197" s="1851"/>
    </row>
    <row r="198" spans="1:27" ht="17.25" customHeight="1">
      <c r="A198" s="182" t="str">
        <f t="shared" si="0"/>
        <v>x</v>
      </c>
      <c r="B198" s="2668">
        <v>5</v>
      </c>
      <c r="C198" s="486"/>
      <c r="D198" s="486"/>
      <c r="E198" s="382" t="b">
        <v>1</v>
      </c>
      <c r="F198" s="1899" t="str">
        <f>IFERROR(IF('Input '!$E$1="FR",VLOOKUP(B198,'CGL coverage'!$G$98:$H$158,2,FALSE),VLOOKUP(B198,'CGL coverage'!$G$161:$H$222,2,FALSE)),"")</f>
        <v/>
      </c>
      <c r="G198" s="1899" t="str">
        <f>IF(F198=FALSE,"",IFERROR(VLOOKUP(B198,'Mandatory endorsements'!C:D,2,FALSE),""))</f>
        <v/>
      </c>
      <c r="H198" s="1899"/>
      <c r="I198" s="1899"/>
      <c r="J198" s="1899"/>
      <c r="K198" s="1899"/>
      <c r="L198" s="1899"/>
      <c r="M198" s="1899"/>
      <c r="N198" s="2816" t="str">
        <f>IF('Input '!$E$1="EN","CGL","RC")</f>
        <v>CGL</v>
      </c>
      <c r="O198" s="1851"/>
      <c r="P198" s="1851"/>
    </row>
    <row r="199" spans="1:27" ht="17.25" customHeight="1">
      <c r="A199" s="182" t="str">
        <f t="shared" si="0"/>
        <v>x</v>
      </c>
      <c r="B199" s="2668">
        <v>6</v>
      </c>
      <c r="C199" s="486"/>
      <c r="D199" s="486"/>
      <c r="E199" s="382" t="b">
        <v>1</v>
      </c>
      <c r="F199" s="1899" t="str">
        <f>IFERROR(IF('Input '!$E$1="FR",VLOOKUP(B199,'CGL coverage'!$G$98:$H$158,2,FALSE),VLOOKUP(B199,'CGL coverage'!$G$161:$H$222,2,FALSE)),"")</f>
        <v/>
      </c>
      <c r="G199" s="1899" t="str">
        <f>IF(F199=FALSE,"",IFERROR(VLOOKUP(B199,'Mandatory endorsements'!C:D,2,FALSE),""))</f>
        <v/>
      </c>
      <c r="H199" s="1899"/>
      <c r="I199" s="1899"/>
      <c r="J199" s="1899"/>
      <c r="K199" s="1899"/>
      <c r="L199" s="1899"/>
      <c r="M199" s="1899"/>
      <c r="N199" s="2816" t="str">
        <f>IF('Input '!$E$1="EN","CGL","RC")</f>
        <v>CGL</v>
      </c>
      <c r="O199" s="1851"/>
      <c r="P199" s="1851"/>
    </row>
    <row r="200" spans="1:27" ht="17.25" customHeight="1">
      <c r="A200" s="182" t="str">
        <f t="shared" si="0"/>
        <v>x</v>
      </c>
      <c r="B200" s="2668">
        <v>7</v>
      </c>
      <c r="C200" s="486"/>
      <c r="D200" s="486"/>
      <c r="E200" s="382" t="b">
        <v>1</v>
      </c>
      <c r="F200" s="1899" t="str">
        <f>IFERROR(IF('Input '!$E$1="FR",VLOOKUP(B200,'CGL coverage'!$G$98:$H$158,2,FALSE),VLOOKUP(B200,'CGL coverage'!$G$161:$H$222,2,FALSE)),"")</f>
        <v/>
      </c>
      <c r="G200" s="1899" t="str">
        <f>IF(F200=FALSE,"",IFERROR(VLOOKUP(B200,'Mandatory endorsements'!C:D,2,FALSE),""))</f>
        <v/>
      </c>
      <c r="H200" s="1899"/>
      <c r="I200" s="1899"/>
      <c r="J200" s="1899"/>
      <c r="K200" s="1899"/>
      <c r="L200" s="1899"/>
      <c r="M200" s="1899"/>
      <c r="N200" s="2816" t="str">
        <f>IF('Input '!$E$1="EN","CGL","RC")</f>
        <v>CGL</v>
      </c>
      <c r="O200" s="1851"/>
      <c r="P200" s="1851"/>
    </row>
    <row r="201" spans="1:27" ht="17.25" customHeight="1">
      <c r="A201" s="182" t="str">
        <f t="shared" si="0"/>
        <v>x</v>
      </c>
      <c r="B201" s="2668">
        <v>8</v>
      </c>
      <c r="C201" s="486"/>
      <c r="D201" s="486"/>
      <c r="E201" s="382" t="b">
        <v>1</v>
      </c>
      <c r="F201" s="1899" t="str">
        <f>IFERROR(IF('Input '!$E$1="FR",VLOOKUP(B201,'CGL coverage'!$G$98:$H$158,2,FALSE),VLOOKUP(B201,'CGL coverage'!$G$161:$H$222,2,FALSE)),"")</f>
        <v/>
      </c>
      <c r="G201" s="1899" t="str">
        <f>IF(F201=FALSE,"",IFERROR(VLOOKUP(B201,'Mandatory endorsements'!C:D,2,FALSE),""))</f>
        <v/>
      </c>
      <c r="H201" s="1899"/>
      <c r="I201" s="1899"/>
      <c r="J201" s="1899"/>
      <c r="K201" s="1899"/>
      <c r="L201" s="1899"/>
      <c r="M201" s="1899"/>
      <c r="N201" s="2816" t="str">
        <f>IF('Input '!$E$1="EN","CGL","RC")</f>
        <v>CGL</v>
      </c>
      <c r="O201" s="1851"/>
      <c r="P201" s="1851"/>
    </row>
    <row r="202" spans="1:27" ht="17.25" customHeight="1">
      <c r="A202" s="182" t="str">
        <f t="shared" si="0"/>
        <v>x</v>
      </c>
      <c r="B202" s="2668">
        <v>9</v>
      </c>
      <c r="C202" s="486"/>
      <c r="D202" s="486"/>
      <c r="E202" s="382" t="b">
        <v>1</v>
      </c>
      <c r="F202" s="1899" t="str">
        <f>IFERROR(IF('Input '!$E$1="FR",VLOOKUP(B202,'CGL coverage'!$G$98:$H$158,2,FALSE),VLOOKUP(B202,'CGL coverage'!$G$161:$H$222,2,FALSE)),"")</f>
        <v/>
      </c>
      <c r="G202" s="1899" t="str">
        <f>IF(F202=FALSE,"",IFERROR(VLOOKUP(B202,'Mandatory endorsements'!C:D,2,FALSE),""))</f>
        <v/>
      </c>
      <c r="H202" s="1899"/>
      <c r="I202" s="1899"/>
      <c r="J202" s="1899"/>
      <c r="K202" s="1899"/>
      <c r="L202" s="1899"/>
      <c r="M202" s="1899"/>
      <c r="N202" s="2816" t="str">
        <f>IF('Input '!$E$1="EN","CGL","RC")</f>
        <v>CGL</v>
      </c>
      <c r="O202" s="1851"/>
      <c r="P202" s="1851"/>
    </row>
    <row r="203" spans="1:27" ht="18">
      <c r="A203" s="182" t="str">
        <f t="shared" si="0"/>
        <v>x</v>
      </c>
      <c r="B203" s="2668">
        <v>10</v>
      </c>
      <c r="E203" s="382" t="b">
        <v>1</v>
      </c>
      <c r="F203" s="1899" t="str">
        <f>IFERROR(IF('Input '!$E$1="FR",VLOOKUP(B203,'CGL coverage'!$G$98:$H$158,2,FALSE),VLOOKUP(B203,'CGL coverage'!$G$161:$H$222,2,FALSE)),"")</f>
        <v/>
      </c>
      <c r="G203" s="1866"/>
      <c r="H203" s="1866"/>
      <c r="I203" s="1866"/>
      <c r="J203" s="1866"/>
      <c r="K203" s="1866"/>
      <c r="L203" s="1866"/>
      <c r="M203" s="1866"/>
      <c r="N203" s="2816" t="str">
        <f>IF('Input '!$E$1="EN","CGL","RC")</f>
        <v>CGL</v>
      </c>
      <c r="O203" s="1896"/>
      <c r="P203" s="50"/>
      <c r="U203" s="476"/>
      <c r="V203" s="476"/>
      <c r="W203" s="476"/>
    </row>
    <row r="204" spans="1:27" ht="17.25" customHeight="1">
      <c r="A204" s="182" t="str">
        <f>IF(OR(F204="",F204=0),"x","")</f>
        <v>x</v>
      </c>
      <c r="B204" s="2668"/>
      <c r="C204" s="486"/>
      <c r="D204" s="486"/>
      <c r="E204" s="382"/>
      <c r="F204" s="2900">
        <f>IFERROR(IF('Input '!$E$1="FR",'Mandatory endorsements'!I10,'Mandatory endorsements'!H10),)</f>
        <v>0</v>
      </c>
      <c r="G204" s="1899"/>
      <c r="H204" s="1899"/>
      <c r="I204" s="1899"/>
      <c r="J204" s="1899"/>
      <c r="K204" s="1899"/>
      <c r="L204" s="1899"/>
      <c r="M204" s="1899"/>
      <c r="N204" s="2816" t="str">
        <f>IF('Input '!$E$1="EN","CGL","RC")</f>
        <v>CGL</v>
      </c>
      <c r="O204" s="1851"/>
      <c r="P204" s="1851"/>
    </row>
    <row r="205" spans="1:27" ht="17.25" customHeight="1">
      <c r="A205" s="182" t="str">
        <f>IF(OR(F205="",F205=0),"x","")</f>
        <v>x</v>
      </c>
      <c r="B205" s="2668"/>
      <c r="C205" s="486"/>
      <c r="D205" s="486"/>
      <c r="E205" s="382"/>
      <c r="F205" s="2900">
        <f>IFERROR(IF('Input '!$E$1="FR",'Mandatory endorsements'!I11,'Mandatory endorsements'!H11),)</f>
        <v>0</v>
      </c>
      <c r="G205" s="1899"/>
      <c r="H205" s="1899"/>
      <c r="I205" s="1899"/>
      <c r="J205" s="1899"/>
      <c r="K205" s="1899"/>
      <c r="L205" s="1899"/>
      <c r="M205" s="1899"/>
      <c r="N205" s="2816" t="str">
        <f>IF('Input '!$E$1="EN","CGL","RC")</f>
        <v>CGL</v>
      </c>
      <c r="O205" s="1851"/>
      <c r="P205" s="1851"/>
    </row>
    <row r="206" spans="1:27" ht="17.25" customHeight="1">
      <c r="A206" s="182" t="str">
        <f>IF(OR(F206="",F206=0),"x","")</f>
        <v>x</v>
      </c>
      <c r="B206" s="2668"/>
      <c r="C206" s="486"/>
      <c r="D206" s="486"/>
      <c r="E206" s="382"/>
      <c r="F206" s="2900">
        <f>IFERROR(IF('Input '!$E$1="FR",'Mandatory endorsements'!I12,'Mandatory endorsements'!H12),)</f>
        <v>0</v>
      </c>
      <c r="G206" s="1899"/>
      <c r="H206" s="1899"/>
      <c r="I206" s="1899"/>
      <c r="J206" s="1899"/>
      <c r="K206" s="1899"/>
      <c r="L206" s="1899"/>
      <c r="M206" s="1899"/>
      <c r="N206" s="2816" t="str">
        <f>IF('Input '!$E$1="EN","CGL","RC")</f>
        <v>CGL</v>
      </c>
      <c r="O206" s="1851"/>
      <c r="P206" s="1851"/>
    </row>
    <row r="207" spans="1:27" ht="17.25" customHeight="1">
      <c r="A207" s="182" t="str">
        <f>IF(OR(F207="",F207=0),"x","")</f>
        <v>x</v>
      </c>
      <c r="B207" s="2668"/>
      <c r="C207" s="486"/>
      <c r="D207" s="486"/>
      <c r="E207" s="382"/>
      <c r="F207" s="2900">
        <f>IFERROR(IF('Input '!$E$1="FR",'Mandatory endorsements'!I13,'Mandatory endorsements'!H13),)</f>
        <v>0</v>
      </c>
      <c r="G207" s="1899"/>
      <c r="H207" s="1899"/>
      <c r="I207" s="1899"/>
      <c r="J207" s="1899"/>
      <c r="K207" s="1899"/>
      <c r="L207" s="1899"/>
      <c r="M207" s="1899"/>
      <c r="N207" s="2816" t="str">
        <f>IF('Input '!$E$1="EN","CGL","RC")</f>
        <v>CGL</v>
      </c>
      <c r="O207" s="1851"/>
      <c r="P207" s="1851"/>
    </row>
    <row r="208" spans="1:27" ht="17.25" customHeight="1">
      <c r="A208" s="182" t="str">
        <f>IF(Property!E15="Y","","x")</f>
        <v>x</v>
      </c>
      <c r="C208" s="460"/>
      <c r="D208" s="460"/>
      <c r="E208" s="382" t="b">
        <v>1</v>
      </c>
      <c r="F208" s="1899" t="str">
        <f>Property!G15</f>
        <v xml:space="preserve">PW1 – Locked Vehicle Warranty </v>
      </c>
      <c r="G208" s="1899"/>
      <c r="H208" s="1899"/>
      <c r="I208" s="1899"/>
      <c r="J208" s="1899"/>
      <c r="K208" s="1899"/>
      <c r="L208" s="1899"/>
      <c r="M208" s="1899"/>
      <c r="N208" s="2816" t="str">
        <f>IF(F208="","",IF('Input '!$E$1="EN","Property","Biens"))</f>
        <v>Property</v>
      </c>
      <c r="O208" s="1851"/>
      <c r="P208" s="1851"/>
      <c r="Z208" s="1"/>
      <c r="AA208" s="1"/>
    </row>
    <row r="209" spans="1:27" ht="17.25" customHeight="1">
      <c r="A209" s="182" t="str">
        <f>IF(Property!E16="Y","","x")</f>
        <v>x</v>
      </c>
      <c r="C209" s="460"/>
      <c r="D209" s="460"/>
      <c r="E209" s="382" t="b">
        <v>1</v>
      </c>
      <c r="F209" s="1899" t="str">
        <f>Property!G16</f>
        <v>PE24 – Replacement Cost Extension (Contractors Equipment)</v>
      </c>
      <c r="G209" s="1899"/>
      <c r="H209" s="1899"/>
      <c r="I209" s="1899"/>
      <c r="J209" s="1899"/>
      <c r="K209" s="1899"/>
      <c r="L209" s="1899"/>
      <c r="M209" s="1899"/>
      <c r="N209" s="2816" t="str">
        <f>IF(F209="","",IF('Input '!$E$1="EN","Property","Biens"))</f>
        <v>Property</v>
      </c>
      <c r="O209" s="1851"/>
      <c r="P209" s="1851"/>
      <c r="Z209" s="1"/>
      <c r="AA209" s="1"/>
    </row>
    <row r="210" spans="1:27" ht="20.25" customHeight="1">
      <c r="A210" s="182" t="str">
        <f>IF(Property!E17="Y","","x")</f>
        <v>x</v>
      </c>
      <c r="B210" s="382" t="e">
        <f>IF('Mandatory endorsements'!#REF!="N",FALSE,TRUE)</f>
        <v>#REF!</v>
      </c>
      <c r="C210" s="486"/>
      <c r="D210" s="486"/>
      <c r="E210" s="382" t="b">
        <v>1</v>
      </c>
      <c r="F210" s="1899" t="str">
        <f>Property!G17</f>
        <v>CW202 Anti-Theft Exclusion - mandatory for any item with value of  $60,000 and over</v>
      </c>
      <c r="G210" s="1899"/>
      <c r="H210" s="1899"/>
      <c r="I210" s="1899"/>
      <c r="J210" s="1899"/>
      <c r="K210" s="1899"/>
      <c r="L210" s="1899"/>
      <c r="M210" s="1899"/>
      <c r="N210" s="2816" t="str">
        <f>IF(F210="","",IF('Input '!$E$1="EN","Property","Biens"))</f>
        <v>Property</v>
      </c>
      <c r="O210" s="1851"/>
      <c r="P210" s="1851"/>
      <c r="Z210" s="1"/>
      <c r="AA210" s="1"/>
    </row>
    <row r="211" spans="1:27" ht="20.25" customHeight="1">
      <c r="A211" s="182" t="str">
        <f>IF('Mandatory endorsements'!$C20="N","x","")</f>
        <v>x</v>
      </c>
      <c r="B211" s="382"/>
      <c r="C211" s="486"/>
      <c r="D211" s="486"/>
      <c r="E211" s="382" t="b">
        <v>1</v>
      </c>
      <c r="F211" s="1899" t="str">
        <f>IF('Input '!$E$1="FR",'Mandatory endorsements'!D20,'Mandatory endorsements'!E20)</f>
        <v>Subject to: Regular maintenance of Equipment</v>
      </c>
      <c r="G211" s="1899"/>
      <c r="H211" s="1899"/>
      <c r="I211" s="1899"/>
      <c r="J211" s="1899"/>
      <c r="K211" s="1899"/>
      <c r="L211" s="1899"/>
      <c r="M211" s="1899"/>
      <c r="N211" s="2816"/>
      <c r="O211" s="1851"/>
      <c r="P211" s="1851"/>
      <c r="Z211" s="1"/>
      <c r="AA211" s="1"/>
    </row>
    <row r="212" spans="1:27" ht="20.25" customHeight="1">
      <c r="A212" s="182" t="str">
        <f>IF('Mandatory endorsements'!$C21="N","x","")</f>
        <v>x</v>
      </c>
      <c r="B212" s="382"/>
      <c r="C212" s="486"/>
      <c r="D212" s="486"/>
      <c r="E212" s="382" t="b">
        <v>1</v>
      </c>
      <c r="F212" s="1899" t="str">
        <f>IF('Input '!$E$1="FR",'Mandatory endorsements'!D21,'Mandatory endorsements'!E21)</f>
        <v>Subject to: Equipment maintenance log kept</v>
      </c>
      <c r="G212" s="1899"/>
      <c r="H212" s="1899"/>
      <c r="I212" s="1899"/>
      <c r="J212" s="1899"/>
      <c r="K212" s="1899"/>
      <c r="L212" s="1899"/>
      <c r="M212" s="1899"/>
      <c r="N212" s="2816"/>
      <c r="O212" s="1851"/>
      <c r="P212" s="1851"/>
      <c r="Z212" s="1"/>
      <c r="AA212" s="1"/>
    </row>
    <row r="213" spans="1:27" ht="20.25" customHeight="1">
      <c r="A213" s="182" t="str">
        <f>IF('Mandatory endorsements'!$C22="N","x","")</f>
        <v>x</v>
      </c>
      <c r="B213" s="382"/>
      <c r="C213" s="486"/>
      <c r="D213" s="486"/>
      <c r="E213" s="382" t="b">
        <v>1</v>
      </c>
      <c r="F213" s="1899" t="str">
        <f>IF('Input '!$E$1="FR",'Mandatory endorsements'!D22,'Mandatory endorsements'!E22)</f>
        <v>Subject to: Equipment fitted with anti-theft device</v>
      </c>
      <c r="G213" s="1899"/>
      <c r="H213" s="1899"/>
      <c r="I213" s="1899"/>
      <c r="J213" s="1899"/>
      <c r="K213" s="1899"/>
      <c r="L213" s="1899"/>
      <c r="M213" s="1899"/>
      <c r="N213" s="2816"/>
      <c r="O213" s="1851"/>
      <c r="P213" s="1851"/>
      <c r="Z213" s="1"/>
      <c r="AA213" s="1"/>
    </row>
    <row r="214" spans="1:27" ht="20.25" customHeight="1">
      <c r="A214" s="182" t="str">
        <f>IF('Mandatory endorsements'!$C23="N","x","")</f>
        <v>x</v>
      </c>
      <c r="B214" s="382"/>
      <c r="C214" s="486"/>
      <c r="D214" s="486"/>
      <c r="E214" s="382" t="b">
        <v>1</v>
      </c>
      <c r="F214" s="1899" t="str">
        <f>IF('Input '!$E$1="FR",'Mandatory endorsements'!D23,'Mandatory endorsements'!E23)</f>
        <v>Subject to: Fire protection equipment attached to the equipment</v>
      </c>
      <c r="G214" s="1899"/>
      <c r="H214" s="1899"/>
      <c r="I214" s="1899"/>
      <c r="J214" s="1899"/>
      <c r="K214" s="1899"/>
      <c r="L214" s="1899"/>
      <c r="M214" s="1899"/>
      <c r="N214" s="2816"/>
      <c r="O214" s="1851"/>
      <c r="P214" s="1851"/>
      <c r="Z214" s="1"/>
      <c r="AA214" s="1"/>
    </row>
    <row r="215" spans="1:27" ht="21.75" customHeight="1">
      <c r="A215" s="182" t="str">
        <f>IF(Property!E18="Y","","x")</f>
        <v>x</v>
      </c>
      <c r="B215" s="382" t="e">
        <f>IF(Property!#REF!&gt;0,TRUE,FALSE)</f>
        <v>#REF!</v>
      </c>
      <c r="C215" s="486"/>
      <c r="D215" s="486"/>
      <c r="E215" s="382" t="b">
        <v>1</v>
      </c>
      <c r="F215" s="1899" t="str">
        <f>Property!G18</f>
        <v xml:space="preserve">CW182 – Rental Equipment Reimbursement </v>
      </c>
      <c r="G215" s="1899"/>
      <c r="H215" s="1899"/>
      <c r="I215" s="1899"/>
      <c r="J215" s="1899"/>
      <c r="K215" s="1899"/>
      <c r="L215" s="1899"/>
      <c r="M215" s="1899"/>
      <c r="N215" s="2816" t="str">
        <f>IF(F215="","",IF('Input '!$E$1="EN","Property","Biens"))</f>
        <v>Property</v>
      </c>
      <c r="O215" s="1851"/>
      <c r="P215" s="1851"/>
      <c r="Z215" s="1"/>
      <c r="AA215" s="1"/>
    </row>
    <row r="216" spans="1:27" ht="21.75" customHeight="1">
      <c r="A216" s="182" t="str">
        <f>IF(F216="","x","")</f>
        <v>x</v>
      </c>
      <c r="B216" s="2668">
        <v>1</v>
      </c>
      <c r="C216" s="486"/>
      <c r="D216" s="486"/>
      <c r="E216" s="382" t="b">
        <v>1</v>
      </c>
      <c r="F216" s="1899" t="str">
        <f>IFERROR(IF('Input '!$E$1="EN",VLOOKUP(B216,Property!$F$144:$G$172,2,FALSE),VLOOKUP(B216,Property!$F$120:$G$138,2,FALSE)),"")</f>
        <v/>
      </c>
      <c r="G216" s="1899"/>
      <c r="H216" s="1899"/>
      <c r="I216" s="1899"/>
      <c r="J216" s="1899"/>
      <c r="K216" s="1899"/>
      <c r="L216" s="1899"/>
      <c r="M216" s="1899"/>
      <c r="N216" s="2816" t="str">
        <f>IF(F216="","",IF('Input '!$E$1="EN","Property","Biens"))</f>
        <v/>
      </c>
      <c r="O216" s="1851"/>
      <c r="P216" s="1851"/>
      <c r="Z216" s="1"/>
      <c r="AA216" s="1"/>
    </row>
    <row r="217" spans="1:27" ht="21.75" customHeight="1">
      <c r="A217" s="182" t="str">
        <f t="shared" ref="A217:A219" si="1">IF(F217="","x","")</f>
        <v>x</v>
      </c>
      <c r="B217" s="2668">
        <v>2</v>
      </c>
      <c r="C217" s="486"/>
      <c r="D217" s="486"/>
      <c r="E217" s="382" t="b">
        <v>1</v>
      </c>
      <c r="F217" s="1899" t="str">
        <f>IFERROR(IF('Input '!$E$1="EN",VLOOKUP(B217,Property!$F$144:$G$172,2,FALSE),VLOOKUP(B217,Property!$F$120:$G$138,2,FALSE)),"")</f>
        <v/>
      </c>
      <c r="G217" s="1899"/>
      <c r="H217" s="1899"/>
      <c r="I217" s="1899"/>
      <c r="J217" s="1899"/>
      <c r="K217" s="1899"/>
      <c r="L217" s="1899"/>
      <c r="M217" s="1899"/>
      <c r="N217" s="2816" t="str">
        <f>IF(F217="","",IF('Input '!$E$1="EN","Property","Biens"))</f>
        <v/>
      </c>
      <c r="O217" s="1851"/>
      <c r="P217" s="1851"/>
      <c r="Z217" s="1"/>
      <c r="AA217" s="1"/>
    </row>
    <row r="218" spans="1:27" ht="21.75" customHeight="1">
      <c r="A218" s="182" t="str">
        <f t="shared" si="1"/>
        <v>x</v>
      </c>
      <c r="B218" s="2668">
        <v>3</v>
      </c>
      <c r="C218" s="486"/>
      <c r="D218" s="486"/>
      <c r="E218" s="382" t="b">
        <v>1</v>
      </c>
      <c r="F218" s="1899" t="str">
        <f>IFERROR(IF('Input '!$E$1="EN",VLOOKUP(B218,Property!$F$144:$G$172,2,FALSE),VLOOKUP(B218,Property!$F$120:$G$138,2,FALSE)),"")</f>
        <v/>
      </c>
      <c r="G218" s="1899"/>
      <c r="H218" s="1899"/>
      <c r="I218" s="1899"/>
      <c r="J218" s="1899"/>
      <c r="K218" s="1899"/>
      <c r="L218" s="1899"/>
      <c r="M218" s="1899"/>
      <c r="N218" s="2816" t="str">
        <f>IF(F218="","",IF('Input '!$E$1="EN","Property","Biens"))</f>
        <v/>
      </c>
      <c r="O218" s="1851"/>
      <c r="P218" s="1851"/>
      <c r="Z218" s="1"/>
      <c r="AA218" s="1"/>
    </row>
    <row r="219" spans="1:27" ht="21.75" customHeight="1">
      <c r="A219" s="182" t="str">
        <f t="shared" si="1"/>
        <v>x</v>
      </c>
      <c r="B219" s="2668">
        <v>4</v>
      </c>
      <c r="C219" s="486"/>
      <c r="D219" s="486"/>
      <c r="E219" s="382" t="b">
        <v>1</v>
      </c>
      <c r="F219" s="1899" t="str">
        <f>IFERROR(IF('Input '!$E$1="EN",VLOOKUP(B219,Property!$F$144:$G$172,2,FALSE),VLOOKUP(B219,Property!$F$120:$G$138,2,FALSE)),"")</f>
        <v/>
      </c>
      <c r="G219" s="1862"/>
      <c r="H219" s="1862"/>
      <c r="I219" s="1862"/>
      <c r="J219" s="1862"/>
      <c r="K219" s="1862"/>
      <c r="L219" s="1862"/>
      <c r="M219" s="1862"/>
      <c r="N219" s="2807"/>
      <c r="O219" s="1851"/>
      <c r="P219" s="1851"/>
      <c r="Z219" s="1"/>
      <c r="AA219" s="1"/>
    </row>
    <row r="220" spans="1:27" s="477" customFormat="1" ht="29.25" customHeight="1">
      <c r="A220" s="448"/>
      <c r="B220" s="2768"/>
      <c r="F220" s="3562" t="str">
        <f>'Quote template-2'!F218</f>
        <v>How well protected are you?</v>
      </c>
      <c r="G220" s="3562"/>
      <c r="H220" s="1790"/>
      <c r="I220" s="1774"/>
      <c r="J220" s="1774"/>
      <c r="K220" s="1774" t="str">
        <f>IF('Input '!$E$1="EN",'Quote template-1'!AA220,'Quote template-1'!Z220)</f>
        <v>Well protected</v>
      </c>
      <c r="L220" s="1774" t="str">
        <f>IF('Input '!$E$1="EN",'Quote template-1'!AA222,'Quote template-1'!Z222)</f>
        <v>Maximum security</v>
      </c>
      <c r="M220" s="1774"/>
      <c r="N220" s="2837"/>
      <c r="R220" s="3558"/>
      <c r="S220" s="3556"/>
      <c r="T220" s="447"/>
      <c r="U220" s="1022"/>
      <c r="V220" s="1022"/>
      <c r="W220" s="3556"/>
      <c r="Z220" s="1197" t="s">
        <v>1292</v>
      </c>
      <c r="AA220" s="1204" t="s">
        <v>3577</v>
      </c>
    </row>
    <row r="221" spans="1:27" ht="4.5" customHeight="1">
      <c r="A221" s="183"/>
      <c r="B221" s="2767"/>
      <c r="C221" s="2"/>
      <c r="D221" s="2"/>
      <c r="E221" s="2"/>
      <c r="F221" s="3562"/>
      <c r="G221" s="3562"/>
      <c r="H221" s="1442"/>
      <c r="I221" s="1791"/>
      <c r="J221" s="1791"/>
      <c r="K221" s="438"/>
      <c r="L221" s="438"/>
      <c r="M221" s="424"/>
      <c r="N221" s="2818"/>
      <c r="O221" s="438"/>
      <c r="P221" s="478"/>
      <c r="Q221" s="2"/>
      <c r="R221" s="3559"/>
      <c r="S221" s="3556"/>
      <c r="T221" s="447"/>
      <c r="U221" s="1022"/>
      <c r="V221" s="1022"/>
      <c r="W221" s="3556"/>
      <c r="AA221" s="1224"/>
    </row>
    <row r="222" spans="1:27" s="430" customFormat="1" ht="22.5" customHeight="1">
      <c r="A222" s="429"/>
      <c r="B222" s="2769" t="s">
        <v>3777</v>
      </c>
      <c r="F222" s="3562"/>
      <c r="G222" s="3562"/>
      <c r="H222" s="1792"/>
      <c r="I222" s="1792"/>
      <c r="J222" s="1792"/>
      <c r="K222" s="441" t="b">
        <v>1</v>
      </c>
      <c r="L222" s="440" t="b">
        <v>1</v>
      </c>
      <c r="M222" s="431"/>
      <c r="N222" s="2838" t="b">
        <v>1</v>
      </c>
      <c r="O222" s="441"/>
      <c r="R222" s="1456"/>
      <c r="S222" s="199" t="s">
        <v>3732</v>
      </c>
      <c r="T222" s="1453"/>
      <c r="U222" s="1022"/>
      <c r="V222" s="1022"/>
      <c r="W222" s="1484"/>
      <c r="Z222" s="1197" t="s">
        <v>1277</v>
      </c>
      <c r="AA222" s="1224" t="s">
        <v>3576</v>
      </c>
    </row>
    <row r="223" spans="1:27" s="226" customFormat="1" ht="26.25" customHeight="1">
      <c r="A223" s="503"/>
      <c r="B223" s="2770" t="str">
        <f>L152</f>
        <v>-not included</v>
      </c>
      <c r="F223" s="1441" t="str">
        <f>'Quote template-2'!F221</f>
        <v>Customize your quote:</v>
      </c>
      <c r="G223" s="1436"/>
      <c r="K223" s="1783" t="str">
        <f>IF('Input '!$E$1="EN",'Quote template-1'!AA223,'Quote template-1'!Z223)</f>
        <v>Package Silver</v>
      </c>
      <c r="L223" s="1783" t="str">
        <f>IF('Input '!$E$1="EN",'Quote template-1'!AA224,'Quote template-1'!Z224)</f>
        <v>Package Gold</v>
      </c>
      <c r="M223" s="493"/>
      <c r="N223" s="2820"/>
      <c r="O223" s="492"/>
      <c r="R223" s="427"/>
      <c r="S223" s="199" t="s">
        <v>1279</v>
      </c>
      <c r="T223" s="199" t="s">
        <v>1273</v>
      </c>
      <c r="U223" s="1023" t="s">
        <v>1279</v>
      </c>
      <c r="V223" s="1023" t="s">
        <v>1273</v>
      </c>
      <c r="W223" s="6" t="s">
        <v>3690</v>
      </c>
      <c r="X223" s="49"/>
      <c r="Z223" s="492" t="s">
        <v>1286</v>
      </c>
      <c r="AA223" s="1236" t="s">
        <v>3579</v>
      </c>
    </row>
    <row r="224" spans="1:27" s="1777" customFormat="1" ht="18.75" customHeight="1">
      <c r="A224" s="1776"/>
      <c r="B224" s="2771" t="s">
        <v>3776</v>
      </c>
      <c r="C224" s="2777"/>
      <c r="D224" s="2777"/>
      <c r="E224" s="2778"/>
      <c r="F224" s="3560" t="str">
        <f>'Quote template-2'!F223</f>
        <v>Add in coverages offered:</v>
      </c>
      <c r="G224" s="3560"/>
      <c r="I224" s="1778"/>
      <c r="J224" s="1778"/>
      <c r="K224" s="3561" t="str">
        <f>'Quote template-2'!J223</f>
        <v>Limit</v>
      </c>
      <c r="L224" s="3561"/>
      <c r="N224" s="2839"/>
      <c r="P224" s="1778"/>
      <c r="R224" s="1779"/>
      <c r="S224" s="1780"/>
      <c r="T224" s="1780"/>
      <c r="U224" s="1781"/>
      <c r="V224" s="1781"/>
      <c r="W224" s="1782"/>
      <c r="Z224" s="1316" t="s">
        <v>1287</v>
      </c>
      <c r="AA224" s="1316" t="s">
        <v>3578</v>
      </c>
    </row>
    <row r="225" spans="1:27" ht="18.75" customHeight="1">
      <c r="A225" s="182" t="str">
        <f>IF('Input '!$J$45="Yes",IF(Property!E9="Y","x",""),"x")</f>
        <v/>
      </c>
      <c r="B225" s="1494">
        <f t="shared" ref="B225:B231" si="2">IF(OR($L$152="Package Or",$L$152="Package Gold"),T225,IF(OR($L$152="Package Argent",$L$152="Package Silver"),S225,0))</f>
        <v>0</v>
      </c>
      <c r="C225" s="467"/>
      <c r="D225" s="467"/>
      <c r="E225" s="1945" t="s">
        <v>16</v>
      </c>
      <c r="F225" s="1946" t="str">
        <f>Property!G9</f>
        <v>Installation floater</v>
      </c>
      <c r="G225" s="1947"/>
      <c r="H225" s="1948"/>
      <c r="I225" s="1949" t="e">
        <f>IF(Property!#REF!="N",0,Property!#REF!)</f>
        <v>#REF!</v>
      </c>
      <c r="J225" s="1949"/>
      <c r="K225" s="1948">
        <f>IF($K$222=FALSE,,Settings!$D117)</f>
        <v>25000</v>
      </c>
      <c r="L225" s="1950">
        <f ca="1">IF(OR(OR($L$222=FALSE,'Input '!L45="Not Eligible"),,'Input '!L45="Not Eligible"),,Settings!$E117)</f>
        <v>0</v>
      </c>
      <c r="M225" s="177"/>
      <c r="N225" s="2822"/>
      <c r="O225" s="507"/>
      <c r="R225" s="205"/>
      <c r="S225" s="1767">
        <f>IF($A225="x",0,Settings!H117)</f>
        <v>120</v>
      </c>
      <c r="T225" s="1767">
        <f>IF($A225="x",0,Settings!I117)</f>
        <v>120</v>
      </c>
      <c r="U225" s="1793">
        <f>IF($K$222=FALSE,,Settings!$H117)</f>
        <v>120</v>
      </c>
      <c r="V225" s="1793">
        <f>IF($L$222=FALSE,,Settings!$I117)</f>
        <v>120</v>
      </c>
      <c r="W225" s="2"/>
    </row>
    <row r="226" spans="1:27" ht="18.75">
      <c r="A226" s="182" t="str">
        <f>IF('Input '!$J$45="Yes",IF(OR('Input '!G38=735,'Input '!G38=736,'Input '!G38=1741,'Input '!G38=1743,'Input '!G38=1774),"x",IF('CGL coverage'!F68="Y","x","")),"x")</f>
        <v/>
      </c>
      <c r="B226" s="1494">
        <f t="shared" si="2"/>
        <v>0</v>
      </c>
      <c r="C226" s="2745"/>
      <c r="D226" s="2745"/>
      <c r="E226" s="1945" t="s">
        <v>18</v>
      </c>
      <c r="F226" s="1946" t="str">
        <f>IF('Input '!$E$1="EN",'Quote template-1'!AA226,'Quote template-1'!Z226)</f>
        <v>*Faulty workmanship</v>
      </c>
      <c r="G226" s="1951"/>
      <c r="H226" s="1948"/>
      <c r="I226" s="1949" t="e">
        <f>IF(Property!#REF!="N",0,Property!#REF!)</f>
        <v>#REF!</v>
      </c>
      <c r="J226" s="1949"/>
      <c r="K226" s="1948">
        <f>IF($K$222=FALSE,,IF(AND('CGL coverage'!H68="Y",'CGL coverage'!I68&gt;=25000),0,IF(OR('Input '!G38=736,'Input '!G38=735,'Input '!G38=1531,'Input '!G38=1536,'Input '!G38=1533,'Input '!G38=1763),10000,Settings!$D109)))</f>
        <v>25000</v>
      </c>
      <c r="L226" s="1950">
        <f ca="1">IF(OR($L$222=FALSE,'Input '!$L$45="Not Eligible"),,Settings!$E109)</f>
        <v>0</v>
      </c>
      <c r="M226" s="177"/>
      <c r="N226" s="2822"/>
      <c r="O226" s="507"/>
      <c r="Q226" s="472"/>
      <c r="R226" s="1457"/>
      <c r="S226" s="1767">
        <f>IF($A226="x",0,Settings!H109)</f>
        <v>30</v>
      </c>
      <c r="T226" s="1767">
        <f>IF($A226="x",0,Settings!I109)</f>
        <v>30</v>
      </c>
      <c r="U226" s="1488">
        <f>IF($K$222=FALSE,,Settings!$H109)</f>
        <v>30</v>
      </c>
      <c r="V226" s="1488">
        <f>IF($L$222=FALSE,,Settings!$I109)</f>
        <v>30</v>
      </c>
      <c r="Z226" s="461" t="s">
        <v>31</v>
      </c>
      <c r="AA226" s="1206" t="s">
        <v>3580</v>
      </c>
    </row>
    <row r="227" spans="1:27" ht="18.75">
      <c r="A227" s="182" t="str">
        <f>IF('Input '!$J$45="Yes",IF(OR('Input '!G38=735,'Input '!G38=736,'Input '!G38=1741,'Input '!G38=1743,'Input '!G38=1774),"x",IF('CGL coverage'!F69="Y","x","")),"x")</f>
        <v/>
      </c>
      <c r="B227" s="1494">
        <f t="shared" si="2"/>
        <v>0</v>
      </c>
      <c r="C227" s="2745"/>
      <c r="D227" s="2745"/>
      <c r="E227" s="1945" t="s">
        <v>19</v>
      </c>
      <c r="F227" s="1946" t="str">
        <f>IF('Input '!$E$1="EN",'Quote template-1'!AA227,'Quote template-1'!Z227)</f>
        <v>*Contractors Professional Liability (retro date)</v>
      </c>
      <c r="G227" s="1952"/>
      <c r="H227" s="1948"/>
      <c r="I227" s="1949" t="e">
        <f>IF(Property!#REF!="N",0,Property!#REF!)</f>
        <v>#REF!</v>
      </c>
      <c r="J227" s="1949"/>
      <c r="K227" s="1948">
        <f>IF($K$222=FALSE,,IF(OR('Input '!G38=736,'Input '!G38=735,'Input '!G38=1531,'Input '!G38=1536,'Input '!G38=1533,'Input '!G38=1763),10000,Settings!$D110))</f>
        <v>50000</v>
      </c>
      <c r="L227" s="1950">
        <f ca="1">IF(OR($L$222=FALSE,'Input '!$L$45="Not Eligible"),,Settings!$E110)</f>
        <v>0</v>
      </c>
      <c r="M227" s="177"/>
      <c r="N227" s="2822"/>
      <c r="O227" s="507"/>
      <c r="Q227" s="472"/>
      <c r="R227" s="1457"/>
      <c r="S227" s="1767">
        <f>IF($A227="x",0,Settings!H110)</f>
        <v>90</v>
      </c>
      <c r="T227" s="1767">
        <f>IF($A227="x",0,Settings!I110)</f>
        <v>90</v>
      </c>
      <c r="U227" s="1488">
        <f>IF($K$222=FALSE,,Settings!$H110)</f>
        <v>90</v>
      </c>
      <c r="V227" s="1488">
        <f>IF($L$222=FALSE,,Settings!$I110)</f>
        <v>90</v>
      </c>
      <c r="W227" s="3557"/>
      <c r="Z227" s="461" t="s">
        <v>1092</v>
      </c>
      <c r="AA227" s="1206" t="s">
        <v>3692</v>
      </c>
    </row>
    <row r="228" spans="1:27" ht="18.75">
      <c r="A228" s="182" t="str">
        <f>IF('Input '!$J$45="Yes",IF('CGL coverage'!F70="Y","x",""),"x")</f>
        <v/>
      </c>
      <c r="B228" s="1494">
        <f t="shared" si="2"/>
        <v>0</v>
      </c>
      <c r="C228" s="2745"/>
      <c r="D228" s="2745"/>
      <c r="E228" s="1945" t="s">
        <v>20</v>
      </c>
      <c r="F228" s="1946" t="str">
        <f>IF('Input '!$E$1="EN",'Quote template-1'!AA228,'Quote template-1'!Z228)</f>
        <v>*Fungi and fungal derivatives</v>
      </c>
      <c r="G228" s="1953"/>
      <c r="H228" s="1948"/>
      <c r="I228" s="1949" t="e">
        <f>IF(Property!#REF!="N",0,Property!#REF!)</f>
        <v>#REF!</v>
      </c>
      <c r="J228" s="1949"/>
      <c r="K228" s="1948">
        <f>IF($K$222=FALSE,,Settings!$D111)</f>
        <v>250000</v>
      </c>
      <c r="L228" s="1950">
        <f ca="1">IF(OR($L$222=FALSE,'Input '!$L$45="Not Eligible"),,Settings!$E111)</f>
        <v>0</v>
      </c>
      <c r="M228" s="177"/>
      <c r="N228" s="2822"/>
      <c r="O228" s="507"/>
      <c r="Q228" s="472"/>
      <c r="R228" s="1457"/>
      <c r="S228" s="1767">
        <f>IF($A228="x",0,Settings!H111)</f>
        <v>0</v>
      </c>
      <c r="T228" s="1767">
        <f>IF($A228="x",0,Settings!I111)</f>
        <v>0</v>
      </c>
      <c r="U228" s="1488">
        <f>IF($K$222=FALSE,,Settings!$H111)</f>
        <v>0</v>
      </c>
      <c r="V228" s="1488">
        <f>IF($L$222=FALSE,,Settings!$I111)</f>
        <v>0</v>
      </c>
      <c r="W228" s="3557"/>
      <c r="Z228" s="461" t="s">
        <v>0</v>
      </c>
      <c r="AA228" s="1206" t="s">
        <v>3581</v>
      </c>
    </row>
    <row r="229" spans="1:27" ht="18.75">
      <c r="A229" s="182" t="str">
        <f>IF('Input '!$J$45="Yes",IF('CGL coverage'!F71="Y","x",""),"x")</f>
        <v/>
      </c>
      <c r="B229" s="1494">
        <f t="shared" si="2"/>
        <v>0</v>
      </c>
      <c r="C229" s="2745"/>
      <c r="D229" s="2745"/>
      <c r="E229" s="1945" t="s">
        <v>21</v>
      </c>
      <c r="F229" s="1946" t="str">
        <f>IF('Input '!$E$1="EN",'Quote template-1'!AA229,'Quote template-1'!Z229)</f>
        <v>*Sudden and accidental pollution(120H)</v>
      </c>
      <c r="G229" s="1949"/>
      <c r="H229" s="1948"/>
      <c r="I229" s="1949" t="e">
        <f>IF(Property!#REF!="N",0,Property!#REF!)</f>
        <v>#REF!</v>
      </c>
      <c r="J229" s="1949"/>
      <c r="K229" s="1948">
        <f>IF($K$222=FALSE,,Settings!$D112)</f>
        <v>500000</v>
      </c>
      <c r="L229" s="1950">
        <f ca="1">IF(OR($L$222=FALSE,'Input '!$L$45="Not Eligible"),,Settings!$E112)</f>
        <v>0</v>
      </c>
      <c r="M229" s="177"/>
      <c r="N229" s="2822"/>
      <c r="O229" s="507"/>
      <c r="Q229" s="472"/>
      <c r="R229" s="1457"/>
      <c r="S229" s="1767">
        <f>IF($A229="x",0,Settings!H112)</f>
        <v>0</v>
      </c>
      <c r="T229" s="1767">
        <f>IF($A229="x",0,Settings!I112)</f>
        <v>30</v>
      </c>
      <c r="U229" s="1488">
        <f>IF($K$222=FALSE,,Settings!$H112)</f>
        <v>0</v>
      </c>
      <c r="V229" s="1488">
        <f>IF($L$222=FALSE,,Settings!$I112)</f>
        <v>30</v>
      </c>
      <c r="W229" s="3556"/>
      <c r="Z229" s="461" t="s">
        <v>3980</v>
      </c>
      <c r="AA229" s="1206" t="s">
        <v>3981</v>
      </c>
    </row>
    <row r="230" spans="1:27" ht="18.75">
      <c r="A230" s="182" t="str">
        <f>IF('Input '!$J$45="Yes",IF('CGL coverage'!F72="Y","x",""),"x")</f>
        <v/>
      </c>
      <c r="B230" s="1494">
        <f t="shared" si="2"/>
        <v>0</v>
      </c>
      <c r="C230" s="2745"/>
      <c r="D230" s="2745"/>
      <c r="E230" s="1945" t="s">
        <v>22</v>
      </c>
      <c r="F230" s="1946" t="str">
        <f>IF('Input '!$E$1="EN",'Quote template-1'!AA230,'Quote template-1'!Z230)</f>
        <v>*Care, custody and control</v>
      </c>
      <c r="G230" s="1949"/>
      <c r="H230" s="1948"/>
      <c r="I230" s="1949" t="e">
        <f>IF(Property!#REF!="N",0,Property!#REF!)</f>
        <v>#REF!</v>
      </c>
      <c r="J230" s="1949"/>
      <c r="K230" s="1948">
        <f>IF($K$222=FALSE,,Settings!$D113)</f>
        <v>25000</v>
      </c>
      <c r="L230" s="1950">
        <f ca="1">IF(OR($L$222=FALSE,'Input '!$L$45="Not Eligible"),,Settings!$E113)</f>
        <v>0</v>
      </c>
      <c r="M230" s="177"/>
      <c r="N230" s="2822"/>
      <c r="O230" s="507"/>
      <c r="Q230" s="472"/>
      <c r="R230" s="1457"/>
      <c r="S230" s="1767">
        <f>IF($A230="x",0,Settings!H113)</f>
        <v>30</v>
      </c>
      <c r="T230" s="1767">
        <f>IF($A230="x",0,Settings!I113)</f>
        <v>30</v>
      </c>
      <c r="U230" s="1488">
        <f>IF($K$222=FALSE,,Settings!$H113)</f>
        <v>30</v>
      </c>
      <c r="V230" s="1488">
        <f>IF($L$222=FALSE,,Settings!$I113)</f>
        <v>30</v>
      </c>
      <c r="W230" s="3556"/>
      <c r="Z230" s="461" t="s">
        <v>33</v>
      </c>
      <c r="AA230" s="1206" t="s">
        <v>3582</v>
      </c>
    </row>
    <row r="231" spans="1:27" ht="18.75">
      <c r="A231" s="182" t="str">
        <f>IF('Input '!$J$45="Yes",IF(Property!E6="Y","x",""),"x")</f>
        <v/>
      </c>
      <c r="B231" s="1494">
        <f t="shared" si="2"/>
        <v>0</v>
      </c>
      <c r="C231" s="2745"/>
      <c r="D231" s="2745"/>
      <c r="E231" s="1945" t="str">
        <f>Settings!A115</f>
        <v>PA12 - PA11</v>
      </c>
      <c r="F231" s="1946" t="str">
        <f>Settings!B115</f>
        <v>Contractor's tools and equipment</v>
      </c>
      <c r="G231" s="1949"/>
      <c r="H231" s="1948"/>
      <c r="I231" s="1949"/>
      <c r="J231" s="1949"/>
      <c r="K231" s="1948">
        <f>IF($K$222=FALSE,,Settings!$D115)</f>
        <v>20000</v>
      </c>
      <c r="L231" s="1950">
        <f ca="1">IF(OR($L$222=FALSE,'Input '!$L$45="Not Eligible"),,Settings!$E115)</f>
        <v>0</v>
      </c>
      <c r="M231" s="177"/>
      <c r="N231" s="2822"/>
      <c r="O231" s="507"/>
      <c r="Q231" s="472"/>
      <c r="R231" s="1457"/>
      <c r="S231" s="1767">
        <f>IF($A231="x",0,Settings!H115)</f>
        <v>85</v>
      </c>
      <c r="T231" s="1767">
        <f>IF($A231="x",0,Settings!I115)</f>
        <v>175</v>
      </c>
      <c r="U231" s="1488">
        <f>IF($K$222=FALSE,,Settings!$H115)</f>
        <v>85</v>
      </c>
      <c r="V231" s="1488">
        <f>IF($L$222=FALSE,,Settings!$I115)</f>
        <v>175</v>
      </c>
      <c r="W231" s="1829"/>
      <c r="Z231" s="461"/>
      <c r="AA231" s="1206"/>
    </row>
    <row r="232" spans="1:27" ht="18.75">
      <c r="A232" s="182" t="str">
        <f>IF('Input '!$J$45="Yes",IF('CGL coverage'!F73="Y","","x"),"x")</f>
        <v>x</v>
      </c>
      <c r="B232" s="1494">
        <f>IF(OR($L$152="Package Or",$L$152="Package Gold"),T232,IF(OR($L$152="Package Argent",$L$152="Package Silver"),S232,0))</f>
        <v>0</v>
      </c>
      <c r="C232" s="2745"/>
      <c r="D232" s="2745"/>
      <c r="E232" s="1945" t="s">
        <v>23</v>
      </c>
      <c r="F232" s="1946" t="str">
        <f>IF('Input '!$E$1="EN",'Quote template-1'!AA232,'Quote template-1'!Z232)</f>
        <v>*Failure to perform</v>
      </c>
      <c r="G232" s="1949"/>
      <c r="H232" s="1948"/>
      <c r="I232" s="1949" t="e">
        <f>IF(Property!#REF!="N",0,Property!#REF!)</f>
        <v>#REF!</v>
      </c>
      <c r="J232" s="1949"/>
      <c r="K232" s="1948" t="str">
        <f>IF($K$222=FALSE,,Settings!$D114)</f>
        <v>Not offered</v>
      </c>
      <c r="L232" s="1950">
        <f ca="1">IF(OR($L$222=FALSE,'Input '!$L$45="Not Eligible"),,Settings!$E114)</f>
        <v>0</v>
      </c>
      <c r="M232" s="177"/>
      <c r="N232" s="2822"/>
      <c r="O232" s="507"/>
      <c r="Q232" s="472"/>
      <c r="R232" s="1457"/>
      <c r="S232" s="1767">
        <f>IF($A232="x",0,Settings!H114)</f>
        <v>0</v>
      </c>
      <c r="T232" s="1767">
        <f>IF($A232="x",0,Settings!I114)</f>
        <v>0</v>
      </c>
      <c r="U232" s="1488"/>
      <c r="V232" s="1488">
        <f>IF($L$222=FALSE,,Settings!$I114)</f>
        <v>30</v>
      </c>
      <c r="W232" s="3556"/>
      <c r="Z232" s="461" t="s">
        <v>34</v>
      </c>
      <c r="AA232" s="1206" t="s">
        <v>3583</v>
      </c>
    </row>
    <row r="233" spans="1:27" ht="18.75">
      <c r="A233" s="182" t="str">
        <f>IF('Input '!$J$45="Yes",IF('CGL coverage'!F79="Y","","x"),"x")</f>
        <v/>
      </c>
      <c r="B233" s="1494"/>
      <c r="C233" s="2745"/>
      <c r="D233" s="2745"/>
      <c r="E233" s="1945"/>
      <c r="F233" s="1946" t="str">
        <f>IF('Input '!$E$1="EN",'Quote template-1'!AA233,'Quote template-1'!Z233)</f>
        <v>Tenant Legal Liability</v>
      </c>
      <c r="G233" s="1949"/>
      <c r="H233" s="1948"/>
      <c r="I233" s="1949"/>
      <c r="J233" s="1949"/>
      <c r="K233" s="1948">
        <f>IF($K$222=FALSE,,Settings!$D118)</f>
        <v>500000</v>
      </c>
      <c r="L233" s="1950">
        <f ca="1">IF(OR($L$222=FALSE,'Input '!$L$45="Not Eligible"),,Settings!$E118)</f>
        <v>0</v>
      </c>
      <c r="M233" s="177"/>
      <c r="N233" s="2822"/>
      <c r="O233" s="507"/>
      <c r="Q233" s="472"/>
      <c r="R233" s="1457"/>
      <c r="S233" s="1767"/>
      <c r="T233" s="1767"/>
      <c r="U233" s="1488"/>
      <c r="V233" s="1488"/>
      <c r="W233" s="3556"/>
      <c r="Z233" s="461" t="s">
        <v>4531</v>
      </c>
      <c r="AA233" s="1206" t="s">
        <v>4530</v>
      </c>
    </row>
    <row r="234" spans="1:27" ht="18.75" customHeight="1">
      <c r="A234" s="182" t="str">
        <f>IF('Input '!$J$45="Yes",IF(Property!E8="Y","x",""),"x")</f>
        <v/>
      </c>
      <c r="B234" s="1494">
        <f t="shared" ref="B234" si="3">IF(OR($L$152="Package Or",$L$152="Package Gold"),T234,IF(OR($L$152="Package Argent",$L$152="Package Silver"),S234,0))</f>
        <v>0</v>
      </c>
      <c r="C234" s="2745"/>
      <c r="D234" s="2745"/>
      <c r="E234" s="1945" t="str">
        <f>Settings!A116</f>
        <v>PA12 - PA11</v>
      </c>
      <c r="F234" s="1946" t="str">
        <f>Settings!B116</f>
        <v>Rented Contractor's tools and equipment</v>
      </c>
      <c r="G234" s="1949"/>
      <c r="H234" s="1948"/>
      <c r="I234" s="1949"/>
      <c r="J234" s="1949"/>
      <c r="K234" s="1948">
        <f>IF($K$222=FALSE,,Settings!$D116)</f>
        <v>10000</v>
      </c>
      <c r="L234" s="1950">
        <f ca="1">IF(OR($L$222=FALSE,'Input '!$L$45="Not Eligible"),,Settings!$E116)</f>
        <v>0</v>
      </c>
      <c r="M234" s="177"/>
      <c r="N234" s="2822"/>
      <c r="O234" s="507"/>
      <c r="Q234" s="472"/>
      <c r="R234" s="1457"/>
      <c r="S234" s="1767">
        <f>IF($A234="x",0,Settings!H116)</f>
        <v>20</v>
      </c>
      <c r="T234" s="1767">
        <f>IF($A234="x",0,Settings!I116)</f>
        <v>20</v>
      </c>
      <c r="U234" s="1488"/>
      <c r="V234" s="1488"/>
      <c r="W234" s="3556"/>
      <c r="Z234" s="461"/>
      <c r="AA234" s="1206"/>
    </row>
    <row r="235" spans="1:27" s="1784" customFormat="1" ht="18.75">
      <c r="A235" s="384"/>
      <c r="B235" s="2772"/>
      <c r="C235" s="506"/>
      <c r="D235" s="506"/>
      <c r="G235" s="1764" t="str">
        <f>IF('Input '!$E$1="EN",'Quote template-1'!AA235,'Quote template-1'!Z235)</f>
        <v>Additional cost per package:</v>
      </c>
      <c r="H235" s="1041"/>
      <c r="I235" s="225"/>
      <c r="J235" s="225"/>
      <c r="K235" s="1041" t="str">
        <f>IF(K$222=FALSE,,CONCATENATE("+ ","$",S235))</f>
        <v>+ $375</v>
      </c>
      <c r="L235" s="1041">
        <f ca="1">IF(OR($L$222=FALSE,'Input '!$L$45="Not Eligible"),,CONCATENATE("+ ","$",T235))</f>
        <v>0</v>
      </c>
      <c r="M235" s="506"/>
      <c r="N235" s="2840"/>
      <c r="P235" s="1785"/>
      <c r="Q235" s="506"/>
      <c r="R235" s="1040"/>
      <c r="S235" s="1786">
        <f>SUM(S225:S234)</f>
        <v>375</v>
      </c>
      <c r="T235" s="1786">
        <f>SUM(T225:T234)</f>
        <v>495</v>
      </c>
      <c r="U235" s="1786">
        <f>SUM(U225:U234)</f>
        <v>355</v>
      </c>
      <c r="V235" s="1786">
        <f>SUM(V225:V234)</f>
        <v>505</v>
      </c>
      <c r="W235" s="3556"/>
      <c r="Z235" s="1787" t="s">
        <v>3984</v>
      </c>
      <c r="AA235" s="1210" t="s">
        <v>3985</v>
      </c>
    </row>
    <row r="236" spans="1:27" s="450" customFormat="1" ht="23.25" customHeight="1">
      <c r="A236" s="182" t="str">
        <f>IF(AND(A237="x",A238="x"),"x","")</f>
        <v/>
      </c>
      <c r="B236" s="1818">
        <f>SUM(B225:B235)</f>
        <v>0</v>
      </c>
      <c r="C236" s="1768"/>
      <c r="D236" s="1768"/>
      <c r="E236" s="1769"/>
      <c r="F236" s="1775" t="str">
        <f>IF('Input '!$E$1="EN",'Quote template-1'!AA236,'Quote template-1'!Z236)</f>
        <v xml:space="preserve"> Add any of the coverage below to a package or stand alone:</v>
      </c>
      <c r="H236" s="489"/>
      <c r="I236" s="1770"/>
      <c r="J236" s="1770"/>
      <c r="L236" s="489"/>
      <c r="M236" s="1766"/>
      <c r="N236" s="2841"/>
      <c r="O236" s="1765"/>
      <c r="P236" s="1771"/>
      <c r="Q236" s="1768"/>
      <c r="R236" s="1457"/>
      <c r="S236" s="1457"/>
      <c r="T236" s="1457"/>
      <c r="U236" s="1300"/>
      <c r="V236" s="1300"/>
      <c r="W236" s="3556"/>
      <c r="Z236" s="1772" t="s">
        <v>3986</v>
      </c>
      <c r="AA236" s="1773" t="s">
        <v>4007</v>
      </c>
    </row>
    <row r="237" spans="1:27" s="1935" customFormat="1" ht="36" customHeight="1">
      <c r="A237" s="1934" t="str">
        <f>IF(Property!$E$106="Y","x","")</f>
        <v/>
      </c>
      <c r="B237" s="2773"/>
      <c r="E237" s="1936" t="str">
        <f>Property!AA106</f>
        <v>ARAG-TAT</v>
      </c>
      <c r="F237" s="3555" t="str">
        <f>Property!G106</f>
        <v>Legal -Unlimited telephone advice</v>
      </c>
      <c r="G237" s="3555"/>
      <c r="H237" s="1929" t="s">
        <v>1290</v>
      </c>
      <c r="I237" s="1937"/>
      <c r="J237" s="1937"/>
      <c r="K237" s="1930" t="str">
        <f>"+ $40"</f>
        <v>+ $40</v>
      </c>
      <c r="L237" s="1930" t="str">
        <f>IF($L$222=TRUE,K237,"")</f>
        <v>+ $40</v>
      </c>
      <c r="M237" s="1938"/>
      <c r="N237" s="2842"/>
      <c r="O237" s="1939"/>
      <c r="P237" s="1940"/>
      <c r="Q237" s="1941"/>
      <c r="R237" s="1931"/>
      <c r="S237" s="1932">
        <f>IF($A232="x",0,U237)</f>
        <v>0</v>
      </c>
      <c r="T237" s="1932">
        <f>IF($A232="x",0,V237)</f>
        <v>0</v>
      </c>
      <c r="U237" s="1933">
        <v>0</v>
      </c>
      <c r="V237" s="1933">
        <v>40</v>
      </c>
      <c r="W237" s="3556"/>
      <c r="Z237" s="1942"/>
      <c r="AA237" s="1943"/>
    </row>
    <row r="238" spans="1:27" ht="33.75" customHeight="1">
      <c r="A238" s="182" t="str">
        <f>IF(Property!$E$108="Y","x","")</f>
        <v/>
      </c>
      <c r="B238" s="2774"/>
      <c r="E238" s="1486" t="str">
        <f>Property!AA108</f>
        <v>CYB001</v>
      </c>
      <c r="F238" s="1487" t="str">
        <f>IF('Input '!$E$1="FR","Protection Cyber Limite ($50,000)","Cyber protection Limit ($50,000)")</f>
        <v>Cyber protection Limit ($50,000)</v>
      </c>
      <c r="G238" s="1489"/>
      <c r="H238" s="1825" t="s">
        <v>230</v>
      </c>
      <c r="I238" s="1489"/>
      <c r="J238" s="1489"/>
      <c r="K238" s="1824" t="str">
        <f>CONCATENATE("+ ","$",Property!$U$108)</f>
        <v>+ $0</v>
      </c>
      <c r="L238" s="1824" t="str">
        <f>IF($L$222=TRUE,K238,"")</f>
        <v>+ $0</v>
      </c>
      <c r="M238" s="380"/>
      <c r="N238" s="2824"/>
      <c r="O238" s="177"/>
      <c r="Q238" s="472"/>
      <c r="R238" s="1457"/>
      <c r="S238" s="1454">
        <f t="shared" ref="S238:T238" si="4">IF($A237="x",0,U238)</f>
        <v>0</v>
      </c>
      <c r="T238" s="1454">
        <f t="shared" si="4"/>
        <v>0</v>
      </c>
      <c r="U238" s="1025">
        <v>0</v>
      </c>
      <c r="V238" s="1025">
        <f>Property!U108</f>
        <v>0</v>
      </c>
      <c r="W238" s="3556"/>
    </row>
    <row r="239" spans="1:27" s="460" customFormat="1" ht="14.25" customHeight="1" outlineLevel="1">
      <c r="A239" s="1817"/>
      <c r="B239" s="1818"/>
      <c r="F239" s="1819"/>
      <c r="G239" s="382"/>
      <c r="H239" s="1820" t="str">
        <f>K223</f>
        <v>Package Silver</v>
      </c>
      <c r="I239" s="382"/>
      <c r="J239" s="382"/>
      <c r="K239" s="1820" t="str">
        <f>L223</f>
        <v>Package Gold</v>
      </c>
      <c r="L239" s="1820">
        <f>N237</f>
        <v>0</v>
      </c>
      <c r="M239" s="1820"/>
      <c r="N239" s="2843"/>
      <c r="O239" s="1821"/>
      <c r="Q239" s="1822"/>
      <c r="R239" s="1457"/>
      <c r="S239" s="1454"/>
      <c r="T239" s="1454"/>
      <c r="U239" s="1823"/>
      <c r="V239" s="1823"/>
      <c r="W239" s="3556"/>
      <c r="Z239" s="1106"/>
      <c r="AA239" s="1098"/>
    </row>
    <row r="240" spans="1:27" s="463" customFormat="1" ht="10.5" customHeight="1">
      <c r="A240" s="459"/>
      <c r="B240" s="2775"/>
      <c r="C240" s="483"/>
      <c r="D240" s="483"/>
      <c r="E240" s="483"/>
      <c r="G240" s="1764"/>
      <c r="H240" s="494"/>
      <c r="I240" s="494"/>
      <c r="J240" s="494"/>
      <c r="K240" s="494"/>
      <c r="M240" s="1041"/>
      <c r="N240" s="2823"/>
      <c r="O240" s="509"/>
      <c r="Q240" s="483"/>
      <c r="R240" s="1458"/>
      <c r="S240" s="1455"/>
      <c r="T240" s="1455"/>
      <c r="U240" s="1026"/>
      <c r="V240" s="1026"/>
      <c r="W240" s="1745"/>
      <c r="Y240" s="507"/>
      <c r="Z240" s="461" t="s">
        <v>3983</v>
      </c>
      <c r="AA240" s="461" t="s">
        <v>3982</v>
      </c>
    </row>
    <row r="241" spans="1:31" s="3" customFormat="1" ht="8.25" customHeight="1">
      <c r="A241" s="183"/>
      <c r="B241" s="2764"/>
      <c r="F241" s="452"/>
      <c r="G241" s="452"/>
      <c r="H241" s="378"/>
      <c r="I241" s="23"/>
      <c r="J241" s="23"/>
      <c r="K241" s="23"/>
      <c r="L241" s="23"/>
      <c r="M241" s="23"/>
      <c r="N241" s="2809"/>
      <c r="O241" s="456"/>
      <c r="P241" s="468"/>
      <c r="Z241" s="1199"/>
      <c r="AA241" s="1206"/>
    </row>
    <row r="242" spans="1:31" ht="17.25">
      <c r="A242" s="183"/>
      <c r="F242" s="24" t="str">
        <f>'Quote template-2'!F229</f>
        <v>Deductible applied to add in coverages:</v>
      </c>
      <c r="H242" s="23"/>
      <c r="I242" s="23"/>
      <c r="J242" s="23"/>
      <c r="K242" s="1849"/>
      <c r="L242" s="1849"/>
      <c r="M242" s="1850"/>
      <c r="N242" s="2844"/>
      <c r="O242" s="492"/>
      <c r="P242" s="492"/>
    </row>
    <row r="243" spans="1:31" ht="17.25" customHeight="1">
      <c r="A243" s="183"/>
      <c r="F243" s="501" t="str">
        <f>K223</f>
        <v>Package Silver</v>
      </c>
      <c r="G243" s="502" t="str">
        <f>"$2,500 "&amp;IF('Input '!$E$1="EN",'Quote template-1'!AA243,'Quote template-1'!Z243)</f>
        <v>$2,500 * Guarantees: per insurance period - maximum annual amount per guarantee</v>
      </c>
      <c r="H243" s="502"/>
      <c r="I243" s="1434"/>
      <c r="J243" s="1434"/>
      <c r="K243" s="1434"/>
      <c r="L243" s="1434"/>
      <c r="M243" s="1434"/>
      <c r="Z243" s="499" t="s">
        <v>1296</v>
      </c>
      <c r="AA243" s="499" t="s">
        <v>3584</v>
      </c>
      <c r="AB243" s="499"/>
      <c r="AC243" s="499"/>
      <c r="AD243" s="499"/>
      <c r="AE243" s="499"/>
    </row>
    <row r="244" spans="1:31" ht="16.5" customHeight="1">
      <c r="A244" s="183"/>
      <c r="F244" s="497" t="str">
        <f>L223</f>
        <v>Package Gold</v>
      </c>
      <c r="G244" s="502" t="str">
        <f>"$2,500 "&amp;IF('Input '!$E$1="EN",'Quote template-1'!AA244,'Quote template-1'!Z244)</f>
        <v>$2,500 * Guarantees: per insurance period - maximum annual amount per guarantee</v>
      </c>
      <c r="H244" s="502"/>
      <c r="I244" s="1434"/>
      <c r="J244" s="1434"/>
      <c r="K244" s="1434"/>
      <c r="L244" s="1434"/>
      <c r="M244" s="1434"/>
      <c r="Z244" s="499" t="s">
        <v>1296</v>
      </c>
      <c r="AA244" s="499" t="s">
        <v>3584</v>
      </c>
      <c r="AB244" s="499"/>
      <c r="AC244" s="499"/>
      <c r="AD244" s="499"/>
      <c r="AE244" s="499"/>
    </row>
    <row r="245" spans="1:31" ht="16.5" customHeight="1">
      <c r="A245" s="183"/>
      <c r="F245" s="497" t="s">
        <v>1290</v>
      </c>
      <c r="G245" s="502" t="str">
        <f>'Quote template-2'!G230</f>
        <v>$500 Tax Audit / $2,500 Unionized Employee Disputes</v>
      </c>
      <c r="H245" s="1434"/>
      <c r="I245" s="1434"/>
      <c r="J245" s="1434"/>
      <c r="K245" s="1434"/>
      <c r="L245" s="1434"/>
      <c r="M245" s="1434"/>
      <c r="N245" s="2845"/>
      <c r="O245" s="1434"/>
    </row>
    <row r="246" spans="1:31" ht="18.75" customHeight="1">
      <c r="A246" s="183"/>
      <c r="F246" s="497" t="s">
        <v>230</v>
      </c>
      <c r="G246" s="502">
        <v>1000</v>
      </c>
      <c r="I246" s="499"/>
      <c r="J246" s="499"/>
      <c r="K246" s="498"/>
      <c r="L246" s="500"/>
      <c r="M246" s="499"/>
      <c r="O246" s="1438"/>
    </row>
    <row r="247" spans="1:31" ht="16.5" customHeight="1">
      <c r="A247" s="183"/>
      <c r="F247" s="3553" t="str">
        <f>IF('Input '!$E$1="FR",'Quote template-1'!Z247,'Quote template-1'!AA247)</f>
        <v>Crime ** covers: Employee dishonesty, Money and securities (inside loss / outside loss),  money orders counterfeit paper currency, depositors forgery</v>
      </c>
      <c r="G247" s="3553"/>
      <c r="H247" s="3553"/>
      <c r="I247" s="3553"/>
      <c r="J247" s="3553"/>
      <c r="K247" s="3553"/>
      <c r="L247" s="3553"/>
      <c r="M247" s="23"/>
      <c r="N247" s="2809"/>
      <c r="O247" s="456"/>
      <c r="P247" s="468"/>
      <c r="Z247" s="1197" t="s">
        <v>4163</v>
      </c>
      <c r="AA247" s="1204" t="s">
        <v>4164</v>
      </c>
    </row>
    <row r="248" spans="1:31" ht="16.5" customHeight="1">
      <c r="A248" s="183"/>
      <c r="F248" s="3553"/>
      <c r="G248" s="3553"/>
      <c r="H248" s="3553"/>
      <c r="I248" s="3553"/>
      <c r="J248" s="3553"/>
      <c r="K248" s="3553"/>
      <c r="L248" s="3553"/>
      <c r="M248" s="23"/>
      <c r="N248" s="2809"/>
      <c r="O248" s="2712"/>
      <c r="P248" s="468"/>
    </row>
    <row r="249" spans="1:31" s="494" customFormat="1" ht="16.5" customHeight="1">
      <c r="A249" s="384"/>
      <c r="B249" s="1822"/>
      <c r="C249" s="472"/>
      <c r="D249" s="472"/>
      <c r="E249" s="472"/>
      <c r="F249" s="1440" t="str">
        <f>'Quote template-2'!F233</f>
        <v>All fees are non-refundable.Premium and policy fees are due and payable within 30 days of binding .</v>
      </c>
      <c r="G249" s="1845"/>
      <c r="H249" s="1845"/>
      <c r="I249" s="1845"/>
      <c r="J249" s="1845"/>
      <c r="K249" s="1845"/>
      <c r="L249" s="1845"/>
      <c r="M249" s="1845"/>
      <c r="N249" s="2846"/>
      <c r="O249" s="1432"/>
      <c r="Q249" s="472"/>
      <c r="Z249" s="1203"/>
      <c r="AA249" s="1210"/>
    </row>
    <row r="250" spans="1:31" s="494" customFormat="1" ht="18.75" customHeight="1">
      <c r="A250" s="384"/>
      <c r="B250" s="1822"/>
      <c r="C250" s="472"/>
      <c r="D250" s="472"/>
      <c r="E250" s="472"/>
      <c r="F250" s="1440" t="str">
        <f>'Quote template-2'!F235</f>
        <v xml:space="preserve">Quoted Terms may not be as requested, please review this quote carefully. </v>
      </c>
      <c r="G250" s="1440"/>
      <c r="H250" s="1440"/>
      <c r="I250" s="1440"/>
      <c r="J250" s="1440"/>
      <c r="K250" s="1440"/>
      <c r="L250" s="1440"/>
      <c r="M250" s="1440"/>
      <c r="N250" s="2847"/>
      <c r="O250" s="1440"/>
      <c r="Q250" s="472"/>
      <c r="Z250" s="1203"/>
      <c r="AA250" s="1210"/>
    </row>
    <row r="251" spans="1:31" s="494" customFormat="1" ht="18.75" hidden="1" customHeight="1">
      <c r="A251" s="384"/>
      <c r="B251" s="1822"/>
      <c r="C251" s="472"/>
      <c r="D251" s="472"/>
      <c r="E251" s="472"/>
      <c r="F251" s="1440"/>
      <c r="G251" s="1440"/>
      <c r="H251" s="1440"/>
      <c r="I251" s="1440"/>
      <c r="J251" s="1440"/>
      <c r="K251" s="1440"/>
      <c r="L251" s="1440"/>
      <c r="M251" s="1440"/>
      <c r="N251" s="2847"/>
      <c r="O251" s="1440"/>
      <c r="Q251" s="472"/>
      <c r="Z251" s="1203"/>
      <c r="AA251" s="1210"/>
    </row>
    <row r="252" spans="1:31" s="494" customFormat="1" ht="18.75" customHeight="1">
      <c r="A252" s="384"/>
      <c r="B252" s="2776"/>
      <c r="F252" s="3" t="str">
        <f>'Quote template-2'!F237</f>
        <v>If binding companies to be used:</v>
      </c>
      <c r="G252" s="3" t="str">
        <f>'Quote template-2'!G237</f>
        <v>Domestic Markets, Lloyd's of London</v>
      </c>
      <c r="N252" s="2848"/>
      <c r="O252" s="495"/>
      <c r="P252" s="496"/>
      <c r="Z252" s="1203"/>
      <c r="AA252" s="1210"/>
    </row>
    <row r="253" spans="1:31" ht="8.25" customHeight="1">
      <c r="A253" s="183"/>
      <c r="F253" s="23"/>
      <c r="G253" s="23"/>
      <c r="H253" s="23"/>
      <c r="I253" s="23"/>
      <c r="J253" s="23"/>
      <c r="K253" s="23"/>
      <c r="L253" s="23"/>
      <c r="M253" s="23"/>
      <c r="N253" s="2809"/>
      <c r="O253" s="456"/>
      <c r="P253" s="482"/>
    </row>
  </sheetData>
  <mergeCells count="24">
    <mergeCell ref="F5:N5"/>
    <mergeCell ref="G14:K14"/>
    <mergeCell ref="F161:G161"/>
    <mergeCell ref="F166:N166"/>
    <mergeCell ref="F176:N177"/>
    <mergeCell ref="G21:P21"/>
    <mergeCell ref="E151:G152"/>
    <mergeCell ref="E153:G153"/>
    <mergeCell ref="E154:G154"/>
    <mergeCell ref="E155:G155"/>
    <mergeCell ref="F247:L248"/>
    <mergeCell ref="AE23:AI23"/>
    <mergeCell ref="F237:G237"/>
    <mergeCell ref="W232:W237"/>
    <mergeCell ref="W238:W239"/>
    <mergeCell ref="W227:W228"/>
    <mergeCell ref="W229:W230"/>
    <mergeCell ref="W220:W221"/>
    <mergeCell ref="R220:R221"/>
    <mergeCell ref="S220:S221"/>
    <mergeCell ref="F224:G224"/>
    <mergeCell ref="K224:L224"/>
    <mergeCell ref="F220:G222"/>
    <mergeCell ref="G24:K24"/>
  </mergeCells>
  <conditionalFormatting sqref="M240 O240 K237:K238 M225:M235 O237:O238 H225:H238 A164:A170 A172 A30:A38 A40:A159 U225:V234 A174:A253 K225:K235 L225:L238 L133:L137">
    <cfRule type="cellIs" dxfId="32" priority="45" operator="equal">
      <formula>0</formula>
    </cfRule>
  </conditionalFormatting>
  <conditionalFormatting sqref="E151:H152 E153:E155 H154:H156 F154:G154 F156:G156">
    <cfRule type="notContainsBlanks" dxfId="31" priority="51">
      <formula>LEN(TRIM(E151))&gt;0</formula>
    </cfRule>
  </conditionalFormatting>
  <dataValidations count="1">
    <dataValidation type="list" allowBlank="1" showInputMessage="1" showErrorMessage="1" sqref="L152" xr:uid="{00000000-0002-0000-0B00-000000000000}">
      <formula1>package</formula1>
    </dataValidation>
  </dataValidations>
  <printOptions horizontalCentered="1" verticalCentered="1"/>
  <pageMargins left="0" right="0" top="0" bottom="0" header="0.3" footer="0.3"/>
  <pageSetup scale="59" fitToHeight="2" orientation="portrait" horizontalDpi="90" verticalDpi="90" r:id="rId1"/>
  <headerFooter>
    <oddFooter>&amp;L&amp;P</oddFooter>
  </headerFooter>
  <rowBreaks count="1" manualBreakCount="1">
    <brk id="158" min="3" max="13" man="1"/>
  </rowBreaks>
  <colBreaks count="1" manualBreakCount="1">
    <brk id="14" min="3" max="281" man="1"/>
  </colBreaks>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10</xdr:col>
                    <xdr:colOff>266700</xdr:colOff>
                    <xdr:row>220</xdr:row>
                    <xdr:rowOff>0</xdr:rowOff>
                  </from>
                  <to>
                    <xdr:col>10</xdr:col>
                    <xdr:colOff>647700</xdr:colOff>
                    <xdr:row>222</xdr:row>
                    <xdr:rowOff>104775</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11</xdr:col>
                    <xdr:colOff>180975</xdr:colOff>
                    <xdr:row>220</xdr:row>
                    <xdr:rowOff>0</xdr:rowOff>
                  </from>
                  <to>
                    <xdr:col>11</xdr:col>
                    <xdr:colOff>561975</xdr:colOff>
                    <xdr:row>222</xdr:row>
                    <xdr:rowOff>104775</xdr:rowOff>
                  </to>
                </anchor>
              </controlPr>
            </control>
          </mc:Choice>
        </mc:AlternateContent>
        <mc:AlternateContent xmlns:mc="http://schemas.openxmlformats.org/markup-compatibility/2006">
          <mc:Choice Requires="x14">
            <control shapeId="1039" r:id="rId6" name="Check Box 15">
              <controlPr defaultSize="0" autoFill="0" autoLine="0" autoPict="0">
                <anchor moveWithCells="1">
                  <from>
                    <xdr:col>4</xdr:col>
                    <xdr:colOff>371475</xdr:colOff>
                    <xdr:row>170</xdr:row>
                    <xdr:rowOff>152400</xdr:rowOff>
                  </from>
                  <to>
                    <xdr:col>4</xdr:col>
                    <xdr:colOff>762000</xdr:colOff>
                    <xdr:row>172</xdr:row>
                    <xdr:rowOff>76200</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4</xdr:col>
                    <xdr:colOff>371475</xdr:colOff>
                    <xdr:row>182</xdr:row>
                    <xdr:rowOff>133350</xdr:rowOff>
                  </from>
                  <to>
                    <xdr:col>4</xdr:col>
                    <xdr:colOff>762000</xdr:colOff>
                    <xdr:row>184</xdr:row>
                    <xdr:rowOff>47625</xdr:rowOff>
                  </to>
                </anchor>
              </controlPr>
            </control>
          </mc:Choice>
        </mc:AlternateContent>
        <mc:AlternateContent xmlns:mc="http://schemas.openxmlformats.org/markup-compatibility/2006">
          <mc:Choice Requires="x14">
            <control shapeId="1047" r:id="rId8" name="Check Box 23">
              <controlPr defaultSize="0" autoFill="0" autoLine="0" autoPict="0">
                <anchor moveWithCells="1">
                  <from>
                    <xdr:col>4</xdr:col>
                    <xdr:colOff>381000</xdr:colOff>
                    <xdr:row>183</xdr:row>
                    <xdr:rowOff>142875</xdr:rowOff>
                  </from>
                  <to>
                    <xdr:col>4</xdr:col>
                    <xdr:colOff>771525</xdr:colOff>
                    <xdr:row>185</xdr:row>
                    <xdr:rowOff>57150</xdr:rowOff>
                  </to>
                </anchor>
              </controlPr>
            </control>
          </mc:Choice>
        </mc:AlternateContent>
        <mc:AlternateContent xmlns:mc="http://schemas.openxmlformats.org/markup-compatibility/2006">
          <mc:Choice Requires="x14">
            <control shapeId="1052" r:id="rId9" name="Check Box 28">
              <controlPr defaultSize="0" autoFill="0" autoLine="0" autoPict="0">
                <anchor moveWithCells="1">
                  <from>
                    <xdr:col>4</xdr:col>
                    <xdr:colOff>371475</xdr:colOff>
                    <xdr:row>185</xdr:row>
                    <xdr:rowOff>180975</xdr:rowOff>
                  </from>
                  <to>
                    <xdr:col>4</xdr:col>
                    <xdr:colOff>676275</xdr:colOff>
                    <xdr:row>187</xdr:row>
                    <xdr:rowOff>9525</xdr:rowOff>
                  </to>
                </anchor>
              </controlPr>
            </control>
          </mc:Choice>
        </mc:AlternateContent>
        <mc:AlternateContent xmlns:mc="http://schemas.openxmlformats.org/markup-compatibility/2006">
          <mc:Choice Requires="x14">
            <control shapeId="1054" r:id="rId10" name="Check Box 30">
              <controlPr defaultSize="0" autoFill="0" autoLine="0" autoPict="0">
                <anchor moveWithCells="1">
                  <from>
                    <xdr:col>4</xdr:col>
                    <xdr:colOff>371475</xdr:colOff>
                    <xdr:row>193</xdr:row>
                    <xdr:rowOff>9525</xdr:rowOff>
                  </from>
                  <to>
                    <xdr:col>4</xdr:col>
                    <xdr:colOff>676275</xdr:colOff>
                    <xdr:row>194</xdr:row>
                    <xdr:rowOff>9525</xdr:rowOff>
                  </to>
                </anchor>
              </controlPr>
            </control>
          </mc:Choice>
        </mc:AlternateContent>
        <mc:AlternateContent xmlns:mc="http://schemas.openxmlformats.org/markup-compatibility/2006">
          <mc:Choice Requires="x14">
            <control shapeId="1055" r:id="rId11" name="Check Box 31">
              <controlPr defaultSize="0" autoFill="0" autoLine="0" autoPict="0">
                <anchor moveWithCells="1">
                  <from>
                    <xdr:col>4</xdr:col>
                    <xdr:colOff>371475</xdr:colOff>
                    <xdr:row>193</xdr:row>
                    <xdr:rowOff>133350</xdr:rowOff>
                  </from>
                  <to>
                    <xdr:col>4</xdr:col>
                    <xdr:colOff>762000</xdr:colOff>
                    <xdr:row>195</xdr:row>
                    <xdr:rowOff>66675</xdr:rowOff>
                  </to>
                </anchor>
              </controlPr>
            </control>
          </mc:Choice>
        </mc:AlternateContent>
        <mc:AlternateContent xmlns:mc="http://schemas.openxmlformats.org/markup-compatibility/2006">
          <mc:Choice Requires="x14">
            <control shapeId="1057" r:id="rId12" name="Check Box 33">
              <controlPr defaultSize="0" autoFill="0" autoLine="0" autoPict="0">
                <anchor moveWithCells="1">
                  <from>
                    <xdr:col>4</xdr:col>
                    <xdr:colOff>371475</xdr:colOff>
                    <xdr:row>194</xdr:row>
                    <xdr:rowOff>133350</xdr:rowOff>
                  </from>
                  <to>
                    <xdr:col>4</xdr:col>
                    <xdr:colOff>762000</xdr:colOff>
                    <xdr:row>196</xdr:row>
                    <xdr:rowOff>66675</xdr:rowOff>
                  </to>
                </anchor>
              </controlPr>
            </control>
          </mc:Choice>
        </mc:AlternateContent>
        <mc:AlternateContent xmlns:mc="http://schemas.openxmlformats.org/markup-compatibility/2006">
          <mc:Choice Requires="x14">
            <control shapeId="1058" r:id="rId13" name="Check Box 34">
              <controlPr defaultSize="0" autoFill="0" autoLine="0" autoPict="0">
                <anchor moveWithCells="1">
                  <from>
                    <xdr:col>4</xdr:col>
                    <xdr:colOff>371475</xdr:colOff>
                    <xdr:row>195</xdr:row>
                    <xdr:rowOff>133350</xdr:rowOff>
                  </from>
                  <to>
                    <xdr:col>4</xdr:col>
                    <xdr:colOff>762000</xdr:colOff>
                    <xdr:row>197</xdr:row>
                    <xdr:rowOff>66675</xdr:rowOff>
                  </to>
                </anchor>
              </controlPr>
            </control>
          </mc:Choice>
        </mc:AlternateContent>
        <mc:AlternateContent xmlns:mc="http://schemas.openxmlformats.org/markup-compatibility/2006">
          <mc:Choice Requires="x14">
            <control shapeId="1059" r:id="rId14" name="Check Box 35">
              <controlPr defaultSize="0" autoFill="0" autoLine="0" autoPict="0">
                <anchor moveWithCells="1">
                  <from>
                    <xdr:col>4</xdr:col>
                    <xdr:colOff>371475</xdr:colOff>
                    <xdr:row>196</xdr:row>
                    <xdr:rowOff>133350</xdr:rowOff>
                  </from>
                  <to>
                    <xdr:col>4</xdr:col>
                    <xdr:colOff>762000</xdr:colOff>
                    <xdr:row>198</xdr:row>
                    <xdr:rowOff>66675</xdr:rowOff>
                  </to>
                </anchor>
              </controlPr>
            </control>
          </mc:Choice>
        </mc:AlternateContent>
        <mc:AlternateContent xmlns:mc="http://schemas.openxmlformats.org/markup-compatibility/2006">
          <mc:Choice Requires="x14">
            <control shapeId="1060" r:id="rId15" name="Check Box 36">
              <controlPr defaultSize="0" autoFill="0" autoLine="0" autoPict="0">
                <anchor moveWithCells="1">
                  <from>
                    <xdr:col>4</xdr:col>
                    <xdr:colOff>371475</xdr:colOff>
                    <xdr:row>197</xdr:row>
                    <xdr:rowOff>133350</xdr:rowOff>
                  </from>
                  <to>
                    <xdr:col>4</xdr:col>
                    <xdr:colOff>762000</xdr:colOff>
                    <xdr:row>199</xdr:row>
                    <xdr:rowOff>66675</xdr:rowOff>
                  </to>
                </anchor>
              </controlPr>
            </control>
          </mc:Choice>
        </mc:AlternateContent>
        <mc:AlternateContent xmlns:mc="http://schemas.openxmlformats.org/markup-compatibility/2006">
          <mc:Choice Requires="x14">
            <control shapeId="1061" r:id="rId16" name="Check Box 37">
              <controlPr defaultSize="0" autoFill="0" autoLine="0" autoPict="0">
                <anchor moveWithCells="1">
                  <from>
                    <xdr:col>4</xdr:col>
                    <xdr:colOff>371475</xdr:colOff>
                    <xdr:row>198</xdr:row>
                    <xdr:rowOff>133350</xdr:rowOff>
                  </from>
                  <to>
                    <xdr:col>4</xdr:col>
                    <xdr:colOff>762000</xdr:colOff>
                    <xdr:row>200</xdr:row>
                    <xdr:rowOff>66675</xdr:rowOff>
                  </to>
                </anchor>
              </controlPr>
            </control>
          </mc:Choice>
        </mc:AlternateContent>
        <mc:AlternateContent xmlns:mc="http://schemas.openxmlformats.org/markup-compatibility/2006">
          <mc:Choice Requires="x14">
            <control shapeId="1062" r:id="rId17" name="Check Box 38">
              <controlPr defaultSize="0" autoFill="0" autoLine="0" autoPict="0">
                <anchor moveWithCells="1">
                  <from>
                    <xdr:col>4</xdr:col>
                    <xdr:colOff>371475</xdr:colOff>
                    <xdr:row>199</xdr:row>
                    <xdr:rowOff>133350</xdr:rowOff>
                  </from>
                  <to>
                    <xdr:col>4</xdr:col>
                    <xdr:colOff>762000</xdr:colOff>
                    <xdr:row>201</xdr:row>
                    <xdr:rowOff>66675</xdr:rowOff>
                  </to>
                </anchor>
              </controlPr>
            </control>
          </mc:Choice>
        </mc:AlternateContent>
        <mc:AlternateContent xmlns:mc="http://schemas.openxmlformats.org/markup-compatibility/2006">
          <mc:Choice Requires="x14">
            <control shapeId="1063" r:id="rId18" name="Check Box 39">
              <controlPr defaultSize="0" autoFill="0" autoLine="0" autoPict="0">
                <anchor moveWithCells="1">
                  <from>
                    <xdr:col>4</xdr:col>
                    <xdr:colOff>371475</xdr:colOff>
                    <xdr:row>200</xdr:row>
                    <xdr:rowOff>133350</xdr:rowOff>
                  </from>
                  <to>
                    <xdr:col>4</xdr:col>
                    <xdr:colOff>762000</xdr:colOff>
                    <xdr:row>202</xdr:row>
                    <xdr:rowOff>66675</xdr:rowOff>
                  </to>
                </anchor>
              </controlPr>
            </control>
          </mc:Choice>
        </mc:AlternateContent>
        <mc:AlternateContent xmlns:mc="http://schemas.openxmlformats.org/markup-compatibility/2006">
          <mc:Choice Requires="x14">
            <control shapeId="1064" r:id="rId19" name="Check Box 40">
              <controlPr defaultSize="0" autoFill="0" autoLine="0" autoPict="0">
                <anchor moveWithCells="1">
                  <from>
                    <xdr:col>4</xdr:col>
                    <xdr:colOff>371475</xdr:colOff>
                    <xdr:row>201</xdr:row>
                    <xdr:rowOff>133350</xdr:rowOff>
                  </from>
                  <to>
                    <xdr:col>4</xdr:col>
                    <xdr:colOff>762000</xdr:colOff>
                    <xdr:row>203</xdr:row>
                    <xdr:rowOff>57150</xdr:rowOff>
                  </to>
                </anchor>
              </controlPr>
            </control>
          </mc:Choice>
        </mc:AlternateContent>
        <mc:AlternateContent xmlns:mc="http://schemas.openxmlformats.org/markup-compatibility/2006">
          <mc:Choice Requires="x14">
            <control shapeId="1066" r:id="rId20" name="Check Box 42">
              <controlPr defaultSize="0" autoFill="0" autoLine="0" autoPict="0">
                <anchor moveWithCells="1">
                  <from>
                    <xdr:col>4</xdr:col>
                    <xdr:colOff>371475</xdr:colOff>
                    <xdr:row>207</xdr:row>
                    <xdr:rowOff>133350</xdr:rowOff>
                  </from>
                  <to>
                    <xdr:col>4</xdr:col>
                    <xdr:colOff>762000</xdr:colOff>
                    <xdr:row>209</xdr:row>
                    <xdr:rowOff>66675</xdr:rowOff>
                  </to>
                </anchor>
              </controlPr>
            </control>
          </mc:Choice>
        </mc:AlternateContent>
        <mc:AlternateContent xmlns:mc="http://schemas.openxmlformats.org/markup-compatibility/2006">
          <mc:Choice Requires="x14">
            <control shapeId="1067" r:id="rId21" name="Check Box 43">
              <controlPr defaultSize="0" autoFill="0" autoLine="0" autoPict="0">
                <anchor moveWithCells="1">
                  <from>
                    <xdr:col>4</xdr:col>
                    <xdr:colOff>371475</xdr:colOff>
                    <xdr:row>208</xdr:row>
                    <xdr:rowOff>133350</xdr:rowOff>
                  </from>
                  <to>
                    <xdr:col>4</xdr:col>
                    <xdr:colOff>762000</xdr:colOff>
                    <xdr:row>210</xdr:row>
                    <xdr:rowOff>28575</xdr:rowOff>
                  </to>
                </anchor>
              </controlPr>
            </control>
          </mc:Choice>
        </mc:AlternateContent>
        <mc:AlternateContent xmlns:mc="http://schemas.openxmlformats.org/markup-compatibility/2006">
          <mc:Choice Requires="x14">
            <control shapeId="1068" r:id="rId22" name="Check Box 44">
              <controlPr defaultSize="0" autoFill="0" autoLine="0" autoPict="0">
                <anchor moveWithCells="1">
                  <from>
                    <xdr:col>4</xdr:col>
                    <xdr:colOff>371475</xdr:colOff>
                    <xdr:row>209</xdr:row>
                    <xdr:rowOff>142875</xdr:rowOff>
                  </from>
                  <to>
                    <xdr:col>4</xdr:col>
                    <xdr:colOff>762000</xdr:colOff>
                    <xdr:row>211</xdr:row>
                    <xdr:rowOff>0</xdr:rowOff>
                  </to>
                </anchor>
              </controlPr>
            </control>
          </mc:Choice>
        </mc:AlternateContent>
        <mc:AlternateContent xmlns:mc="http://schemas.openxmlformats.org/markup-compatibility/2006">
          <mc:Choice Requires="x14">
            <control shapeId="1069" r:id="rId23" name="Check Box 45">
              <controlPr defaultSize="0" autoFill="0" autoLine="0" autoPict="0">
                <anchor moveWithCells="1">
                  <from>
                    <xdr:col>4</xdr:col>
                    <xdr:colOff>371475</xdr:colOff>
                    <xdr:row>210</xdr:row>
                    <xdr:rowOff>142875</xdr:rowOff>
                  </from>
                  <to>
                    <xdr:col>4</xdr:col>
                    <xdr:colOff>762000</xdr:colOff>
                    <xdr:row>212</xdr:row>
                    <xdr:rowOff>0</xdr:rowOff>
                  </to>
                </anchor>
              </controlPr>
            </control>
          </mc:Choice>
        </mc:AlternateContent>
        <mc:AlternateContent xmlns:mc="http://schemas.openxmlformats.org/markup-compatibility/2006">
          <mc:Choice Requires="x14">
            <control shapeId="1070" r:id="rId24" name="Check Box 46">
              <controlPr defaultSize="0" autoFill="0" autoLine="0" autoPict="0">
                <anchor moveWithCells="1">
                  <from>
                    <xdr:col>4</xdr:col>
                    <xdr:colOff>371475</xdr:colOff>
                    <xdr:row>211</xdr:row>
                    <xdr:rowOff>142875</xdr:rowOff>
                  </from>
                  <to>
                    <xdr:col>4</xdr:col>
                    <xdr:colOff>762000</xdr:colOff>
                    <xdr:row>213</xdr:row>
                    <xdr:rowOff>0</xdr:rowOff>
                  </to>
                </anchor>
              </controlPr>
            </control>
          </mc:Choice>
        </mc:AlternateContent>
        <mc:AlternateContent xmlns:mc="http://schemas.openxmlformats.org/markup-compatibility/2006">
          <mc:Choice Requires="x14">
            <control shapeId="1071" r:id="rId25" name="Check Box 47">
              <controlPr defaultSize="0" autoFill="0" autoLine="0" autoPict="0">
                <anchor moveWithCells="1">
                  <from>
                    <xdr:col>4</xdr:col>
                    <xdr:colOff>371475</xdr:colOff>
                    <xdr:row>212</xdr:row>
                    <xdr:rowOff>142875</xdr:rowOff>
                  </from>
                  <to>
                    <xdr:col>4</xdr:col>
                    <xdr:colOff>762000</xdr:colOff>
                    <xdr:row>214</xdr:row>
                    <xdr:rowOff>0</xdr:rowOff>
                  </to>
                </anchor>
              </controlPr>
            </control>
          </mc:Choice>
        </mc:AlternateContent>
        <mc:AlternateContent xmlns:mc="http://schemas.openxmlformats.org/markup-compatibility/2006">
          <mc:Choice Requires="x14">
            <control shapeId="1072" r:id="rId26" name="Check Box 48">
              <controlPr defaultSize="0" autoFill="0" autoLine="0" autoPict="0">
                <anchor moveWithCells="1">
                  <from>
                    <xdr:col>4</xdr:col>
                    <xdr:colOff>371475</xdr:colOff>
                    <xdr:row>213</xdr:row>
                    <xdr:rowOff>142875</xdr:rowOff>
                  </from>
                  <to>
                    <xdr:col>4</xdr:col>
                    <xdr:colOff>762000</xdr:colOff>
                    <xdr:row>214</xdr:row>
                    <xdr:rowOff>257175</xdr:rowOff>
                  </to>
                </anchor>
              </controlPr>
            </control>
          </mc:Choice>
        </mc:AlternateContent>
        <mc:AlternateContent xmlns:mc="http://schemas.openxmlformats.org/markup-compatibility/2006">
          <mc:Choice Requires="x14">
            <control shapeId="1073" r:id="rId27" name="Check Box 49">
              <controlPr defaultSize="0" autoFill="0" autoLine="0" autoPict="0">
                <anchor moveWithCells="1">
                  <from>
                    <xdr:col>4</xdr:col>
                    <xdr:colOff>371475</xdr:colOff>
                    <xdr:row>214</xdr:row>
                    <xdr:rowOff>161925</xdr:rowOff>
                  </from>
                  <to>
                    <xdr:col>4</xdr:col>
                    <xdr:colOff>762000</xdr:colOff>
                    <xdr:row>215</xdr:row>
                    <xdr:rowOff>257175</xdr:rowOff>
                  </to>
                </anchor>
              </controlPr>
            </control>
          </mc:Choice>
        </mc:AlternateContent>
        <mc:AlternateContent xmlns:mc="http://schemas.openxmlformats.org/markup-compatibility/2006">
          <mc:Choice Requires="x14">
            <control shapeId="1074" r:id="rId28" name="Check Box 50">
              <controlPr defaultSize="0" autoFill="0" autoLine="0" autoPict="0">
                <anchor moveWithCells="1">
                  <from>
                    <xdr:col>4</xdr:col>
                    <xdr:colOff>371475</xdr:colOff>
                    <xdr:row>215</xdr:row>
                    <xdr:rowOff>161925</xdr:rowOff>
                  </from>
                  <to>
                    <xdr:col>4</xdr:col>
                    <xdr:colOff>762000</xdr:colOff>
                    <xdr:row>216</xdr:row>
                    <xdr:rowOff>257175</xdr:rowOff>
                  </to>
                </anchor>
              </controlPr>
            </control>
          </mc:Choice>
        </mc:AlternateContent>
        <mc:AlternateContent xmlns:mc="http://schemas.openxmlformats.org/markup-compatibility/2006">
          <mc:Choice Requires="x14">
            <control shapeId="1075" r:id="rId29" name="Check Box 51">
              <controlPr defaultSize="0" autoFill="0" autoLine="0" autoPict="0">
                <anchor moveWithCells="1">
                  <from>
                    <xdr:col>4</xdr:col>
                    <xdr:colOff>371475</xdr:colOff>
                    <xdr:row>216</xdr:row>
                    <xdr:rowOff>161925</xdr:rowOff>
                  </from>
                  <to>
                    <xdr:col>4</xdr:col>
                    <xdr:colOff>762000</xdr:colOff>
                    <xdr:row>217</xdr:row>
                    <xdr:rowOff>257175</xdr:rowOff>
                  </to>
                </anchor>
              </controlPr>
            </control>
          </mc:Choice>
        </mc:AlternateContent>
        <mc:AlternateContent xmlns:mc="http://schemas.openxmlformats.org/markup-compatibility/2006">
          <mc:Choice Requires="x14">
            <control shapeId="1076" r:id="rId30" name="Check Box 52">
              <controlPr defaultSize="0" autoFill="0" autoLine="0" autoPict="0">
                <anchor moveWithCells="1">
                  <from>
                    <xdr:col>4</xdr:col>
                    <xdr:colOff>371475</xdr:colOff>
                    <xdr:row>217</xdr:row>
                    <xdr:rowOff>228600</xdr:rowOff>
                  </from>
                  <to>
                    <xdr:col>4</xdr:col>
                    <xdr:colOff>714375</xdr:colOff>
                    <xdr:row>218</xdr:row>
                    <xdr:rowOff>257175</xdr:rowOff>
                  </to>
                </anchor>
              </controlPr>
            </control>
          </mc:Choice>
        </mc:AlternateContent>
        <mc:AlternateContent xmlns:mc="http://schemas.openxmlformats.org/markup-compatibility/2006">
          <mc:Choice Requires="x14">
            <control shapeId="1077" r:id="rId31" name="Check Box 53">
              <controlPr defaultSize="0" autoFill="0" autoLine="0" autoPict="0">
                <anchor moveWithCells="1">
                  <from>
                    <xdr:col>4</xdr:col>
                    <xdr:colOff>381000</xdr:colOff>
                    <xdr:row>178</xdr:row>
                    <xdr:rowOff>142875</xdr:rowOff>
                  </from>
                  <to>
                    <xdr:col>4</xdr:col>
                    <xdr:colOff>771525</xdr:colOff>
                    <xdr:row>180</xdr:row>
                    <xdr:rowOff>57150</xdr:rowOff>
                  </to>
                </anchor>
              </controlPr>
            </control>
          </mc:Choice>
        </mc:AlternateContent>
        <mc:AlternateContent xmlns:mc="http://schemas.openxmlformats.org/markup-compatibility/2006">
          <mc:Choice Requires="x14">
            <control shapeId="1078" r:id="rId32" name="Check Box 54">
              <controlPr defaultSize="0" autoFill="0" autoLine="0" autoPict="0">
                <anchor moveWithCells="1">
                  <from>
                    <xdr:col>4</xdr:col>
                    <xdr:colOff>381000</xdr:colOff>
                    <xdr:row>184</xdr:row>
                    <xdr:rowOff>142875</xdr:rowOff>
                  </from>
                  <to>
                    <xdr:col>4</xdr:col>
                    <xdr:colOff>771525</xdr:colOff>
                    <xdr:row>186</xdr:row>
                    <xdr:rowOff>19050</xdr:rowOff>
                  </to>
                </anchor>
              </controlPr>
            </control>
          </mc:Choice>
        </mc:AlternateContent>
        <mc:AlternateContent xmlns:mc="http://schemas.openxmlformats.org/markup-compatibility/2006">
          <mc:Choice Requires="x14">
            <control shapeId="1079" r:id="rId33" name="Check Box 55">
              <controlPr defaultSize="0" autoFill="0" autoLine="0" autoPict="0">
                <anchor moveWithCells="1">
                  <from>
                    <xdr:col>4</xdr:col>
                    <xdr:colOff>361950</xdr:colOff>
                    <xdr:row>186</xdr:row>
                    <xdr:rowOff>209550</xdr:rowOff>
                  </from>
                  <to>
                    <xdr:col>4</xdr:col>
                    <xdr:colOff>666750</xdr:colOff>
                    <xdr:row>188</xdr:row>
                    <xdr:rowOff>38100</xdr:rowOff>
                  </to>
                </anchor>
              </controlPr>
            </control>
          </mc:Choice>
        </mc:AlternateContent>
        <mc:AlternateContent xmlns:mc="http://schemas.openxmlformats.org/markup-compatibility/2006">
          <mc:Choice Requires="x14">
            <control shapeId="1080" r:id="rId34" name="Check Box 56">
              <controlPr defaultSize="0" autoFill="0" autoLine="0" autoPict="0">
                <anchor moveWithCells="1">
                  <from>
                    <xdr:col>4</xdr:col>
                    <xdr:colOff>352425</xdr:colOff>
                    <xdr:row>188</xdr:row>
                    <xdr:rowOff>19050</xdr:rowOff>
                  </from>
                  <to>
                    <xdr:col>4</xdr:col>
                    <xdr:colOff>657225</xdr:colOff>
                    <xdr:row>189</xdr:row>
                    <xdr:rowOff>28575</xdr:rowOff>
                  </to>
                </anchor>
              </controlPr>
            </control>
          </mc:Choice>
        </mc:AlternateContent>
        <mc:AlternateContent xmlns:mc="http://schemas.openxmlformats.org/markup-compatibility/2006">
          <mc:Choice Requires="x14">
            <control shapeId="1081" r:id="rId35" name="Check Box 57">
              <controlPr defaultSize="0" autoFill="0" autoLine="0" autoPict="0">
                <anchor moveWithCells="1">
                  <from>
                    <xdr:col>4</xdr:col>
                    <xdr:colOff>352425</xdr:colOff>
                    <xdr:row>189</xdr:row>
                    <xdr:rowOff>0</xdr:rowOff>
                  </from>
                  <to>
                    <xdr:col>4</xdr:col>
                    <xdr:colOff>657225</xdr:colOff>
                    <xdr:row>190</xdr:row>
                    <xdr:rowOff>9525</xdr:rowOff>
                  </to>
                </anchor>
              </controlPr>
            </control>
          </mc:Choice>
        </mc:AlternateContent>
        <mc:AlternateContent xmlns:mc="http://schemas.openxmlformats.org/markup-compatibility/2006">
          <mc:Choice Requires="x14">
            <control shapeId="1082" r:id="rId36" name="Check Box 58">
              <controlPr defaultSize="0" autoFill="0" autoLine="0" autoPict="0">
                <anchor moveWithCells="1">
                  <from>
                    <xdr:col>4</xdr:col>
                    <xdr:colOff>352425</xdr:colOff>
                    <xdr:row>190</xdr:row>
                    <xdr:rowOff>0</xdr:rowOff>
                  </from>
                  <to>
                    <xdr:col>4</xdr:col>
                    <xdr:colOff>657225</xdr:colOff>
                    <xdr:row>191</xdr:row>
                    <xdr:rowOff>9525</xdr:rowOff>
                  </to>
                </anchor>
              </controlPr>
            </control>
          </mc:Choice>
        </mc:AlternateContent>
        <mc:AlternateContent xmlns:mc="http://schemas.openxmlformats.org/markup-compatibility/2006">
          <mc:Choice Requires="x14">
            <control shapeId="1083" r:id="rId37" name="Check Box 59">
              <controlPr defaultSize="0" autoFill="0" autoLine="0" autoPict="0">
                <anchor moveWithCells="1">
                  <from>
                    <xdr:col>4</xdr:col>
                    <xdr:colOff>352425</xdr:colOff>
                    <xdr:row>191</xdr:row>
                    <xdr:rowOff>38100</xdr:rowOff>
                  </from>
                  <to>
                    <xdr:col>4</xdr:col>
                    <xdr:colOff>657225</xdr:colOff>
                    <xdr:row>192</xdr:row>
                    <xdr:rowOff>38100</xdr:rowOff>
                  </to>
                </anchor>
              </controlPr>
            </control>
          </mc:Choice>
        </mc:AlternateContent>
        <mc:AlternateContent xmlns:mc="http://schemas.openxmlformats.org/markup-compatibility/2006">
          <mc:Choice Requires="x14">
            <control shapeId="1084" r:id="rId38" name="Check Box 60">
              <controlPr defaultSize="0" autoFill="0" autoLine="0" autoPict="0">
                <anchor moveWithCells="1">
                  <from>
                    <xdr:col>4</xdr:col>
                    <xdr:colOff>352425</xdr:colOff>
                    <xdr:row>192</xdr:row>
                    <xdr:rowOff>38100</xdr:rowOff>
                  </from>
                  <to>
                    <xdr:col>4</xdr:col>
                    <xdr:colOff>657225</xdr:colOff>
                    <xdr:row>193</xdr:row>
                    <xdr:rowOff>38100</xdr:rowOff>
                  </to>
                </anchor>
              </controlPr>
            </control>
          </mc:Choice>
        </mc:AlternateContent>
        <mc:AlternateContent xmlns:mc="http://schemas.openxmlformats.org/markup-compatibility/2006">
          <mc:Choice Requires="x14">
            <control shapeId="1085" r:id="rId39" name="Check Box 61">
              <controlPr defaultSize="0" autoFill="0" autoLine="0" autoPict="0">
                <anchor moveWithCells="1">
                  <from>
                    <xdr:col>4</xdr:col>
                    <xdr:colOff>390525</xdr:colOff>
                    <xdr:row>206</xdr:row>
                    <xdr:rowOff>114300</xdr:rowOff>
                  </from>
                  <to>
                    <xdr:col>4</xdr:col>
                    <xdr:colOff>781050</xdr:colOff>
                    <xdr:row>208</xdr:row>
                    <xdr:rowOff>38100</xdr:rowOff>
                  </to>
                </anchor>
              </controlPr>
            </control>
          </mc:Choice>
        </mc:AlternateContent>
        <mc:AlternateContent xmlns:mc="http://schemas.openxmlformats.org/markup-compatibility/2006">
          <mc:Choice Requires="x14">
            <control shapeId="1086" r:id="rId40" name="Check Box 62">
              <controlPr defaultSize="0" autoFill="0" autoLine="0" autoPict="0">
                <anchor moveWithCells="1">
                  <from>
                    <xdr:col>4</xdr:col>
                    <xdr:colOff>361950</xdr:colOff>
                    <xdr:row>202</xdr:row>
                    <xdr:rowOff>123825</xdr:rowOff>
                  </from>
                  <to>
                    <xdr:col>4</xdr:col>
                    <xdr:colOff>752475</xdr:colOff>
                    <xdr:row>204</xdr:row>
                    <xdr:rowOff>47625</xdr:rowOff>
                  </to>
                </anchor>
              </controlPr>
            </control>
          </mc:Choice>
        </mc:AlternateContent>
        <mc:AlternateContent xmlns:mc="http://schemas.openxmlformats.org/markup-compatibility/2006">
          <mc:Choice Requires="x14">
            <control shapeId="1087" r:id="rId41" name="Check Box 63">
              <controlPr defaultSize="0" autoFill="0" autoLine="0" autoPict="0">
                <anchor moveWithCells="1">
                  <from>
                    <xdr:col>4</xdr:col>
                    <xdr:colOff>361950</xdr:colOff>
                    <xdr:row>203</xdr:row>
                    <xdr:rowOff>85725</xdr:rowOff>
                  </from>
                  <to>
                    <xdr:col>4</xdr:col>
                    <xdr:colOff>752475</xdr:colOff>
                    <xdr:row>205</xdr:row>
                    <xdr:rowOff>19050</xdr:rowOff>
                  </to>
                </anchor>
              </controlPr>
            </control>
          </mc:Choice>
        </mc:AlternateContent>
        <mc:AlternateContent xmlns:mc="http://schemas.openxmlformats.org/markup-compatibility/2006">
          <mc:Choice Requires="x14">
            <control shapeId="1088" r:id="rId42" name="Check Box 64">
              <controlPr defaultSize="0" autoFill="0" autoLine="0" autoPict="0">
                <anchor moveWithCells="1">
                  <from>
                    <xdr:col>4</xdr:col>
                    <xdr:colOff>381000</xdr:colOff>
                    <xdr:row>204</xdr:row>
                    <xdr:rowOff>123825</xdr:rowOff>
                  </from>
                  <to>
                    <xdr:col>4</xdr:col>
                    <xdr:colOff>771525</xdr:colOff>
                    <xdr:row>206</xdr:row>
                    <xdr:rowOff>57150</xdr:rowOff>
                  </to>
                </anchor>
              </controlPr>
            </control>
          </mc:Choice>
        </mc:AlternateContent>
        <mc:AlternateContent xmlns:mc="http://schemas.openxmlformats.org/markup-compatibility/2006">
          <mc:Choice Requires="x14">
            <control shapeId="1089" r:id="rId43" name="Check Box 65">
              <controlPr defaultSize="0" autoFill="0" autoLine="0" autoPict="0">
                <anchor moveWithCells="1">
                  <from>
                    <xdr:col>4</xdr:col>
                    <xdr:colOff>400050</xdr:colOff>
                    <xdr:row>205</xdr:row>
                    <xdr:rowOff>123825</xdr:rowOff>
                  </from>
                  <to>
                    <xdr:col>4</xdr:col>
                    <xdr:colOff>790575</xdr:colOff>
                    <xdr:row>207</xdr:row>
                    <xdr:rowOff>57150</xdr:rowOff>
                  </to>
                </anchor>
              </controlPr>
            </control>
          </mc:Choice>
        </mc:AlternateContent>
        <mc:AlternateContent xmlns:mc="http://schemas.openxmlformats.org/markup-compatibility/2006">
          <mc:Choice Requires="x14">
            <control shapeId="1090" r:id="rId44" name="Check Box 66">
              <controlPr defaultSize="0" autoFill="0" autoLine="0" autoPict="0">
                <anchor moveWithCells="1">
                  <from>
                    <xdr:col>4</xdr:col>
                    <xdr:colOff>371475</xdr:colOff>
                    <xdr:row>171</xdr:row>
                    <xdr:rowOff>152400</xdr:rowOff>
                  </from>
                  <to>
                    <xdr:col>4</xdr:col>
                    <xdr:colOff>762000</xdr:colOff>
                    <xdr:row>173</xdr:row>
                    <xdr:rowOff>66675</xdr:rowOff>
                  </to>
                </anchor>
              </controlPr>
            </control>
          </mc:Choice>
        </mc:AlternateContent>
        <mc:AlternateContent xmlns:mc="http://schemas.openxmlformats.org/markup-compatibility/2006">
          <mc:Choice Requires="x14">
            <control shapeId="1091" r:id="rId45" name="Check Box 67">
              <controlPr defaultSize="0" autoFill="0" autoLine="0" autoPict="0">
                <anchor moveWithCells="1">
                  <from>
                    <xdr:col>4</xdr:col>
                    <xdr:colOff>371475</xdr:colOff>
                    <xdr:row>181</xdr:row>
                    <xdr:rowOff>152400</xdr:rowOff>
                  </from>
                  <to>
                    <xdr:col>4</xdr:col>
                    <xdr:colOff>733425</xdr:colOff>
                    <xdr:row>183</xdr:row>
                    <xdr:rowOff>47625</xdr:rowOff>
                  </to>
                </anchor>
              </controlPr>
            </control>
          </mc:Choice>
        </mc:AlternateContent>
        <mc:AlternateContent xmlns:mc="http://schemas.openxmlformats.org/markup-compatibility/2006">
          <mc:Choice Requires="x14">
            <control shapeId="1092" r:id="rId46" name="Check Box 68">
              <controlPr defaultSize="0" autoFill="0" autoLine="0" autoPict="0">
                <anchor moveWithCells="1">
                  <from>
                    <xdr:col>4</xdr:col>
                    <xdr:colOff>381000</xdr:colOff>
                    <xdr:row>179</xdr:row>
                    <xdr:rowOff>133350</xdr:rowOff>
                  </from>
                  <to>
                    <xdr:col>4</xdr:col>
                    <xdr:colOff>742950</xdr:colOff>
                    <xdr:row>181</xdr:row>
                    <xdr:rowOff>28575</xdr:rowOff>
                  </to>
                </anchor>
              </controlPr>
            </control>
          </mc:Choice>
        </mc:AlternateContent>
        <mc:AlternateContent xmlns:mc="http://schemas.openxmlformats.org/markup-compatibility/2006">
          <mc:Choice Requires="x14">
            <control shapeId="1093" r:id="rId47" name="Check Box 69">
              <controlPr defaultSize="0" autoFill="0" autoLine="0" autoPict="0">
                <anchor moveWithCells="1">
                  <from>
                    <xdr:col>4</xdr:col>
                    <xdr:colOff>381000</xdr:colOff>
                    <xdr:row>180</xdr:row>
                    <xdr:rowOff>142875</xdr:rowOff>
                  </from>
                  <to>
                    <xdr:col>4</xdr:col>
                    <xdr:colOff>742950</xdr:colOff>
                    <xdr:row>182</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rgb="FF99CC00"/>
  </sheetPr>
  <dimension ref="A1:AG239"/>
  <sheetViews>
    <sheetView showGridLines="0" topLeftCell="B1" zoomScale="90" zoomScaleNormal="90" zoomScaleSheetLayoutView="80" workbookViewId="0">
      <selection activeCell="G20" sqref="G20"/>
    </sheetView>
  </sheetViews>
  <sheetFormatPr defaultColWidth="5.140625" defaultRowHeight="16.5" outlineLevelCol="1"/>
  <cols>
    <col min="1" max="1" width="10.7109375" style="467" hidden="1" customWidth="1" outlineLevel="1"/>
    <col min="2" max="2" width="2.42578125" style="1348" customWidth="1" collapsed="1"/>
    <col min="3" max="4" width="0.85546875" style="1" customWidth="1"/>
    <col min="5" max="5" width="11" style="1" customWidth="1"/>
    <col min="6" max="6" width="37" style="1" customWidth="1"/>
    <col min="7" max="7" width="59.140625" style="1" customWidth="1"/>
    <col min="8" max="8" width="11" style="1" customWidth="1"/>
    <col min="9" max="9" width="18.5703125" style="1" hidden="1" customWidth="1" outlineLevel="1"/>
    <col min="10" max="10" width="19.7109375" style="1" customWidth="1" collapsed="1"/>
    <col min="11" max="11" width="18.85546875" style="1" customWidth="1"/>
    <col min="12" max="12" width="0.5703125" style="1" customWidth="1"/>
    <col min="13" max="13" width="19.7109375" style="2803" customWidth="1"/>
    <col min="14" max="14" width="0.42578125" style="1033" customWidth="1"/>
    <col min="15" max="15" width="16.28515625" style="184" customWidth="1"/>
    <col min="16" max="16" width="1.7109375" style="1" customWidth="1"/>
    <col min="17" max="17" width="18.28515625" style="1" hidden="1" customWidth="1" outlineLevel="1"/>
    <col min="18" max="18" width="9.85546875" style="1" hidden="1" customWidth="1" outlineLevel="1"/>
    <col min="19" max="19" width="8.5703125" style="1" hidden="1" customWidth="1" outlineLevel="1"/>
    <col min="20" max="22" width="8.7109375" style="1" hidden="1" customWidth="1" outlineLevel="1"/>
    <col min="23" max="23" width="5.140625" style="1" collapsed="1"/>
    <col min="24" max="24" width="5.140625" style="1"/>
    <col min="25" max="25" width="5.140625" style="1" customWidth="1" outlineLevel="1"/>
    <col min="26" max="26" width="61.42578125" style="1213" customWidth="1" outlineLevel="1"/>
    <col min="27" max="27" width="40.42578125" style="1224" customWidth="1" outlineLevel="1"/>
    <col min="28" max="28" width="5.140625" style="1" customWidth="1" outlineLevel="1"/>
    <col min="29" max="16384" width="5.140625" style="1"/>
  </cols>
  <sheetData>
    <row r="1" spans="1:27">
      <c r="N1" s="2791"/>
    </row>
    <row r="2" spans="1:27">
      <c r="N2" s="2791"/>
    </row>
    <row r="3" spans="1:27">
      <c r="N3" s="2791"/>
    </row>
    <row r="4" spans="1:27">
      <c r="N4" s="2791"/>
    </row>
    <row r="5" spans="1:27" ht="6.75" customHeight="1">
      <c r="A5" s="1851"/>
      <c r="C5" s="1851"/>
      <c r="D5" s="1851"/>
      <c r="E5" s="1851"/>
      <c r="F5" s="1851"/>
      <c r="G5" s="1851"/>
      <c r="H5" s="1851"/>
      <c r="I5" s="1851"/>
      <c r="J5" s="1851"/>
      <c r="K5" s="1851"/>
      <c r="L5" s="1851"/>
      <c r="M5" s="2804"/>
      <c r="N5" s="1852"/>
      <c r="O5" s="1851"/>
    </row>
    <row r="6" spans="1:27" s="2" customFormat="1" ht="54.75" customHeight="1">
      <c r="A6" s="1853"/>
      <c r="B6" s="2746"/>
      <c r="C6" s="1854"/>
      <c r="D6" s="1854"/>
      <c r="E6" s="1854"/>
      <c r="F6" s="3564" t="str">
        <f>IF('Input '!$E$1="EN",'Quote template-2'!$AA$6,'Quote template-2'!Z6)</f>
        <v>CONTRACTOR'S QUOTE</v>
      </c>
      <c r="G6" s="3564"/>
      <c r="H6" s="3564"/>
      <c r="I6" s="3564"/>
      <c r="J6" s="3564"/>
      <c r="K6" s="3564"/>
      <c r="L6" s="3564"/>
      <c r="M6" s="3564"/>
      <c r="N6" s="1855"/>
      <c r="O6" s="1854"/>
      <c r="P6" s="1074"/>
      <c r="Z6" s="1214" t="str">
        <f>VLOOKUP('Input '!$G$36,Settings!$A$197:$B$202,2,FALSE)</f>
        <v>Contractor's Quote</v>
      </c>
      <c r="AA6" s="1225" t="s">
        <v>4218</v>
      </c>
    </row>
    <row r="7" spans="1:27" ht="3.75" customHeight="1">
      <c r="A7" s="1851"/>
      <c r="B7" s="2747"/>
      <c r="C7" s="1856"/>
      <c r="D7" s="1856"/>
      <c r="E7" s="1856"/>
      <c r="F7" s="1851"/>
      <c r="G7" s="1851"/>
      <c r="H7" s="1851"/>
      <c r="I7" s="1851"/>
      <c r="J7" s="1851"/>
      <c r="K7" s="1851"/>
      <c r="L7" s="1851"/>
      <c r="M7" s="2804"/>
      <c r="N7" s="1852"/>
      <c r="O7" s="1851"/>
      <c r="P7" s="3"/>
      <c r="Q7" s="3"/>
      <c r="AA7" s="1226"/>
    </row>
    <row r="8" spans="1:27" ht="8.25" hidden="1" customHeight="1">
      <c r="A8" s="1851"/>
      <c r="B8" s="2747"/>
      <c r="C8" s="1856"/>
      <c r="D8" s="1856"/>
      <c r="E8" s="1856"/>
      <c r="F8" s="1851"/>
      <c r="G8" s="1851"/>
      <c r="H8" s="1851"/>
      <c r="I8" s="1851"/>
      <c r="J8" s="1851"/>
      <c r="K8" s="1851"/>
      <c r="L8" s="1851"/>
      <c r="M8" s="2804"/>
      <c r="N8" s="1852"/>
      <c r="O8" s="1851"/>
      <c r="P8" s="3"/>
      <c r="Q8" s="3"/>
    </row>
    <row r="9" spans="1:27" ht="8.25" hidden="1" customHeight="1">
      <c r="A9" s="1851"/>
      <c r="B9" s="2747"/>
      <c r="C9" s="1856"/>
      <c r="D9" s="1856"/>
      <c r="E9" s="1856"/>
      <c r="F9" s="1851"/>
      <c r="G9" s="1851"/>
      <c r="H9" s="1851"/>
      <c r="I9" s="1851"/>
      <c r="J9" s="1851"/>
      <c r="K9" s="1851"/>
      <c r="L9" s="1851"/>
      <c r="M9" s="2804"/>
      <c r="N9" s="1852"/>
      <c r="O9" s="1851"/>
      <c r="P9" s="3"/>
      <c r="Q9" s="3"/>
    </row>
    <row r="10" spans="1:27" ht="8.25" hidden="1" customHeight="1">
      <c r="A10" s="1851"/>
      <c r="B10" s="2747"/>
      <c r="C10" s="1856"/>
      <c r="D10" s="1856"/>
      <c r="E10" s="1856"/>
      <c r="F10" s="1851"/>
      <c r="G10" s="1851"/>
      <c r="H10" s="1851"/>
      <c r="I10" s="1851"/>
      <c r="J10" s="1851"/>
      <c r="K10" s="1851"/>
      <c r="L10" s="1851"/>
      <c r="M10" s="2804"/>
      <c r="N10" s="1852"/>
      <c r="O10" s="1851"/>
      <c r="P10" s="3"/>
      <c r="Q10" s="3"/>
    </row>
    <row r="11" spans="1:27" ht="8.25" hidden="1" customHeight="1">
      <c r="A11" s="1851"/>
      <c r="B11" s="2747"/>
      <c r="C11" s="1856"/>
      <c r="D11" s="1856"/>
      <c r="E11" s="1856"/>
      <c r="F11" s="1851"/>
      <c r="G11" s="1851"/>
      <c r="H11" s="1851"/>
      <c r="I11" s="1851"/>
      <c r="J11" s="1851"/>
      <c r="K11" s="1851"/>
      <c r="L11" s="1851"/>
      <c r="M11" s="2804"/>
      <c r="N11" s="1852"/>
      <c r="O11" s="1851"/>
      <c r="P11" s="3"/>
      <c r="Q11" s="3"/>
    </row>
    <row r="12" spans="1:27" ht="8.25" hidden="1" customHeight="1">
      <c r="A12" s="1851"/>
      <c r="B12" s="2747"/>
      <c r="C12" s="1856"/>
      <c r="D12" s="1856"/>
      <c r="E12" s="1856"/>
      <c r="F12" s="1851"/>
      <c r="G12" s="1851"/>
      <c r="H12" s="1851"/>
      <c r="I12" s="1851"/>
      <c r="J12" s="1851"/>
      <c r="K12" s="1851"/>
      <c r="L12" s="1851"/>
      <c r="M12" s="2804"/>
      <c r="N12" s="1852"/>
      <c r="O12" s="1851"/>
      <c r="P12" s="3"/>
      <c r="Q12" s="3"/>
    </row>
    <row r="13" spans="1:27" ht="8.25" hidden="1" customHeight="1">
      <c r="A13" s="1851"/>
      <c r="B13" s="2747"/>
      <c r="C13" s="1856"/>
      <c r="D13" s="1856"/>
      <c r="E13" s="1856"/>
      <c r="F13" s="1851"/>
      <c r="G13" s="1851"/>
      <c r="H13" s="1851"/>
      <c r="I13" s="1851"/>
      <c r="J13" s="1851"/>
      <c r="K13" s="1851"/>
      <c r="L13" s="1851"/>
      <c r="M13" s="2804"/>
      <c r="N13" s="1852"/>
      <c r="O13" s="1851"/>
      <c r="P13" s="3"/>
      <c r="Q13" s="3"/>
    </row>
    <row r="14" spans="1:27" ht="8.25" customHeight="1">
      <c r="A14" s="1851"/>
      <c r="B14" s="2747"/>
      <c r="C14" s="1856"/>
      <c r="D14" s="1856"/>
      <c r="E14" s="1856"/>
      <c r="F14" s="1851"/>
      <c r="G14" s="1851"/>
      <c r="H14" s="1851"/>
      <c r="I14" s="1851"/>
      <c r="J14" s="1851"/>
      <c r="K14" s="1851"/>
      <c r="L14" s="1851"/>
      <c r="M14" s="2804"/>
      <c r="N14" s="1852"/>
      <c r="O14" s="1851"/>
      <c r="P14" s="3"/>
      <c r="Q14" s="3"/>
    </row>
    <row r="15" spans="1:27" s="3" customFormat="1" ht="17.25">
      <c r="A15" s="1856"/>
      <c r="B15" s="2747"/>
      <c r="C15" s="1856"/>
      <c r="D15" s="1856"/>
      <c r="E15" s="1856"/>
      <c r="F15" s="1856" t="str">
        <f>IF('Input '!$E$1="EN",'Quote template-2'!AA15,'Quote template-2'!Z15)</f>
        <v>Underwiter's name:</v>
      </c>
      <c r="G15" s="2790">
        <f>'Quote template-1'!G14</f>
        <v>0</v>
      </c>
      <c r="H15" s="1856"/>
      <c r="I15" s="1856"/>
      <c r="J15" s="1856"/>
      <c r="K15" s="1857" t="str">
        <f>IF('Input '!$E$1="EN",'Quote template-2'!AA28,'Quote template-2'!Z28)</f>
        <v>How can we help?</v>
      </c>
      <c r="L15" s="1857"/>
      <c r="M15" s="2802"/>
      <c r="N15" s="1856"/>
      <c r="O15" s="1856"/>
      <c r="Z15" s="1213" t="s">
        <v>6</v>
      </c>
      <c r="AA15" s="1224" t="s">
        <v>3536</v>
      </c>
    </row>
    <row r="16" spans="1:27" ht="17.25">
      <c r="A16" s="1851"/>
      <c r="C16" s="1851"/>
      <c r="D16" s="1851"/>
      <c r="E16" s="1851"/>
      <c r="F16" s="1856" t="str">
        <f>IF('Input '!$E$1="EN",'Quote template-2'!AA16,'Quote template-2'!Z16)</f>
        <v>Submission date:</v>
      </c>
      <c r="G16" s="1858">
        <f>'Quote template-1'!G15</f>
        <v>0</v>
      </c>
      <c r="H16" s="1856"/>
      <c r="I16" s="1856"/>
      <c r="J16" s="1856"/>
      <c r="K16" s="1859" t="str">
        <f>IF('Input '!$E$1="EN",'Quote template-2'!AA42,'Quote template-2'!Z42)</f>
        <v>1-855-745-1010</v>
      </c>
      <c r="L16" s="1859"/>
      <c r="M16" s="2801"/>
      <c r="N16" s="1852"/>
      <c r="O16" s="1851"/>
      <c r="Z16" s="1213" t="s">
        <v>3</v>
      </c>
      <c r="AA16" s="1224" t="s">
        <v>3537</v>
      </c>
    </row>
    <row r="17" spans="1:28" ht="17.25">
      <c r="A17" s="1851"/>
      <c r="C17" s="1851"/>
      <c r="D17" s="1851"/>
      <c r="E17" s="1851"/>
      <c r="F17" s="1856" t="str">
        <f>IF('Input '!$E$1="EN",'Quote template-2'!AA17,'Quote template-2'!Z17)</f>
        <v>Broker:</v>
      </c>
      <c r="G17" s="1860">
        <f>'Quote template-1'!G16</f>
        <v>0</v>
      </c>
      <c r="H17" s="1856"/>
      <c r="I17" s="1856"/>
      <c r="J17" s="1856"/>
      <c r="K17" s="1861"/>
      <c r="L17" s="1856"/>
      <c r="M17" s="2805"/>
      <c r="N17" s="1856"/>
      <c r="O17" s="1861"/>
      <c r="Z17" s="1213" t="s">
        <v>5</v>
      </c>
      <c r="AA17" s="1224" t="s">
        <v>3531</v>
      </c>
    </row>
    <row r="18" spans="1:28" ht="17.25">
      <c r="A18" s="1851"/>
      <c r="C18" s="1851"/>
      <c r="D18" s="1851"/>
      <c r="E18" s="1851"/>
      <c r="F18" s="1856" t="str">
        <f>IF('Input '!$E$1="EN",'Quote template-2'!AA32,'Quote template-2'!Z32)</f>
        <v>Quote ref:</v>
      </c>
      <c r="G18" s="1860">
        <f>'Quote template-1'!$G$17</f>
        <v>0</v>
      </c>
      <c r="H18" s="1856"/>
      <c r="I18" s="1856"/>
      <c r="J18" s="1856"/>
      <c r="K18" s="1861"/>
      <c r="L18" s="1856"/>
      <c r="M18" s="2805"/>
      <c r="N18" s="1856"/>
      <c r="O18" s="1861"/>
    </row>
    <row r="19" spans="1:28" ht="7.5" customHeight="1">
      <c r="A19" s="1851"/>
      <c r="C19" s="1851"/>
      <c r="D19" s="1851"/>
      <c r="E19" s="1851"/>
      <c r="F19" s="1856"/>
      <c r="G19" s="1856"/>
      <c r="H19" s="1856"/>
      <c r="I19" s="1856"/>
      <c r="J19" s="1856"/>
      <c r="K19" s="1861"/>
      <c r="L19" s="1856"/>
      <c r="M19" s="2801"/>
      <c r="N19" s="1859"/>
      <c r="O19" s="1856"/>
      <c r="Z19" s="1214"/>
    </row>
    <row r="20" spans="1:28" s="3" customFormat="1" ht="17.25">
      <c r="A20" s="1856"/>
      <c r="B20" s="2747"/>
      <c r="C20" s="1856"/>
      <c r="D20" s="1856"/>
      <c r="E20" s="1856"/>
      <c r="F20" s="1863" t="str">
        <f>IF('Input '!$E$1="EN",'Quote template-2'!AA20,'Quote template-2'!Z20)</f>
        <v>Information Insured</v>
      </c>
      <c r="G20" s="1856"/>
      <c r="H20" s="1856"/>
      <c r="I20" s="1856"/>
      <c r="J20" s="1856"/>
      <c r="K20" s="1856"/>
      <c r="L20" s="1856"/>
      <c r="M20" s="2801"/>
      <c r="N20" s="1859"/>
      <c r="O20" s="1856"/>
      <c r="Z20" s="1213" t="s">
        <v>13</v>
      </c>
      <c r="AA20" s="1224" t="s">
        <v>3538</v>
      </c>
    </row>
    <row r="21" spans="1:28" ht="17.25">
      <c r="A21" s="1851"/>
      <c r="C21" s="1851"/>
      <c r="D21" s="1851"/>
      <c r="E21" s="1851"/>
      <c r="F21" s="1856" t="str">
        <f>IF('Input '!$E$1="EN",'Quote template-2'!AA21,'Quote template-2'!Z21)</f>
        <v>Insured's Name:</v>
      </c>
      <c r="G21" s="1860">
        <f>'Quote template-1'!G20</f>
        <v>0</v>
      </c>
      <c r="H21" s="1856"/>
      <c r="I21" s="1856"/>
      <c r="J21" s="1856"/>
      <c r="K21" s="1856"/>
      <c r="L21" s="1856"/>
      <c r="M21" s="2801"/>
      <c r="N21" s="1859"/>
      <c r="O21" s="1856"/>
      <c r="Z21" s="1213" t="s">
        <v>8</v>
      </c>
      <c r="AA21" s="1224" t="s">
        <v>3539</v>
      </c>
    </row>
    <row r="22" spans="1:28" ht="21" customHeight="1">
      <c r="A22" s="1851"/>
      <c r="C22" s="1851"/>
      <c r="D22" s="1851"/>
      <c r="E22" s="1851"/>
      <c r="F22" s="1864" t="str">
        <f>IF('Input '!$E$1="EN",'Quote template-2'!AA22,'Quote template-2'!Z22)</f>
        <v>Operations of the insured:</v>
      </c>
      <c r="G22" s="3587">
        <f>'Input '!$G$4</f>
        <v>0</v>
      </c>
      <c r="H22" s="3587"/>
      <c r="I22" s="3587"/>
      <c r="J22" s="3587"/>
      <c r="K22" s="3587"/>
      <c r="L22" s="3587"/>
      <c r="M22" s="3587"/>
      <c r="N22" s="2792"/>
      <c r="O22" s="2792"/>
      <c r="Z22" s="1213" t="s">
        <v>1093</v>
      </c>
      <c r="AA22" s="1224" t="s">
        <v>3556</v>
      </c>
    </row>
    <row r="23" spans="1:28" ht="17.25">
      <c r="A23" s="1851"/>
      <c r="C23" s="1851"/>
      <c r="D23" s="1851"/>
      <c r="E23" s="1851"/>
      <c r="F23" s="1856" t="str">
        <f>IF('Input '!$E$1="EN",'Quote template-2'!AA23,'Quote template-2'!Z23)</f>
        <v>Main IBC Code:</v>
      </c>
      <c r="G23" s="2607" t="str">
        <f>CONCATENATE('Input '!G37,"-",'Input '!K37)</f>
        <v>-</v>
      </c>
      <c r="H23" s="2601"/>
      <c r="I23" s="2601"/>
      <c r="J23" s="2602"/>
      <c r="K23" s="2602" t="str">
        <f>IF(M25="Quebec","Activité exercée","")</f>
        <v/>
      </c>
      <c r="L23" s="2602"/>
      <c r="M23" s="2806">
        <f>'Input '!R3</f>
        <v>0</v>
      </c>
      <c r="N23" s="2603"/>
      <c r="O23" s="2602"/>
      <c r="Z23" s="1213" t="s">
        <v>969</v>
      </c>
      <c r="AA23" s="1224" t="s">
        <v>3532</v>
      </c>
    </row>
    <row r="24" spans="1:28" ht="17.25">
      <c r="A24" s="1851"/>
      <c r="C24" s="1851"/>
      <c r="D24" s="1851"/>
      <c r="E24" s="1851"/>
      <c r="F24" s="1856" t="str">
        <f>IF('Input '!$E$1="EN",'Quote template-2'!AA34,'Quote template-2'!Z34)</f>
        <v>Total revenues declared:</v>
      </c>
      <c r="G24" s="3250">
        <f>'Input '!G39</f>
        <v>0</v>
      </c>
      <c r="H24" s="2601"/>
      <c r="I24" s="2601"/>
      <c r="J24" s="2602"/>
      <c r="K24" s="2602"/>
      <c r="L24" s="2602"/>
      <c r="M24" s="2806"/>
      <c r="N24" s="2603"/>
      <c r="O24" s="2602"/>
    </row>
    <row r="25" spans="1:28" ht="17.25">
      <c r="A25" s="1851"/>
      <c r="C25" s="1851"/>
      <c r="D25" s="1851"/>
      <c r="E25" s="1851"/>
      <c r="F25" s="1856" t="str">
        <f>IF('Input '!$E$1="EN",'Quote template-2'!AA25,'Quote template-2'!Z25)</f>
        <v>Address:</v>
      </c>
      <c r="G25" s="1916">
        <f>'Quote template-1'!G24</f>
        <v>0</v>
      </c>
      <c r="H25" s="1917"/>
      <c r="I25" s="1917"/>
      <c r="J25" s="1861"/>
      <c r="K25" s="1861" t="str">
        <f>IF('Input '!$E$1="EN",'Quote template-2'!AA29,'Quote template-2'!Z29)</f>
        <v>Province:</v>
      </c>
      <c r="L25" s="1856"/>
      <c r="M25" s="2807">
        <f>'Quote template-1'!N24</f>
        <v>0</v>
      </c>
      <c r="N25" s="1856"/>
      <c r="O25" s="1856"/>
      <c r="Z25" s="1213" t="s">
        <v>9</v>
      </c>
      <c r="AA25" s="1224" t="s">
        <v>3533</v>
      </c>
    </row>
    <row r="26" spans="1:28" ht="17.25">
      <c r="A26" s="1851"/>
      <c r="C26" s="1851"/>
      <c r="D26" s="1851"/>
      <c r="E26" s="1851"/>
      <c r="F26" s="1856" t="str">
        <f>IF('Input '!$E$1="EN",'Quote template-2'!AA26,'Quote template-2'!Z26)</f>
        <v>City:</v>
      </c>
      <c r="G26" s="1860">
        <f>'Quote template-1'!G25</f>
        <v>0</v>
      </c>
      <c r="H26" s="1856"/>
      <c r="I26" s="1856"/>
      <c r="J26" s="1861"/>
      <c r="K26" s="1861" t="str">
        <f>IF('Input '!$E$1="EN",'Quote template-2'!AA30,'Quote template-2'!Z30)</f>
        <v>Postal code:</v>
      </c>
      <c r="L26" s="1856"/>
      <c r="M26" s="2807">
        <f>'Quote template-1'!N25</f>
        <v>0</v>
      </c>
      <c r="N26" s="1861"/>
      <c r="O26" s="1861"/>
      <c r="Z26" s="1213" t="s">
        <v>12</v>
      </c>
      <c r="AA26" s="1224" t="s">
        <v>3534</v>
      </c>
    </row>
    <row r="27" spans="1:28" ht="17.25">
      <c r="A27" s="1851"/>
      <c r="C27" s="1851"/>
      <c r="D27" s="1851"/>
      <c r="E27" s="1851"/>
      <c r="F27" s="1856" t="str">
        <f>IF('Input '!$E$1="EN",'Quote template-2'!AA27,'Quote template-2'!Z27)</f>
        <v>Effective date:</v>
      </c>
      <c r="G27" s="1858">
        <f>'Quote template-1'!G26</f>
        <v>43470</v>
      </c>
      <c r="H27" s="1856"/>
      <c r="I27" s="1856"/>
      <c r="J27" s="1856"/>
      <c r="K27" s="1861" t="str">
        <f>IF('Input '!$E$1="EN",'Quote template-2'!AA31,'Quote template-2'!Z31)</f>
        <v>Term:</v>
      </c>
      <c r="L27" s="1856"/>
      <c r="M27" s="1858">
        <f>'Quote template-1'!N26</f>
        <v>43835</v>
      </c>
      <c r="N27" s="1865"/>
      <c r="O27" s="1856"/>
      <c r="Z27" s="1213" t="s">
        <v>7</v>
      </c>
      <c r="AA27" s="1224" t="s">
        <v>3535</v>
      </c>
    </row>
    <row r="28" spans="1:28" ht="18.75" customHeight="1">
      <c r="A28" s="1851"/>
      <c r="C28" s="1851"/>
      <c r="D28" s="1851"/>
      <c r="E28" s="1851"/>
      <c r="F28" s="1851" t="str">
        <f>IF(OR('Input '!$G$36="Endorsement",'Input '!$G$36="Avenant"),IF('Input '!$E$1="EN","Endorsement effective date:","Date Avenant"),"")</f>
        <v/>
      </c>
      <c r="G28" s="1858"/>
      <c r="H28" s="1866"/>
      <c r="I28" s="1866"/>
      <c r="J28" s="1866"/>
      <c r="K28" s="1866"/>
      <c r="L28" s="1866"/>
      <c r="M28" s="2802"/>
      <c r="N28" s="1857"/>
      <c r="O28" s="1866"/>
      <c r="Z28" s="1213" t="s">
        <v>233</v>
      </c>
      <c r="AA28" s="1224" t="s">
        <v>3558</v>
      </c>
      <c r="AB28" s="378"/>
    </row>
    <row r="29" spans="1:28" ht="24.75" customHeight="1">
      <c r="A29" s="1851"/>
      <c r="C29" s="1851"/>
      <c r="D29" s="1851"/>
      <c r="E29" s="1851"/>
      <c r="F29" s="1851"/>
      <c r="G29" s="1851"/>
      <c r="H29" s="1851"/>
      <c r="I29" s="1851"/>
      <c r="J29" s="1851"/>
      <c r="K29" s="1851"/>
      <c r="L29" s="1851"/>
      <c r="M29" s="2804"/>
      <c r="N29" s="1852"/>
      <c r="O29" s="1851"/>
      <c r="Z29" s="1213" t="s">
        <v>11</v>
      </c>
      <c r="AA29" s="1224" t="s">
        <v>11</v>
      </c>
    </row>
    <row r="30" spans="1:28" s="469" customFormat="1" ht="33" customHeight="1">
      <c r="A30" s="1864"/>
      <c r="B30" s="2748"/>
      <c r="C30" s="1867"/>
      <c r="D30" s="1867"/>
      <c r="E30" s="1872" t="str">
        <f>IF('Input '!$E$1="EN","Form","Formulaire")</f>
        <v>Form</v>
      </c>
      <c r="F30" s="1869" t="str">
        <f>IF('Input '!$E$1="EN","Quote Conditions ","Conditions de soumission")</f>
        <v xml:space="preserve">Quote Conditions </v>
      </c>
      <c r="G30" s="1870"/>
      <c r="H30" s="1918" t="str">
        <f>IF('Input '!$E$1="EN","%Co -Ins","%Co -Ass")</f>
        <v>%Co -Ins</v>
      </c>
      <c r="I30" s="1868"/>
      <c r="J30" s="1872" t="str">
        <f>IF('Input '!$E$1="EN","Deductible","Franchise &amp; Garanties*")</f>
        <v>Deductible</v>
      </c>
      <c r="K30" s="1872" t="str">
        <f>IF('Input '!$E$1="EN","Limit","Montant d'Assurance")</f>
        <v>Limit</v>
      </c>
      <c r="L30" s="1872"/>
      <c r="M30" s="2808" t="str">
        <f>IF('Input '!$E$1="EN","Premium","Prime")</f>
        <v>Premium</v>
      </c>
      <c r="N30" s="1868"/>
      <c r="O30" s="1864"/>
      <c r="P30" s="385"/>
      <c r="Z30" s="1213" t="s">
        <v>10</v>
      </c>
      <c r="AA30" s="1224" t="s">
        <v>3540</v>
      </c>
    </row>
    <row r="31" spans="1:28" s="471" customFormat="1" ht="24.75" customHeight="1">
      <c r="A31" s="1873" t="str">
        <f ca="1">IF($M31&gt;0,"","x")</f>
        <v>x</v>
      </c>
      <c r="B31" s="2749"/>
      <c r="C31" s="1874"/>
      <c r="D31" s="1874"/>
      <c r="E31" s="1875"/>
      <c r="F31" s="1876" t="str">
        <f>Property!E1</f>
        <v>A. Property Section</v>
      </c>
      <c r="G31" s="1877"/>
      <c r="H31" s="1877"/>
      <c r="I31" s="1877"/>
      <c r="J31" s="1877"/>
      <c r="K31" s="1877"/>
      <c r="L31" s="1877"/>
      <c r="M31" s="1878">
        <f ca="1">Property!W98</f>
        <v>0</v>
      </c>
      <c r="N31" s="1878"/>
      <c r="O31" s="1879"/>
      <c r="P31" s="470"/>
      <c r="Z31" s="1213" t="s">
        <v>1202</v>
      </c>
      <c r="AA31" s="1224" t="s">
        <v>3541</v>
      </c>
    </row>
    <row r="32" spans="1:28" ht="18.75">
      <c r="A32" s="1873" t="str">
        <f>IF(Property!E6="Y","","x")</f>
        <v>x</v>
      </c>
      <c r="B32" s="1822"/>
      <c r="C32" s="1880"/>
      <c r="D32" s="1880"/>
      <c r="E32" s="1992" t="str">
        <f>Property!AA6</f>
        <v>PA12</v>
      </c>
      <c r="F32" s="1993" t="str">
        <f>IF('Input '!$E$1="EN",'Quote template-2'!AA33,'Quote template-2'!Z33)</f>
        <v>Contractor's tools</v>
      </c>
      <c r="G32" s="2005" t="str">
        <f>'Quote template-1'!G31</f>
        <v>Tool value over $2500 must be on schedule</v>
      </c>
      <c r="H32" s="2714">
        <v>1</v>
      </c>
      <c r="I32" s="1994"/>
      <c r="J32" s="1995">
        <f>Property!Z6</f>
        <v>1000</v>
      </c>
      <c r="K32" s="1995">
        <f>Property!I6</f>
        <v>0</v>
      </c>
      <c r="L32" s="2001"/>
      <c r="M32" s="2857">
        <f>IF('Input '!$G$9=TRUE,Property!W6,"")</f>
        <v>0</v>
      </c>
      <c r="N32" s="1881"/>
      <c r="O32" s="1851"/>
      <c r="P32" s="472"/>
      <c r="Z32" s="1213" t="str">
        <f>VLOOKUP('Input '!$G$36,Settings!$A$197:$C$202,3,FALSE)</f>
        <v>Quote ref:</v>
      </c>
      <c r="AA32" s="1224" t="str">
        <f>VLOOKUP('Input '!$G$36,Settings!$A$197:$C$202,3,FALSE)</f>
        <v>Quote ref:</v>
      </c>
    </row>
    <row r="33" spans="1:27" ht="18.75">
      <c r="A33" s="1873" t="str">
        <f>IF(Property!E7="Y","","x")</f>
        <v>x</v>
      </c>
      <c r="B33" s="1822"/>
      <c r="C33" s="1880"/>
      <c r="D33" s="1880"/>
      <c r="E33" s="1992" t="str">
        <f>Property!AA7</f>
        <v>PA11</v>
      </c>
      <c r="F33" s="1993" t="str">
        <f>IF('Input '!$E$1="EN",'Quote template-2'!AA37,'Quote template-2'!Z37)</f>
        <v>Contractor's equipment</v>
      </c>
      <c r="G33" s="2899" t="str">
        <f>'Quote template-1'!G32</f>
        <v>Equipement over $2500 must be on schedule. Max  value per equipment $75,000  / aggregate limit $125,000</v>
      </c>
      <c r="H33" s="2714">
        <v>0.9</v>
      </c>
      <c r="I33" s="1994"/>
      <c r="J33" s="1995">
        <f>Property!Z7</f>
        <v>2500</v>
      </c>
      <c r="K33" s="1995">
        <f>Property!I7</f>
        <v>0</v>
      </c>
      <c r="L33" s="2001"/>
      <c r="M33" s="2857">
        <f>IF('Input '!$G$9=TRUE,Property!W7,"")</f>
        <v>0</v>
      </c>
      <c r="N33" s="1881"/>
      <c r="O33" s="1851"/>
      <c r="P33" s="472"/>
      <c r="Z33" s="1213" t="s">
        <v>970</v>
      </c>
      <c r="AA33" s="1224" t="s">
        <v>3549</v>
      </c>
    </row>
    <row r="34" spans="1:27" ht="18.75">
      <c r="A34" s="1873" t="str">
        <f>IF(Property!E8="Y","","x")</f>
        <v>x</v>
      </c>
      <c r="B34" s="1822"/>
      <c r="C34" s="1880"/>
      <c r="D34" s="1880"/>
      <c r="E34" s="1992" t="str">
        <f>Property!AA8</f>
        <v>PA11</v>
      </c>
      <c r="F34" s="1993" t="str">
        <f>Property!G8</f>
        <v>Contractor's equipment Rented(max 45 days per year)</v>
      </c>
      <c r="G34" s="2002"/>
      <c r="H34" s="2714">
        <v>0.9</v>
      </c>
      <c r="I34" s="1994"/>
      <c r="J34" s="1995">
        <f>Property!Z8</f>
        <v>2500</v>
      </c>
      <c r="K34" s="1995">
        <f>Property!I8</f>
        <v>0</v>
      </c>
      <c r="L34" s="1995"/>
      <c r="M34" s="2857">
        <f>IF('Input '!$G$9=TRUE,Property!W8,"")</f>
        <v>0</v>
      </c>
      <c r="N34" s="1882"/>
      <c r="O34" s="1851"/>
      <c r="P34" s="472"/>
      <c r="Z34" s="1213" t="s">
        <v>4483</v>
      </c>
      <c r="AA34" s="1224" t="s">
        <v>4484</v>
      </c>
    </row>
    <row r="35" spans="1:27" ht="18.75">
      <c r="A35" s="1873" t="str">
        <f>IF(Property!E55="Y","","x")</f>
        <v>x</v>
      </c>
      <c r="B35" s="1822"/>
      <c r="C35" s="1880"/>
      <c r="D35" s="1880"/>
      <c r="E35" s="1992" t="str">
        <f>Property!AA55</f>
        <v>CW216</v>
      </c>
      <c r="F35" s="2864" t="str">
        <f>Property!G55</f>
        <v>*Amendment to PA11 coverage:  amends new acquisitions</v>
      </c>
      <c r="G35" s="2002"/>
      <c r="H35" s="2714"/>
      <c r="I35" s="1994"/>
      <c r="J35" s="1995"/>
      <c r="K35" s="1995"/>
      <c r="L35" s="1995"/>
      <c r="M35" s="2857" t="str">
        <f>IF('Input '!$G$56=TRUE,Property!W55,"")</f>
        <v/>
      </c>
      <c r="N35" s="1882"/>
      <c r="O35" s="1851"/>
      <c r="P35" s="472"/>
      <c r="AA35" s="1224" t="s">
        <v>4502</v>
      </c>
    </row>
    <row r="36" spans="1:27" ht="18.75">
      <c r="A36" s="1873" t="str">
        <f>IF(Property!E9="Y","","x")</f>
        <v>x</v>
      </c>
      <c r="B36" s="1822"/>
      <c r="C36" s="1880"/>
      <c r="D36" s="1880"/>
      <c r="E36" s="1992" t="str">
        <f>Property!AA9</f>
        <v>PA19</v>
      </c>
      <c r="F36" s="1993" t="str">
        <f>Property!G9</f>
        <v>Installation floater</v>
      </c>
      <c r="G36" s="2002"/>
      <c r="H36" s="2715">
        <v>1</v>
      </c>
      <c r="I36" s="1994"/>
      <c r="J36" s="1995">
        <f>Property!Z9</f>
        <v>1000</v>
      </c>
      <c r="K36" s="1995">
        <f>Property!I9</f>
        <v>0</v>
      </c>
      <c r="L36" s="1995"/>
      <c r="M36" s="2857">
        <f>IF('Input '!$G$9=TRUE,Property!W9,"")</f>
        <v>0</v>
      </c>
      <c r="N36" s="1882"/>
      <c r="O36" s="1851"/>
      <c r="P36" s="472"/>
    </row>
    <row r="37" spans="1:27" ht="18.75">
      <c r="A37" s="1873" t="str">
        <f>IF(Property!E10="Y","","x")</f>
        <v>x</v>
      </c>
      <c r="B37" s="1822"/>
      <c r="C37" s="1880"/>
      <c r="D37" s="1880"/>
      <c r="E37" s="1992" t="str">
        <f>Property!AA10</f>
        <v>CM05</v>
      </c>
      <c r="F37" s="1993" t="str">
        <f>Property!G10</f>
        <v xml:space="preserve">Extension of Coverage </v>
      </c>
      <c r="G37" s="1994"/>
      <c r="H37" s="1994"/>
      <c r="I37" s="1994"/>
      <c r="J37" s="1995">
        <f>Property!Z10</f>
        <v>1000</v>
      </c>
      <c r="K37" s="1995">
        <f>Property!I10</f>
        <v>0</v>
      </c>
      <c r="L37" s="2001"/>
      <c r="M37" s="2857">
        <f>IF('Input '!$G$9=TRUE,Property!W10,"")</f>
        <v>0</v>
      </c>
      <c r="N37" s="1881"/>
      <c r="O37" s="1851"/>
      <c r="P37" s="472"/>
      <c r="Z37" s="1213" t="s">
        <v>971</v>
      </c>
      <c r="AA37" s="1224" t="s">
        <v>3550</v>
      </c>
    </row>
    <row r="38" spans="1:27" ht="18.75">
      <c r="A38" s="1873" t="str">
        <f>IF(Property!E11="Y","","x")</f>
        <v>x</v>
      </c>
      <c r="B38" s="1822"/>
      <c r="C38" s="1880"/>
      <c r="D38" s="1880"/>
      <c r="E38" s="1992" t="str">
        <f>Property!AA11</f>
        <v>CM05</v>
      </c>
      <c r="F38" s="1993" t="str">
        <f>Property!G11</f>
        <v xml:space="preserve">Extension of Coverage </v>
      </c>
      <c r="G38" s="2002"/>
      <c r="H38" s="2003"/>
      <c r="I38" s="1994"/>
      <c r="J38" s="1995">
        <f>Property!Z11</f>
        <v>1000</v>
      </c>
      <c r="K38" s="1995">
        <f>Property!I11</f>
        <v>0</v>
      </c>
      <c r="L38" s="1995"/>
      <c r="M38" s="2857">
        <f>IF('Input '!$G$9=TRUE,Property!W11,"")</f>
        <v>0</v>
      </c>
      <c r="N38" s="1882"/>
      <c r="O38" s="1851"/>
      <c r="P38" s="472"/>
    </row>
    <row r="39" spans="1:27" ht="18.75">
      <c r="A39" s="1873" t="str">
        <f>IF(Property!E12="Y","","x")</f>
        <v>x</v>
      </c>
      <c r="B39" s="1822"/>
      <c r="C39" s="1880"/>
      <c r="D39" s="1880"/>
      <c r="E39" s="1992" t="str">
        <f>Property!AA12</f>
        <v>CW182</v>
      </c>
      <c r="F39" s="1993" t="str">
        <f>Property!G12</f>
        <v>Rental Expenses ( min value $5000)</v>
      </c>
      <c r="G39" s="2002"/>
      <c r="H39" s="2004" t="str">
        <f>IF('Input '!$E$1="EN",'Quote template-2'!AA41&amp;Property!K12,'Quote template-2'!Z41&amp;Property!K12)</f>
        <v>*Nb days of coverage:10</v>
      </c>
      <c r="I39" s="1994"/>
      <c r="J39" s="1995">
        <f>Property!Z12</f>
        <v>0</v>
      </c>
      <c r="K39" s="1995" t="str">
        <f>Property!I12</f>
        <v>option:</v>
      </c>
      <c r="L39" s="1995"/>
      <c r="M39" s="2857">
        <f>IF('Input '!$G$9=TRUE,Property!W12,"")</f>
        <v>0</v>
      </c>
      <c r="N39" s="1882"/>
      <c r="O39" s="1851"/>
      <c r="P39" s="472"/>
    </row>
    <row r="40" spans="1:27" ht="9.75" customHeight="1">
      <c r="A40" s="1879"/>
      <c r="B40" s="1822"/>
      <c r="C40" s="1880"/>
      <c r="D40" s="1880"/>
      <c r="E40" s="1992"/>
      <c r="F40" s="1993"/>
      <c r="G40" s="2002"/>
      <c r="H40" s="2003"/>
      <c r="I40" s="1994"/>
      <c r="J40" s="1995"/>
      <c r="K40" s="1995"/>
      <c r="L40" s="2001"/>
      <c r="M40" s="2857"/>
      <c r="N40" s="1881"/>
      <c r="O40" s="1851"/>
      <c r="P40" s="472"/>
      <c r="Z40" s="1213" t="s">
        <v>1048</v>
      </c>
      <c r="AA40" s="1224" t="s">
        <v>3551</v>
      </c>
    </row>
    <row r="41" spans="1:27" ht="18.75">
      <c r="A41" s="1873" t="str">
        <f>IF(Property!E23="Y","","x")</f>
        <v>x</v>
      </c>
      <c r="B41" s="1822"/>
      <c r="C41" s="1880"/>
      <c r="D41" s="1880"/>
      <c r="E41" s="1992" t="str">
        <f>Property!AA23</f>
        <v>PA1</v>
      </c>
      <c r="F41" s="1993" t="str">
        <f>Property!G23</f>
        <v>Building</v>
      </c>
      <c r="G41" s="2005" t="str">
        <f ca="1">IF(Property!W25=0,H42,"")</f>
        <v>All Risks-RC</v>
      </c>
      <c r="H41" s="2006">
        <f>Property!K23</f>
        <v>0.9</v>
      </c>
      <c r="I41" s="1994"/>
      <c r="J41" s="1995">
        <f>Property!Z24</f>
        <v>1000</v>
      </c>
      <c r="K41" s="1995">
        <f>Property!I23</f>
        <v>0</v>
      </c>
      <c r="L41" s="1995"/>
      <c r="M41" s="1995">
        <f ca="1">IF('Input '!$G$9=TRUE,Property!W23,"")</f>
        <v>0</v>
      </c>
      <c r="N41" s="1882"/>
      <c r="O41" s="1851"/>
      <c r="P41" s="472"/>
      <c r="Z41" s="1213" t="s">
        <v>3547</v>
      </c>
      <c r="AA41" s="1224" t="s">
        <v>3548</v>
      </c>
    </row>
    <row r="42" spans="1:27" s="184" customFormat="1" ht="17.25">
      <c r="A42" s="1873" t="str">
        <f>IF(Property!E24="Y","","x")</f>
        <v>x</v>
      </c>
      <c r="B42" s="2750"/>
      <c r="C42" s="1884"/>
      <c r="D42" s="1884"/>
      <c r="E42" s="1992" t="str">
        <f>Property!AA24</f>
        <v>PA1</v>
      </c>
      <c r="F42" s="2007">
        <f>Property!H24</f>
        <v>0</v>
      </c>
      <c r="G42" s="2002"/>
      <c r="H42" s="2008" t="str">
        <f>CONCATENATE(Property!K24,"-",Property!L24)</f>
        <v>All Risks-RC</v>
      </c>
      <c r="I42" s="1994"/>
      <c r="J42" s="2009">
        <f>Property!Z24</f>
        <v>1000</v>
      </c>
      <c r="K42" s="2009">
        <f>Property!I24</f>
        <v>0</v>
      </c>
      <c r="L42" s="2009"/>
      <c r="M42" s="1995">
        <f ca="1">IF('Input '!$G$9=TRUE,Property!W24,"")</f>
        <v>0</v>
      </c>
      <c r="N42" s="1884"/>
      <c r="O42" s="1851"/>
      <c r="P42" s="381"/>
      <c r="Z42" s="1215" t="s">
        <v>232</v>
      </c>
      <c r="AA42" s="1227" t="s">
        <v>3573</v>
      </c>
    </row>
    <row r="43" spans="1:27" s="184" customFormat="1" ht="17.25">
      <c r="A43" s="1873" t="str">
        <f>IF(Property!E25="Y","","x")</f>
        <v>x</v>
      </c>
      <c r="B43" s="2750"/>
      <c r="C43" s="1884"/>
      <c r="D43" s="1884"/>
      <c r="E43" s="1992" t="str">
        <f>Property!AA25</f>
        <v>PA1</v>
      </c>
      <c r="F43" s="2007" t="str">
        <f>Property!H25</f>
        <v>Input Address no 2</v>
      </c>
      <c r="G43" s="2002"/>
      <c r="H43" s="2008" t="str">
        <f ca="1">CONCATENATE(Property!K25,"-",Property!L25)</f>
        <v>All risks-RC</v>
      </c>
      <c r="I43" s="1994"/>
      <c r="J43" s="2009">
        <f>Property!Z25</f>
        <v>1000</v>
      </c>
      <c r="K43" s="2009">
        <f>Property!I25</f>
        <v>0</v>
      </c>
      <c r="L43" s="2009"/>
      <c r="M43" s="1995">
        <f ca="1">IF('Input '!$G$9=TRUE,Property!W25,"")</f>
        <v>0</v>
      </c>
      <c r="N43" s="1884"/>
      <c r="O43" s="1851"/>
      <c r="P43" s="381"/>
      <c r="Z43" s="1215"/>
      <c r="AA43" s="1227"/>
    </row>
    <row r="44" spans="1:27" s="184" customFormat="1" ht="17.25">
      <c r="A44" s="1873" t="str">
        <f>IF(Property!E26="Y","","x")</f>
        <v>x</v>
      </c>
      <c r="B44" s="2750"/>
      <c r="C44" s="1884"/>
      <c r="D44" s="1884"/>
      <c r="E44" s="1992" t="str">
        <f>Property!AA26</f>
        <v>PA1</v>
      </c>
      <c r="F44" s="2007" t="str">
        <f>Property!H26</f>
        <v>Input Address no 3</v>
      </c>
      <c r="G44" s="2002"/>
      <c r="H44" s="2008" t="str">
        <f ca="1">CONCATENATE(Property!K26,"-",Property!L26)</f>
        <v>All risks-RC</v>
      </c>
      <c r="I44" s="1994"/>
      <c r="J44" s="2009">
        <f>Property!Z26</f>
        <v>1000</v>
      </c>
      <c r="K44" s="2009">
        <f>Property!I26</f>
        <v>0</v>
      </c>
      <c r="L44" s="2009"/>
      <c r="M44" s="1995">
        <f ca="1">IF('Input '!$G$9=TRUE,Property!W26,"")</f>
        <v>0</v>
      </c>
      <c r="N44" s="1884"/>
      <c r="O44" s="1851"/>
      <c r="P44" s="381"/>
      <c r="Z44" s="1215"/>
      <c r="AA44" s="1227"/>
    </row>
    <row r="45" spans="1:27" s="184" customFormat="1" ht="17.25">
      <c r="A45" s="1873" t="str">
        <f>IF(Property!E27="Y","","x")</f>
        <v>x</v>
      </c>
      <c r="B45" s="2750"/>
      <c r="C45" s="1884"/>
      <c r="D45" s="1884"/>
      <c r="E45" s="1992" t="str">
        <f>Property!AA27</f>
        <v>PA1</v>
      </c>
      <c r="F45" s="2007" t="str">
        <f>Property!H27</f>
        <v>Input Address no 4</v>
      </c>
      <c r="G45" s="2002"/>
      <c r="H45" s="2008" t="str">
        <f ca="1">CONCATENATE(Property!K27,"-",Property!L27)</f>
        <v>All risks-RC</v>
      </c>
      <c r="I45" s="1994"/>
      <c r="J45" s="2009">
        <f>Property!Z27</f>
        <v>1000</v>
      </c>
      <c r="K45" s="2009">
        <f>Property!I27</f>
        <v>0</v>
      </c>
      <c r="L45" s="2009"/>
      <c r="M45" s="1995">
        <f ca="1">IF('Input '!$G$9=TRUE,Property!W27,"")</f>
        <v>0</v>
      </c>
      <c r="N45" s="1884"/>
      <c r="O45" s="1851"/>
      <c r="P45" s="381"/>
      <c r="Z45" s="1215"/>
      <c r="AA45" s="1227"/>
    </row>
    <row r="46" spans="1:27" s="184" customFormat="1" ht="17.25">
      <c r="A46" s="1873" t="str">
        <f>IF(Property!E28="Y","","x")</f>
        <v>x</v>
      </c>
      <c r="B46" s="2750"/>
      <c r="C46" s="1884"/>
      <c r="D46" s="1884"/>
      <c r="E46" s="1992" t="str">
        <f>Property!AA28</f>
        <v>PA1</v>
      </c>
      <c r="F46" s="2007" t="str">
        <f>Property!H28</f>
        <v>Input Address no 5</v>
      </c>
      <c r="G46" s="2002"/>
      <c r="H46" s="2008" t="str">
        <f ca="1">CONCATENATE(Property!K28,"-",Property!L28)</f>
        <v>All risks-RC</v>
      </c>
      <c r="I46" s="1994"/>
      <c r="J46" s="2009">
        <f>Property!Z28</f>
        <v>1000</v>
      </c>
      <c r="K46" s="2009">
        <f>Property!I28</f>
        <v>0</v>
      </c>
      <c r="L46" s="2009"/>
      <c r="M46" s="1995">
        <f ca="1">IF('Input '!$G$9=TRUE,Property!W28,"")</f>
        <v>0</v>
      </c>
      <c r="N46" s="1884"/>
      <c r="O46" s="1851"/>
      <c r="P46" s="381"/>
      <c r="Z46" s="1215"/>
      <c r="AA46" s="1227"/>
    </row>
    <row r="47" spans="1:27" ht="18.75">
      <c r="A47" s="1873" t="str">
        <f>IF(Property!E29="Y","","x")</f>
        <v>x</v>
      </c>
      <c r="B47" s="1822"/>
      <c r="C47" s="1880"/>
      <c r="D47" s="1880"/>
      <c r="E47" s="1992" t="str">
        <f>Property!AA29</f>
        <v>PA1</v>
      </c>
      <c r="F47" s="1993" t="str">
        <f>Property!G29</f>
        <v>Contents</v>
      </c>
      <c r="G47" s="2005" t="str">
        <f ca="1">IF(Property!W31=0,H48,"")</f>
        <v>All Risks-RC</v>
      </c>
      <c r="H47" s="2006">
        <f>Property!K29</f>
        <v>0.9</v>
      </c>
      <c r="I47" s="1994"/>
      <c r="J47" s="1995">
        <f>Property!Z30</f>
        <v>1000</v>
      </c>
      <c r="K47" s="1995">
        <f>Property!I29</f>
        <v>0</v>
      </c>
      <c r="L47" s="1995"/>
      <c r="M47" s="1995">
        <f ca="1">IF('Input '!$G$9=TRUE,Property!W29,"")</f>
        <v>0</v>
      </c>
      <c r="N47" s="1882"/>
      <c r="O47" s="1851"/>
      <c r="P47" s="472"/>
    </row>
    <row r="48" spans="1:27" s="184" customFormat="1" ht="17.25">
      <c r="A48" s="1873" t="str">
        <f>IF(Property!E30="Y","","x")</f>
        <v>x</v>
      </c>
      <c r="B48" s="2750"/>
      <c r="C48" s="1884"/>
      <c r="D48" s="1884"/>
      <c r="E48" s="1992" t="str">
        <f>Property!AA30</f>
        <v>PA1</v>
      </c>
      <c r="F48" s="2007">
        <f>Property!H30</f>
        <v>0</v>
      </c>
      <c r="G48" s="2002"/>
      <c r="H48" s="2008" t="str">
        <f>CONCATENATE(Property!K30,"-",Property!L30)</f>
        <v>All Risks-RC</v>
      </c>
      <c r="I48" s="1994"/>
      <c r="J48" s="2009">
        <f>Property!Z30</f>
        <v>1000</v>
      </c>
      <c r="K48" s="2009">
        <f>Property!I30</f>
        <v>0</v>
      </c>
      <c r="L48" s="2009"/>
      <c r="M48" s="1995">
        <f ca="1">IF('Input '!$G$9=TRUE,Property!W30,"")</f>
        <v>0</v>
      </c>
      <c r="N48" s="1884"/>
      <c r="O48" s="1851"/>
      <c r="P48" s="381"/>
      <c r="Z48" s="1215"/>
      <c r="AA48" s="1227"/>
    </row>
    <row r="49" spans="1:27" s="184" customFormat="1" ht="17.25">
      <c r="A49" s="1873" t="str">
        <f>IF(Property!E31="Y","","x")</f>
        <v>x</v>
      </c>
      <c r="B49" s="2750"/>
      <c r="C49" s="1884"/>
      <c r="D49" s="1884"/>
      <c r="E49" s="1992" t="str">
        <f>Property!AA31</f>
        <v>PA1</v>
      </c>
      <c r="F49" s="2007" t="str">
        <f>Property!H31</f>
        <v>Input Address no 2</v>
      </c>
      <c r="G49" s="2002"/>
      <c r="H49" s="2008" t="str">
        <f ca="1">CONCATENATE(Property!K31,"-",Property!L31)</f>
        <v>All risks-RC</v>
      </c>
      <c r="I49" s="1994"/>
      <c r="J49" s="2009">
        <f>Property!Z31</f>
        <v>1000</v>
      </c>
      <c r="K49" s="2009">
        <f>Property!I31</f>
        <v>0</v>
      </c>
      <c r="L49" s="2009"/>
      <c r="M49" s="1995">
        <f ca="1">IF('Input '!$G$9=TRUE,Property!W31,"")</f>
        <v>0</v>
      </c>
      <c r="N49" s="1884"/>
      <c r="O49" s="1851"/>
      <c r="P49" s="381"/>
      <c r="Z49" s="1215"/>
      <c r="AA49" s="1227"/>
    </row>
    <row r="50" spans="1:27" s="184" customFormat="1" ht="17.25">
      <c r="A50" s="1873" t="str">
        <f>IF(Property!E32="Y","","x")</f>
        <v>x</v>
      </c>
      <c r="B50" s="2750"/>
      <c r="C50" s="1884"/>
      <c r="D50" s="1884"/>
      <c r="E50" s="1992" t="str">
        <f>Property!AA32</f>
        <v>PA1</v>
      </c>
      <c r="F50" s="2007" t="str">
        <f>Property!H32</f>
        <v>Input Address no 3</v>
      </c>
      <c r="G50" s="2002"/>
      <c r="H50" s="2008" t="str">
        <f ca="1">CONCATENATE(Property!K32,"-",Property!L32)</f>
        <v>All risks-RC</v>
      </c>
      <c r="I50" s="1994"/>
      <c r="J50" s="2009">
        <f>Property!Z32</f>
        <v>1000</v>
      </c>
      <c r="K50" s="2009">
        <f>Property!I32</f>
        <v>0</v>
      </c>
      <c r="L50" s="2009"/>
      <c r="M50" s="1995">
        <f ca="1">IF('Input '!$G$9=TRUE,Property!W32,"")</f>
        <v>0</v>
      </c>
      <c r="N50" s="1884"/>
      <c r="O50" s="1851"/>
      <c r="P50" s="381"/>
      <c r="Z50" s="1215"/>
      <c r="AA50" s="1227"/>
    </row>
    <row r="51" spans="1:27" s="184" customFormat="1" ht="17.25">
      <c r="A51" s="1873" t="str">
        <f>IF(Property!E33="Y","","x")</f>
        <v>x</v>
      </c>
      <c r="B51" s="2750"/>
      <c r="C51" s="1884"/>
      <c r="D51" s="1884"/>
      <c r="E51" s="1992" t="str">
        <f>Property!AA33</f>
        <v>PA1</v>
      </c>
      <c r="F51" s="2007" t="str">
        <f>Property!H33</f>
        <v>Input Address no 4</v>
      </c>
      <c r="G51" s="2002"/>
      <c r="H51" s="2008" t="str">
        <f ca="1">CONCATENATE(Property!K33,"-",Property!L33)</f>
        <v>All risks-RC</v>
      </c>
      <c r="I51" s="1994"/>
      <c r="J51" s="2009">
        <f>Property!Z33</f>
        <v>1000</v>
      </c>
      <c r="K51" s="2009">
        <f>Property!I33</f>
        <v>0</v>
      </c>
      <c r="L51" s="2009"/>
      <c r="M51" s="1995">
        <f ca="1">IF('Input '!$G$9=TRUE,Property!W33,"")</f>
        <v>0</v>
      </c>
      <c r="N51" s="1884"/>
      <c r="O51" s="1851"/>
      <c r="P51" s="381"/>
      <c r="Z51" s="1215"/>
      <c r="AA51" s="1227"/>
    </row>
    <row r="52" spans="1:27" s="184" customFormat="1" ht="17.25">
      <c r="A52" s="1873" t="str">
        <f>IF(Property!E34="Y","","x")</f>
        <v>x</v>
      </c>
      <c r="B52" s="2750"/>
      <c r="C52" s="1884"/>
      <c r="D52" s="1884"/>
      <c r="E52" s="1992" t="str">
        <f>Property!AA34</f>
        <v>PA1</v>
      </c>
      <c r="F52" s="2007" t="str">
        <f>Property!H34</f>
        <v>Input Address no 5</v>
      </c>
      <c r="G52" s="2002"/>
      <c r="H52" s="2008" t="str">
        <f ca="1">CONCATENATE(Property!K34,"-",Property!L34)</f>
        <v>All risks-RC</v>
      </c>
      <c r="I52" s="1994"/>
      <c r="J52" s="2009">
        <f>Property!Z34</f>
        <v>1000</v>
      </c>
      <c r="K52" s="2009">
        <f>Property!I34</f>
        <v>0</v>
      </c>
      <c r="L52" s="2009"/>
      <c r="M52" s="1995">
        <f ca="1">IF('Input '!$G$9=TRUE,Property!W34,"")</f>
        <v>0</v>
      </c>
      <c r="N52" s="1884"/>
      <c r="O52" s="1851"/>
      <c r="P52" s="381"/>
      <c r="Z52" s="1215"/>
      <c r="AA52" s="1227"/>
    </row>
    <row r="53" spans="1:27" ht="18.75">
      <c r="A53" s="1873" t="str">
        <f>IF(Property!E35="Y","","x")</f>
        <v>x</v>
      </c>
      <c r="B53" s="1822"/>
      <c r="C53" s="1880"/>
      <c r="D53" s="1880"/>
      <c r="E53" s="1992" t="str">
        <f>Property!AA35</f>
        <v>PA1</v>
      </c>
      <c r="F53" s="1993" t="str">
        <f>Property!G35</f>
        <v>Stock</v>
      </c>
      <c r="G53" s="2005" t="str">
        <f ca="1">IF(Property!W37=0,H54,"")</f>
        <v>All Risks-RC</v>
      </c>
      <c r="H53" s="2716">
        <v>0.9</v>
      </c>
      <c r="I53" s="1994"/>
      <c r="J53" s="1995">
        <f>Property!Z36</f>
        <v>1000</v>
      </c>
      <c r="K53" s="1995">
        <f>Property!I35</f>
        <v>0</v>
      </c>
      <c r="L53" s="1995"/>
      <c r="M53" s="1995">
        <f ca="1">IF('Input '!$G$9=TRUE,Property!W35,"")</f>
        <v>0</v>
      </c>
      <c r="N53" s="1882"/>
      <c r="O53" s="1851"/>
      <c r="P53" s="472"/>
      <c r="Z53" s="1213" t="s">
        <v>4095</v>
      </c>
      <c r="AA53" s="1876" t="s">
        <v>4096</v>
      </c>
    </row>
    <row r="54" spans="1:27" s="184" customFormat="1" ht="17.25">
      <c r="A54" s="1873" t="str">
        <f>IF(Property!E36="Y","","x")</f>
        <v>x</v>
      </c>
      <c r="B54" s="2750"/>
      <c r="C54" s="1884"/>
      <c r="D54" s="1884"/>
      <c r="E54" s="1992" t="str">
        <f>Property!AA36</f>
        <v>PA1</v>
      </c>
      <c r="F54" s="2007">
        <f>Property!H36</f>
        <v>0</v>
      </c>
      <c r="G54" s="2002"/>
      <c r="H54" s="2008" t="str">
        <f>CONCATENATE(Property!K36,"-",Property!L36)</f>
        <v>All Risks-RC</v>
      </c>
      <c r="I54" s="1994"/>
      <c r="J54" s="2009">
        <f>Property!Z36</f>
        <v>1000</v>
      </c>
      <c r="K54" s="2009">
        <f>Property!I36</f>
        <v>0</v>
      </c>
      <c r="L54" s="2009"/>
      <c r="M54" s="1995">
        <f ca="1">IF('Input '!$G$9=TRUE,Property!W36,"")</f>
        <v>0</v>
      </c>
      <c r="N54" s="1884"/>
      <c r="O54" s="1851"/>
      <c r="P54" s="381"/>
      <c r="Z54" s="1215"/>
      <c r="AA54" s="1227"/>
    </row>
    <row r="55" spans="1:27" s="184" customFormat="1" ht="17.25">
      <c r="A55" s="1873" t="str">
        <f>IF(Property!E37="Y","","x")</f>
        <v>x</v>
      </c>
      <c r="B55" s="2750"/>
      <c r="C55" s="1884"/>
      <c r="D55" s="1884"/>
      <c r="E55" s="1992" t="str">
        <f>Property!AA37</f>
        <v>PA1</v>
      </c>
      <c r="F55" s="2007" t="str">
        <f>Property!H37</f>
        <v>Input Address no 2</v>
      </c>
      <c r="G55" s="2002"/>
      <c r="H55" s="2008" t="str">
        <f ca="1">CONCATENATE(Property!K37,"-",Property!L37)</f>
        <v>All risks-RC</v>
      </c>
      <c r="I55" s="1994"/>
      <c r="J55" s="2009">
        <f>Property!Z37</f>
        <v>1000</v>
      </c>
      <c r="K55" s="2009">
        <f>Property!I37</f>
        <v>0</v>
      </c>
      <c r="L55" s="2009"/>
      <c r="M55" s="1995">
        <f ca="1">IF('Input '!$G$9=TRUE,Property!W37,"")</f>
        <v>0</v>
      </c>
      <c r="N55" s="1884"/>
      <c r="O55" s="1851"/>
      <c r="P55" s="381"/>
      <c r="Z55" s="1215"/>
      <c r="AA55" s="1227"/>
    </row>
    <row r="56" spans="1:27" s="184" customFormat="1" ht="17.25">
      <c r="A56" s="1873" t="str">
        <f>IF(Property!E38="Y","","x")</f>
        <v>x</v>
      </c>
      <c r="B56" s="2750"/>
      <c r="C56" s="1884"/>
      <c r="D56" s="1884"/>
      <c r="E56" s="1992" t="str">
        <f>Property!AA38</f>
        <v>PA1</v>
      </c>
      <c r="F56" s="2007" t="str">
        <f>Property!H38</f>
        <v>Input Address no 3</v>
      </c>
      <c r="G56" s="2002"/>
      <c r="H56" s="2008" t="str">
        <f ca="1">CONCATENATE(Property!K38,"-",Property!L38)</f>
        <v>All risks-RC</v>
      </c>
      <c r="I56" s="1994"/>
      <c r="J56" s="2009">
        <f>Property!Z38</f>
        <v>1000</v>
      </c>
      <c r="K56" s="2009">
        <f>Property!I38</f>
        <v>0</v>
      </c>
      <c r="L56" s="2009"/>
      <c r="M56" s="1995">
        <f ca="1">IF('Input '!$G$9=TRUE,Property!W38,"")</f>
        <v>0</v>
      </c>
      <c r="N56" s="1884"/>
      <c r="O56" s="1851"/>
      <c r="P56" s="381"/>
      <c r="Z56" s="1215"/>
      <c r="AA56" s="1227"/>
    </row>
    <row r="57" spans="1:27" s="184" customFormat="1" ht="17.25">
      <c r="A57" s="1873" t="str">
        <f>IF(Property!E39="Y","","x")</f>
        <v>x</v>
      </c>
      <c r="B57" s="2750"/>
      <c r="C57" s="1884"/>
      <c r="D57" s="1884"/>
      <c r="E57" s="1992" t="str">
        <f>Property!AA39</f>
        <v>PA1</v>
      </c>
      <c r="F57" s="2007" t="str">
        <f>Property!H39</f>
        <v>Input Address no 4</v>
      </c>
      <c r="G57" s="2002"/>
      <c r="H57" s="2008" t="str">
        <f ca="1">CONCATENATE(Property!K39,"-",Property!L39)</f>
        <v>All risks-RC</v>
      </c>
      <c r="I57" s="1994"/>
      <c r="J57" s="2009">
        <f>Property!Z39</f>
        <v>1000</v>
      </c>
      <c r="K57" s="2009">
        <f>Property!I39</f>
        <v>0</v>
      </c>
      <c r="L57" s="2009"/>
      <c r="M57" s="1995">
        <f ca="1">IF('Input '!$G$9=TRUE,Property!W39,"")</f>
        <v>0</v>
      </c>
      <c r="N57" s="1884"/>
      <c r="O57" s="1851"/>
      <c r="P57" s="381"/>
      <c r="Z57" s="1215"/>
      <c r="AA57" s="1227"/>
    </row>
    <row r="58" spans="1:27" s="184" customFormat="1" ht="17.25">
      <c r="A58" s="1873" t="str">
        <f>IF(Property!E40="Y","","x")</f>
        <v>x</v>
      </c>
      <c r="B58" s="2750"/>
      <c r="C58" s="1884"/>
      <c r="D58" s="1884"/>
      <c r="E58" s="1992" t="str">
        <f>Property!AA40</f>
        <v>PA1</v>
      </c>
      <c r="F58" s="2007" t="str">
        <f>Property!H40</f>
        <v>Input Address no 5</v>
      </c>
      <c r="G58" s="2002"/>
      <c r="H58" s="2008" t="str">
        <f ca="1">CONCATENATE(Property!K40,"-",Property!L40)</f>
        <v>All risks-RC</v>
      </c>
      <c r="I58" s="1994"/>
      <c r="J58" s="2009">
        <f>Property!Z40</f>
        <v>1000</v>
      </c>
      <c r="K58" s="2009">
        <f>Property!I40</f>
        <v>0</v>
      </c>
      <c r="L58" s="2009"/>
      <c r="M58" s="1995">
        <f ca="1">IF('Input '!$G$9=TRUE,Property!W40,"")</f>
        <v>0</v>
      </c>
      <c r="N58" s="1884"/>
      <c r="O58" s="1851"/>
      <c r="P58" s="381"/>
      <c r="Z58" s="1215"/>
      <c r="AA58" s="1227"/>
    </row>
    <row r="59" spans="1:27" ht="18.75">
      <c r="A59" s="1873" t="str">
        <f>IF(Property!E41="Y","","x")</f>
        <v>x</v>
      </c>
      <c r="B59" s="1822"/>
      <c r="C59" s="1880"/>
      <c r="D59" s="1880"/>
      <c r="E59" s="1992" t="str">
        <f>Property!AA41</f>
        <v>PA1</v>
      </c>
      <c r="F59" s="1993" t="str">
        <f>Property!G41</f>
        <v>Equipment</v>
      </c>
      <c r="G59" s="2002"/>
      <c r="H59" s="2716">
        <v>0.9</v>
      </c>
      <c r="I59" s="1994"/>
      <c r="J59" s="1995">
        <f>Property!Z42</f>
        <v>1000</v>
      </c>
      <c r="K59" s="1995">
        <f>Property!I41</f>
        <v>0</v>
      </c>
      <c r="L59" s="1995"/>
      <c r="M59" s="1995">
        <f ca="1">IF('Input '!$G$9=TRUE,Property!W41,"")</f>
        <v>0</v>
      </c>
      <c r="N59" s="1882"/>
      <c r="O59" s="1851"/>
      <c r="P59" s="472"/>
    </row>
    <row r="60" spans="1:27" s="184" customFormat="1" ht="17.25">
      <c r="A60" s="1873" t="str">
        <f>IF(Property!E42="Y","","x")</f>
        <v>x</v>
      </c>
      <c r="B60" s="2750"/>
      <c r="C60" s="1884"/>
      <c r="D60" s="1884"/>
      <c r="E60" s="1992" t="str">
        <f>Property!AA42</f>
        <v>PA1</v>
      </c>
      <c r="F60" s="2007">
        <f>Property!H42</f>
        <v>0</v>
      </c>
      <c r="G60" s="2002"/>
      <c r="H60" s="2008" t="str">
        <f>CONCATENATE(Property!K42,"-",Property!L42)</f>
        <v>All Risks-RC</v>
      </c>
      <c r="I60" s="1994"/>
      <c r="J60" s="2009">
        <f>Property!Z42</f>
        <v>1000</v>
      </c>
      <c r="K60" s="2009">
        <f>Property!I42</f>
        <v>0</v>
      </c>
      <c r="L60" s="2009"/>
      <c r="M60" s="1995">
        <f ca="1">IF('Input '!$G$9=TRUE,Property!W42,"")</f>
        <v>0</v>
      </c>
      <c r="N60" s="1884"/>
      <c r="O60" s="1851"/>
      <c r="P60" s="381"/>
      <c r="Z60" s="1215"/>
      <c r="AA60" s="1227"/>
    </row>
    <row r="61" spans="1:27" s="184" customFormat="1" ht="17.25">
      <c r="A61" s="1873" t="str">
        <f>IF(Property!E43="Y","","x")</f>
        <v>x</v>
      </c>
      <c r="B61" s="2750"/>
      <c r="C61" s="1884"/>
      <c r="D61" s="1884"/>
      <c r="E61" s="1992" t="str">
        <f>Property!AA43</f>
        <v>PA1</v>
      </c>
      <c r="F61" s="2007" t="str">
        <f>Property!H43</f>
        <v>Input Address no 2</v>
      </c>
      <c r="G61" s="2002"/>
      <c r="H61" s="2008" t="str">
        <f ca="1">CONCATENATE(Property!K43,"-",Property!L43)</f>
        <v>All risks-RC</v>
      </c>
      <c r="I61" s="1994"/>
      <c r="J61" s="2009">
        <f>Property!Z43</f>
        <v>1000</v>
      </c>
      <c r="K61" s="2009">
        <f>Property!I43</f>
        <v>0</v>
      </c>
      <c r="L61" s="2009"/>
      <c r="M61" s="1995">
        <f ca="1">IF('Input '!$G$9=TRUE,Property!W43,"")</f>
        <v>0</v>
      </c>
      <c r="N61" s="1884"/>
      <c r="O61" s="1851"/>
      <c r="P61" s="381"/>
      <c r="Z61" s="1215"/>
      <c r="AA61" s="1227"/>
    </row>
    <row r="62" spans="1:27" s="184" customFormat="1" ht="17.25">
      <c r="A62" s="1873" t="str">
        <f>IF(Property!E44="Y","","x")</f>
        <v>x</v>
      </c>
      <c r="B62" s="2750"/>
      <c r="C62" s="1884"/>
      <c r="D62" s="1884"/>
      <c r="E62" s="1992" t="str">
        <f>Property!AA44</f>
        <v>PA1</v>
      </c>
      <c r="F62" s="2007" t="str">
        <f>Property!H44</f>
        <v>Input Address no 3</v>
      </c>
      <c r="G62" s="2002"/>
      <c r="H62" s="2008" t="str">
        <f ca="1">CONCATENATE(Property!K44,"-",Property!L44)</f>
        <v>All risks-RC</v>
      </c>
      <c r="I62" s="1994"/>
      <c r="J62" s="2009">
        <f>Property!Z44</f>
        <v>1000</v>
      </c>
      <c r="K62" s="2009">
        <f>Property!I44</f>
        <v>0</v>
      </c>
      <c r="L62" s="2009"/>
      <c r="M62" s="1995">
        <f ca="1">IF('Input '!$G$9=TRUE,Property!W44,"")</f>
        <v>0</v>
      </c>
      <c r="N62" s="1884"/>
      <c r="O62" s="1851"/>
      <c r="P62" s="381"/>
      <c r="Z62" s="1215"/>
      <c r="AA62" s="1227"/>
    </row>
    <row r="63" spans="1:27" s="184" customFormat="1" ht="17.25">
      <c r="A63" s="1873" t="str">
        <f>IF(Property!E45="Y","","x")</f>
        <v>x</v>
      </c>
      <c r="B63" s="2750"/>
      <c r="C63" s="1884"/>
      <c r="D63" s="1884"/>
      <c r="E63" s="1992" t="str">
        <f>Property!AA45</f>
        <v>PA1</v>
      </c>
      <c r="F63" s="2007" t="str">
        <f>Property!H45</f>
        <v>Input Address no 4</v>
      </c>
      <c r="G63" s="2002"/>
      <c r="H63" s="2008" t="str">
        <f ca="1">CONCATENATE(Property!K45,"-",Property!L45)</f>
        <v>All risks-RC</v>
      </c>
      <c r="I63" s="1994"/>
      <c r="J63" s="2009">
        <f>Property!Z45</f>
        <v>1000</v>
      </c>
      <c r="K63" s="2009">
        <f>Property!I45</f>
        <v>0</v>
      </c>
      <c r="L63" s="2009"/>
      <c r="M63" s="1995">
        <f ca="1">IF('Input '!$G$9=TRUE,Property!W45,"")</f>
        <v>0</v>
      </c>
      <c r="N63" s="1884"/>
      <c r="O63" s="1851"/>
      <c r="P63" s="381"/>
      <c r="Z63" s="1215"/>
      <c r="AA63" s="1227"/>
    </row>
    <row r="64" spans="1:27" s="184" customFormat="1" ht="17.25">
      <c r="A64" s="1873" t="str">
        <f>IF(Property!E46="Y","","x")</f>
        <v>x</v>
      </c>
      <c r="B64" s="2750"/>
      <c r="C64" s="1884"/>
      <c r="D64" s="1884"/>
      <c r="E64" s="1992" t="str">
        <f>Property!AA46</f>
        <v>PA1</v>
      </c>
      <c r="F64" s="2007" t="str">
        <f>Property!H46</f>
        <v>Input Address no 5</v>
      </c>
      <c r="G64" s="2002"/>
      <c r="H64" s="2008" t="str">
        <f ca="1">CONCATENATE(Property!K46,"-",Property!L46)</f>
        <v>All risks-RC</v>
      </c>
      <c r="I64" s="1994"/>
      <c r="J64" s="2009">
        <f>Property!Z46</f>
        <v>1000</v>
      </c>
      <c r="K64" s="2009">
        <f>Property!I46</f>
        <v>0</v>
      </c>
      <c r="L64" s="2009"/>
      <c r="M64" s="1995">
        <f ca="1">IF('Input '!$G$9=TRUE,Property!W46,"")</f>
        <v>0</v>
      </c>
      <c r="N64" s="1884"/>
      <c r="O64" s="1851"/>
      <c r="P64" s="381"/>
      <c r="Z64" s="1215"/>
      <c r="AA64" s="1227"/>
    </row>
    <row r="65" spans="1:27" s="1476" customFormat="1">
      <c r="A65" s="1873" t="str">
        <f ca="1">IF((M59+M53+M47+M41+M32+M33)&gt;0,"","x")</f>
        <v>x</v>
      </c>
      <c r="B65" s="2751"/>
      <c r="C65" s="1919"/>
      <c r="D65" s="1919"/>
      <c r="E65" s="2010"/>
      <c r="F65" s="2011" t="str">
        <f>'Quote template-1'!F64</f>
        <v>Deducbitbles and Exclusions here below are applied to the following coverages: Building, Contents, Stock, Equipment</v>
      </c>
      <c r="G65" s="2012"/>
      <c r="H65" s="2012"/>
      <c r="I65" s="2013"/>
      <c r="J65" s="2014"/>
      <c r="K65" s="2014"/>
      <c r="L65" s="2014"/>
      <c r="M65" s="2014"/>
      <c r="N65" s="1919"/>
      <c r="O65" s="1893"/>
      <c r="P65" s="1475"/>
      <c r="Z65" s="1477"/>
      <c r="AA65" s="1478"/>
    </row>
    <row r="66" spans="1:27" s="1472" customFormat="1">
      <c r="A66" s="1873" t="str">
        <f>IF(Property!E49="Y","","x")</f>
        <v>x</v>
      </c>
      <c r="B66" s="2750"/>
      <c r="C66" s="1884"/>
      <c r="D66" s="1884"/>
      <c r="E66" s="1992" t="str">
        <f>Property!AA49</f>
        <v>CW160</v>
      </c>
      <c r="F66" s="2007" t="str">
        <f>Property!G49</f>
        <v>Water Damage Limitation</v>
      </c>
      <c r="G66" s="2002"/>
      <c r="H66" s="2002"/>
      <c r="I66" s="1994"/>
      <c r="J66" s="2009"/>
      <c r="K66" s="2009">
        <f>Property!I49</f>
        <v>0</v>
      </c>
      <c r="L66" s="2009"/>
      <c r="M66" s="2009"/>
      <c r="N66" s="1884"/>
      <c r="O66" s="1851"/>
      <c r="P66" s="1471"/>
      <c r="Z66" s="1479"/>
      <c r="AA66" s="1480"/>
    </row>
    <row r="67" spans="1:27" s="1472" customFormat="1">
      <c r="A67" s="1873" t="str">
        <f>IF(Property!E50="Y","","x")</f>
        <v>x</v>
      </c>
      <c r="B67" s="2750"/>
      <c r="C67" s="1884"/>
      <c r="D67" s="1884"/>
      <c r="E67" s="1992" t="str">
        <f>Property!AA50</f>
        <v>CW168</v>
      </c>
      <c r="F67" s="2007" t="str">
        <f>Property!G50</f>
        <v>Water Damage Deductible</v>
      </c>
      <c r="G67" s="2002"/>
      <c r="H67" s="2002"/>
      <c r="I67" s="1994"/>
      <c r="J67" s="2009">
        <f ca="1">Property!Z50</f>
        <v>2500</v>
      </c>
      <c r="K67" s="2009"/>
      <c r="L67" s="2009"/>
      <c r="M67" s="2009"/>
      <c r="N67" s="1884"/>
      <c r="O67" s="1851"/>
      <c r="P67" s="1471"/>
      <c r="Z67" s="1479"/>
      <c r="AA67" s="1480"/>
    </row>
    <row r="68" spans="1:27" s="1472" customFormat="1">
      <c r="A68" s="1873" t="str">
        <f>IF(Property!E51="Y","","x")</f>
        <v>x</v>
      </c>
      <c r="B68" s="2750"/>
      <c r="C68" s="1884"/>
      <c r="D68" s="1884"/>
      <c r="E68" s="1992" t="str">
        <f>Property!AA51</f>
        <v>CW198</v>
      </c>
      <c r="F68" s="2007" t="str">
        <f>Property!G51</f>
        <v>Water Damage Exclusion</v>
      </c>
      <c r="G68" s="2002"/>
      <c r="H68" s="2002"/>
      <c r="I68" s="1994"/>
      <c r="J68" s="2009"/>
      <c r="K68" s="2009"/>
      <c r="L68" s="2009"/>
      <c r="M68" s="2009"/>
      <c r="N68" s="1884"/>
      <c r="O68" s="1851"/>
      <c r="P68" s="1471"/>
      <c r="Z68" s="1479"/>
      <c r="AA68" s="1480"/>
    </row>
    <row r="69" spans="1:27" s="1472" customFormat="1">
      <c r="A69" s="1873" t="str">
        <f>IF(Property!E52="Y","","x")</f>
        <v>x</v>
      </c>
      <c r="B69" s="2750"/>
      <c r="C69" s="1884"/>
      <c r="D69" s="1884"/>
      <c r="E69" s="1992" t="str">
        <f>Property!AA52</f>
        <v>CW158</v>
      </c>
      <c r="F69" s="2007" t="str">
        <f>Property!G52</f>
        <v>Roof Limitation Endorsement</v>
      </c>
      <c r="G69" s="2002"/>
      <c r="H69" s="2002"/>
      <c r="I69" s="1994"/>
      <c r="J69" s="2009"/>
      <c r="K69" s="2009">
        <f>Property!I49</f>
        <v>0</v>
      </c>
      <c r="L69" s="2009"/>
      <c r="M69" s="2009"/>
      <c r="N69" s="1884"/>
      <c r="O69" s="1851"/>
      <c r="P69" s="1471"/>
      <c r="Z69" s="1479"/>
      <c r="AA69" s="1480"/>
    </row>
    <row r="70" spans="1:27" s="1472" customFormat="1">
      <c r="A70" s="1873" t="str">
        <f>IF(Property!E53="Y","","x")</f>
        <v>x</v>
      </c>
      <c r="B70" s="2750"/>
      <c r="C70" s="1884"/>
      <c r="D70" s="1884"/>
      <c r="E70" s="1992" t="str">
        <f>Property!AA53</f>
        <v>PW5</v>
      </c>
      <c r="F70" s="2007" t="str">
        <f>Property!G53</f>
        <v>Sprinkler Systems Warranty</v>
      </c>
      <c r="G70" s="2002"/>
      <c r="H70" s="2002"/>
      <c r="I70" s="1994"/>
      <c r="J70" s="2009"/>
      <c r="K70" s="2009"/>
      <c r="L70" s="2009"/>
      <c r="M70" s="2009"/>
      <c r="N70" s="1884"/>
      <c r="O70" s="1851"/>
      <c r="P70" s="1471"/>
      <c r="Z70" s="1479"/>
      <c r="AA70" s="1480"/>
    </row>
    <row r="71" spans="1:27" s="1472" customFormat="1">
      <c r="A71" s="1873" t="str">
        <f>IF(Property!E54="Y","","x")</f>
        <v>x</v>
      </c>
      <c r="B71" s="2750"/>
      <c r="C71" s="1884"/>
      <c r="D71" s="1884"/>
      <c r="E71" s="1992" t="str">
        <f>Property!AA54</f>
        <v xml:space="preserve">PW3 </v>
      </c>
      <c r="F71" s="2007" t="str">
        <f>Property!G54</f>
        <v>Alarm Warranty</v>
      </c>
      <c r="G71" s="2002"/>
      <c r="H71" s="2002"/>
      <c r="I71" s="1994"/>
      <c r="J71" s="2009"/>
      <c r="K71" s="2009"/>
      <c r="L71" s="2009"/>
      <c r="M71" s="2009"/>
      <c r="N71" s="1884"/>
      <c r="O71" s="1851"/>
      <c r="P71" s="1471"/>
      <c r="Z71" s="1479"/>
      <c r="AA71" s="1480"/>
    </row>
    <row r="72" spans="1:27" ht="18.75">
      <c r="A72" s="1873" t="str">
        <f>IF(Property!E57="Y","","x")</f>
        <v>x</v>
      </c>
      <c r="B72" s="1822"/>
      <c r="C72" s="1880"/>
      <c r="D72" s="1880"/>
      <c r="E72" s="1992" t="str">
        <f>Property!AA57</f>
        <v>PE8</v>
      </c>
      <c r="F72" s="1993" t="str">
        <f>Property!G57</f>
        <v xml:space="preserve">Sewer Back-up </v>
      </c>
      <c r="G72" s="2002"/>
      <c r="H72" s="2003"/>
      <c r="I72" s="1994"/>
      <c r="J72" s="1995">
        <f>J73</f>
        <v>2500</v>
      </c>
      <c r="K72" s="1995">
        <f>Property!I57</f>
        <v>0</v>
      </c>
      <c r="L72" s="1995"/>
      <c r="M72" s="1995">
        <f>IF('Input '!$G$9=TRUE,Property!W57,"")</f>
        <v>0</v>
      </c>
      <c r="N72" s="1882"/>
      <c r="O72" s="1851"/>
      <c r="P72" s="472"/>
    </row>
    <row r="73" spans="1:27" s="184" customFormat="1" ht="17.25">
      <c r="A73" s="1873" t="str">
        <f>IF(Property!E58="Y","","x")</f>
        <v>x</v>
      </c>
      <c r="B73" s="2750"/>
      <c r="C73" s="1884"/>
      <c r="D73" s="1884"/>
      <c r="E73" s="1992" t="str">
        <f>Property!AA58</f>
        <v>PE8</v>
      </c>
      <c r="F73" s="2007">
        <f>Property!H58</f>
        <v>0</v>
      </c>
      <c r="G73" s="2002"/>
      <c r="H73" s="2002"/>
      <c r="I73" s="1994"/>
      <c r="J73" s="2009">
        <f>Property!Z58</f>
        <v>2500</v>
      </c>
      <c r="K73" s="2009">
        <f>Property!I58</f>
        <v>0</v>
      </c>
      <c r="L73" s="2009"/>
      <c r="M73" s="1995">
        <f>IF('Input '!$G$9=TRUE,Property!W58,"")</f>
        <v>0</v>
      </c>
      <c r="N73" s="1884"/>
      <c r="O73" s="1851"/>
      <c r="P73" s="381"/>
      <c r="Z73" s="1215"/>
      <c r="AA73" s="1227"/>
    </row>
    <row r="74" spans="1:27" s="184" customFormat="1" ht="17.25">
      <c r="A74" s="1873" t="str">
        <f>IF(Property!E59="Y","","x")</f>
        <v>x</v>
      </c>
      <c r="B74" s="2750"/>
      <c r="C74" s="1884"/>
      <c r="D74" s="1884"/>
      <c r="E74" s="1992" t="str">
        <f>Property!AA59</f>
        <v>PE8</v>
      </c>
      <c r="F74" s="2007" t="str">
        <f>Property!H59</f>
        <v>Input Address no 2</v>
      </c>
      <c r="G74" s="2002"/>
      <c r="H74" s="2002"/>
      <c r="I74" s="1994"/>
      <c r="J74" s="2009">
        <f>Property!Z59</f>
        <v>2500</v>
      </c>
      <c r="K74" s="2009">
        <f>Property!I59</f>
        <v>0</v>
      </c>
      <c r="L74" s="2009"/>
      <c r="M74" s="1995">
        <f>IF('Input '!$G$9=TRUE,Property!W59,"")</f>
        <v>0</v>
      </c>
      <c r="N74" s="1884"/>
      <c r="O74" s="1851"/>
      <c r="P74" s="381"/>
      <c r="Z74" s="1215"/>
      <c r="AA74" s="1227"/>
    </row>
    <row r="75" spans="1:27" s="184" customFormat="1" ht="17.25">
      <c r="A75" s="1873" t="str">
        <f>IF(Property!E60="Y","","x")</f>
        <v>x</v>
      </c>
      <c r="B75" s="2750"/>
      <c r="C75" s="1884"/>
      <c r="D75" s="1884"/>
      <c r="E75" s="1992" t="str">
        <f>Property!AA60</f>
        <v>PE8</v>
      </c>
      <c r="F75" s="2007" t="str">
        <f>Property!H60</f>
        <v>Input Address no 3</v>
      </c>
      <c r="G75" s="2002"/>
      <c r="H75" s="2002"/>
      <c r="I75" s="1994"/>
      <c r="J75" s="2009">
        <f>Property!Z60</f>
        <v>2500</v>
      </c>
      <c r="K75" s="2009">
        <f>Property!I60</f>
        <v>0</v>
      </c>
      <c r="L75" s="2009"/>
      <c r="M75" s="1995">
        <f>IF('Input '!$G$9=TRUE,Property!W60,"")</f>
        <v>0</v>
      </c>
      <c r="N75" s="1884"/>
      <c r="O75" s="1851"/>
      <c r="P75" s="381"/>
      <c r="Z75" s="1215"/>
      <c r="AA75" s="1227"/>
    </row>
    <row r="76" spans="1:27" s="184" customFormat="1" ht="17.25">
      <c r="A76" s="1873" t="str">
        <f>IF(Property!E61="Y","","x")</f>
        <v>x</v>
      </c>
      <c r="B76" s="2750"/>
      <c r="C76" s="1884"/>
      <c r="D76" s="1884"/>
      <c r="E76" s="1992" t="str">
        <f>Property!AA61</f>
        <v>PE8</v>
      </c>
      <c r="F76" s="2007" t="str">
        <f>Property!H61</f>
        <v>Input Address no 4</v>
      </c>
      <c r="G76" s="2002"/>
      <c r="H76" s="2002"/>
      <c r="I76" s="1994"/>
      <c r="J76" s="2009">
        <f>Property!Z61</f>
        <v>2500</v>
      </c>
      <c r="K76" s="2009">
        <f>Property!I61</f>
        <v>0</v>
      </c>
      <c r="L76" s="2009"/>
      <c r="M76" s="1995">
        <f>IF('Input '!$G$9=TRUE,Property!W61,"")</f>
        <v>0</v>
      </c>
      <c r="N76" s="1884"/>
      <c r="O76" s="1851"/>
      <c r="P76" s="381"/>
      <c r="Z76" s="1215"/>
      <c r="AA76" s="1227"/>
    </row>
    <row r="77" spans="1:27" s="184" customFormat="1" ht="17.25">
      <c r="A77" s="1873" t="str">
        <f>IF(Property!E62="Y","","x")</f>
        <v>x</v>
      </c>
      <c r="B77" s="2750"/>
      <c r="C77" s="1884"/>
      <c r="D77" s="1884"/>
      <c r="E77" s="1992" t="str">
        <f>Property!AA62</f>
        <v>PE8</v>
      </c>
      <c r="F77" s="2007" t="str">
        <f>Property!H62</f>
        <v>Input Address no 5</v>
      </c>
      <c r="G77" s="2002"/>
      <c r="H77" s="2002"/>
      <c r="I77" s="1994"/>
      <c r="J77" s="2009">
        <f>Property!Z62</f>
        <v>2500</v>
      </c>
      <c r="K77" s="2009">
        <f>Property!I62</f>
        <v>0</v>
      </c>
      <c r="L77" s="2009"/>
      <c r="M77" s="1995">
        <f>IF('Input '!$G$9=TRUE,Property!W62,"")</f>
        <v>0</v>
      </c>
      <c r="N77" s="1884"/>
      <c r="O77" s="1851"/>
      <c r="P77" s="381"/>
      <c r="Z77" s="1215"/>
      <c r="AA77" s="1227"/>
    </row>
    <row r="78" spans="1:27" ht="18.75">
      <c r="A78" s="1873" t="str">
        <f>IF(Property!E63="Y","","x")</f>
        <v>x</v>
      </c>
      <c r="B78" s="1822"/>
      <c r="C78" s="1880"/>
      <c r="D78" s="1880"/>
      <c r="E78" s="1992" t="str">
        <f>Property!AA63</f>
        <v>PA13A</v>
      </c>
      <c r="F78" s="1993" t="str">
        <f>Property!G63</f>
        <v>Transit</v>
      </c>
      <c r="G78" s="2002"/>
      <c r="H78" s="2716">
        <f>Property!K63</f>
        <v>0.9</v>
      </c>
      <c r="I78" s="1994"/>
      <c r="J78" s="1995">
        <f>Property!Z63</f>
        <v>1000</v>
      </c>
      <c r="K78" s="1995">
        <f>Property!I63</f>
        <v>0</v>
      </c>
      <c r="L78" s="1995"/>
      <c r="M78" s="1995">
        <f>IF('Input '!$G$9=TRUE,Property!W63,"")</f>
        <v>0</v>
      </c>
      <c r="N78" s="1882"/>
      <c r="O78" s="1851"/>
      <c r="P78" s="472"/>
    </row>
    <row r="79" spans="1:27" ht="18.75">
      <c r="A79" s="1873" t="str">
        <f>IF(Property!E64="Y","","x")</f>
        <v>x</v>
      </c>
      <c r="B79" s="1822"/>
      <c r="C79" s="1880"/>
      <c r="D79" s="1880"/>
      <c r="E79" s="1992" t="str">
        <f>Property!AA64</f>
        <v>PA2</v>
      </c>
      <c r="F79" s="1993" t="str">
        <f>Property!G64</f>
        <v>Off Equip</v>
      </c>
      <c r="G79" s="2002"/>
      <c r="H79" s="2716">
        <f>Property!K64</f>
        <v>0.9</v>
      </c>
      <c r="I79" s="1994"/>
      <c r="J79" s="1995">
        <f>Property!Z64</f>
        <v>1000</v>
      </c>
      <c r="K79" s="1995">
        <f>Property!I64</f>
        <v>0</v>
      </c>
      <c r="L79" s="1995"/>
      <c r="M79" s="1995">
        <f ca="1">IF('Input '!$G$9=TRUE,Property!W64,"")</f>
        <v>0</v>
      </c>
      <c r="N79" s="1882"/>
      <c r="O79" s="1851"/>
      <c r="P79" s="472"/>
    </row>
    <row r="80" spans="1:27" ht="18.75">
      <c r="A80" s="1873" t="str">
        <f>IF(Property!E65="Y","","x")</f>
        <v>x</v>
      </c>
      <c r="B80" s="1822"/>
      <c r="C80" s="1880"/>
      <c r="D80" s="1880"/>
      <c r="E80" s="1992">
        <f>Property!AA65</f>
        <v>0</v>
      </c>
      <c r="F80" s="1993" t="str">
        <f>Property!G65</f>
        <v>Off Equip</v>
      </c>
      <c r="G80" s="2002"/>
      <c r="H80" s="2716">
        <f>Property!K65</f>
        <v>0.9</v>
      </c>
      <c r="I80" s="1994"/>
      <c r="J80" s="1995">
        <f>Property!Z65</f>
        <v>1000</v>
      </c>
      <c r="K80" s="1995">
        <f>Property!I65</f>
        <v>0</v>
      </c>
      <c r="L80" s="1995"/>
      <c r="M80" s="1995">
        <f ca="1">IF('Input '!$G$9=TRUE,Property!W65,"")</f>
        <v>0</v>
      </c>
      <c r="N80" s="1882"/>
      <c r="O80" s="1851"/>
      <c r="P80" s="472"/>
    </row>
    <row r="81" spans="1:16" ht="18.75">
      <c r="A81" s="1873" t="str">
        <f>IF(Property!E66="Y","","x")</f>
        <v>x</v>
      </c>
      <c r="B81" s="1822"/>
      <c r="C81" s="1880"/>
      <c r="D81" s="1880"/>
      <c r="E81" s="1992" t="str">
        <f>Property!AA66</f>
        <v>PA3</v>
      </c>
      <c r="F81" s="1993" t="str">
        <f>Property!G66</f>
        <v>EDP</v>
      </c>
      <c r="G81" s="2002"/>
      <c r="H81" s="2716">
        <f>Property!K66</f>
        <v>0.9</v>
      </c>
      <c r="I81" s="1994"/>
      <c r="J81" s="1995">
        <f>Property!Z66</f>
        <v>1000</v>
      </c>
      <c r="K81" s="1995">
        <f>Property!I66</f>
        <v>0</v>
      </c>
      <c r="L81" s="1995"/>
      <c r="M81" s="1995">
        <f ca="1">IF('Input '!$G$9=TRUE,Property!W66,"")</f>
        <v>0</v>
      </c>
      <c r="N81" s="1882"/>
      <c r="O81" s="1851"/>
      <c r="P81" s="472"/>
    </row>
    <row r="82" spans="1:16" ht="18.75">
      <c r="A82" s="1873" t="str">
        <f>IF(Property!E67="Y","","x")</f>
        <v>x</v>
      </c>
      <c r="B82" s="1822"/>
      <c r="C82" s="1880"/>
      <c r="D82" s="1880"/>
      <c r="E82" s="1992" t="str">
        <f>Property!AA67</f>
        <v>BA11</v>
      </c>
      <c r="F82" s="1993" t="str">
        <f>Property!G67</f>
        <v>Profits</v>
      </c>
      <c r="G82" s="2002"/>
      <c r="H82" s="2716">
        <f>Property!K67</f>
        <v>1</v>
      </c>
      <c r="I82" s="1994"/>
      <c r="J82" s="1995">
        <f>Property!Z67</f>
        <v>1000</v>
      </c>
      <c r="K82" s="1995">
        <f>Property!I67</f>
        <v>0</v>
      </c>
      <c r="L82" s="1995"/>
      <c r="M82" s="1995">
        <f ca="1">IF('Input '!$G$9=TRUE,Property!W67,"")</f>
        <v>0</v>
      </c>
      <c r="N82" s="1882"/>
      <c r="O82" s="1851"/>
      <c r="P82" s="472"/>
    </row>
    <row r="83" spans="1:16" ht="18.75">
      <c r="A83" s="1873" t="str">
        <f>IF(Property!E68="Y","","x")</f>
        <v>x</v>
      </c>
      <c r="B83" s="1822"/>
      <c r="C83" s="1880"/>
      <c r="D83" s="1880"/>
      <c r="E83" s="1992" t="str">
        <f>Property!AA68</f>
        <v>BA12</v>
      </c>
      <c r="F83" s="1993" t="str">
        <f>Property!G68</f>
        <v>GE - Merc</v>
      </c>
      <c r="G83" s="2002"/>
      <c r="H83" s="2716">
        <f>Property!K68</f>
        <v>0.8</v>
      </c>
      <c r="I83" s="1994"/>
      <c r="J83" s="1995">
        <f>Property!Z68</f>
        <v>1000</v>
      </c>
      <c r="K83" s="1995">
        <f>Property!I68</f>
        <v>0</v>
      </c>
      <c r="L83" s="1995"/>
      <c r="M83" s="1995">
        <f ca="1">IF('Input '!$G$9=TRUE,Property!W68,"")</f>
        <v>0</v>
      </c>
      <c r="N83" s="1882"/>
      <c r="O83" s="1851"/>
      <c r="P83" s="472"/>
    </row>
    <row r="84" spans="1:16" ht="18.75">
      <c r="A84" s="1873" t="str">
        <f>IF(Property!E69="Y","","x")</f>
        <v>x</v>
      </c>
      <c r="B84" s="1822"/>
      <c r="C84" s="1880"/>
      <c r="D84" s="1880"/>
      <c r="E84" s="1992" t="str">
        <f>Property!AA69</f>
        <v>BA14</v>
      </c>
      <c r="F84" s="1993" t="str">
        <f>Property!G69</f>
        <v>GE - Man</v>
      </c>
      <c r="G84" s="2002"/>
      <c r="H84" s="2716" t="str">
        <f>Property!K69</f>
        <v>No-Co</v>
      </c>
      <c r="I84" s="1994"/>
      <c r="J84" s="1995">
        <f>Property!Z69</f>
        <v>1000</v>
      </c>
      <c r="K84" s="1995">
        <f>Property!I69</f>
        <v>0</v>
      </c>
      <c r="L84" s="1995"/>
      <c r="M84" s="1995">
        <f ca="1">IF('Input '!$G$9=TRUE,Property!W69,"")</f>
        <v>0</v>
      </c>
      <c r="N84" s="1882"/>
      <c r="O84" s="1851"/>
      <c r="P84" s="472"/>
    </row>
    <row r="85" spans="1:16" ht="18.75">
      <c r="A85" s="1873" t="str">
        <f>IF(Property!E70="Y","","x")</f>
        <v>x</v>
      </c>
      <c r="B85" s="1822"/>
      <c r="C85" s="1880"/>
      <c r="D85" s="1880"/>
      <c r="E85" s="1992" t="str">
        <f>Property!AA70</f>
        <v>PE48</v>
      </c>
      <c r="F85" s="1993" t="str">
        <f>Property!G70</f>
        <v>Prof Fees</v>
      </c>
      <c r="G85" s="2002"/>
      <c r="H85" s="2716">
        <f>Property!K70</f>
        <v>0</v>
      </c>
      <c r="I85" s="1994"/>
      <c r="J85" s="1995">
        <f>Property!Z70</f>
        <v>1000</v>
      </c>
      <c r="K85" s="1995">
        <f>Property!I70</f>
        <v>0</v>
      </c>
      <c r="L85" s="1995"/>
      <c r="M85" s="1995">
        <f>IF('Input '!$G$9=TRUE,Property!W70,"")</f>
        <v>0</v>
      </c>
      <c r="N85" s="1882"/>
      <c r="O85" s="1851"/>
      <c r="P85" s="472"/>
    </row>
    <row r="86" spans="1:16" ht="18.75">
      <c r="A86" s="1873" t="str">
        <f>IF(Property!E71="Y","","x")</f>
        <v>x</v>
      </c>
      <c r="B86" s="1822"/>
      <c r="C86" s="1880"/>
      <c r="D86" s="1880"/>
      <c r="E86" s="1992" t="str">
        <f>Property!AA71</f>
        <v>BA17</v>
      </c>
      <c r="F86" s="1993" t="str">
        <f>Property!G71</f>
        <v>Ext expenses</v>
      </c>
      <c r="G86" s="2002"/>
      <c r="H86" s="2716">
        <f>Property!K71</f>
        <v>0</v>
      </c>
      <c r="I86" s="1994"/>
      <c r="J86" s="1995">
        <f>Property!Z71</f>
        <v>1000</v>
      </c>
      <c r="K86" s="1995">
        <f>Property!I71</f>
        <v>0</v>
      </c>
      <c r="L86" s="1995"/>
      <c r="M86" s="1995">
        <f ca="1">IF('Input '!$G$9=TRUE,Property!W71,"")</f>
        <v>0</v>
      </c>
      <c r="N86" s="1882"/>
      <c r="O86" s="1851"/>
      <c r="P86" s="472"/>
    </row>
    <row r="87" spans="1:16" ht="18.75">
      <c r="A87" s="1873" t="str">
        <f>IF(Property!E72="Y","","x")</f>
        <v>x</v>
      </c>
      <c r="B87" s="1822"/>
      <c r="C87" s="1880"/>
      <c r="D87" s="1880"/>
      <c r="E87" s="1992" t="str">
        <f>Property!AA72</f>
        <v>BA3</v>
      </c>
      <c r="F87" s="1993" t="str">
        <f>Property!G72</f>
        <v>Rents</v>
      </c>
      <c r="G87" s="2002"/>
      <c r="H87" s="2716">
        <f>Property!K72</f>
        <v>0</v>
      </c>
      <c r="I87" s="1994"/>
      <c r="J87" s="1995">
        <f>Property!Z72</f>
        <v>1000</v>
      </c>
      <c r="K87" s="1995">
        <f>Property!I72</f>
        <v>0</v>
      </c>
      <c r="L87" s="1995"/>
      <c r="M87" s="1995">
        <f ca="1">IF('Input '!$G$9=TRUE,Property!W72,"")</f>
        <v>0</v>
      </c>
      <c r="N87" s="1882"/>
      <c r="O87" s="1851"/>
      <c r="P87" s="472"/>
    </row>
    <row r="88" spans="1:16" ht="18.75">
      <c r="A88" s="1873" t="str">
        <f>IF(Property!E73="Y","","x")</f>
        <v>x</v>
      </c>
      <c r="B88" s="1822"/>
      <c r="C88" s="1880"/>
      <c r="D88" s="1880"/>
      <c r="E88" s="1992" t="str">
        <f>Property!AA73</f>
        <v>PA4</v>
      </c>
      <c r="F88" s="1993" t="str">
        <f>Property!G73</f>
        <v>Value Papers</v>
      </c>
      <c r="G88" s="2002"/>
      <c r="H88" s="2716">
        <f>Property!K73</f>
        <v>0</v>
      </c>
      <c r="I88" s="1994"/>
      <c r="J88" s="1995">
        <f>Property!Z73</f>
        <v>1000</v>
      </c>
      <c r="K88" s="1995">
        <f>Property!I73</f>
        <v>0</v>
      </c>
      <c r="L88" s="1995"/>
      <c r="M88" s="1995">
        <f ca="1">IF('Input '!$G$9=TRUE,Property!W73,"")</f>
        <v>0</v>
      </c>
      <c r="N88" s="1882"/>
      <c r="O88" s="1851"/>
      <c r="P88" s="472"/>
    </row>
    <row r="89" spans="1:16" ht="18.75">
      <c r="A89" s="1873" t="str">
        <f>IF(Property!E74="Y","","x")</f>
        <v>x</v>
      </c>
      <c r="B89" s="1822"/>
      <c r="C89" s="1880"/>
      <c r="D89" s="1880"/>
      <c r="E89" s="1992">
        <f>Property!AA74</f>
        <v>0</v>
      </c>
      <c r="F89" s="1993" t="str">
        <f>Property!G74</f>
        <v>Builder's risk</v>
      </c>
      <c r="G89" s="2002"/>
      <c r="H89" s="2716">
        <f>Property!K74</f>
        <v>0</v>
      </c>
      <c r="I89" s="1994"/>
      <c r="J89" s="1995">
        <f>Property!Z74</f>
        <v>0</v>
      </c>
      <c r="K89" s="1995">
        <f>Property!I74</f>
        <v>0</v>
      </c>
      <c r="L89" s="1995"/>
      <c r="M89" s="1995">
        <f>IF('Input '!$G$9=TRUE,Property!W74,"")</f>
        <v>0</v>
      </c>
      <c r="N89" s="1882"/>
      <c r="O89" s="1851"/>
      <c r="P89" s="472"/>
    </row>
    <row r="90" spans="1:16" ht="18.75">
      <c r="A90" s="1873" t="str">
        <f>IF(Property!E75="Y","","x")</f>
        <v>x</v>
      </c>
      <c r="B90" s="1822"/>
      <c r="C90" s="1880"/>
      <c r="D90" s="1880"/>
      <c r="E90" s="1992" t="str">
        <f>Property!AA75</f>
        <v>PA26</v>
      </c>
      <c r="F90" s="1993" t="str">
        <f>Property!G75</f>
        <v>Signs</v>
      </c>
      <c r="G90" s="2002"/>
      <c r="H90" s="2716">
        <f>Property!K75</f>
        <v>0</v>
      </c>
      <c r="I90" s="1994"/>
      <c r="J90" s="1995">
        <f>Property!Z75</f>
        <v>1000</v>
      </c>
      <c r="K90" s="1995">
        <f>Property!I75</f>
        <v>0</v>
      </c>
      <c r="L90" s="1995"/>
      <c r="M90" s="1995">
        <f>IF('Input '!$G$9=TRUE,Property!W75,"")</f>
        <v>0</v>
      </c>
      <c r="N90" s="1882"/>
      <c r="O90" s="1851"/>
      <c r="P90" s="472"/>
    </row>
    <row r="91" spans="1:16" ht="18.75">
      <c r="A91" s="1873" t="str">
        <f>IF(Property!E76="Y","","x")</f>
        <v>x</v>
      </c>
      <c r="B91" s="1822"/>
      <c r="C91" s="1880"/>
      <c r="D91" s="1880"/>
      <c r="E91" s="1992" t="str">
        <f>Property!AA76</f>
        <v>F200G</v>
      </c>
      <c r="F91" s="1993" t="str">
        <f>Property!G76</f>
        <v>Boiler</v>
      </c>
      <c r="G91" s="2002"/>
      <c r="H91" s="2716">
        <f>Property!K76</f>
        <v>0</v>
      </c>
      <c r="I91" s="1994"/>
      <c r="J91" s="1995">
        <f>Property!Z76</f>
        <v>0</v>
      </c>
      <c r="K91" s="1995">
        <f>Property!I76</f>
        <v>0</v>
      </c>
      <c r="L91" s="1995"/>
      <c r="M91" s="1995">
        <f>IF('Input '!$G$9=TRUE,Property!W76,"")</f>
        <v>0</v>
      </c>
      <c r="N91" s="1882"/>
      <c r="O91" s="1851"/>
      <c r="P91" s="472"/>
    </row>
    <row r="92" spans="1:16" ht="18.75">
      <c r="A92" s="1873" t="str">
        <f>IF(Property!E77="Y","","x")</f>
        <v>x</v>
      </c>
      <c r="B92" s="1822"/>
      <c r="C92" s="1880"/>
      <c r="D92" s="1880"/>
      <c r="E92" s="1992" t="str">
        <f>Property!AA77</f>
        <v>F200G</v>
      </c>
      <c r="F92" s="1993">
        <f>Property!H77</f>
        <v>0</v>
      </c>
      <c r="G92" s="2002"/>
      <c r="H92" s="2716" t="str">
        <f>Property!K77</f>
        <v>Without data</v>
      </c>
      <c r="I92" s="1994"/>
      <c r="J92" s="1995">
        <f>Property!Z77</f>
        <v>0</v>
      </c>
      <c r="K92" s="1995">
        <f>Property!I77</f>
        <v>0</v>
      </c>
      <c r="L92" s="1995"/>
      <c r="M92" s="1995">
        <f>IF('Input '!$G$9=TRUE,Property!W77,"")</f>
        <v>0</v>
      </c>
      <c r="N92" s="1882"/>
      <c r="O92" s="1851"/>
      <c r="P92" s="472"/>
    </row>
    <row r="93" spans="1:16" ht="18.75">
      <c r="A93" s="1873" t="str">
        <f>IF(Property!E78="Y","","x")</f>
        <v>x</v>
      </c>
      <c r="B93" s="1822"/>
      <c r="C93" s="1880"/>
      <c r="D93" s="1880"/>
      <c r="E93" s="1992" t="str">
        <f>Property!AA78</f>
        <v>F200G</v>
      </c>
      <c r="F93" s="1993" t="str">
        <f>Property!H78</f>
        <v>Input Address no 2</v>
      </c>
      <c r="G93" s="2002"/>
      <c r="H93" s="2716">
        <f>Property!K78</f>
        <v>0</v>
      </c>
      <c r="I93" s="1994"/>
      <c r="J93" s="1995">
        <f>Property!Z78</f>
        <v>0</v>
      </c>
      <c r="K93" s="1995">
        <f>Property!I78</f>
        <v>0</v>
      </c>
      <c r="L93" s="1995"/>
      <c r="M93" s="1995">
        <f>IF('Input '!$G$9=TRUE,Property!W78,"")</f>
        <v>0</v>
      </c>
      <c r="N93" s="1882"/>
      <c r="O93" s="1851"/>
      <c r="P93" s="472"/>
    </row>
    <row r="94" spans="1:16" ht="18.75">
      <c r="A94" s="1873" t="str">
        <f>IF(Property!E79="Y","","x")</f>
        <v>x</v>
      </c>
      <c r="B94" s="1822"/>
      <c r="C94" s="1880"/>
      <c r="D94" s="1880"/>
      <c r="E94" s="1992" t="str">
        <f>Property!AA79</f>
        <v>F200G</v>
      </c>
      <c r="F94" s="1993" t="str">
        <f>Property!H79</f>
        <v>Input Address no 3</v>
      </c>
      <c r="G94" s="2002"/>
      <c r="H94" s="2716">
        <f>Property!K79</f>
        <v>0</v>
      </c>
      <c r="I94" s="1994"/>
      <c r="J94" s="1995">
        <f>Property!Z79</f>
        <v>0</v>
      </c>
      <c r="K94" s="1995">
        <f>Property!I79</f>
        <v>0</v>
      </c>
      <c r="L94" s="1995"/>
      <c r="M94" s="1995">
        <f>IF('Input '!$G$9=TRUE,Property!W79,"")</f>
        <v>0</v>
      </c>
      <c r="N94" s="1882"/>
      <c r="O94" s="1851"/>
      <c r="P94" s="472"/>
    </row>
    <row r="95" spans="1:16" ht="18.75">
      <c r="A95" s="1873" t="str">
        <f>IF(Property!E80="Y","","x")</f>
        <v>x</v>
      </c>
      <c r="B95" s="1822"/>
      <c r="C95" s="1880"/>
      <c r="D95" s="1880"/>
      <c r="E95" s="1992" t="str">
        <f>Property!AA80</f>
        <v>F200G</v>
      </c>
      <c r="F95" s="1993" t="str">
        <f>Property!H80</f>
        <v>Input Address no 4</v>
      </c>
      <c r="G95" s="2002"/>
      <c r="H95" s="2716">
        <f>Property!K80</f>
        <v>0</v>
      </c>
      <c r="I95" s="1994"/>
      <c r="J95" s="1995">
        <f>Property!Z80</f>
        <v>0</v>
      </c>
      <c r="K95" s="1995">
        <f>Property!I80</f>
        <v>0</v>
      </c>
      <c r="L95" s="1995"/>
      <c r="M95" s="1995">
        <f>IF('Input '!$G$9=TRUE,Property!W80,"")</f>
        <v>0</v>
      </c>
      <c r="N95" s="1882"/>
      <c r="O95" s="1851"/>
      <c r="P95" s="472"/>
    </row>
    <row r="96" spans="1:16" ht="18.75">
      <c r="A96" s="1873" t="str">
        <f>IF(Property!E81="Y","","x")</f>
        <v>x</v>
      </c>
      <c r="B96" s="1822"/>
      <c r="C96" s="1880"/>
      <c r="D96" s="1880"/>
      <c r="E96" s="1992" t="str">
        <f>Property!AA81</f>
        <v>F200G</v>
      </c>
      <c r="F96" s="1993" t="str">
        <f>Property!H81</f>
        <v>Input Address no 5</v>
      </c>
      <c r="G96" s="2002"/>
      <c r="H96" s="2716">
        <f>Property!K81</f>
        <v>0</v>
      </c>
      <c r="I96" s="1994"/>
      <c r="J96" s="1995">
        <f>Property!Z81</f>
        <v>0</v>
      </c>
      <c r="K96" s="1995">
        <f>Property!I81</f>
        <v>0</v>
      </c>
      <c r="L96" s="1995"/>
      <c r="M96" s="1995">
        <f>IF('Input '!$G$9=TRUE,Property!W81,"")</f>
        <v>0</v>
      </c>
      <c r="N96" s="1882"/>
      <c r="O96" s="1851"/>
      <c r="P96" s="472"/>
    </row>
    <row r="97" spans="1:27" ht="18.75">
      <c r="A97" s="1873" t="str">
        <f>IF(Property!E82="Y","","x")</f>
        <v>x</v>
      </c>
      <c r="B97" s="1822"/>
      <c r="C97" s="1880"/>
      <c r="D97" s="1880"/>
      <c r="E97" s="1992" t="str">
        <f>Property!AA82</f>
        <v>PE9</v>
      </c>
      <c r="F97" s="1993" t="str">
        <f>Property!G82</f>
        <v>Flood</v>
      </c>
      <c r="G97" s="2002"/>
      <c r="H97" s="2716">
        <f>Property!K82</f>
        <v>0</v>
      </c>
      <c r="I97" s="1994"/>
      <c r="J97" s="1995">
        <f>Property!Z82</f>
        <v>25000</v>
      </c>
      <c r="K97" s="1995">
        <f>Property!I82</f>
        <v>0</v>
      </c>
      <c r="L97" s="1995"/>
      <c r="M97" s="1995">
        <f>IF('Input '!$G$9=TRUE,Property!W82,"")</f>
        <v>0</v>
      </c>
      <c r="N97" s="1882"/>
      <c r="O97" s="1851"/>
      <c r="P97" s="472"/>
    </row>
    <row r="98" spans="1:27" ht="18.75">
      <c r="A98" s="1873" t="str">
        <f>IF(Property!E83="Y","","x")</f>
        <v>x</v>
      </c>
      <c r="B98" s="1822"/>
      <c r="C98" s="1880"/>
      <c r="D98" s="1880"/>
      <c r="E98" s="1992" t="str">
        <f>Property!AA83</f>
        <v>PE9</v>
      </c>
      <c r="F98" s="1993">
        <f>Property!H83</f>
        <v>0</v>
      </c>
      <c r="G98" s="2002"/>
      <c r="H98" s="2716">
        <f>Property!K83</f>
        <v>0</v>
      </c>
      <c r="I98" s="1994"/>
      <c r="J98" s="1995">
        <f>Property!Z83</f>
        <v>25000</v>
      </c>
      <c r="K98" s="1995">
        <f>Property!I83</f>
        <v>0</v>
      </c>
      <c r="L98" s="1995"/>
      <c r="M98" s="1995">
        <f>IF('Input '!$G$9=TRUE,Property!W83,"")</f>
        <v>0</v>
      </c>
      <c r="N98" s="1882"/>
      <c r="O98" s="1851"/>
      <c r="P98" s="472"/>
    </row>
    <row r="99" spans="1:27" ht="18.75">
      <c r="A99" s="1873" t="str">
        <f>IF(Property!E84="Y","","x")</f>
        <v>x</v>
      </c>
      <c r="B99" s="1822"/>
      <c r="C99" s="1880"/>
      <c r="D99" s="1880"/>
      <c r="E99" s="1992" t="str">
        <f>Property!AA84</f>
        <v>PE9</v>
      </c>
      <c r="F99" s="1993" t="str">
        <f>Property!H84</f>
        <v>Input Address no 2</v>
      </c>
      <c r="G99" s="2002"/>
      <c r="H99" s="2716">
        <f>Property!K84</f>
        <v>0</v>
      </c>
      <c r="I99" s="1994"/>
      <c r="J99" s="1995">
        <f>Property!Z84</f>
        <v>25000</v>
      </c>
      <c r="K99" s="1995">
        <f>Property!I84</f>
        <v>0</v>
      </c>
      <c r="L99" s="1995"/>
      <c r="M99" s="1995">
        <f>IF('Input '!$G$9=TRUE,Property!W84,"")</f>
        <v>0</v>
      </c>
      <c r="N99" s="1882"/>
      <c r="O99" s="1851"/>
      <c r="P99" s="472"/>
    </row>
    <row r="100" spans="1:27" ht="18.75">
      <c r="A100" s="1873" t="str">
        <f>IF(Property!E85="Y","","x")</f>
        <v>x</v>
      </c>
      <c r="B100" s="1822"/>
      <c r="C100" s="1880"/>
      <c r="D100" s="1880"/>
      <c r="E100" s="1992" t="str">
        <f>Property!AA85</f>
        <v>PE9</v>
      </c>
      <c r="F100" s="1993" t="str">
        <f>Property!H85</f>
        <v>Input Address no 3</v>
      </c>
      <c r="G100" s="2002"/>
      <c r="H100" s="2716">
        <f>Property!K85</f>
        <v>0</v>
      </c>
      <c r="I100" s="1994"/>
      <c r="J100" s="1995">
        <f>Property!Z85</f>
        <v>25000</v>
      </c>
      <c r="K100" s="1995">
        <f>Property!I85</f>
        <v>0</v>
      </c>
      <c r="L100" s="1995"/>
      <c r="M100" s="1995">
        <f>IF('Input '!$G$9=TRUE,Property!W85,"")</f>
        <v>0</v>
      </c>
      <c r="N100" s="1882"/>
      <c r="O100" s="1851"/>
      <c r="P100" s="472"/>
    </row>
    <row r="101" spans="1:27" ht="18.75">
      <c r="A101" s="1873" t="str">
        <f>IF(Property!E86="Y","","x")</f>
        <v>x</v>
      </c>
      <c r="B101" s="1822"/>
      <c r="C101" s="1880"/>
      <c r="D101" s="1880"/>
      <c r="E101" s="1992" t="str">
        <f>Property!AA86</f>
        <v>PE9</v>
      </c>
      <c r="F101" s="1993" t="str">
        <f>Property!H86</f>
        <v>Input Address no 4</v>
      </c>
      <c r="G101" s="2002"/>
      <c r="H101" s="2716">
        <f>Property!K86</f>
        <v>0</v>
      </c>
      <c r="I101" s="1994"/>
      <c r="J101" s="1995">
        <f>Property!Z86</f>
        <v>25000</v>
      </c>
      <c r="K101" s="1995">
        <f>Property!I86</f>
        <v>0</v>
      </c>
      <c r="L101" s="1995"/>
      <c r="M101" s="1995">
        <f>IF('Input '!$G$9=TRUE,Property!W86,"")</f>
        <v>0</v>
      </c>
      <c r="N101" s="1882"/>
      <c r="O101" s="1851"/>
      <c r="P101" s="472"/>
    </row>
    <row r="102" spans="1:27" ht="18.75">
      <c r="A102" s="1873" t="str">
        <f>IF(Property!E87="Y","","x")</f>
        <v>x</v>
      </c>
      <c r="B102" s="1822"/>
      <c r="C102" s="1880"/>
      <c r="D102" s="1880"/>
      <c r="E102" s="1992" t="str">
        <f>Property!AA87</f>
        <v>PE9</v>
      </c>
      <c r="F102" s="1993" t="str">
        <f>Property!H87</f>
        <v>Input Address no 5</v>
      </c>
      <c r="G102" s="2002"/>
      <c r="H102" s="2716">
        <f>Property!K87</f>
        <v>0</v>
      </c>
      <c r="I102" s="1994"/>
      <c r="J102" s="1995">
        <f>Property!Z87</f>
        <v>25000</v>
      </c>
      <c r="K102" s="1995">
        <f>Property!I87</f>
        <v>0</v>
      </c>
      <c r="L102" s="1995"/>
      <c r="M102" s="1995">
        <f>IF('Input '!$G$9=TRUE,Property!W87,"")</f>
        <v>0</v>
      </c>
      <c r="N102" s="1882"/>
      <c r="O102" s="1851"/>
      <c r="P102" s="472"/>
    </row>
    <row r="103" spans="1:27" ht="18.75">
      <c r="A103" s="1873" t="str">
        <f>IF(Property!E88="Y","","x")</f>
        <v>x</v>
      </c>
      <c r="B103" s="1822"/>
      <c r="C103" s="1880"/>
      <c r="D103" s="1880"/>
      <c r="E103" s="1992" t="str">
        <f>Property!AA88</f>
        <v>PE10</v>
      </c>
      <c r="F103" s="1993" t="str">
        <f>Property!G88</f>
        <v xml:space="preserve">Earthquake </v>
      </c>
      <c r="G103" s="2002"/>
      <c r="H103" s="2716">
        <f>Property!K88</f>
        <v>0</v>
      </c>
      <c r="I103" s="1994"/>
      <c r="J103" s="1995">
        <f>Property!Z88</f>
        <v>0</v>
      </c>
      <c r="K103" s="1995">
        <f>Property!I88</f>
        <v>0</v>
      </c>
      <c r="L103" s="1995"/>
      <c r="M103" s="1995">
        <f>IF('Input '!$G$9=TRUE,Property!W88,"")</f>
        <v>0</v>
      </c>
      <c r="N103" s="1882"/>
      <c r="O103" s="1851"/>
      <c r="P103" s="472"/>
    </row>
    <row r="104" spans="1:27" ht="18.75">
      <c r="A104" s="1873" t="str">
        <f>IF(Property!E89="Y","","x")</f>
        <v>x</v>
      </c>
      <c r="B104" s="1822"/>
      <c r="C104" s="1880"/>
      <c r="D104" s="1880"/>
      <c r="E104" s="1992" t="str">
        <f>Property!AA89</f>
        <v>PE10</v>
      </c>
      <c r="F104" s="1993">
        <f>Property!H89</f>
        <v>0</v>
      </c>
      <c r="G104" s="2002"/>
      <c r="H104" s="2716">
        <f>Property!K89</f>
        <v>0</v>
      </c>
      <c r="I104" s="1994"/>
      <c r="J104" s="1995" t="e">
        <f ca="1">Property!Z89</f>
        <v>#N/A</v>
      </c>
      <c r="K104" s="1995">
        <f>Property!I89</f>
        <v>0</v>
      </c>
      <c r="L104" s="1995"/>
      <c r="M104" s="1995">
        <f>IF('Input '!$G$9=TRUE,Property!W89,"")</f>
        <v>0</v>
      </c>
      <c r="N104" s="1882"/>
      <c r="O104" s="1851"/>
      <c r="P104" s="472"/>
    </row>
    <row r="105" spans="1:27" ht="18.75">
      <c r="A105" s="1873" t="str">
        <f>IF(Property!E90="Y","","x")</f>
        <v>x</v>
      </c>
      <c r="B105" s="1822"/>
      <c r="C105" s="1880"/>
      <c r="D105" s="1880"/>
      <c r="E105" s="1992" t="str">
        <f>Property!AA90</f>
        <v>PE10</v>
      </c>
      <c r="F105" s="1993" t="str">
        <f>Property!H90</f>
        <v>Input Address no 2</v>
      </c>
      <c r="G105" s="2002"/>
      <c r="H105" s="2716">
        <f>Property!K90</f>
        <v>0</v>
      </c>
      <c r="I105" s="1994"/>
      <c r="J105" s="1995" t="e">
        <f ca="1">Property!Z90</f>
        <v>#N/A</v>
      </c>
      <c r="K105" s="1995">
        <f>Property!I90</f>
        <v>0</v>
      </c>
      <c r="L105" s="1995"/>
      <c r="M105" s="1995">
        <f>IF('Input '!$G$9=TRUE,Property!W90,"")</f>
        <v>0</v>
      </c>
      <c r="N105" s="1882"/>
      <c r="O105" s="1851"/>
      <c r="P105" s="472"/>
    </row>
    <row r="106" spans="1:27" ht="18.75">
      <c r="A106" s="1873" t="str">
        <f>IF(Property!E91="Y","","x")</f>
        <v>x</v>
      </c>
      <c r="B106" s="1822"/>
      <c r="C106" s="1880"/>
      <c r="D106" s="1880"/>
      <c r="E106" s="1992" t="str">
        <f>Property!AA91</f>
        <v>PE10</v>
      </c>
      <c r="F106" s="1993" t="str">
        <f>Property!H91</f>
        <v>Input Address no 3</v>
      </c>
      <c r="G106" s="2002"/>
      <c r="H106" s="2716">
        <f>Property!K91</f>
        <v>0</v>
      </c>
      <c r="I106" s="1994"/>
      <c r="J106" s="1995" t="e">
        <f ca="1">Property!Z91</f>
        <v>#N/A</v>
      </c>
      <c r="K106" s="1995">
        <f>Property!I91</f>
        <v>0</v>
      </c>
      <c r="L106" s="1995"/>
      <c r="M106" s="1995">
        <f>IF('Input '!$G$9=TRUE,Property!W91,"")</f>
        <v>0</v>
      </c>
      <c r="N106" s="1882"/>
      <c r="O106" s="1851"/>
      <c r="P106" s="472"/>
    </row>
    <row r="107" spans="1:27" ht="18.75">
      <c r="A107" s="1873" t="str">
        <f>IF(Property!E92="Y","","x")</f>
        <v>x</v>
      </c>
      <c r="B107" s="1822"/>
      <c r="C107" s="1880"/>
      <c r="D107" s="1880"/>
      <c r="E107" s="1992" t="str">
        <f>Property!AA92</f>
        <v>PE10</v>
      </c>
      <c r="F107" s="1993" t="str">
        <f>Property!H92</f>
        <v>Input Address no 4</v>
      </c>
      <c r="G107" s="2002"/>
      <c r="H107" s="2716">
        <f>Property!K92</f>
        <v>0</v>
      </c>
      <c r="I107" s="1994"/>
      <c r="J107" s="1995" t="e">
        <f ca="1">Property!Z92</f>
        <v>#N/A</v>
      </c>
      <c r="K107" s="1995">
        <f>Property!I92</f>
        <v>0</v>
      </c>
      <c r="L107" s="1995"/>
      <c r="M107" s="1995">
        <f>IF('Input '!$G$9=TRUE,Property!W92,"")</f>
        <v>0</v>
      </c>
      <c r="N107" s="1882"/>
      <c r="O107" s="1851"/>
      <c r="P107" s="472"/>
    </row>
    <row r="108" spans="1:27" ht="18.75">
      <c r="A108" s="1873" t="str">
        <f>IF(Property!E93="Y","","x")</f>
        <v>x</v>
      </c>
      <c r="B108" s="1822"/>
      <c r="C108" s="1880"/>
      <c r="D108" s="1880"/>
      <c r="E108" s="1992" t="str">
        <f>Property!AA93</f>
        <v>PE10</v>
      </c>
      <c r="F108" s="1993" t="str">
        <f>Property!H93</f>
        <v>Input Address no 5</v>
      </c>
      <c r="G108" s="2002"/>
      <c r="H108" s="2716">
        <f>Property!K93</f>
        <v>0</v>
      </c>
      <c r="I108" s="1994"/>
      <c r="J108" s="1995" t="e">
        <f ca="1">Property!Z93</f>
        <v>#N/A</v>
      </c>
      <c r="K108" s="1995">
        <f>Property!I93</f>
        <v>0</v>
      </c>
      <c r="L108" s="1995"/>
      <c r="M108" s="1995">
        <f>IF('Input '!$G$9=TRUE,Property!W93,"")</f>
        <v>0</v>
      </c>
      <c r="N108" s="1882"/>
      <c r="O108" s="1851"/>
      <c r="P108" s="472"/>
    </row>
    <row r="109" spans="1:27" s="471" customFormat="1" ht="24.75" customHeight="1">
      <c r="A109" s="1885"/>
      <c r="B109" s="2749"/>
      <c r="C109" s="1874"/>
      <c r="D109" s="1874"/>
      <c r="E109" s="1886"/>
      <c r="F109" s="1876" t="str">
        <f>IF('Input '!$E$1="EN",'Quote template-2'!$AA$53,'Quote template-2'!$Z$53)</f>
        <v>B. Section General Liability</v>
      </c>
      <c r="G109" s="1877"/>
      <c r="H109" s="1877"/>
      <c r="I109" s="1877"/>
      <c r="J109" s="1877"/>
      <c r="K109" s="1877"/>
      <c r="L109" s="1877"/>
      <c r="M109" s="1878">
        <f>SUM(M110:M140)</f>
        <v>0</v>
      </c>
      <c r="N109" s="1878"/>
      <c r="O109" s="1879"/>
      <c r="P109" s="470"/>
      <c r="Z109" s="1216"/>
      <c r="AA109" s="1228"/>
    </row>
    <row r="110" spans="1:27" s="2" customFormat="1" ht="27">
      <c r="A110" s="1920"/>
      <c r="B110" s="2752"/>
      <c r="C110" s="1921"/>
      <c r="D110" s="1921"/>
      <c r="E110" s="1996" t="str">
        <f>IF('Input '!$G$45&gt;0,'CGL coverage'!AE47,'CGL coverage'!AE54)</f>
        <v>L1A,CW180</v>
      </c>
      <c r="F110" s="2000" t="str">
        <f>IF('Input '!$E$1="EN",'Quote template-2'!$AA$110,'Quote template-2'!$Z$110)</f>
        <v xml:space="preserve">Commercial General Liability  </v>
      </c>
      <c r="G110" s="1997"/>
      <c r="H110" s="1997"/>
      <c r="I110" s="1997"/>
      <c r="J110" s="1998">
        <f>IF('Input '!$G$45&gt;0,'CGL coverage'!AD47,'CGL coverage'!AD54)</f>
        <v>2500</v>
      </c>
      <c r="K110" s="1998">
        <f>'CGL coverage'!$I$5</f>
        <v>1000000</v>
      </c>
      <c r="L110" s="1999"/>
      <c r="M110" s="2858">
        <f>IF('Input '!$G$45&gt;0,'CGL coverage'!AA47,'CGL coverage'!AA54)</f>
        <v>0</v>
      </c>
      <c r="N110" s="1922"/>
      <c r="O110" s="1853"/>
      <c r="P110" s="1299"/>
      <c r="Z110" s="1214" t="s">
        <v>1276</v>
      </c>
      <c r="AA110" s="1225" t="s">
        <v>3698</v>
      </c>
    </row>
    <row r="111" spans="1:27" s="2" customFormat="1" ht="18.75">
      <c r="A111" s="1873" t="str">
        <f>IF('CGL coverage'!F38="Y","","x")</f>
        <v>x</v>
      </c>
      <c r="B111" s="1822"/>
      <c r="C111" s="1880"/>
      <c r="D111" s="1880"/>
      <c r="E111" s="1992"/>
      <c r="F111" s="2000" t="str">
        <f>'CGL coverage'!H38</f>
        <v>Deductible by claimant</v>
      </c>
      <c r="G111" s="1994"/>
      <c r="H111" s="1994"/>
      <c r="I111" s="1994"/>
      <c r="J111" s="1995">
        <f>'CGL coverage'!AD38</f>
        <v>2500</v>
      </c>
      <c r="K111" s="1995"/>
      <c r="L111" s="2001"/>
      <c r="M111" s="2857"/>
      <c r="N111" s="1922"/>
      <c r="O111" s="1853"/>
      <c r="P111" s="1299"/>
      <c r="Z111" s="1214"/>
      <c r="AA111" s="1225"/>
    </row>
    <row r="112" spans="1:27" ht="18.75">
      <c r="A112" s="1873" t="str">
        <f>IF('CGL coverage'!F39="Y","","x")</f>
        <v/>
      </c>
      <c r="B112" s="1822"/>
      <c r="C112" s="1880"/>
      <c r="D112" s="1880"/>
      <c r="E112" s="1992" t="str">
        <f>'CGL coverage'!AE39</f>
        <v>CW208</v>
      </c>
      <c r="F112" s="2000" t="str">
        <f>'CGL coverage'!H39</f>
        <v>Water Deductible</v>
      </c>
      <c r="G112" s="1994"/>
      <c r="H112" s="1994"/>
      <c r="I112" s="1994"/>
      <c r="J112" s="1995">
        <f>'CGL coverage'!AD39</f>
        <v>5000</v>
      </c>
      <c r="K112" s="1995"/>
      <c r="L112" s="2001"/>
      <c r="M112" s="2857"/>
      <c r="N112" s="1881"/>
      <c r="O112" s="1851"/>
      <c r="P112" s="472"/>
    </row>
    <row r="113" spans="1:16" ht="18.75">
      <c r="A113" s="1873" t="str">
        <f>IF('CGL coverage'!F40="Y","","x")</f>
        <v>x</v>
      </c>
      <c r="B113" s="1822"/>
      <c r="C113" s="1880"/>
      <c r="D113" s="1880"/>
      <c r="E113" s="1992" t="str">
        <f>'CGL coverage'!AE40</f>
        <v/>
      </c>
      <c r="F113" s="2000" t="str">
        <f>'CGL coverage'!H40</f>
        <v>Hot works Deductible</v>
      </c>
      <c r="G113" s="1994"/>
      <c r="H113" s="1994"/>
      <c r="I113" s="1994"/>
      <c r="J113" s="1995">
        <f>'CGL coverage'!AD40</f>
        <v>5000</v>
      </c>
      <c r="K113" s="1995"/>
      <c r="L113" s="2001"/>
      <c r="M113" s="2857"/>
      <c r="N113" s="1881"/>
      <c r="O113" s="1851"/>
      <c r="P113" s="472"/>
    </row>
    <row r="114" spans="1:16" ht="18.75">
      <c r="A114" s="1873" t="str">
        <f>IF('CGL coverage'!F59="Y","","x")</f>
        <v>x</v>
      </c>
      <c r="B114" s="1822"/>
      <c r="C114" s="1880"/>
      <c r="D114" s="1880"/>
      <c r="E114" s="1992" t="str">
        <f>'CGL coverage'!AE59</f>
        <v>L17</v>
      </c>
      <c r="F114" s="2000" t="str">
        <f>'CGL coverage'!H59</f>
        <v>OLT</v>
      </c>
      <c r="G114" s="1994"/>
      <c r="H114" s="1994"/>
      <c r="I114" s="1994"/>
      <c r="J114" s="1995" t="e">
        <f>'CGL coverage'!AD59</f>
        <v>#REF!</v>
      </c>
      <c r="K114" s="1995">
        <f>'CGL coverage'!I59</f>
        <v>1000000</v>
      </c>
      <c r="L114" s="2001" t="s">
        <v>1079</v>
      </c>
      <c r="M114" s="2857">
        <f>'CGL coverage'!AA59</f>
        <v>0</v>
      </c>
      <c r="N114" s="1881"/>
      <c r="O114" s="1851"/>
      <c r="P114" s="472"/>
    </row>
    <row r="115" spans="1:16" ht="18.75">
      <c r="A115" s="1873" t="str">
        <f>IF('CGL coverage'!F60="Y","","x")</f>
        <v>x</v>
      </c>
      <c r="B115" s="1822"/>
      <c r="C115" s="1880"/>
      <c r="D115" s="1880"/>
      <c r="E115" s="1992" t="str">
        <f>'CGL coverage'!AE60</f>
        <v>L1A</v>
      </c>
      <c r="F115" s="2000" t="str">
        <f>'CGL coverage'!H60</f>
        <v>CGL ( dp/ no products)</v>
      </c>
      <c r="G115" s="1994"/>
      <c r="H115" s="1994"/>
      <c r="I115" s="1994"/>
      <c r="J115" s="1995" t="e">
        <f>'CGL coverage'!AD60</f>
        <v>#REF!</v>
      </c>
      <c r="K115" s="1995">
        <f>'CGL coverage'!I60</f>
        <v>1000000</v>
      </c>
      <c r="L115" s="2001" t="s">
        <v>1079</v>
      </c>
      <c r="M115" s="2857">
        <f>'CGL coverage'!AA60</f>
        <v>0</v>
      </c>
      <c r="N115" s="1881"/>
      <c r="O115" s="1851"/>
      <c r="P115" s="472"/>
    </row>
    <row r="116" spans="1:16" ht="18.75">
      <c r="A116" s="1873" t="str">
        <f>IF('CGL coverage'!F68="Y","","x")</f>
        <v>x</v>
      </c>
      <c r="B116" s="1822"/>
      <c r="C116" s="1880"/>
      <c r="D116" s="1880"/>
      <c r="E116" s="1992" t="str">
        <f>'CGL coverage'!AE68</f>
        <v>CW107</v>
      </c>
      <c r="F116" s="2000" t="str">
        <f>'CGL coverage'!H68</f>
        <v>Faulty workmanship</v>
      </c>
      <c r="G116" s="1994"/>
      <c r="H116" s="1994"/>
      <c r="I116" s="1994"/>
      <c r="J116" s="1995">
        <f>'CGL coverage'!AD68</f>
        <v>2500</v>
      </c>
      <c r="K116" s="1995">
        <f>'CGL coverage'!I68</f>
        <v>0</v>
      </c>
      <c r="L116" s="2001" t="s">
        <v>1079</v>
      </c>
      <c r="M116" s="2857">
        <f>'CGL coverage'!AA68</f>
        <v>0</v>
      </c>
      <c r="N116" s="1881"/>
      <c r="O116" s="1851"/>
      <c r="P116" s="472"/>
    </row>
    <row r="117" spans="1:16" ht="18.75">
      <c r="A117" s="1873" t="str">
        <f>IF('CGL coverage'!F69="Y","","x")</f>
        <v>x</v>
      </c>
      <c r="B117" s="1822"/>
      <c r="C117" s="1880"/>
      <c r="D117" s="1880"/>
      <c r="E117" s="1992" t="str">
        <f>'CGL coverage'!AE69</f>
        <v>CW106</v>
      </c>
      <c r="F117" s="2000" t="str">
        <f>'CGL coverage'!H69</f>
        <v xml:space="preserve">Contractors Professional Liability </v>
      </c>
      <c r="G117" s="1994"/>
      <c r="H117" s="1994"/>
      <c r="I117" s="1994"/>
      <c r="J117" s="1995">
        <f>'CGL coverage'!AD69</f>
        <v>2500</v>
      </c>
      <c r="K117" s="1995">
        <f>'CGL coverage'!I69</f>
        <v>0</v>
      </c>
      <c r="L117" s="2001" t="s">
        <v>1079</v>
      </c>
      <c r="M117" s="2857">
        <f>'CGL coverage'!AA69</f>
        <v>0</v>
      </c>
      <c r="N117" s="1881"/>
      <c r="O117" s="1851"/>
      <c r="P117" s="472"/>
    </row>
    <row r="118" spans="1:16" ht="18.75">
      <c r="A118" s="1873" t="str">
        <f>IF('CGL coverage'!F70="Y","","x")</f>
        <v>x</v>
      </c>
      <c r="B118" s="1822"/>
      <c r="C118" s="1880"/>
      <c r="D118" s="1880"/>
      <c r="E118" s="1992" t="str">
        <f>'CGL coverage'!AE70</f>
        <v>CW150</v>
      </c>
      <c r="F118" s="2000" t="str">
        <f>'CGL coverage'!H70</f>
        <v>Fungi and fungal derivatives</v>
      </c>
      <c r="G118" s="1994"/>
      <c r="H118" s="1994"/>
      <c r="I118" s="1994"/>
      <c r="J118" s="1995">
        <f>'CGL coverage'!AD70</f>
        <v>2500</v>
      </c>
      <c r="K118" s="1995">
        <f>'CGL coverage'!I70</f>
        <v>0</v>
      </c>
      <c r="L118" s="2001" t="s">
        <v>1079</v>
      </c>
      <c r="M118" s="2857">
        <f>'CGL coverage'!AA70</f>
        <v>0</v>
      </c>
      <c r="N118" s="1881"/>
      <c r="O118" s="1851"/>
      <c r="P118" s="472"/>
    </row>
    <row r="119" spans="1:16" ht="18.75">
      <c r="A119" s="1873" t="str">
        <f>IF('CGL coverage'!F71="Y","","x")</f>
        <v>x</v>
      </c>
      <c r="B119" s="1822"/>
      <c r="C119" s="1880"/>
      <c r="D119" s="1880"/>
      <c r="E119" s="1992" t="str">
        <f>'CGL coverage'!AE71</f>
        <v>LE44</v>
      </c>
      <c r="F119" s="2000" t="str">
        <f>'CGL coverage'!H71</f>
        <v>Sudden and accidental pollution</v>
      </c>
      <c r="G119" s="1994"/>
      <c r="H119" s="1994"/>
      <c r="I119" s="1994"/>
      <c r="J119" s="1995">
        <f>'CGL coverage'!AD71</f>
        <v>2500</v>
      </c>
      <c r="K119" s="1995">
        <f>'CGL coverage'!I71</f>
        <v>0</v>
      </c>
      <c r="L119" s="2001" t="s">
        <v>1079</v>
      </c>
      <c r="M119" s="2857">
        <f>'CGL coverage'!AA71</f>
        <v>0</v>
      </c>
      <c r="N119" s="1881"/>
      <c r="O119" s="1851"/>
      <c r="P119" s="472"/>
    </row>
    <row r="120" spans="1:16" ht="18.75">
      <c r="A120" s="1873" t="str">
        <f>IF('CGL coverage'!F72="Y","","x")</f>
        <v>x</v>
      </c>
      <c r="B120" s="1822"/>
      <c r="C120" s="1880"/>
      <c r="D120" s="1880"/>
      <c r="E120" s="1992" t="str">
        <f>'CGL coverage'!AE72</f>
        <v>CW199</v>
      </c>
      <c r="F120" s="2000" t="str">
        <f>'CGL coverage'!H72</f>
        <v>Care, custody and control</v>
      </c>
      <c r="G120" s="1994"/>
      <c r="H120" s="1994"/>
      <c r="I120" s="1994"/>
      <c r="J120" s="1995">
        <f>'CGL coverage'!AD72</f>
        <v>2500</v>
      </c>
      <c r="K120" s="1995">
        <f>'CGL coverage'!I72</f>
        <v>0</v>
      </c>
      <c r="L120" s="2001" t="s">
        <v>1079</v>
      </c>
      <c r="M120" s="2857">
        <f>'CGL coverage'!AA72</f>
        <v>0</v>
      </c>
      <c r="N120" s="1881"/>
      <c r="O120" s="1851"/>
      <c r="P120" s="472"/>
    </row>
    <row r="121" spans="1:16" ht="18.75">
      <c r="A121" s="1873" t="str">
        <f>IF('CGL coverage'!F73="Y","","x")</f>
        <v>x</v>
      </c>
      <c r="B121" s="1822"/>
      <c r="C121" s="1880"/>
      <c r="D121" s="1880"/>
      <c r="E121" s="1992" t="str">
        <f>'CGL coverage'!AE73</f>
        <v>CW200</v>
      </c>
      <c r="F121" s="2000" t="str">
        <f>'CGL coverage'!H73</f>
        <v>Failure to perform</v>
      </c>
      <c r="G121" s="1994"/>
      <c r="H121" s="1994"/>
      <c r="I121" s="1994"/>
      <c r="J121" s="1995">
        <f>'CGL coverage'!AD73</f>
        <v>2500</v>
      </c>
      <c r="K121" s="1995">
        <f>'CGL coverage'!I73</f>
        <v>0</v>
      </c>
      <c r="L121" s="2001" t="s">
        <v>1079</v>
      </c>
      <c r="M121" s="2857">
        <f>'CGL coverage'!AA73</f>
        <v>0</v>
      </c>
      <c r="N121" s="1881"/>
      <c r="O121" s="1851"/>
      <c r="P121" s="472"/>
    </row>
    <row r="122" spans="1:16" ht="18.75">
      <c r="A122" s="1873" t="str">
        <f>IF('CGL coverage'!F76="Y","","x")</f>
        <v/>
      </c>
      <c r="B122" s="1822"/>
      <c r="C122" s="1880"/>
      <c r="D122" s="1880"/>
      <c r="E122" s="1992" t="str">
        <f>'CGL coverage'!AE76</f>
        <v/>
      </c>
      <c r="F122" s="2000" t="str">
        <f>'CGL coverage'!H76</f>
        <v>Products-Completed Operations</v>
      </c>
      <c r="G122" s="1994"/>
      <c r="H122" s="1994"/>
      <c r="I122" s="1994"/>
      <c r="J122" s="1995">
        <f>'CGL coverage'!AD76</f>
        <v>2500</v>
      </c>
      <c r="K122" s="1995">
        <f>'CGL coverage'!I76</f>
        <v>1000000</v>
      </c>
      <c r="L122" s="2001" t="s">
        <v>1079</v>
      </c>
      <c r="M122" s="2857" t="str">
        <f>'CGL coverage'!AA76</f>
        <v>Included</v>
      </c>
      <c r="N122" s="1881"/>
      <c r="O122" s="1851"/>
      <c r="P122" s="472"/>
    </row>
    <row r="123" spans="1:16" ht="18.75">
      <c r="A123" s="1873" t="str">
        <f>IF('CGL coverage'!F77="Y","","x")</f>
        <v/>
      </c>
      <c r="B123" s="1822"/>
      <c r="C123" s="1880"/>
      <c r="D123" s="1880"/>
      <c r="E123" s="1992" t="str">
        <f>'CGL coverage'!AE77</f>
        <v/>
      </c>
      <c r="F123" s="2000" t="str">
        <f>'CGL coverage'!H77</f>
        <v>Personal &amp; Advertising</v>
      </c>
      <c r="G123" s="1994"/>
      <c r="H123" s="1994"/>
      <c r="I123" s="1994"/>
      <c r="J123" s="1995">
        <f>'CGL coverage'!AD77</f>
        <v>2500</v>
      </c>
      <c r="K123" s="1995">
        <f>'CGL coverage'!I77</f>
        <v>1000000</v>
      </c>
      <c r="L123" s="2001" t="s">
        <v>1079</v>
      </c>
      <c r="M123" s="2857" t="str">
        <f>'CGL coverage'!AA77</f>
        <v>Included</v>
      </c>
      <c r="N123" s="1881"/>
      <c r="O123" s="1851"/>
      <c r="P123" s="472"/>
    </row>
    <row r="124" spans="1:16" ht="18.75">
      <c r="A124" s="1873" t="str">
        <f>IF('CGL coverage'!F78="Y","","x")</f>
        <v/>
      </c>
      <c r="B124" s="1822"/>
      <c r="C124" s="1880"/>
      <c r="D124" s="1880"/>
      <c r="E124" s="1992" t="str">
        <f>'CGL coverage'!AE78</f>
        <v/>
      </c>
      <c r="F124" s="2000" t="str">
        <f>'CGL coverage'!H78</f>
        <v>Liability Medical Payments</v>
      </c>
      <c r="G124" s="1994"/>
      <c r="H124" s="1994"/>
      <c r="I124" s="1994"/>
      <c r="J124" s="1995">
        <f>'CGL coverage'!AD78</f>
        <v>2500</v>
      </c>
      <c r="K124" s="1995">
        <f>'CGL coverage'!I78</f>
        <v>25000</v>
      </c>
      <c r="L124" s="2001" t="s">
        <v>1079</v>
      </c>
      <c r="M124" s="2857" t="str">
        <f>'CGL coverage'!AA78</f>
        <v>Included</v>
      </c>
      <c r="N124" s="1881"/>
      <c r="O124" s="1851"/>
      <c r="P124" s="472"/>
    </row>
    <row r="125" spans="1:16" ht="18.75">
      <c r="A125" s="1873" t="str">
        <f>IF('CGL coverage'!F79="Y","","x")</f>
        <v/>
      </c>
      <c r="B125" s="1822"/>
      <c r="C125" s="1880"/>
      <c r="D125" s="1880"/>
      <c r="E125" s="1992" t="str">
        <f>'CGL coverage'!AE79</f>
        <v/>
      </c>
      <c r="F125" s="2000" t="str">
        <f>'CGL coverage'!H79</f>
        <v>Tenants Legal Liability</v>
      </c>
      <c r="G125" s="1994"/>
      <c r="H125" s="1994"/>
      <c r="I125" s="1994"/>
      <c r="J125" s="1995">
        <f>'CGL coverage'!AD79</f>
        <v>2500</v>
      </c>
      <c r="K125" s="1995">
        <f>'CGL coverage'!I79</f>
        <v>250000</v>
      </c>
      <c r="L125" s="2001" t="s">
        <v>1079</v>
      </c>
      <c r="M125" s="2857" t="str">
        <f>'CGL coverage'!AA79</f>
        <v>Included</v>
      </c>
      <c r="N125" s="1881"/>
      <c r="O125" s="1851"/>
      <c r="P125" s="472"/>
    </row>
    <row r="126" spans="1:16" ht="18.75">
      <c r="A126" s="1873" t="str">
        <f>IF('CGL coverage'!F80="Y","","x")</f>
        <v/>
      </c>
      <c r="B126" s="1822"/>
      <c r="C126" s="1880"/>
      <c r="D126" s="1880"/>
      <c r="E126" s="1992" t="str">
        <f>'CGL coverage'!AE80</f>
        <v>L14</v>
      </c>
      <c r="F126" s="2000" t="str">
        <f>'CGL coverage'!H80</f>
        <v>Non Owed Automobile</v>
      </c>
      <c r="G126" s="1994"/>
      <c r="H126" s="1994"/>
      <c r="I126" s="1994"/>
      <c r="J126" s="1995">
        <f>'CGL coverage'!AD80</f>
        <v>2500</v>
      </c>
      <c r="K126" s="1995">
        <f>'CGL coverage'!I80</f>
        <v>1000000</v>
      </c>
      <c r="L126" s="2001" t="s">
        <v>1079</v>
      </c>
      <c r="M126" s="2857" t="str">
        <f>'CGL coverage'!AA80</f>
        <v>Included</v>
      </c>
      <c r="N126" s="1881"/>
      <c r="O126" s="1851"/>
      <c r="P126" s="472"/>
    </row>
    <row r="127" spans="1:16" ht="18.75">
      <c r="A127" s="1873" t="str">
        <f>IF($M$25="Quebec","x","")</f>
        <v/>
      </c>
      <c r="B127" s="1822"/>
      <c r="C127" s="1880"/>
      <c r="D127" s="1880"/>
      <c r="E127" s="1992" t="str">
        <f>'CGL coverage'!AE81</f>
        <v>LE25</v>
      </c>
      <c r="F127" s="2000" t="str">
        <f>'CGL coverage'!H81</f>
        <v>Contractual Liability Extension (SEF 96)</v>
      </c>
      <c r="G127" s="1994"/>
      <c r="H127" s="1994"/>
      <c r="I127" s="1994"/>
      <c r="J127" s="1995">
        <f>'CGL coverage'!AD81</f>
        <v>2500</v>
      </c>
      <c r="K127" s="1995" t="str">
        <f>'CGL coverage'!I81</f>
        <v>Included</v>
      </c>
      <c r="L127" s="2001" t="s">
        <v>1079</v>
      </c>
      <c r="M127" s="2857" t="str">
        <f>'CGL coverage'!AA81</f>
        <v>Included</v>
      </c>
      <c r="N127" s="1881"/>
      <c r="O127" s="1851"/>
      <c r="P127" s="472"/>
    </row>
    <row r="128" spans="1:16" ht="18.75">
      <c r="A128" s="1873" t="str">
        <f>IF('CGL coverage'!F82="Y","","x")</f>
        <v/>
      </c>
      <c r="B128" s="1822"/>
      <c r="C128" s="1880"/>
      <c r="D128" s="1880"/>
      <c r="E128" s="1992" t="str">
        <f>'CGL coverage'!AE82</f>
        <v>LE26</v>
      </c>
      <c r="F128" s="2000" t="str">
        <f>'CGL coverage'!H82</f>
        <v>Legal Liability for Damage to Hired Automobiles Extension (SEF 94)</v>
      </c>
      <c r="G128" s="1994"/>
      <c r="H128" s="1994"/>
      <c r="I128" s="1994"/>
      <c r="J128" s="1995">
        <f>'CGL coverage'!AD82</f>
        <v>2500</v>
      </c>
      <c r="K128" s="1995">
        <f>'CGL coverage'!I82</f>
        <v>50000</v>
      </c>
      <c r="L128" s="2001" t="s">
        <v>1079</v>
      </c>
      <c r="M128" s="2857" t="str">
        <f>'CGL coverage'!AA82</f>
        <v>Included</v>
      </c>
      <c r="N128" s="1881"/>
      <c r="O128" s="1851"/>
      <c r="P128" s="472"/>
    </row>
    <row r="129" spans="1:27" ht="18.75">
      <c r="A129" s="1873" t="str">
        <f>IF($M$25="Quebec","x","")</f>
        <v/>
      </c>
      <c r="B129" s="1822"/>
      <c r="C129" s="1880"/>
      <c r="D129" s="1880"/>
      <c r="E129" s="1992" t="str">
        <f>'CGL coverage'!AE83</f>
        <v>LE45</v>
      </c>
      <c r="F129" s="2000" t="str">
        <f>'CGL coverage'!H83</f>
        <v>Reduction of Coverage for Leased Vehicles Endorsement (OEF 98B)</v>
      </c>
      <c r="G129" s="1994"/>
      <c r="H129" s="1994"/>
      <c r="I129" s="1994"/>
      <c r="J129" s="1995">
        <f>'CGL coverage'!AD83</f>
        <v>2500</v>
      </c>
      <c r="K129" s="1995" t="str">
        <f>'CGL coverage'!I83</f>
        <v>Included</v>
      </c>
      <c r="L129" s="2001" t="s">
        <v>1079</v>
      </c>
      <c r="M129" s="2857" t="str">
        <f>'CGL coverage'!AA83</f>
        <v>Included</v>
      </c>
      <c r="N129" s="1881"/>
      <c r="O129" s="1851"/>
      <c r="P129" s="472"/>
    </row>
    <row r="130" spans="1:27" ht="18.75">
      <c r="A130" s="1873" t="str">
        <f>IF('CGL coverage'!F84="Y","","x")</f>
        <v/>
      </c>
      <c r="B130" s="1822"/>
      <c r="C130" s="1880"/>
      <c r="D130" s="1880"/>
      <c r="E130" s="1992" t="str">
        <f>'CGL coverage'!AE84</f>
        <v>LX16</v>
      </c>
      <c r="F130" s="2000" t="str">
        <f>'CGL coverage'!H84</f>
        <v>Long Term Leased Vehicle Exclusion (SEF 99)</v>
      </c>
      <c r="G130" s="1994"/>
      <c r="H130" s="1994"/>
      <c r="I130" s="1994"/>
      <c r="J130" s="1995">
        <f>'CGL coverage'!AD84</f>
        <v>2500</v>
      </c>
      <c r="K130" s="1995" t="str">
        <f>'CGL coverage'!I84</f>
        <v>Included</v>
      </c>
      <c r="L130" s="2001" t="s">
        <v>1079</v>
      </c>
      <c r="M130" s="2857" t="str">
        <f>'CGL coverage'!AA84</f>
        <v>Included</v>
      </c>
      <c r="N130" s="1881"/>
      <c r="O130" s="1851"/>
      <c r="P130" s="472"/>
    </row>
    <row r="131" spans="1:27" ht="18.75">
      <c r="A131" s="1873" t="str">
        <f>IF('CGL coverage'!F85="Y","","x")</f>
        <v/>
      </c>
      <c r="B131" s="1822"/>
      <c r="C131" s="1880"/>
      <c r="D131" s="1880"/>
      <c r="E131" s="1992" t="str">
        <f>'CGL coverage'!AE85</f>
        <v>LE5c</v>
      </c>
      <c r="F131" s="2000" t="str">
        <f>'CGL coverage'!H85</f>
        <v>Employers' Bodily Injury Liability Extension</v>
      </c>
      <c r="G131" s="1994"/>
      <c r="H131" s="1994"/>
      <c r="I131" s="1994"/>
      <c r="J131" s="1995">
        <f>'CGL coverage'!AD85</f>
        <v>2500</v>
      </c>
      <c r="K131" s="1995">
        <f>'CGL coverage'!I85</f>
        <v>1000000</v>
      </c>
      <c r="L131" s="2001" t="s">
        <v>1079</v>
      </c>
      <c r="M131" s="2857" t="str">
        <f>'CGL coverage'!AA85</f>
        <v>Included</v>
      </c>
      <c r="N131" s="1881"/>
      <c r="O131" s="1851"/>
      <c r="P131" s="472"/>
    </row>
    <row r="132" spans="1:27" ht="18.75">
      <c r="A132" s="1873" t="str">
        <f>IF('CGL coverage'!F86="Y","","x")</f>
        <v/>
      </c>
      <c r="B132" s="1822"/>
      <c r="C132" s="1880"/>
      <c r="D132" s="1880"/>
      <c r="E132" s="1992" t="str">
        <f>'CGL coverage'!AE86</f>
        <v>LE33</v>
      </c>
      <c r="F132" s="2000" t="str">
        <f>'CGL coverage'!H86</f>
        <v>Employee Benefits Extension</v>
      </c>
      <c r="G132" s="1994"/>
      <c r="H132" s="1994"/>
      <c r="I132" s="1994"/>
      <c r="J132" s="1995">
        <f>'CGL coverage'!AD86</f>
        <v>2500</v>
      </c>
      <c r="K132" s="1995">
        <f>'CGL coverage'!I86</f>
        <v>1000000</v>
      </c>
      <c r="L132" s="2001" t="s">
        <v>1079</v>
      </c>
      <c r="M132" s="2857" t="str">
        <f>'CGL coverage'!AA86</f>
        <v>Included</v>
      </c>
      <c r="N132" s="1881"/>
      <c r="O132" s="1851"/>
      <c r="P132" s="472"/>
    </row>
    <row r="133" spans="1:27" ht="18.75">
      <c r="A133" s="1873" t="str">
        <f>IF('CGL coverage'!F87="Y","","x")</f>
        <v>x</v>
      </c>
      <c r="B133" s="1822"/>
      <c r="C133" s="1880"/>
      <c r="D133" s="1880"/>
      <c r="E133" s="1992">
        <f>'CGL coverage'!AE87</f>
        <v>0</v>
      </c>
      <c r="F133" s="2000" t="str">
        <f>'CGL coverage'!H87</f>
        <v xml:space="preserve"> Write here other coverage en Price submit</v>
      </c>
      <c r="G133" s="1994"/>
      <c r="H133" s="1994"/>
      <c r="I133" s="1994"/>
      <c r="J133" s="1995">
        <f>'CGL coverage'!AD87</f>
        <v>0</v>
      </c>
      <c r="K133" s="1995">
        <f>'CGL coverage'!I87</f>
        <v>0</v>
      </c>
      <c r="L133" s="2001" t="s">
        <v>1079</v>
      </c>
      <c r="M133" s="2857">
        <f>'CGL coverage'!AA87</f>
        <v>0</v>
      </c>
      <c r="N133" s="1881"/>
      <c r="O133" s="1851"/>
      <c r="P133" s="472"/>
    </row>
    <row r="134" spans="1:27" ht="18.75">
      <c r="A134" s="1873" t="str">
        <f>IF('CGL coverage'!F88="Y","","x")</f>
        <v>x</v>
      </c>
      <c r="B134" s="1822"/>
      <c r="C134" s="1880"/>
      <c r="D134" s="1880"/>
      <c r="E134" s="1992">
        <f>'CGL coverage'!AE88</f>
        <v>0</v>
      </c>
      <c r="F134" s="2000" t="str">
        <f>'CGL coverage'!H88</f>
        <v xml:space="preserve"> Write here other coverage en Price submit</v>
      </c>
      <c r="G134" s="1994"/>
      <c r="H134" s="1994"/>
      <c r="I134" s="1994"/>
      <c r="J134" s="1995">
        <f>'CGL coverage'!AD88</f>
        <v>0</v>
      </c>
      <c r="K134" s="1995">
        <f>'CGL coverage'!I88</f>
        <v>0</v>
      </c>
      <c r="L134" s="2001" t="s">
        <v>1079</v>
      </c>
      <c r="M134" s="2857">
        <f>'CGL coverage'!AA88</f>
        <v>0</v>
      </c>
      <c r="N134" s="1881"/>
      <c r="O134" s="1851"/>
      <c r="P134" s="472"/>
    </row>
    <row r="135" spans="1:27" ht="18.75">
      <c r="A135" s="1873" t="str">
        <f>IF('CGL coverage'!F89="Y","","x")</f>
        <v>x</v>
      </c>
      <c r="B135" s="1822"/>
      <c r="C135" s="1880"/>
      <c r="D135" s="1880"/>
      <c r="E135" s="1992">
        <f>'CGL coverage'!AE89</f>
        <v>0</v>
      </c>
      <c r="F135" s="2000" t="str">
        <f>'CGL coverage'!H89</f>
        <v xml:space="preserve"> Write here other coverage en Price submit</v>
      </c>
      <c r="G135" s="1994"/>
      <c r="H135" s="1994"/>
      <c r="I135" s="1994"/>
      <c r="J135" s="1995">
        <f>'CGL coverage'!AD89</f>
        <v>0</v>
      </c>
      <c r="K135" s="1995">
        <f>'CGL coverage'!I89</f>
        <v>0</v>
      </c>
      <c r="L135" s="2001" t="s">
        <v>1079</v>
      </c>
      <c r="M135" s="2857">
        <f>'CGL coverage'!AA89</f>
        <v>0</v>
      </c>
      <c r="N135" s="1881"/>
      <c r="O135" s="1851"/>
      <c r="P135" s="472"/>
    </row>
    <row r="136" spans="1:27" ht="18.75">
      <c r="A136" s="1873" t="str">
        <f>IF('CGL coverage'!F90="Y","","x")</f>
        <v>x</v>
      </c>
      <c r="B136" s="1822"/>
      <c r="C136" s="1880"/>
      <c r="D136" s="1880"/>
      <c r="E136" s="1992">
        <f>'CGL coverage'!AE90</f>
        <v>0</v>
      </c>
      <c r="F136" s="2000" t="str">
        <f>'CGL coverage'!H90</f>
        <v xml:space="preserve"> Write here other coverage en Price submit</v>
      </c>
      <c r="G136" s="1994"/>
      <c r="H136" s="1994"/>
      <c r="I136" s="1994"/>
      <c r="J136" s="1995">
        <f>'CGL coverage'!AD90</f>
        <v>0</v>
      </c>
      <c r="K136" s="1995">
        <f>'CGL coverage'!I90</f>
        <v>0</v>
      </c>
      <c r="L136" s="2001" t="s">
        <v>1079</v>
      </c>
      <c r="M136" s="2857">
        <f>'CGL coverage'!AA90</f>
        <v>0</v>
      </c>
      <c r="N136" s="1881"/>
      <c r="O136" s="1851"/>
      <c r="P136" s="472"/>
    </row>
    <row r="137" spans="1:27" ht="18.75">
      <c r="A137" s="1873" t="str">
        <f>IF('CGL coverage'!F91="Y","","x")</f>
        <v>x</v>
      </c>
      <c r="B137" s="1822"/>
      <c r="C137" s="1880"/>
      <c r="D137" s="1880"/>
      <c r="E137" s="1992">
        <f>'CGL coverage'!AE91</f>
        <v>0</v>
      </c>
      <c r="F137" s="2000" t="str">
        <f>'CGL coverage'!H91</f>
        <v xml:space="preserve"> Write here other coverage en Price submit</v>
      </c>
      <c r="G137" s="1994"/>
      <c r="H137" s="1994"/>
      <c r="I137" s="1994"/>
      <c r="J137" s="1995">
        <f>'CGL coverage'!AD91</f>
        <v>0</v>
      </c>
      <c r="K137" s="1995">
        <f>'CGL coverage'!I91</f>
        <v>0</v>
      </c>
      <c r="L137" s="2001" t="s">
        <v>1079</v>
      </c>
      <c r="M137" s="2857">
        <f>'CGL coverage'!AA91</f>
        <v>0</v>
      </c>
      <c r="N137" s="1881"/>
      <c r="O137" s="1851"/>
      <c r="P137" s="472"/>
    </row>
    <row r="138" spans="1:27" ht="18.75">
      <c r="A138" s="1873" t="str">
        <f>IF('CGL coverage'!F92="Y","","x")</f>
        <v>x</v>
      </c>
      <c r="B138" s="1822"/>
      <c r="C138" s="1880"/>
      <c r="D138" s="1880"/>
      <c r="E138" s="1992">
        <f>'CGL coverage'!AE92</f>
        <v>0</v>
      </c>
      <c r="F138" s="2000" t="str">
        <f>'CGL coverage'!H92</f>
        <v xml:space="preserve"> Write here other coverage en Price submit</v>
      </c>
      <c r="G138" s="1994"/>
      <c r="H138" s="1994"/>
      <c r="I138" s="1994"/>
      <c r="J138" s="1995">
        <f>'CGL coverage'!AD92</f>
        <v>0</v>
      </c>
      <c r="K138" s="1995">
        <f>'CGL coverage'!I92</f>
        <v>0</v>
      </c>
      <c r="L138" s="2001" t="s">
        <v>1079</v>
      </c>
      <c r="M138" s="2857">
        <f>'CGL coverage'!AA92</f>
        <v>0</v>
      </c>
      <c r="N138" s="1881"/>
      <c r="O138" s="1851"/>
      <c r="P138" s="472"/>
    </row>
    <row r="139" spans="1:27">
      <c r="A139" s="1851"/>
      <c r="C139" s="1851"/>
      <c r="D139" s="1851"/>
      <c r="E139" s="1923"/>
      <c r="F139" s="1851"/>
      <c r="G139" s="1851"/>
      <c r="H139" s="1851"/>
      <c r="I139" s="1851"/>
      <c r="J139" s="1851"/>
      <c r="K139" s="1851"/>
      <c r="L139" s="1851"/>
      <c r="M139" s="2851"/>
      <c r="N139" s="1852"/>
      <c r="O139" s="1851"/>
    </row>
    <row r="140" spans="1:27" ht="9.75" customHeight="1">
      <c r="A140" s="1885"/>
      <c r="B140" s="1822"/>
      <c r="C140" s="1880"/>
      <c r="D140" s="1880"/>
      <c r="E140" s="1883"/>
      <c r="F140" s="1856"/>
      <c r="G140" s="1851"/>
      <c r="H140" s="1851"/>
      <c r="I140" s="1851"/>
      <c r="J140" s="1882"/>
      <c r="K140" s="1882"/>
      <c r="L140" s="1882"/>
      <c r="M140" s="1882"/>
      <c r="N140" s="1882"/>
      <c r="O140" s="1851"/>
      <c r="P140" s="472"/>
    </row>
    <row r="141" spans="1:27" s="54" customFormat="1" ht="15" customHeight="1">
      <c r="A141" s="1873" t="str">
        <f>IF($M$141&gt;0,"","x")</f>
        <v>x</v>
      </c>
      <c r="B141" s="2753"/>
      <c r="C141" s="1891"/>
      <c r="D141" s="1891"/>
      <c r="E141" s="1892"/>
      <c r="F141" s="1876" t="str">
        <f>Property!E101</f>
        <v>C. Other coverages</v>
      </c>
      <c r="G141" s="1893"/>
      <c r="H141" s="1893"/>
      <c r="I141" s="1893"/>
      <c r="J141" s="1894"/>
      <c r="K141" s="1894"/>
      <c r="L141" s="1894"/>
      <c r="M141" s="1878">
        <f>Property!W110</f>
        <v>0</v>
      </c>
      <c r="N141" s="1878"/>
      <c r="O141" s="1893"/>
      <c r="P141" s="474"/>
      <c r="Z141" s="1217"/>
      <c r="AA141" s="1229"/>
    </row>
    <row r="142" spans="1:27" ht="16.5" customHeight="1">
      <c r="A142" s="1873" t="str">
        <f>IF(Property!E106="Y","","x")</f>
        <v>x</v>
      </c>
      <c r="B142" s="1822"/>
      <c r="C142" s="1880"/>
      <c r="D142" s="1880"/>
      <c r="E142" s="1992" t="str">
        <f>Property!AA106</f>
        <v>ARAG-TAT</v>
      </c>
      <c r="F142" s="1993" t="str">
        <f>Property!G106</f>
        <v>Legal -Unlimited telephone advice</v>
      </c>
      <c r="G142" s="1994"/>
      <c r="H142" s="1994"/>
      <c r="I142" s="1994"/>
      <c r="J142" s="1995">
        <f>Property!Z106</f>
        <v>500</v>
      </c>
      <c r="K142" s="1995">
        <f>Property!I106</f>
        <v>0</v>
      </c>
      <c r="L142" s="1995"/>
      <c r="M142" s="2857">
        <f>IF('Input '!$G$9=TRUE,Property!W106,"")</f>
        <v>0</v>
      </c>
      <c r="N142" s="1881"/>
      <c r="O142" s="1851"/>
      <c r="P142" s="472"/>
    </row>
    <row r="143" spans="1:27" ht="16.5" customHeight="1">
      <c r="A143" s="1873" t="str">
        <f>IF(Property!E107="Y","","x")</f>
        <v>x</v>
      </c>
      <c r="B143" s="1822"/>
      <c r="C143" s="1880"/>
      <c r="D143" s="1880"/>
      <c r="E143" s="1992" t="str">
        <f>Property!AA107</f>
        <v>ARAG-COM</v>
      </c>
      <c r="F143" s="1993" t="str">
        <f>Property!G107</f>
        <v xml:space="preserve">Legal - option full coverage </v>
      </c>
      <c r="G143" s="1994"/>
      <c r="H143" s="1994"/>
      <c r="I143" s="1994"/>
      <c r="J143" s="1995">
        <f>Property!Z107</f>
        <v>2500</v>
      </c>
      <c r="K143" s="1995">
        <f>Property!I107</f>
        <v>0</v>
      </c>
      <c r="L143" s="1995"/>
      <c r="M143" s="2857">
        <f>IF('Input '!$G$9=TRUE,Property!W107,"")</f>
        <v>0</v>
      </c>
      <c r="N143" s="1881"/>
      <c r="O143" s="1851"/>
      <c r="P143" s="472"/>
    </row>
    <row r="144" spans="1:27" ht="16.5" customHeight="1">
      <c r="A144" s="1873" t="str">
        <f>IF(Property!E108="Y","","x")</f>
        <v>x</v>
      </c>
      <c r="B144" s="1822"/>
      <c r="C144" s="1880"/>
      <c r="D144" s="1880"/>
      <c r="E144" s="1992" t="str">
        <f>Property!AA108</f>
        <v>CYB001</v>
      </c>
      <c r="F144" s="1993" t="str">
        <f>Property!G108</f>
        <v>Cyber</v>
      </c>
      <c r="G144" s="1994"/>
      <c r="H144" s="1994"/>
      <c r="I144" s="1994"/>
      <c r="J144" s="1995">
        <f>Property!Z108</f>
        <v>2000</v>
      </c>
      <c r="K144" s="1995">
        <f>Property!I108</f>
        <v>0</v>
      </c>
      <c r="L144" s="1995"/>
      <c r="M144" s="2857">
        <f>IF('Input '!$G$9=TRUE,Property!W108,"")</f>
        <v>0</v>
      </c>
      <c r="N144" s="1881"/>
      <c r="O144" s="1851"/>
      <c r="P144" s="472"/>
    </row>
    <row r="145" spans="1:27" ht="16.5" customHeight="1">
      <c r="A145" s="1873" t="str">
        <f>IF(Property!E109="Y","","x")</f>
        <v>x</v>
      </c>
      <c r="B145" s="1822"/>
      <c r="C145" s="1880"/>
      <c r="D145" s="1880"/>
      <c r="E145" s="1992" t="str">
        <f>Property!AA109</f>
        <v>C1</v>
      </c>
      <c r="F145" s="1993" t="str">
        <f>Property!G109</f>
        <v>Crime**</v>
      </c>
      <c r="G145" s="1994"/>
      <c r="H145" s="1994"/>
      <c r="I145" s="1994"/>
      <c r="J145" s="1995">
        <f>Property!Z109</f>
        <v>500</v>
      </c>
      <c r="K145" s="1995">
        <f>Property!I109</f>
        <v>0</v>
      </c>
      <c r="L145" s="1995"/>
      <c r="M145" s="2857">
        <f>IF('Input '!$G$9=TRUE,Property!W109,"")</f>
        <v>0</v>
      </c>
      <c r="N145" s="1881"/>
      <c r="O145" s="1851"/>
      <c r="P145" s="472"/>
    </row>
    <row r="146" spans="1:27" ht="14.25" customHeight="1">
      <c r="A146" s="182"/>
      <c r="B146" s="1822"/>
      <c r="C146" s="472"/>
      <c r="D146" s="472"/>
      <c r="E146" s="1297"/>
      <c r="F146" s="3"/>
      <c r="J146" s="4"/>
      <c r="K146" s="4"/>
      <c r="L146" s="4"/>
      <c r="M146" s="177"/>
      <c r="N146" s="177"/>
      <c r="O146" s="1439"/>
      <c r="P146" s="472"/>
    </row>
    <row r="147" spans="1:27" s="507" customFormat="1" ht="0.75" customHeight="1">
      <c r="A147" s="183"/>
      <c r="B147" s="2754"/>
      <c r="C147" s="506"/>
      <c r="D147" s="506"/>
      <c r="E147" s="512"/>
      <c r="F147" s="512"/>
      <c r="G147" s="513"/>
      <c r="H147" s="513"/>
      <c r="I147" s="513"/>
      <c r="J147" s="511"/>
      <c r="K147" s="511"/>
      <c r="L147" s="511"/>
      <c r="M147" s="511"/>
      <c r="N147" s="511"/>
      <c r="O147" s="508"/>
      <c r="P147" s="506"/>
      <c r="Z147" s="1213"/>
      <c r="AA147" s="1224"/>
    </row>
    <row r="148" spans="1:27" s="507" customFormat="1" ht="16.5" customHeight="1">
      <c r="A148" s="183"/>
      <c r="B148" s="2754"/>
      <c r="C148" s="506"/>
      <c r="D148" s="506"/>
      <c r="E148" s="514"/>
      <c r="F148" s="514"/>
      <c r="J148" s="177"/>
      <c r="K148" s="177"/>
      <c r="L148" s="177"/>
      <c r="M148" s="177"/>
      <c r="N148" s="177"/>
      <c r="O148" s="508"/>
      <c r="P148" s="506"/>
      <c r="Z148" s="1213"/>
      <c r="AA148" s="1224"/>
    </row>
    <row r="149" spans="1:27" ht="18.75">
      <c r="A149" s="183"/>
      <c r="B149" s="1822"/>
      <c r="C149" s="472"/>
      <c r="D149" s="472"/>
      <c r="E149" s="3585" t="str">
        <f>'Quote template-1'!E151</f>
        <v xml:space="preserve">
Renorun offers the delivery of construction materials to your jobsite in 2 hours or less.</v>
      </c>
      <c r="F149" s="3585"/>
      <c r="G149" s="3585"/>
      <c r="H149" s="1851"/>
      <c r="I149" s="1851"/>
      <c r="J149" s="1866" t="str">
        <f>IF('Input '!$E$1="EN",AA149,Z149)</f>
        <v>Policy Premium</v>
      </c>
      <c r="K149" s="1882"/>
      <c r="L149" s="1882"/>
      <c r="M149" s="1882">
        <f ca="1">M141+M109+M31</f>
        <v>0</v>
      </c>
      <c r="N149" s="1882"/>
      <c r="O149" s="1859"/>
      <c r="P149" s="472"/>
      <c r="Z149" s="1213" t="s">
        <v>1107</v>
      </c>
      <c r="AA149" s="1224" t="s">
        <v>3554</v>
      </c>
    </row>
    <row r="150" spans="1:27" ht="17.25">
      <c r="A150" s="183"/>
      <c r="E150" s="3585"/>
      <c r="F150" s="3585"/>
      <c r="G150" s="3585"/>
      <c r="H150" s="1851"/>
      <c r="I150" s="1851"/>
      <c r="J150" s="1866" t="str">
        <f>IF('Input '!$E$1="EN",AA150,Z150)</f>
        <v>Policy fees</v>
      </c>
      <c r="K150" s="1924"/>
      <c r="L150" s="1924"/>
      <c r="M150" s="2859" t="e">
        <f ca="1">'Quote template-1'!N153</f>
        <v>#DIV/0!</v>
      </c>
      <c r="N150" s="1924"/>
      <c r="O150" s="1866"/>
      <c r="Z150" s="1213" t="s">
        <v>24</v>
      </c>
      <c r="AA150" s="1224" t="s">
        <v>3552</v>
      </c>
    </row>
    <row r="151" spans="1:27" ht="17.25">
      <c r="A151" s="183"/>
      <c r="E151" s="3586" t="str">
        <f>'Quote template-1'!E153:G153</f>
        <v>With each new April insurance policy, Renorun offers you the first delivery for FREE*!</v>
      </c>
      <c r="F151" s="3586"/>
      <c r="G151" s="3586"/>
      <c r="H151" s="1851"/>
      <c r="I151" s="1851"/>
      <c r="J151" s="1866" t="str">
        <f>IF('Input '!$E$1="EN",AA151,Z151)</f>
        <v>Inspection fees</v>
      </c>
      <c r="K151" s="1924"/>
      <c r="L151" s="1924"/>
      <c r="M151" s="1924">
        <f>IF(OR(MAX(K42:K46)&gt;100000,MAX(K48:K52)&gt;100000,MAX(K54:K58)&gt;100000),175,0)</f>
        <v>0</v>
      </c>
      <c r="N151" s="1924"/>
      <c r="O151" s="1866"/>
      <c r="Z151" s="1213" t="s">
        <v>3680</v>
      </c>
      <c r="AA151" s="1224" t="s">
        <v>3679</v>
      </c>
    </row>
    <row r="152" spans="1:27" s="488" customFormat="1" ht="27.75" customHeight="1">
      <c r="A152" s="487"/>
      <c r="B152" s="2755"/>
      <c r="E152" s="3586" t="str">
        <f>'Quote template-1'!E154:G154</f>
        <v>* Territory served: Metropolitan Toronto, Montreal, Laval, conditions may apply</v>
      </c>
      <c r="F152" s="3586"/>
      <c r="G152" s="3586"/>
      <c r="H152" s="1925"/>
      <c r="I152" s="1925"/>
      <c r="J152" s="1925" t="str">
        <f>IF('Input '!$E$1="EN",AA152,Z152)</f>
        <v>Total Policy Premium</v>
      </c>
      <c r="K152" s="1926"/>
      <c r="L152" s="1926"/>
      <c r="M152" s="1926" t="e">
        <f ca="1">M150+M149+M151</f>
        <v>#DIV/0!</v>
      </c>
      <c r="N152" s="1926"/>
      <c r="O152" s="1925"/>
      <c r="Z152" s="1218" t="s">
        <v>1289</v>
      </c>
      <c r="AA152" s="1230" t="s">
        <v>3553</v>
      </c>
    </row>
    <row r="153" spans="1:27" ht="17.25">
      <c r="A153" s="183"/>
      <c r="E153" s="3586" t="str">
        <f>'Quote template-1'!E155:G155</f>
        <v>https://www.renorun.ca/</v>
      </c>
      <c r="F153" s="3586"/>
      <c r="G153" s="3586"/>
      <c r="H153" s="1851"/>
      <c r="I153" s="1851"/>
      <c r="J153" s="1866" t="str">
        <f>IF('Input '!$E$1="EN",AA153,Z153)</f>
        <v>Commission</v>
      </c>
      <c r="K153" s="1857"/>
      <c r="L153" s="1857"/>
      <c r="M153" s="2850" t="e">
        <f>'Quote template-1'!N156</f>
        <v>#DIV/0!</v>
      </c>
      <c r="N153" s="1927"/>
      <c r="O153" s="1866"/>
      <c r="Z153" s="1213" t="s">
        <v>26</v>
      </c>
      <c r="AA153" s="1224" t="s">
        <v>3555</v>
      </c>
    </row>
    <row r="154" spans="1:27" ht="3" customHeight="1">
      <c r="A154" s="183"/>
      <c r="F154" s="23"/>
      <c r="H154" s="1851"/>
      <c r="I154" s="1851"/>
      <c r="J154" s="1866"/>
      <c r="K154" s="1857"/>
      <c r="L154" s="1857"/>
      <c r="M154" s="2802"/>
      <c r="N154" s="1927"/>
      <c r="O154" s="1866"/>
    </row>
    <row r="155" spans="1:27" ht="7.5" customHeight="1">
      <c r="A155" s="183"/>
      <c r="F155" s="23"/>
      <c r="H155" s="1851"/>
      <c r="I155" s="1851"/>
      <c r="J155" s="1866"/>
      <c r="K155" s="1857"/>
      <c r="L155" s="1857"/>
      <c r="M155" s="2802"/>
      <c r="N155" s="1857"/>
      <c r="O155" s="1866"/>
    </row>
    <row r="156" spans="1:27" ht="7.5" customHeight="1">
      <c r="A156" s="183"/>
      <c r="F156" s="23"/>
      <c r="H156" s="1851"/>
      <c r="I156" s="1851"/>
      <c r="J156" s="1866"/>
      <c r="K156" s="1857"/>
      <c r="L156" s="1857"/>
      <c r="M156" s="2802"/>
      <c r="N156" s="1857"/>
      <c r="O156" s="1866"/>
    </row>
    <row r="157" spans="1:27" ht="17.25">
      <c r="F157" s="379" t="str">
        <f>F18</f>
        <v>Quote ref:</v>
      </c>
      <c r="G157" s="387">
        <f>$G$18</f>
        <v>0</v>
      </c>
      <c r="H157" s="1866"/>
      <c r="I157" s="1866"/>
      <c r="J157" s="1866"/>
      <c r="K157" s="1928" t="str">
        <f>K15</f>
        <v>How can we help?</v>
      </c>
      <c r="L157" s="1866"/>
      <c r="M157" s="3575"/>
      <c r="N157" s="3575"/>
      <c r="O157" s="3575"/>
    </row>
    <row r="158" spans="1:27" ht="17.25">
      <c r="H158" s="1866"/>
      <c r="I158" s="1866"/>
      <c r="J158" s="1866"/>
      <c r="K158" s="1857" t="str">
        <f>K16</f>
        <v>1-855-745-1010</v>
      </c>
      <c r="L158" s="1857"/>
      <c r="M158" s="2802"/>
      <c r="N158" s="1852"/>
      <c r="O158" s="1851"/>
    </row>
    <row r="159" spans="1:27" ht="25.5">
      <c r="F159" s="3566" t="s">
        <v>3545</v>
      </c>
      <c r="G159" s="3566"/>
      <c r="H159" s="23"/>
      <c r="I159" s="23"/>
      <c r="J159" s="23"/>
      <c r="L159" s="1435"/>
      <c r="M159" s="2809"/>
    </row>
    <row r="160" spans="1:27" ht="7.5" customHeight="1">
      <c r="F160" s="23"/>
      <c r="G160" s="23"/>
      <c r="H160" s="23"/>
      <c r="I160" s="23"/>
      <c r="J160" s="23"/>
      <c r="K160" s="23"/>
      <c r="L160" s="23"/>
      <c r="M160" s="2809"/>
      <c r="N160" s="1029"/>
      <c r="O160" s="1029"/>
    </row>
    <row r="161" spans="1:27" ht="17.25">
      <c r="C161" s="1851"/>
      <c r="D161" s="1851"/>
      <c r="E161" s="1851"/>
      <c r="F161" s="1866"/>
      <c r="G161" s="1866"/>
      <c r="H161" s="1866"/>
      <c r="I161" s="1866"/>
      <c r="J161" s="1866"/>
      <c r="K161" s="1851"/>
      <c r="L161" s="1856"/>
      <c r="M161" s="2801"/>
      <c r="N161" s="1030"/>
    </row>
    <row r="162" spans="1:27" ht="4.5" customHeight="1">
      <c r="C162" s="1851"/>
      <c r="D162" s="1851"/>
      <c r="E162" s="1851"/>
      <c r="F162" s="1866"/>
      <c r="G162" s="1866"/>
      <c r="H162" s="1866"/>
      <c r="I162" s="1866"/>
      <c r="J162" s="1866"/>
      <c r="K162" s="1866"/>
      <c r="L162" s="1866"/>
      <c r="M162" s="2802"/>
      <c r="N162" s="1029"/>
      <c r="O162" s="23"/>
      <c r="P162" s="1029"/>
      <c r="Q162" s="475">
        <f>G18</f>
        <v>0</v>
      </c>
    </row>
    <row r="163" spans="1:27" ht="15.75" customHeight="1">
      <c r="A163" s="183"/>
      <c r="C163" s="1851"/>
      <c r="D163" s="1851"/>
      <c r="E163" s="1851"/>
      <c r="F163" s="1913" t="str">
        <f>IF('Input '!$E$1="EN",'Quote template-2'!AA163,'Quote template-2'!Z163)</f>
        <v>All policies are subject to:</v>
      </c>
      <c r="G163" s="1914"/>
      <c r="H163" s="1914"/>
      <c r="I163" s="1914"/>
      <c r="J163" s="1914"/>
      <c r="K163" s="1914"/>
      <c r="L163" s="1914"/>
      <c r="M163" s="2810"/>
      <c r="N163" s="1437"/>
      <c r="O163" s="1"/>
      <c r="Z163" s="1213" t="s">
        <v>3574</v>
      </c>
      <c r="AA163" s="1224" t="s">
        <v>3575</v>
      </c>
    </row>
    <row r="164" spans="1:27" s="2" customFormat="1" ht="57.75" customHeight="1">
      <c r="A164" s="183"/>
      <c r="B164" s="2756"/>
      <c r="C164" s="1853"/>
      <c r="D164" s="1853"/>
      <c r="E164" s="1853"/>
      <c r="F164" s="3573" t="str">
        <f>IF('Input '!$E$1="EN",'Quote template-2'!AA164,'Quote template-2'!Z164)</f>
        <v>General Policy Exclusions GE001,Additional Terms &amp; Conditions LL001, PR001 Notice concerning Personal Information, CW86 Nuclear Incident Exclusion Clause, R7 Short Rate Cancellation Table, R1 Additional Agreements and conditions (mandatory for all other than AB,MB,BC)</v>
      </c>
      <c r="G164" s="3573"/>
      <c r="H164" s="3573"/>
      <c r="I164" s="3573"/>
      <c r="J164" s="3573"/>
      <c r="K164" s="3573"/>
      <c r="L164" s="3573"/>
      <c r="M164" s="3573"/>
      <c r="N164" s="1433"/>
      <c r="Z164" s="1222" t="s">
        <v>3716</v>
      </c>
      <c r="AA164" s="1233" t="s">
        <v>3715</v>
      </c>
    </row>
    <row r="165" spans="1:27" s="2" customFormat="1" ht="14.25" customHeight="1">
      <c r="A165" s="183"/>
      <c r="B165" s="2756"/>
      <c r="C165" s="1853"/>
      <c r="D165" s="1853"/>
      <c r="E165" s="1853"/>
      <c r="F165" s="1915"/>
      <c r="G165" s="1915"/>
      <c r="H165" s="1915"/>
      <c r="I165" s="1915"/>
      <c r="J165" s="1915"/>
      <c r="K165" s="1915"/>
      <c r="L165" s="1915"/>
      <c r="M165" s="2811"/>
      <c r="N165" s="453"/>
      <c r="O165" s="453"/>
      <c r="Z165" s="1214"/>
      <c r="AA165" s="1225"/>
    </row>
    <row r="166" spans="1:27" ht="17.25">
      <c r="A166" s="183"/>
      <c r="F166" s="26" t="str">
        <f>IF('Input '!$E$1="EN",'Quote template-2'!AA166,'Quote template-2'!Z166)</f>
        <v>Specific conditions applied to this quote:</v>
      </c>
      <c r="H166" s="23"/>
      <c r="I166" s="23"/>
      <c r="J166" s="23"/>
      <c r="K166" s="23"/>
      <c r="L166" s="23"/>
      <c r="M166" s="2809"/>
      <c r="N166" s="1029"/>
      <c r="O166" s="468"/>
      <c r="Z166" s="1223" t="s">
        <v>1146</v>
      </c>
      <c r="AA166" s="1224" t="s">
        <v>3543</v>
      </c>
    </row>
    <row r="167" spans="1:27" ht="10.5" customHeight="1">
      <c r="A167" s="183"/>
      <c r="F167" s="23"/>
      <c r="G167" s="26"/>
      <c r="H167" s="23"/>
      <c r="I167" s="23"/>
      <c r="J167" s="23"/>
      <c r="K167" s="23"/>
      <c r="L167" s="23"/>
      <c r="M167" s="2809"/>
      <c r="N167" s="1311"/>
      <c r="O167" s="468"/>
      <c r="Z167" s="1223"/>
    </row>
    <row r="168" spans="1:27" ht="17.25" customHeight="1">
      <c r="A168" s="183"/>
      <c r="C168" s="485"/>
      <c r="D168" s="485"/>
      <c r="E168" s="383" t="s">
        <v>1097</v>
      </c>
      <c r="F168" s="26" t="str">
        <f>IF('Input '!$E$1="EN",'Quote template-2'!AA168,'Quote template-2'!Z168)</f>
        <v>Underwriter's Comments:</v>
      </c>
      <c r="H168" s="175"/>
      <c r="I168" s="175"/>
      <c r="J168" s="175"/>
      <c r="K168" s="175"/>
      <c r="L168" s="175"/>
      <c r="M168" s="2812"/>
      <c r="N168" s="175"/>
      <c r="O168" s="175"/>
      <c r="Z168" s="1223" t="s">
        <v>1099</v>
      </c>
      <c r="AA168" s="1224" t="s">
        <v>3546</v>
      </c>
    </row>
    <row r="169" spans="1:27" ht="4.5" customHeight="1"/>
    <row r="170" spans="1:27" ht="17.25" customHeight="1">
      <c r="A170" s="182" t="str">
        <f>IF(F170="","x","")</f>
        <v>x</v>
      </c>
      <c r="C170" s="460"/>
      <c r="D170" s="460"/>
      <c r="E170" s="382" t="b">
        <v>1</v>
      </c>
      <c r="F170" s="1897"/>
      <c r="G170" s="1851"/>
      <c r="H170" s="1897"/>
      <c r="I170" s="1897"/>
      <c r="J170" s="1897"/>
      <c r="K170" s="1897"/>
      <c r="L170" s="1897"/>
      <c r="M170" s="2813"/>
      <c r="N170" s="1897"/>
      <c r="O170" s="1897"/>
    </row>
    <row r="171" spans="1:27" ht="17.25" customHeight="1">
      <c r="A171" s="182" t="str">
        <f>IF(F171="","x","")</f>
        <v>x</v>
      </c>
      <c r="C171" s="460"/>
      <c r="D171" s="460"/>
      <c r="E171" s="382" t="b">
        <v>1</v>
      </c>
      <c r="F171" s="1897" t="str">
        <f>IF(E171=FALSE,"",IF('Input '!$E$1="FR",Z171,AA171))</f>
        <v/>
      </c>
      <c r="G171" s="1897"/>
      <c r="H171" s="1897"/>
      <c r="I171" s="1897"/>
      <c r="J171" s="1897"/>
      <c r="K171" s="1897"/>
      <c r="L171" s="1897"/>
      <c r="M171" s="2813"/>
      <c r="N171" s="1862"/>
      <c r="O171" s="1862"/>
      <c r="Z171" s="1555" t="s">
        <v>4532</v>
      </c>
      <c r="AA171" s="2719" t="s">
        <v>223</v>
      </c>
    </row>
    <row r="173" spans="1:27" ht="17.25" customHeight="1">
      <c r="A173" s="183"/>
      <c r="C173" s="460"/>
      <c r="D173" s="460"/>
      <c r="E173" s="382"/>
      <c r="F173" s="1898" t="str">
        <f>'Quote template-1'!F174</f>
        <v xml:space="preserve">This quotation expires 30 days from the Quote Date </v>
      </c>
      <c r="G173" s="1851"/>
      <c r="H173" s="1862"/>
      <c r="I173" s="1862"/>
      <c r="J173" s="1862"/>
      <c r="K173" s="1862"/>
      <c r="L173" s="1862"/>
      <c r="M173" s="2814"/>
      <c r="N173" s="1862"/>
      <c r="O173" s="1862"/>
    </row>
    <row r="174" spans="1:27" ht="17.25" customHeight="1">
      <c r="A174" s="183"/>
      <c r="C174" s="460"/>
      <c r="D174" s="460"/>
      <c r="E174" s="382"/>
      <c r="F174" s="1898" t="str">
        <f>'Quote template-1'!F175</f>
        <v/>
      </c>
      <c r="G174" s="1851"/>
      <c r="H174" s="1862"/>
      <c r="I174" s="1862"/>
      <c r="J174" s="1862"/>
      <c r="K174" s="1862"/>
      <c r="L174" s="1862"/>
      <c r="M174" s="2814"/>
      <c r="N174" s="1862"/>
      <c r="O174" s="1862"/>
    </row>
    <row r="175" spans="1:27" ht="17.25" customHeight="1">
      <c r="A175" s="183"/>
      <c r="C175" s="460"/>
      <c r="D175" s="460"/>
      <c r="E175" s="382"/>
      <c r="F175" s="3583"/>
      <c r="G175" s="3583"/>
      <c r="H175" s="3583"/>
      <c r="I175" s="3583"/>
      <c r="J175" s="3583"/>
      <c r="K175" s="3583"/>
      <c r="L175" s="3583"/>
      <c r="M175" s="3583"/>
      <c r="N175" s="3583"/>
      <c r="O175" s="3583"/>
    </row>
    <row r="176" spans="1:27" ht="18" customHeight="1">
      <c r="A176" s="183"/>
      <c r="F176" s="3583"/>
      <c r="G176" s="3583"/>
      <c r="H176" s="3583"/>
      <c r="I176" s="3583"/>
      <c r="J176" s="3583"/>
      <c r="K176" s="3583"/>
      <c r="L176" s="3583"/>
      <c r="M176" s="3583"/>
      <c r="N176" s="3583"/>
      <c r="O176" s="3583"/>
    </row>
    <row r="177" spans="1:27" ht="17.25" customHeight="1">
      <c r="A177" s="183"/>
      <c r="C177" s="485"/>
      <c r="D177" s="485"/>
      <c r="E177" s="383" t="s">
        <v>1097</v>
      </c>
      <c r="F177" s="26" t="str">
        <f>IF('Input '!$E$1="EN",'Quote template-2'!AA177,'Quote template-2'!Z177)</f>
        <v>Endorsements and Exclusions</v>
      </c>
      <c r="H177" s="175"/>
      <c r="I177" s="175"/>
      <c r="J177" s="175"/>
      <c r="K177" s="175"/>
      <c r="L177" s="175"/>
      <c r="M177" s="2815" t="s">
        <v>3670</v>
      </c>
      <c r="N177" s="175"/>
      <c r="O177" s="1"/>
      <c r="Z177" s="1223" t="s">
        <v>1098</v>
      </c>
      <c r="AA177" s="1224" t="s">
        <v>3544</v>
      </c>
    </row>
    <row r="178" spans="1:27" ht="17.25" customHeight="1">
      <c r="A178" s="183"/>
      <c r="C178" s="485"/>
      <c r="D178" s="485"/>
      <c r="E178" s="382" t="b">
        <v>1</v>
      </c>
      <c r="F178" s="1897" t="str">
        <f>IF(E178=FALSE,"",IF('Input '!$E$1="FR",'Mandatory endorsements'!D1,'Mandatory endorsements'!E1))</f>
        <v>CW214 Exclusion of activities or work performed prior to the  risk effective date of the current policy</v>
      </c>
      <c r="H178" s="175"/>
      <c r="I178" s="175"/>
      <c r="J178" s="175"/>
      <c r="K178" s="175"/>
      <c r="L178" s="175"/>
      <c r="M178" s="2813" t="str">
        <f>IF('Input '!$E$1="EN","CGL","RC")</f>
        <v>CGL</v>
      </c>
      <c r="N178" s="175"/>
      <c r="O178" s="1"/>
      <c r="Z178" s="1223"/>
    </row>
    <row r="179" spans="1:27" ht="17.25" customHeight="1">
      <c r="A179" s="183"/>
      <c r="C179" s="485"/>
      <c r="D179" s="485"/>
      <c r="E179" s="382" t="b">
        <v>1</v>
      </c>
      <c r="F179" s="1897" t="str">
        <f>IF(E179=FALSE,"",IF('Input '!$E$1="FR",'Mandatory endorsements'!D2,'Mandatory endorsements'!E2))</f>
        <v>CWW225 Virus Bacteria Exclusion Endorsement</v>
      </c>
      <c r="H179" s="175"/>
      <c r="I179" s="175"/>
      <c r="J179" s="175"/>
      <c r="K179" s="175"/>
      <c r="L179" s="175"/>
      <c r="M179" s="2813"/>
      <c r="N179" s="175"/>
      <c r="O179" s="1"/>
      <c r="Z179" s="1223"/>
    </row>
    <row r="180" spans="1:27" ht="17.25" customHeight="1">
      <c r="A180" s="183"/>
      <c r="C180" s="485"/>
      <c r="D180" s="485"/>
      <c r="E180" s="382" t="b">
        <v>1</v>
      </c>
      <c r="F180" s="1897" t="str">
        <f>IF(E180=FALSE,"",IF('Input '!$E$1="FR",'Mandatory endorsements'!D3,'Mandatory endorsements'!E3))</f>
        <v>LMA5468 Cyber and Data Total Exclusion Endorsement</v>
      </c>
      <c r="H180" s="175"/>
      <c r="I180" s="175"/>
      <c r="J180" s="175"/>
      <c r="K180" s="175"/>
      <c r="L180" s="175"/>
      <c r="M180" s="2813"/>
      <c r="N180" s="175"/>
      <c r="O180" s="1"/>
      <c r="Z180" s="1223"/>
    </row>
    <row r="181" spans="1:27" ht="17.25" customHeight="1">
      <c r="A181" s="182" t="str">
        <f>IF(F181="","x","")</f>
        <v/>
      </c>
      <c r="C181" s="460"/>
      <c r="D181" s="460"/>
      <c r="E181" s="382" t="b">
        <v>1</v>
      </c>
      <c r="F181" s="1897" t="str">
        <f>IF(E181=FALSE,"",IF(OR('Input '!$G$37=1731,'Input '!G37=1736),IF('Input '!$E$1="EN",'Mandatory endorsements'!$E$5,'Mandatory endorsements'!$D$5),IF('Input '!$E$1="EN",'Mandatory endorsements'!$E$4,'Mandatory endorsements'!$D$4)))</f>
        <v>CM16Q Specified Operation Exclusion:Plumbing, electricity, roofing work done by the insured himself</v>
      </c>
      <c r="G181" s="1851"/>
      <c r="H181" s="1897"/>
      <c r="I181" s="1897"/>
      <c r="J181" s="1897"/>
      <c r="K181" s="1897"/>
      <c r="L181" s="1897"/>
      <c r="M181" s="2813" t="str">
        <f>IF('Input '!$E$1="EN","CGL","RC")</f>
        <v>CGL</v>
      </c>
      <c r="N181" s="1897"/>
      <c r="O181" s="1897"/>
    </row>
    <row r="182" spans="1:27" ht="17.25" customHeight="1">
      <c r="A182" s="182" t="str">
        <f>IF(F182="","x","")</f>
        <v>x</v>
      </c>
      <c r="C182" s="460"/>
      <c r="D182" s="460"/>
      <c r="E182" s="382" t="b">
        <v>1</v>
      </c>
      <c r="F182" s="1897" t="str">
        <f>IF(E182=FALSE,"",IF('Mandatory endorsements'!$C$7="N","",IF('Input '!$E$1="EN",'Mandatory endorsements'!$E$7,'Mandatory endorsements'!$D$7)))</f>
        <v/>
      </c>
      <c r="G182" s="1862"/>
      <c r="H182" s="1862"/>
      <c r="I182" s="1862"/>
      <c r="J182" s="1862"/>
      <c r="K182" s="1862"/>
      <c r="L182" s="1862"/>
      <c r="M182" s="2813" t="str">
        <f>IF('Input '!$E$1="EN","CGL","RC")</f>
        <v>CGL</v>
      </c>
      <c r="N182" s="1862"/>
      <c r="O182" s="1862"/>
      <c r="Z182" s="1555"/>
    </row>
    <row r="183" spans="1:27" ht="17.25" customHeight="1">
      <c r="A183" s="182" t="str">
        <f>IF('Mandatory endorsements'!C8="Y","","x")</f>
        <v/>
      </c>
      <c r="C183" s="460"/>
      <c r="D183" s="460"/>
      <c r="E183" s="382" t="b">
        <v>1</v>
      </c>
      <c r="F183" s="1897" t="str">
        <f>IF('Mandatory endorsements'!$C8="Y",IF('Input '!$E$1="FR",'Mandatory endorsements'!$D8,'Mandatory endorsements'!E8),"")</f>
        <v>CW180 -SubContractors Warranty- min $1,000,000</v>
      </c>
      <c r="G183" s="1851"/>
      <c r="H183" s="1897"/>
      <c r="I183" s="1897"/>
      <c r="J183" s="1897"/>
      <c r="K183" s="1897"/>
      <c r="L183" s="1897"/>
      <c r="M183" s="2813" t="str">
        <f>IF('Input '!$E$1="EN","CGL","RC")</f>
        <v>CGL</v>
      </c>
      <c r="N183" s="1897"/>
      <c r="O183" s="1851"/>
    </row>
    <row r="184" spans="1:27" ht="17.25">
      <c r="A184" s="182" t="str">
        <f>IF('Mandatory endorsements'!C9="Y","","x")</f>
        <v>x</v>
      </c>
      <c r="B184" s="1348" t="b">
        <v>1</v>
      </c>
      <c r="E184" s="382" t="b">
        <v>1</v>
      </c>
      <c r="F184" s="1897" t="str">
        <f>IF('Mandatory endorsements'!$C9="Y",IF('Input '!$E$1="FR",'Mandatory endorsements'!$D9,'Mandatory endorsements'!E9),"")</f>
        <v/>
      </c>
      <c r="H184" s="1350"/>
      <c r="I184" s="1350"/>
      <c r="J184" s="1350"/>
      <c r="K184" s="1350"/>
      <c r="L184" s="1350"/>
      <c r="M184" s="2813" t="str">
        <f>IF('Input '!$E$1="EN","CGL","RC")</f>
        <v>CGL</v>
      </c>
      <c r="N184" s="1351"/>
      <c r="O184" s="1"/>
    </row>
    <row r="185" spans="1:27" ht="17.25">
      <c r="A185" s="182" t="str">
        <f>IF('Mandatory endorsements'!C10="Y","","x")</f>
        <v>x</v>
      </c>
      <c r="E185" s="382" t="b">
        <v>1</v>
      </c>
      <c r="F185" s="1897" t="str">
        <f>IF('Mandatory endorsements'!$C10="Y",IF('Input '!$E$1="FR",'Mandatory endorsements'!$D10,'Mandatory endorsements'!E10),"")</f>
        <v/>
      </c>
      <c r="H185" s="1350"/>
      <c r="I185" s="1350"/>
      <c r="J185" s="1350"/>
      <c r="K185" s="1350"/>
      <c r="L185" s="1350"/>
      <c r="M185" s="2813" t="str">
        <f>IF('Input '!$E$1="EN","CGL","RC")</f>
        <v>CGL</v>
      </c>
      <c r="N185" s="1351"/>
      <c r="O185" s="1"/>
    </row>
    <row r="186" spans="1:27" ht="17.25">
      <c r="A186" s="182" t="str">
        <f>IF('Mandatory endorsements'!C11="Y","","x")</f>
        <v/>
      </c>
      <c r="E186" s="382" t="b">
        <v>1</v>
      </c>
      <c r="F186" s="1897" t="str">
        <f>IF('Mandatory endorsements'!$C11="Y",IF('Input '!$E$1="FR",'Mandatory endorsements'!$D11,'Mandatory endorsements'!E11),"")</f>
        <v>CW217 LMA5391 Coronavirus Exclusion</v>
      </c>
      <c r="H186" s="1350"/>
      <c r="I186" s="1350"/>
      <c r="J186" s="1350"/>
      <c r="K186" s="1350"/>
      <c r="L186" s="1350"/>
      <c r="M186" s="2813" t="str">
        <f>IF('Input '!$E$1="EN","CGL","RC")</f>
        <v>CGL</v>
      </c>
      <c r="N186" s="1351"/>
      <c r="O186" s="1"/>
    </row>
    <row r="187" spans="1:27" ht="17.25">
      <c r="A187" s="182" t="str">
        <f>IF('Mandatory endorsements'!C12="Y","","x")</f>
        <v/>
      </c>
      <c r="E187" s="382" t="b">
        <v>1</v>
      </c>
      <c r="F187" s="1897" t="str">
        <f>IF('Mandatory endorsements'!$C12="Y",IF('Input '!$E$1="FR",'Mandatory endorsements'!$D12,'Mandatory endorsements'!E12),"")</f>
        <v>CW218 LMA5393 Coronavirus Exclusion</v>
      </c>
      <c r="I187" s="1350"/>
      <c r="J187" s="1350"/>
      <c r="K187" s="1350"/>
      <c r="L187" s="1350"/>
      <c r="M187" s="2813" t="str">
        <f>IF('Input '!$E$1="EN","CGL","RC")</f>
        <v>CGL</v>
      </c>
      <c r="N187" s="1351"/>
      <c r="O187" s="1"/>
    </row>
    <row r="188" spans="1:27" ht="17.25">
      <c r="A188" s="182" t="str">
        <f>IF('Mandatory endorsements'!C13="Y","","x")</f>
        <v>x</v>
      </c>
      <c r="E188" s="382" t="b">
        <v>1</v>
      </c>
      <c r="F188" s="1897" t="str">
        <f>IF('Mandatory endorsements'!$C13="Y",IF('Input '!$E$1="FR",'Mandatory endorsements'!$D13,'Mandatory endorsements'!E13),"")</f>
        <v/>
      </c>
      <c r="I188" s="1350"/>
      <c r="J188" s="1350"/>
      <c r="K188" s="1350"/>
      <c r="L188" s="1350"/>
      <c r="M188" s="2813" t="str">
        <f>IF('Input '!$E$1="EN","CGL","RC")</f>
        <v>CGL</v>
      </c>
      <c r="N188" s="1351"/>
      <c r="O188" s="1"/>
    </row>
    <row r="189" spans="1:27" ht="17.25">
      <c r="A189" s="182" t="str">
        <f>IF('Mandatory endorsements'!C14="Y","","x")</f>
        <v/>
      </c>
      <c r="E189" s="382" t="b">
        <v>1</v>
      </c>
      <c r="F189" s="1897" t="str">
        <f>IF('Mandatory endorsements'!$C14="Y",IF('Input '!$E$1="FR",'Mandatory endorsements'!$D14,'Mandatory endorsements'!E14),"")</f>
        <v xml:space="preserve">LX6  Blasting, Pile Driving,Weakness of Support Exclusion </v>
      </c>
      <c r="I189" s="1350"/>
      <c r="J189" s="1350"/>
      <c r="K189" s="1350"/>
      <c r="L189" s="1350"/>
      <c r="M189" s="2813" t="str">
        <f>IF('Input '!$E$1="EN","CGL","RC")</f>
        <v>CGL</v>
      </c>
      <c r="N189" s="1351"/>
      <c r="O189" s="1"/>
    </row>
    <row r="190" spans="1:27" ht="17.25">
      <c r="A190" s="182" t="e">
        <f>IF('Mandatory endorsements'!C15="Y","","x")</f>
        <v>#N/A</v>
      </c>
      <c r="E190" s="382" t="b">
        <v>1</v>
      </c>
      <c r="F190" s="1897" t="e">
        <f>IF('Mandatory endorsements'!$C15="Y",IF('Input '!$E$1="FR",'Mandatory endorsements'!$D15,'Mandatory endorsements'!E15),"")</f>
        <v>#N/A</v>
      </c>
      <c r="I190" s="1350"/>
      <c r="J190" s="1350"/>
      <c r="K190" s="1350"/>
      <c r="L190" s="1350"/>
      <c r="M190" s="2813" t="str">
        <f>IF('Input '!$E$1="EN","CGL","RC")</f>
        <v>CGL</v>
      </c>
      <c r="N190" s="1351"/>
      <c r="O190" s="1"/>
    </row>
    <row r="191" spans="1:27" ht="17.25">
      <c r="A191" s="182" t="str">
        <f>IF('Mandatory endorsements'!C16="Y","","x")</f>
        <v/>
      </c>
      <c r="E191" s="382" t="b">
        <v>1</v>
      </c>
      <c r="F191" s="1897" t="str">
        <f>IF('Mandatory endorsements'!$C16="Y",IF('Input '!$E$1="FR",'Mandatory endorsements'!$D16,'Mandatory endorsements'!E16),"")</f>
        <v>LX35 USA Sales and Operations Exclusion</v>
      </c>
      <c r="I191" s="1350"/>
      <c r="J191" s="1350"/>
      <c r="K191" s="1350"/>
      <c r="L191" s="1350"/>
      <c r="M191" s="2813" t="str">
        <f>IF('Input '!$E$1="EN","CGL","RC")</f>
        <v>CGL</v>
      </c>
      <c r="N191" s="1351"/>
      <c r="O191" s="1"/>
    </row>
    <row r="192" spans="1:27" ht="17.25">
      <c r="A192" s="182" t="str">
        <f>IF(F192="","x","")</f>
        <v>x</v>
      </c>
      <c r="B192" s="2668">
        <v>1</v>
      </c>
      <c r="E192" s="382" t="b">
        <v>1</v>
      </c>
      <c r="F192" s="1349" t="str">
        <f>IFERROR(IF('Input '!$E$1="FR",VLOOKUP(B192,'CGL coverage'!$G$98:$H$158,2,FALSE),VLOOKUP(B192,'CGL coverage'!$G$161:$H$222,2,FALSE)),"")</f>
        <v/>
      </c>
      <c r="I192" s="1350"/>
      <c r="J192" s="1350"/>
      <c r="K192" s="1350"/>
      <c r="L192" s="1350"/>
      <c r="M192" s="2813" t="str">
        <f>IF('Input '!$E$1="EN","CGL","RC")</f>
        <v>CGL</v>
      </c>
      <c r="N192" s="1351"/>
      <c r="O192" s="1"/>
    </row>
    <row r="193" spans="1:15" ht="17.25">
      <c r="A193" s="182" t="str">
        <f>IF(F193="","x","")</f>
        <v>x</v>
      </c>
      <c r="B193" s="2668">
        <v>2</v>
      </c>
      <c r="E193" s="382" t="b">
        <v>1</v>
      </c>
      <c r="F193" s="1349" t="str">
        <f>IFERROR(IF('Input '!$E$1="FR",VLOOKUP(B193,'CGL coverage'!$G$98:$H$158,2,FALSE),VLOOKUP(B193,'CGL coverage'!$G$161:$H$222,2,FALSE)),"")</f>
        <v/>
      </c>
      <c r="I193" s="1350"/>
      <c r="J193" s="1350"/>
      <c r="K193" s="1350"/>
      <c r="L193" s="1350"/>
      <c r="M193" s="2813" t="str">
        <f>IF('Input '!$E$1="EN","CGL","RC")</f>
        <v>CGL</v>
      </c>
      <c r="N193" s="1351"/>
      <c r="O193" s="1"/>
    </row>
    <row r="194" spans="1:15" ht="17.25">
      <c r="A194" s="182" t="str">
        <f>IF(F194="","x","")</f>
        <v>x</v>
      </c>
      <c r="B194" s="2668">
        <v>3</v>
      </c>
      <c r="E194" s="382" t="b">
        <v>1</v>
      </c>
      <c r="F194" s="1349" t="str">
        <f>IFERROR(IF('Input '!$E$1="FR",VLOOKUP(B194,'CGL coverage'!$G$98:$H$158,2,FALSE),VLOOKUP(B194,'CGL coverage'!$G$161:$H$222,2,FALSE)),"")</f>
        <v/>
      </c>
      <c r="I194" s="1350"/>
      <c r="J194" s="1350"/>
      <c r="K194" s="1350"/>
      <c r="L194" s="1350"/>
      <c r="M194" s="2813" t="str">
        <f>IF('Input '!$E$1="EN","CGL","RC")</f>
        <v>CGL</v>
      </c>
      <c r="N194" s="1351"/>
      <c r="O194" s="1"/>
    </row>
    <row r="195" spans="1:15" ht="17.25">
      <c r="A195" s="182" t="str">
        <f t="shared" ref="A195:A201" si="0">IF(F195="","x","")</f>
        <v>x</v>
      </c>
      <c r="B195" s="2668">
        <v>4</v>
      </c>
      <c r="E195" s="382" t="b">
        <v>1</v>
      </c>
      <c r="F195" s="1349" t="str">
        <f>IFERROR(IF('Input '!$E$1="FR",VLOOKUP(B195,'CGL coverage'!$G$98:$H$158,2,FALSE),VLOOKUP(B195,'CGL coverage'!$G$161:$H$222,2,FALSE)),"")</f>
        <v/>
      </c>
      <c r="I195" s="1350"/>
      <c r="J195" s="1350"/>
      <c r="K195" s="1350"/>
      <c r="L195" s="1350"/>
      <c r="M195" s="2813" t="str">
        <f>IF('Input '!$E$1="EN","CGL","RC")</f>
        <v>CGL</v>
      </c>
      <c r="N195" s="1351"/>
      <c r="O195" s="1"/>
    </row>
    <row r="196" spans="1:15" ht="17.25">
      <c r="A196" s="182" t="str">
        <f t="shared" si="0"/>
        <v>x</v>
      </c>
      <c r="B196" s="2668">
        <v>5</v>
      </c>
      <c r="C196" s="486"/>
      <c r="D196" s="486"/>
      <c r="E196" s="382" t="b">
        <v>1</v>
      </c>
      <c r="F196" s="1349" t="str">
        <f>IFERROR(IF('Input '!$E$1="FR",VLOOKUP(B196,'CGL coverage'!$G$98:$H$158,2,FALSE),VLOOKUP(B196,'CGL coverage'!$G$161:$H$222,2,FALSE)),"")</f>
        <v/>
      </c>
      <c r="G196" s="1352"/>
      <c r="I196" s="1350"/>
      <c r="J196" s="1350"/>
      <c r="K196" s="1350"/>
      <c r="L196" s="1350"/>
      <c r="M196" s="2813" t="str">
        <f>IF('Input '!$E$1="EN","CGL","RC")</f>
        <v>CGL</v>
      </c>
      <c r="N196" s="1351"/>
      <c r="O196" s="1"/>
    </row>
    <row r="197" spans="1:15" ht="17.25">
      <c r="A197" s="182" t="str">
        <f t="shared" si="0"/>
        <v>x</v>
      </c>
      <c r="B197" s="2668">
        <v>6</v>
      </c>
      <c r="C197" s="486"/>
      <c r="D197" s="486"/>
      <c r="E197" s="382" t="b">
        <v>1</v>
      </c>
      <c r="F197" s="1349" t="str">
        <f>IFERROR(IF('Input '!$E$1="FR",VLOOKUP(B197,'CGL coverage'!$G$98:$H$158,2,FALSE),VLOOKUP(B197,'CGL coverage'!$G$161:$H$222,2,FALSE)),"")</f>
        <v/>
      </c>
      <c r="G197" s="1352"/>
      <c r="I197" s="1350"/>
      <c r="J197" s="1350"/>
      <c r="K197" s="1350"/>
      <c r="L197" s="1350"/>
      <c r="M197" s="2813" t="str">
        <f>IF('Input '!$E$1="EN","CGL","RC")</f>
        <v>CGL</v>
      </c>
      <c r="N197" s="1351"/>
      <c r="O197" s="1"/>
    </row>
    <row r="198" spans="1:15" ht="17.25" customHeight="1">
      <c r="A198" s="182" t="str">
        <f t="shared" si="0"/>
        <v>x</v>
      </c>
      <c r="B198" s="2668">
        <v>7</v>
      </c>
      <c r="C198" s="486"/>
      <c r="D198" s="486"/>
      <c r="E198" s="382" t="b">
        <v>1</v>
      </c>
      <c r="F198" s="1349" t="str">
        <f>IFERROR(IF('Input '!$E$1="FR",VLOOKUP(B198,'CGL coverage'!$G$98:$H$158,2,FALSE),VLOOKUP(B198,'CGL coverage'!$G$161:$H$222,2,FALSE)),"")</f>
        <v/>
      </c>
      <c r="G198" s="1352"/>
      <c r="I198" s="1349"/>
      <c r="J198" s="1349"/>
      <c r="K198" s="1349"/>
      <c r="L198" s="1349"/>
      <c r="M198" s="2813" t="str">
        <f>IF('Input '!$E$1="EN","CGL","RC")</f>
        <v>CGL</v>
      </c>
      <c r="N198" s="1349"/>
    </row>
    <row r="199" spans="1:15" ht="17.25" customHeight="1">
      <c r="A199" s="182" t="str">
        <f t="shared" si="0"/>
        <v>x</v>
      </c>
      <c r="B199" s="2668">
        <v>8</v>
      </c>
      <c r="C199" s="486"/>
      <c r="D199" s="486"/>
      <c r="E199" s="382" t="b">
        <v>1</v>
      </c>
      <c r="F199" s="1349" t="str">
        <f>IFERROR(IF('Input '!$E$1="FR",VLOOKUP(B199,'CGL coverage'!$G$98:$H$158,2,FALSE),VLOOKUP(B199,'CGL coverage'!$G$161:$H$222,2,FALSE)),"")</f>
        <v/>
      </c>
      <c r="I199" s="1349"/>
      <c r="J199" s="1349"/>
      <c r="K199" s="1349"/>
      <c r="L199" s="1349"/>
      <c r="M199" s="2813" t="str">
        <f>IF('Input '!$E$1="EN","CGL","RC")</f>
        <v>CGL</v>
      </c>
      <c r="N199" s="1349"/>
    </row>
    <row r="200" spans="1:15" ht="17.25" customHeight="1">
      <c r="A200" s="182" t="str">
        <f t="shared" si="0"/>
        <v>x</v>
      </c>
      <c r="B200" s="2668">
        <v>9</v>
      </c>
      <c r="C200" s="486"/>
      <c r="D200" s="486"/>
      <c r="E200" s="382" t="b">
        <v>1</v>
      </c>
      <c r="F200" s="1349" t="str">
        <f>IFERROR(IF('Input '!$E$1="FR",VLOOKUP(B200,'CGL coverage'!$G$98:$H$158,2,FALSE),VLOOKUP(B200,'CGL coverage'!$G$161:$H$222,2,FALSE)),"")</f>
        <v/>
      </c>
      <c r="I200" s="1349"/>
      <c r="J200" s="1349"/>
      <c r="K200" s="1349"/>
      <c r="L200" s="1349"/>
      <c r="M200" s="2813" t="str">
        <f>IF('Input '!$E$1="EN","CGL","RC")</f>
        <v>CGL</v>
      </c>
      <c r="N200" s="1349"/>
    </row>
    <row r="201" spans="1:15" ht="17.25" customHeight="1">
      <c r="A201" s="182" t="str">
        <f t="shared" si="0"/>
        <v>x</v>
      </c>
      <c r="B201" s="2668">
        <v>10</v>
      </c>
      <c r="C201" s="486"/>
      <c r="D201" s="486"/>
      <c r="E201" s="382" t="b">
        <v>1</v>
      </c>
      <c r="F201" s="1349" t="str">
        <f>IFERROR(IF('Input '!$E$1="FR",VLOOKUP(B201,'CGL coverage'!$G$98:$H$158,2,FALSE),VLOOKUP(B201,'CGL coverage'!$G$161:$H$222,2,FALSE)),"")</f>
        <v/>
      </c>
      <c r="I201" s="1349"/>
      <c r="J201" s="1349"/>
      <c r="K201" s="1349"/>
      <c r="L201" s="1349"/>
      <c r="M201" s="2813" t="str">
        <f>IF('Input '!$E$1="EN","CGL","RC")</f>
        <v>CGL</v>
      </c>
      <c r="N201" s="1349"/>
    </row>
    <row r="202" spans="1:15" ht="17.25" customHeight="1">
      <c r="A202" s="182" t="str">
        <f>IF(OR(F202="",F202=0),"x","")</f>
        <v>x</v>
      </c>
      <c r="B202" s="2668"/>
      <c r="C202" s="486"/>
      <c r="D202" s="486"/>
      <c r="E202" s="382" t="b">
        <v>1</v>
      </c>
      <c r="F202" s="2900">
        <f>IFERROR(IF('Input '!$E$1="FR",'Mandatory endorsements'!I11,'Mandatory endorsements'!H11),)</f>
        <v>0</v>
      </c>
      <c r="I202" s="1349"/>
      <c r="J202" s="1349"/>
      <c r="K202" s="1349"/>
      <c r="L202" s="1349"/>
      <c r="M202" s="2813" t="str">
        <f>IF('Input '!$E$1="EN","CGL","RC")</f>
        <v>CGL</v>
      </c>
      <c r="N202" s="1349"/>
    </row>
    <row r="203" spans="1:15" ht="17.25" customHeight="1">
      <c r="A203" s="182" t="str">
        <f>IF(OR(F203="",F203=0),"x","")</f>
        <v>x</v>
      </c>
      <c r="B203" s="2668"/>
      <c r="C203" s="486"/>
      <c r="D203" s="486"/>
      <c r="E203" s="382" t="b">
        <v>1</v>
      </c>
      <c r="F203" s="2900">
        <f>IFERROR(IF('Input '!$E$1="FR",'Mandatory endorsements'!I12,'Mandatory endorsements'!H12),)</f>
        <v>0</v>
      </c>
      <c r="I203" s="1349"/>
      <c r="J203" s="1349"/>
      <c r="K203" s="1349"/>
      <c r="L203" s="1349"/>
      <c r="M203" s="2813" t="str">
        <f>IF('Input '!$E$1="EN","CGL","RC")</f>
        <v>CGL</v>
      </c>
      <c r="N203" s="1349"/>
    </row>
    <row r="204" spans="1:15" ht="17.25" customHeight="1">
      <c r="A204" s="182" t="str">
        <f>IF(OR(F204="",F204=0),"x","")</f>
        <v>x</v>
      </c>
      <c r="B204" s="2668"/>
      <c r="C204" s="486"/>
      <c r="D204" s="486"/>
      <c r="E204" s="382" t="b">
        <v>1</v>
      </c>
      <c r="F204" s="2900">
        <f>IFERROR(IF('Input '!$E$1="FR",'Mandatory endorsements'!I13,'Mandatory endorsements'!H13),)</f>
        <v>0</v>
      </c>
      <c r="I204" s="1349"/>
      <c r="J204" s="1349"/>
      <c r="K204" s="1349"/>
      <c r="L204" s="1349"/>
      <c r="M204" s="2813" t="str">
        <f>IF('Input '!$E$1="EN","CGL","RC")</f>
        <v>CGL</v>
      </c>
      <c r="N204" s="1349"/>
    </row>
    <row r="205" spans="1:15" ht="17.25" customHeight="1">
      <c r="A205" s="182" t="str">
        <f>IF(Property!E15="Y","","x")</f>
        <v>x</v>
      </c>
      <c r="B205" s="128">
        <v>4</v>
      </c>
      <c r="C205" s="486"/>
      <c r="D205" s="486"/>
      <c r="E205" s="382" t="b">
        <v>1</v>
      </c>
      <c r="F205" s="1349" t="str">
        <f>Property!G15</f>
        <v xml:space="preserve">PW1 – Locked Vehicle Warranty </v>
      </c>
      <c r="I205" s="1349"/>
      <c r="J205" s="1349"/>
      <c r="K205" s="1349"/>
      <c r="L205" s="1349"/>
      <c r="M205" s="2816" t="str">
        <f>IF('Input '!$E$1="EN","Property","Biens")</f>
        <v>Property</v>
      </c>
      <c r="N205" s="1349"/>
    </row>
    <row r="206" spans="1:15" ht="17.25" customHeight="1">
      <c r="A206" s="182" t="str">
        <f>IF(Property!E16="Y","","x")</f>
        <v>x</v>
      </c>
      <c r="B206" s="128">
        <v>5</v>
      </c>
      <c r="C206" s="486"/>
      <c r="D206" s="486"/>
      <c r="E206" s="382" t="b">
        <v>1</v>
      </c>
      <c r="F206" s="1349" t="str">
        <f>Property!G16</f>
        <v>PE24 – Replacement Cost Extension (Contractors Equipment)</v>
      </c>
      <c r="I206" s="1349"/>
      <c r="J206" s="1349"/>
      <c r="K206" s="1349"/>
      <c r="L206" s="1349"/>
      <c r="M206" s="2816" t="str">
        <f>IF('Input '!$E$1="EN","Property","Biens")</f>
        <v>Property</v>
      </c>
      <c r="N206" s="1349"/>
    </row>
    <row r="207" spans="1:15" ht="17.25" customHeight="1">
      <c r="A207" s="182" t="str">
        <f>IF(Property!E17="Y","","x")</f>
        <v>x</v>
      </c>
      <c r="B207" s="128">
        <v>6</v>
      </c>
      <c r="C207" s="486"/>
      <c r="D207" s="486"/>
      <c r="E207" s="382" t="b">
        <v>1</v>
      </c>
      <c r="F207" s="1349" t="str">
        <f>Property!G17</f>
        <v>CW202 Anti-Theft Exclusion - mandatory for any item with value of  $60,000 and over</v>
      </c>
      <c r="I207" s="1349"/>
      <c r="J207" s="1349"/>
      <c r="K207" s="1349"/>
      <c r="L207" s="1349"/>
      <c r="M207" s="2816" t="str">
        <f>IF('Input '!$E$1="EN","Property","Biens")</f>
        <v>Property</v>
      </c>
      <c r="N207" s="1349"/>
    </row>
    <row r="208" spans="1:15" ht="17.25" customHeight="1">
      <c r="A208" s="182" t="str">
        <f>IF('Mandatory endorsements'!$C20="N","x","")</f>
        <v>x</v>
      </c>
      <c r="B208" s="128"/>
      <c r="C208" s="486"/>
      <c r="D208" s="486"/>
      <c r="E208" s="382" t="b">
        <v>1</v>
      </c>
      <c r="F208" s="1349" t="str">
        <f>IF('Input '!$E$1="FR",'Mandatory endorsements'!D20,'Mandatory endorsements'!E20)</f>
        <v>Subject to: Regular maintenance of Equipment</v>
      </c>
      <c r="I208" s="1349"/>
      <c r="J208" s="1349"/>
      <c r="K208" s="1349"/>
      <c r="L208" s="1349"/>
      <c r="M208" s="2816"/>
      <c r="N208" s="1349"/>
    </row>
    <row r="209" spans="1:27" ht="17.25" customHeight="1">
      <c r="A209" s="182" t="str">
        <f>IF('Mandatory endorsements'!$C21="N","x","")</f>
        <v>x</v>
      </c>
      <c r="B209" s="128"/>
      <c r="C209" s="486"/>
      <c r="D209" s="486"/>
      <c r="E209" s="382" t="b">
        <v>1</v>
      </c>
      <c r="F209" s="1349" t="str">
        <f>IF('Input '!$E$1="FR",'Mandatory endorsements'!D21,'Mandatory endorsements'!E21)</f>
        <v>Subject to: Equipment maintenance log kept</v>
      </c>
      <c r="I209" s="1349"/>
      <c r="J209" s="1349"/>
      <c r="K209" s="1349"/>
      <c r="L209" s="1349"/>
      <c r="M209" s="2816"/>
      <c r="N209" s="1349"/>
    </row>
    <row r="210" spans="1:27" ht="17.25" customHeight="1">
      <c r="A210" s="182" t="str">
        <f>IF('Mandatory endorsements'!$C22="N","x","")</f>
        <v>x</v>
      </c>
      <c r="B210" s="128"/>
      <c r="C210" s="486"/>
      <c r="D210" s="486"/>
      <c r="E210" s="382" t="b">
        <v>1</v>
      </c>
      <c r="F210" s="1349" t="str">
        <f>IF('Input '!$E$1="FR",'Mandatory endorsements'!D22,'Mandatory endorsements'!E22)</f>
        <v>Subject to: Equipment fitted with anti-theft device</v>
      </c>
      <c r="I210" s="1349"/>
      <c r="J210" s="1349"/>
      <c r="K210" s="1349"/>
      <c r="L210" s="1349"/>
      <c r="M210" s="2816"/>
      <c r="N210" s="1349"/>
    </row>
    <row r="211" spans="1:27" ht="17.25" customHeight="1">
      <c r="A211" s="182" t="str">
        <f>IF('Mandatory endorsements'!$C23="N","x","")</f>
        <v>x</v>
      </c>
      <c r="B211" s="128"/>
      <c r="C211" s="486"/>
      <c r="D211" s="486"/>
      <c r="E211" s="382" t="b">
        <v>1</v>
      </c>
      <c r="F211" s="1349" t="str">
        <f>IF('Input '!$E$1="FR",'Mandatory endorsements'!D23,'Mandatory endorsements'!E23)</f>
        <v>Subject to: Fire protection equipment attached to the equipment</v>
      </c>
      <c r="I211" s="1349"/>
      <c r="J211" s="1349"/>
      <c r="K211" s="1349"/>
      <c r="L211" s="1349"/>
      <c r="M211" s="2816"/>
      <c r="N211" s="1349"/>
    </row>
    <row r="212" spans="1:27" ht="17.25" customHeight="1">
      <c r="A212" s="182" t="str">
        <f>IF(Property!E18="Y","","x")</f>
        <v>x</v>
      </c>
      <c r="B212" s="128">
        <v>7</v>
      </c>
      <c r="C212" s="486"/>
      <c r="D212" s="486"/>
      <c r="E212" s="382" t="b">
        <v>1</v>
      </c>
      <c r="F212" s="1349" t="str">
        <f>Property!G18</f>
        <v xml:space="preserve">CW182 – Rental Equipment Reimbursement </v>
      </c>
      <c r="I212" s="1349"/>
      <c r="J212" s="1349"/>
      <c r="K212" s="1349"/>
      <c r="L212" s="1349"/>
      <c r="M212" s="2816" t="str">
        <f>IF('Input '!$E$1="EN","Property","Biens")</f>
        <v>Property</v>
      </c>
      <c r="N212" s="1349"/>
    </row>
    <row r="213" spans="1:27" ht="17.25" customHeight="1">
      <c r="A213" s="182" t="str">
        <f>IF(F213="","x","")</f>
        <v>x</v>
      </c>
      <c r="B213" s="2668">
        <v>1</v>
      </c>
      <c r="C213" s="486"/>
      <c r="D213" s="486"/>
      <c r="E213" s="382" t="b">
        <v>1</v>
      </c>
      <c r="F213" s="1349" t="str">
        <f>IFERROR(IF('Input '!$E$1="FR",VLOOKUP(B213,Property!$F$120:$G$138,2,FALSE),VLOOKUP(B213,Property!$F$144:$G$172,2,FALSE)),"")</f>
        <v/>
      </c>
      <c r="I213" s="1349"/>
      <c r="J213" s="1349"/>
      <c r="K213" s="1349"/>
      <c r="L213" s="1349"/>
      <c r="M213" s="2816" t="str">
        <f>IF('Input '!$E$1="EN","Property","Biens")</f>
        <v>Property</v>
      </c>
      <c r="N213" s="1349"/>
    </row>
    <row r="214" spans="1:27" ht="17.25" customHeight="1">
      <c r="A214" s="182" t="str">
        <f t="shared" ref="A214:A216" si="1">IF(F214="","x","")</f>
        <v>x</v>
      </c>
      <c r="B214" s="2668">
        <v>2</v>
      </c>
      <c r="C214" s="486"/>
      <c r="D214" s="486"/>
      <c r="E214" s="382" t="b">
        <v>1</v>
      </c>
      <c r="F214" s="1349" t="str">
        <f>IFERROR(IF('Input '!$E$1="FR",VLOOKUP(B214,Property!$F$120:$G$138,2,FALSE),VLOOKUP(B214,Property!$F$144:$G$172,2,FALSE)),"")</f>
        <v/>
      </c>
      <c r="I214" s="1349"/>
      <c r="J214" s="1349"/>
      <c r="K214" s="1349"/>
      <c r="L214" s="1349"/>
      <c r="M214" s="2816" t="str">
        <f>IF('Input '!$E$1="EN","Property","Biens")</f>
        <v>Property</v>
      </c>
      <c r="N214" s="1349"/>
    </row>
    <row r="215" spans="1:27" ht="17.25" customHeight="1">
      <c r="A215" s="182" t="str">
        <f t="shared" si="1"/>
        <v>x</v>
      </c>
      <c r="B215" s="2668">
        <v>3</v>
      </c>
      <c r="C215" s="486"/>
      <c r="D215" s="486"/>
      <c r="E215" s="382" t="b">
        <v>1</v>
      </c>
      <c r="F215" s="1349" t="str">
        <f>IFERROR(IF('Input '!$E$1="FR",VLOOKUP(B215,Property!$F$120:$G$138,2,FALSE),VLOOKUP(B215,Property!$F$144:$G$172,2,FALSE)),"")</f>
        <v/>
      </c>
      <c r="I215" s="1349"/>
      <c r="J215" s="1349"/>
      <c r="K215" s="1349"/>
      <c r="L215" s="1349"/>
      <c r="M215" s="2816" t="str">
        <f>IF('Input '!$E$1="EN","Property","Biens")</f>
        <v>Property</v>
      </c>
      <c r="N215" s="1349"/>
    </row>
    <row r="216" spans="1:27" ht="17.25" customHeight="1">
      <c r="A216" s="182" t="str">
        <f t="shared" si="1"/>
        <v>x</v>
      </c>
      <c r="B216" s="2668">
        <v>4</v>
      </c>
      <c r="C216" s="486"/>
      <c r="D216" s="486"/>
      <c r="E216" s="382" t="b">
        <v>1</v>
      </c>
      <c r="F216" s="1349" t="str">
        <f>IFERROR(IF('Input '!$E$1="FR",VLOOKUP(B216,Property!$F$120:$G$138,2,FALSE),VLOOKUP(B216,Property!$F$144:$G$172,2,FALSE)),"")</f>
        <v/>
      </c>
      <c r="H216" s="1349"/>
      <c r="I216" s="1349"/>
      <c r="J216" s="1349"/>
      <c r="K216" s="1349"/>
      <c r="L216" s="1349"/>
      <c r="M216" s="2816" t="str">
        <f>IF('Input '!$E$1="EN","Property","Biens")</f>
        <v>Property</v>
      </c>
      <c r="N216" s="1349"/>
    </row>
    <row r="217" spans="1:27" ht="18">
      <c r="E217" s="382" t="b">
        <v>1</v>
      </c>
      <c r="F217" s="23"/>
      <c r="G217" s="23"/>
      <c r="H217" s="23"/>
      <c r="I217" s="23"/>
      <c r="J217" s="23"/>
      <c r="K217" s="23"/>
      <c r="L217" s="23"/>
      <c r="M217" s="3580"/>
      <c r="N217" s="3580"/>
      <c r="O217" s="3580" t="s">
        <v>27</v>
      </c>
      <c r="T217" s="476"/>
      <c r="U217" s="476"/>
      <c r="V217" s="476"/>
    </row>
    <row r="218" spans="1:27" s="477" customFormat="1" ht="47.25" customHeight="1">
      <c r="A218" s="448"/>
      <c r="B218" s="2757"/>
      <c r="F218" s="3581" t="str">
        <f>IF('Input '!E1="EN",'Quote template-2'!AA218,'Quote template-2'!Z218)</f>
        <v>How well protected are you?</v>
      </c>
      <c r="G218" s="3581"/>
      <c r="H218" s="3581"/>
      <c r="I218" s="449"/>
      <c r="J218" s="3582" t="str">
        <f>IF('Input '!E1="EN",'Quote template-2'!AA220,'Quote template-2'!Z220)</f>
        <v>And because the world is changing …</v>
      </c>
      <c r="K218" s="3582"/>
      <c r="L218" s="3582"/>
      <c r="M218" s="2817"/>
      <c r="Q218" s="3556"/>
      <c r="R218" s="3556"/>
      <c r="S218" s="447"/>
      <c r="T218" s="1022"/>
      <c r="U218" s="1022"/>
      <c r="V218" s="3556"/>
      <c r="Z218" s="1219" t="s">
        <v>1278</v>
      </c>
      <c r="AA218" s="1231" t="s">
        <v>3561</v>
      </c>
    </row>
    <row r="219" spans="1:27" ht="4.5" customHeight="1">
      <c r="A219" s="183"/>
      <c r="B219" s="2756"/>
      <c r="C219" s="2"/>
      <c r="D219" s="2"/>
      <c r="E219" s="2"/>
      <c r="F219" s="3581"/>
      <c r="G219" s="3581"/>
      <c r="H219" s="3581"/>
      <c r="I219" s="227"/>
      <c r="J219" s="438"/>
      <c r="K219" s="438"/>
      <c r="L219" s="424"/>
      <c r="M219" s="2818"/>
      <c r="N219" s="438"/>
      <c r="O219" s="478"/>
      <c r="P219" s="2"/>
      <c r="Q219" s="3574"/>
      <c r="R219" s="3556"/>
      <c r="S219" s="447"/>
      <c r="T219" s="1022"/>
      <c r="U219" s="1022"/>
      <c r="V219" s="3556"/>
    </row>
    <row r="220" spans="1:27" s="430" customFormat="1" ht="18.75" customHeight="1">
      <c r="A220" s="429"/>
      <c r="B220" s="2758"/>
      <c r="F220" s="505"/>
      <c r="G220" s="505"/>
      <c r="H220" s="439"/>
      <c r="J220" s="441" t="b">
        <v>1</v>
      </c>
      <c r="K220" s="440" t="b">
        <v>1</v>
      </c>
      <c r="L220" s="431"/>
      <c r="M220" s="2819"/>
      <c r="N220" s="441"/>
      <c r="O220" s="479" t="b">
        <v>1</v>
      </c>
      <c r="Q220" s="480"/>
      <c r="R220" s="480" t="s">
        <v>3353</v>
      </c>
      <c r="S220" s="480"/>
      <c r="T220" s="1022"/>
      <c r="U220" s="1022"/>
      <c r="V220" s="3556"/>
      <c r="Y220" s="504"/>
      <c r="Z220" s="1213" t="s">
        <v>1295</v>
      </c>
      <c r="AA220" s="1224" t="s">
        <v>3562</v>
      </c>
    </row>
    <row r="221" spans="1:27" s="226" customFormat="1" ht="39" customHeight="1">
      <c r="A221" s="503"/>
      <c r="B221" s="2759"/>
      <c r="F221" s="3577" t="str">
        <f>IF('Input '!E1="EN",'Quote template-2'!AA221,'Quote template-2'!Z221)</f>
        <v>Customize your quote:</v>
      </c>
      <c r="G221" s="3577"/>
      <c r="H221" s="3577"/>
      <c r="J221" s="492" t="s">
        <v>1290</v>
      </c>
      <c r="K221" s="492" t="s">
        <v>230</v>
      </c>
      <c r="L221" s="493"/>
      <c r="M221" s="2820"/>
      <c r="N221" s="492"/>
      <c r="Q221" s="491"/>
      <c r="R221" s="491" t="s">
        <v>1279</v>
      </c>
      <c r="S221" s="491" t="s">
        <v>1273</v>
      </c>
      <c r="T221" s="1023" t="s">
        <v>1279</v>
      </c>
      <c r="U221" s="1023" t="s">
        <v>1273</v>
      </c>
      <c r="V221" s="3556"/>
      <c r="Z221" s="1214" t="s">
        <v>1294</v>
      </c>
      <c r="AA221" s="1225" t="s">
        <v>3563</v>
      </c>
    </row>
    <row r="222" spans="1:27" s="2" customFormat="1" ht="8.25" customHeight="1">
      <c r="A222" s="386"/>
      <c r="B222" s="2756"/>
      <c r="F222" s="455"/>
      <c r="G222" s="455"/>
      <c r="H222" s="450"/>
      <c r="J222" s="436"/>
      <c r="K222" s="436"/>
      <c r="L222" s="437"/>
      <c r="M222" s="2821"/>
      <c r="N222" s="466"/>
      <c r="O222" s="466"/>
      <c r="Q222" s="446"/>
      <c r="R222" s="446"/>
      <c r="S222" s="446"/>
      <c r="T222" s="1024"/>
      <c r="U222" s="1024"/>
      <c r="V222" s="1032"/>
      <c r="Z222" s="1214"/>
      <c r="AA222" s="1225"/>
    </row>
    <row r="223" spans="1:27" s="507" customFormat="1" ht="18.75" customHeight="1">
      <c r="A223" s="183"/>
      <c r="B223" s="2760"/>
      <c r="F223" s="3578" t="str">
        <f>IF('Input '!E1="EN",'Quote template-2'!AA223,'Quote template-2'!Z223)</f>
        <v>Add in coverages offered:</v>
      </c>
      <c r="G223" s="3578"/>
      <c r="H223" s="1342" t="str">
        <f>E30</f>
        <v>Form</v>
      </c>
      <c r="J223" s="3579" t="str">
        <f>K30</f>
        <v>Limit</v>
      </c>
      <c r="K223" s="3579"/>
      <c r="L223" s="3579"/>
      <c r="M223" s="3579"/>
      <c r="N223" s="3579"/>
      <c r="O223" s="3579"/>
      <c r="Q223" s="1315"/>
      <c r="R223" s="1315"/>
      <c r="S223" s="1315"/>
      <c r="T223" s="1315"/>
      <c r="U223" s="1315"/>
      <c r="V223" s="1343"/>
      <c r="Z223" s="1344" t="s">
        <v>1293</v>
      </c>
      <c r="AA223" s="1345" t="s">
        <v>3564</v>
      </c>
    </row>
    <row r="224" spans="1:27" ht="18.75">
      <c r="A224" s="182"/>
      <c r="B224" s="1822"/>
      <c r="F224" s="1490" t="str">
        <f>Property!G106</f>
        <v>Legal -Unlimited telephone advice</v>
      </c>
      <c r="G224" s="1491"/>
      <c r="H224" s="1492" t="str">
        <f>Property!AA106</f>
        <v>ARAG-TAT</v>
      </c>
      <c r="I224" s="1491"/>
      <c r="J224" s="1493" t="str">
        <f>IF(J$220=FALSE,,"$25,000**")</f>
        <v>$25,000**</v>
      </c>
      <c r="K224" s="1493"/>
      <c r="L224" s="462"/>
      <c r="M224" s="2822"/>
      <c r="N224" s="177"/>
      <c r="O224" s="507"/>
      <c r="P224" s="472"/>
      <c r="Q224" s="481"/>
      <c r="R224" s="481" t="e">
        <f>IF(#REF!="x",0,T224)</f>
        <v>#REF!</v>
      </c>
      <c r="S224" s="481" t="e">
        <f>IF(#REF!="x",0,U224)</f>
        <v>#REF!</v>
      </c>
      <c r="T224" s="1025">
        <v>0</v>
      </c>
      <c r="U224" s="1025">
        <v>40</v>
      </c>
      <c r="V224" s="1032"/>
    </row>
    <row r="225" spans="1:33" ht="18.75">
      <c r="A225" s="182"/>
      <c r="B225" s="1822"/>
      <c r="F225" s="1490" t="s">
        <v>230</v>
      </c>
      <c r="G225" s="1491"/>
      <c r="H225" s="1492" t="str">
        <f>Property!AA108</f>
        <v>CYB001</v>
      </c>
      <c r="I225" s="1491"/>
      <c r="J225" s="1493"/>
      <c r="K225" s="1493">
        <f>IF(K$220=FALSE,,Property!I108)</f>
        <v>0</v>
      </c>
      <c r="L225" s="462"/>
      <c r="M225" s="2822"/>
      <c r="N225" s="177"/>
      <c r="O225" s="507"/>
      <c r="P225" s="472"/>
      <c r="Q225" s="481"/>
      <c r="R225" s="481">
        <f t="shared" ref="R225:S225" si="2">IF($A224="x",0,T225)</f>
        <v>0</v>
      </c>
      <c r="S225" s="481">
        <f t="shared" si="2"/>
        <v>75</v>
      </c>
      <c r="T225" s="1025">
        <v>0</v>
      </c>
      <c r="U225" s="1025">
        <v>75</v>
      </c>
      <c r="V225" s="3556"/>
    </row>
    <row r="226" spans="1:33" ht="9" customHeight="1">
      <c r="A226" s="183"/>
      <c r="B226" s="1822"/>
      <c r="F226" s="378"/>
      <c r="G226" s="23"/>
      <c r="H226" s="23"/>
      <c r="I226" s="23"/>
      <c r="J226" s="380"/>
      <c r="K226" s="482"/>
      <c r="L226" s="25"/>
      <c r="M226" s="2799"/>
      <c r="N226" s="380"/>
      <c r="O226" s="1"/>
      <c r="P226" s="472"/>
      <c r="Q226" s="481"/>
      <c r="R226" s="481"/>
      <c r="S226" s="481"/>
      <c r="T226" s="1025"/>
      <c r="U226" s="1025"/>
      <c r="V226" s="3556"/>
    </row>
    <row r="227" spans="1:33" s="463" customFormat="1" ht="21">
      <c r="A227" s="459"/>
      <c r="B227" s="2761"/>
      <c r="C227" s="483"/>
      <c r="D227" s="483"/>
      <c r="E227" s="483"/>
      <c r="G227" s="510" t="str">
        <f>IF('Input '!E1="EN",'Quote template-2'!AA227,'Quote template-2'!Z227)</f>
        <v>Additionnal cost:</v>
      </c>
      <c r="H227" s="464"/>
      <c r="I227" s="465"/>
      <c r="J227" s="509">
        <f>IF(J$220=FALSE,,40)</f>
        <v>40</v>
      </c>
      <c r="K227" s="509">
        <f>IF(K$220=FALSE,,Property!$U$108)</f>
        <v>0</v>
      </c>
      <c r="L227" s="509"/>
      <c r="M227" s="2823"/>
      <c r="N227" s="509"/>
      <c r="P227" s="483"/>
      <c r="Q227" s="484"/>
      <c r="R227" s="1027" t="e">
        <f>SUM(R224:R226)</f>
        <v>#REF!</v>
      </c>
      <c r="S227" s="1027" t="e">
        <f>SUM(S224:S226)</f>
        <v>#REF!</v>
      </c>
      <c r="T227" s="1026">
        <f>SUM(T224:T226)</f>
        <v>0</v>
      </c>
      <c r="U227" s="1026">
        <f>SUM(U224:U226)</f>
        <v>115</v>
      </c>
      <c r="V227" s="3556"/>
      <c r="Z227" s="1220" t="s">
        <v>1275</v>
      </c>
      <c r="AA227" s="1224" t="s">
        <v>3557</v>
      </c>
    </row>
    <row r="228" spans="1:33" ht="18.75">
      <c r="A228" s="183"/>
      <c r="C228" s="1851"/>
      <c r="D228" s="1851"/>
      <c r="E228" s="1851"/>
      <c r="F228" s="1851"/>
      <c r="G228" s="1910"/>
      <c r="H228" s="1911"/>
      <c r="I228" s="1912"/>
      <c r="J228" s="3576"/>
      <c r="K228" s="3576"/>
      <c r="L228" s="3576"/>
      <c r="M228" s="3576"/>
      <c r="N228" s="1031"/>
      <c r="T228" s="1022"/>
      <c r="U228" s="1022"/>
      <c r="V228" s="3556"/>
    </row>
    <row r="229" spans="1:33" ht="17.25">
      <c r="A229" s="183"/>
      <c r="C229" s="1851"/>
      <c r="D229" s="1851"/>
      <c r="E229" s="1851"/>
      <c r="F229" s="1895" t="str">
        <f>IF('Input '!E1="EN",'Quote template-2'!AA229,'Quote template-2'!Z229)</f>
        <v>Deductible applied to add in coverages:</v>
      </c>
      <c r="G229" s="1851"/>
      <c r="H229" s="1866"/>
      <c r="I229" s="1866"/>
      <c r="J229" s="492"/>
      <c r="K229" s="492"/>
      <c r="L229" s="1900"/>
      <c r="M229" s="2824"/>
      <c r="N229" s="492"/>
      <c r="O229" s="492"/>
      <c r="Z229" s="1220" t="s">
        <v>3566</v>
      </c>
      <c r="AA229" s="1224" t="s">
        <v>3567</v>
      </c>
    </row>
    <row r="230" spans="1:33" ht="16.5" customHeight="1">
      <c r="A230" s="183"/>
      <c r="C230" s="1851"/>
      <c r="D230" s="1851"/>
      <c r="E230" s="1851"/>
      <c r="F230" s="1903" t="s">
        <v>1290</v>
      </c>
      <c r="G230" s="1901" t="str">
        <f>IF('Input '!E1="EN",'Quote template-2'!AA230,'Quote template-2'!Z230)</f>
        <v>$500 Tax Audit / $2,500 Unionized Employee Disputes</v>
      </c>
      <c r="H230" s="1902"/>
      <c r="I230" s="1902"/>
      <c r="J230" s="1902"/>
      <c r="K230" s="1902"/>
      <c r="L230" s="1902"/>
      <c r="M230" s="2825"/>
      <c r="N230" s="1434"/>
      <c r="O230" s="1"/>
      <c r="Z230" s="1221" t="s">
        <v>1274</v>
      </c>
      <c r="AA230" s="1232" t="s">
        <v>3568</v>
      </c>
      <c r="AB230" s="499"/>
      <c r="AC230" s="499"/>
      <c r="AD230" s="499"/>
      <c r="AE230" s="499"/>
      <c r="AF230" s="499"/>
      <c r="AG230" s="499"/>
    </row>
    <row r="231" spans="1:33" ht="18.75" customHeight="1">
      <c r="A231" s="183"/>
      <c r="C231" s="1851"/>
      <c r="D231" s="1851"/>
      <c r="E231" s="1851"/>
      <c r="F231" s="1903" t="s">
        <v>230</v>
      </c>
      <c r="G231" s="1901">
        <v>1000</v>
      </c>
      <c r="H231" s="1904"/>
      <c r="I231" s="1905"/>
      <c r="J231" s="1906"/>
      <c r="K231" s="1904"/>
      <c r="L231" s="1852"/>
      <c r="M231" s="2804"/>
      <c r="N231" s="184"/>
      <c r="O231" s="1"/>
    </row>
    <row r="232" spans="1:33" ht="30" customHeight="1">
      <c r="A232" s="183"/>
      <c r="C232" s="1851"/>
      <c r="D232" s="1851"/>
      <c r="E232" s="1851"/>
      <c r="F232" s="3584" t="str">
        <f>'Quote template-1'!F247</f>
        <v>Crime ** covers: Employee dishonesty, Money and securities (inside loss / outside loss),  money orders counterfeit paper currency, depositors forgery</v>
      </c>
      <c r="G232" s="3584"/>
      <c r="H232" s="3584"/>
      <c r="I232" s="3584"/>
      <c r="J232" s="3584"/>
      <c r="K232" s="3584"/>
      <c r="L232" s="1866"/>
      <c r="M232" s="2802"/>
      <c r="N232" s="1029"/>
      <c r="O232" s="468"/>
    </row>
    <row r="233" spans="1:33" s="494" customFormat="1" ht="17.25" customHeight="1">
      <c r="A233" s="384"/>
      <c r="B233" s="1822"/>
      <c r="C233" s="1880"/>
      <c r="D233" s="1880"/>
      <c r="E233" s="1880"/>
      <c r="F233" s="3572" t="str">
        <f>IF('Input '!$E$1="EN",'Quote template-2'!AA234,'Quote template-2'!Z234)</f>
        <v>All fees are non-refundable.Premium and policy fees are due and payable within 30 days of binding .</v>
      </c>
      <c r="G233" s="3572"/>
      <c r="H233" s="3572"/>
      <c r="I233" s="3572"/>
      <c r="J233" s="3572"/>
      <c r="K233" s="3572"/>
      <c r="L233" s="3572"/>
      <c r="M233" s="3572"/>
      <c r="N233" s="1432"/>
      <c r="P233" s="472"/>
      <c r="Z233" s="1213"/>
      <c r="AA233" s="1224"/>
    </row>
    <row r="234" spans="1:33" s="494" customFormat="1" ht="12" customHeight="1">
      <c r="A234" s="384"/>
      <c r="B234" s="1822"/>
      <c r="C234" s="1880"/>
      <c r="D234" s="1880"/>
      <c r="E234" s="1880"/>
      <c r="F234" s="1907"/>
      <c r="G234" s="1907"/>
      <c r="H234" s="1907"/>
      <c r="I234" s="1907"/>
      <c r="J234" s="1907"/>
      <c r="K234" s="1907"/>
      <c r="L234" s="1907"/>
      <c r="M234" s="2826"/>
      <c r="N234" s="1432"/>
      <c r="P234" s="472"/>
      <c r="Z234" s="1213" t="s">
        <v>28</v>
      </c>
      <c r="AA234" s="1224" t="s">
        <v>3569</v>
      </c>
    </row>
    <row r="235" spans="1:33" s="494" customFormat="1" ht="18.75" customHeight="1">
      <c r="A235" s="384"/>
      <c r="B235" s="1822"/>
      <c r="C235" s="1880"/>
      <c r="D235" s="1880"/>
      <c r="E235" s="1880"/>
      <c r="F235" s="3572" t="str">
        <f>IF('Input '!$E$1="EN",'Quote template-2'!AA236,'Quote template-2'!Z236)</f>
        <v xml:space="preserve">Quoted Terms may not be as requested, please review this quote carefully. </v>
      </c>
      <c r="G235" s="3572"/>
      <c r="H235" s="3572"/>
      <c r="I235" s="3572"/>
      <c r="J235" s="3572"/>
      <c r="K235" s="3572"/>
      <c r="L235" s="3572"/>
      <c r="M235" s="3572"/>
      <c r="N235" s="1432"/>
      <c r="P235" s="472"/>
      <c r="Z235" s="1213"/>
      <c r="AA235" s="1224"/>
    </row>
    <row r="236" spans="1:33" s="494" customFormat="1" ht="18.75" hidden="1" customHeight="1">
      <c r="A236" s="384"/>
      <c r="B236" s="1822"/>
      <c r="C236" s="1880"/>
      <c r="D236" s="1880"/>
      <c r="E236" s="1880"/>
      <c r="F236" s="1907"/>
      <c r="G236" s="1907"/>
      <c r="H236" s="1907"/>
      <c r="I236" s="1907"/>
      <c r="J236" s="1907"/>
      <c r="K236" s="1907"/>
      <c r="L236" s="1907"/>
      <c r="M236" s="2826"/>
      <c r="N236" s="1432"/>
      <c r="P236" s="472"/>
      <c r="Z236" s="1213" t="s">
        <v>29</v>
      </c>
      <c r="AA236" s="1224" t="s">
        <v>3570</v>
      </c>
    </row>
    <row r="237" spans="1:33" s="494" customFormat="1" ht="27" customHeight="1">
      <c r="A237" s="384"/>
      <c r="B237" s="2762"/>
      <c r="C237" s="1908"/>
      <c r="D237" s="1908"/>
      <c r="E237" s="1908"/>
      <c r="F237" s="1856" t="str">
        <f>IF('Input '!$E$1="EN",'Quote template-2'!AA237,'Quote template-2'!Z237)</f>
        <v>If binding companies to be used:</v>
      </c>
      <c r="G237" s="1856" t="str">
        <f>IF('Input '!$E$1="EN",'Quote template-2'!AA239,'Quote template-2'!Z239)</f>
        <v>Domestic Markets, Lloyd's of London</v>
      </c>
      <c r="H237" s="1908"/>
      <c r="I237" s="1908"/>
      <c r="J237" s="1908"/>
      <c r="K237" s="1908"/>
      <c r="L237" s="1909"/>
      <c r="M237" s="2827"/>
      <c r="N237" s="496"/>
      <c r="Z237" s="1213" t="s">
        <v>15</v>
      </c>
      <c r="AA237" s="1224" t="s">
        <v>3571</v>
      </c>
    </row>
    <row r="238" spans="1:33" ht="8.25" customHeight="1">
      <c r="A238" s="183"/>
      <c r="C238" s="1851"/>
      <c r="D238" s="1851"/>
      <c r="E238" s="1851"/>
      <c r="F238" s="1866"/>
      <c r="G238" s="1866"/>
      <c r="H238" s="1866"/>
      <c r="I238" s="1866"/>
      <c r="J238" s="1866"/>
      <c r="K238" s="1866"/>
      <c r="L238" s="1866"/>
      <c r="M238" s="2802"/>
      <c r="N238" s="1029"/>
      <c r="O238" s="482"/>
    </row>
    <row r="239" spans="1:33">
      <c r="A239" s="183"/>
      <c r="C239" s="1851"/>
      <c r="D239" s="1851"/>
      <c r="E239" s="1851"/>
      <c r="F239" s="1851"/>
      <c r="G239" s="1851"/>
      <c r="H239" s="1851"/>
      <c r="I239" s="1851"/>
      <c r="J239" s="1851"/>
      <c r="K239" s="1851"/>
      <c r="L239" s="1851"/>
      <c r="M239" s="2804"/>
      <c r="Z239" s="1213" t="s">
        <v>1291</v>
      </c>
      <c r="AA239" s="1224" t="s">
        <v>3572</v>
      </c>
    </row>
  </sheetData>
  <mergeCells count="26">
    <mergeCell ref="V227:V228"/>
    <mergeCell ref="R218:R219"/>
    <mergeCell ref="V218:V219"/>
    <mergeCell ref="V220:V221"/>
    <mergeCell ref="F6:M6"/>
    <mergeCell ref="E149:G150"/>
    <mergeCell ref="E151:G151"/>
    <mergeCell ref="E152:G152"/>
    <mergeCell ref="E153:G153"/>
    <mergeCell ref="V225:V226"/>
    <mergeCell ref="G22:M22"/>
    <mergeCell ref="F235:M235"/>
    <mergeCell ref="F164:M164"/>
    <mergeCell ref="Q218:Q219"/>
    <mergeCell ref="M157:O157"/>
    <mergeCell ref="J228:M228"/>
    <mergeCell ref="F159:G159"/>
    <mergeCell ref="F221:H221"/>
    <mergeCell ref="F223:G223"/>
    <mergeCell ref="J223:O223"/>
    <mergeCell ref="M217:O217"/>
    <mergeCell ref="F218:H219"/>
    <mergeCell ref="J218:L218"/>
    <mergeCell ref="F233:M233"/>
    <mergeCell ref="F175:O176"/>
    <mergeCell ref="F232:K232"/>
  </mergeCells>
  <conditionalFormatting sqref="N224:N225 H227 A218:A239 N227 J227:L227 J224:K225 M23:M24 A140:A156 A163:A168 A170:A171 A41:A138 A31:A39 A173:A216">
    <cfRule type="cellIs" dxfId="30" priority="15" operator="equal">
      <formula>0</formula>
    </cfRule>
  </conditionalFormatting>
  <conditionalFormatting sqref="E149:G150 E151:E153 F152:G152">
    <cfRule type="notContainsBlanks" dxfId="29" priority="16">
      <formula>LEN(TRIM(E149))&gt;0</formula>
    </cfRule>
  </conditionalFormatting>
  <printOptions horizontalCentered="1" verticalCentered="1"/>
  <pageMargins left="0" right="0" top="0" bottom="0" header="0.3" footer="0.3"/>
  <pageSetup scale="55" fitToHeight="2" orientation="portrait" horizontalDpi="90" verticalDpi="90" r:id="rId1"/>
  <headerFooter>
    <oddFooter>&amp;L&amp;P</oddFooter>
  </headerFooter>
  <rowBreaks count="1" manualBreakCount="1">
    <brk id="155" min="2"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anchor moveWithCells="1">
                  <from>
                    <xdr:col>9</xdr:col>
                    <xdr:colOff>257175</xdr:colOff>
                    <xdr:row>218</xdr:row>
                    <xdr:rowOff>9525</xdr:rowOff>
                  </from>
                  <to>
                    <xdr:col>9</xdr:col>
                    <xdr:colOff>647700</xdr:colOff>
                    <xdr:row>220</xdr:row>
                    <xdr:rowOff>76200</xdr:rowOff>
                  </to>
                </anchor>
              </controlPr>
            </control>
          </mc:Choice>
        </mc:AlternateContent>
        <mc:AlternateContent xmlns:mc="http://schemas.openxmlformats.org/markup-compatibility/2006">
          <mc:Choice Requires="x14">
            <control shapeId="3079" r:id="rId5" name="Check Box 7">
              <controlPr defaultSize="0" autoFill="0" autoLine="0" autoPict="0">
                <anchor moveWithCells="1">
                  <from>
                    <xdr:col>10</xdr:col>
                    <xdr:colOff>123825</xdr:colOff>
                    <xdr:row>217</xdr:row>
                    <xdr:rowOff>581025</xdr:rowOff>
                  </from>
                  <to>
                    <xdr:col>10</xdr:col>
                    <xdr:colOff>514350</xdr:colOff>
                    <xdr:row>220</xdr:row>
                    <xdr:rowOff>28575</xdr:rowOff>
                  </to>
                </anchor>
              </controlPr>
            </control>
          </mc:Choice>
        </mc:AlternateContent>
        <mc:AlternateContent xmlns:mc="http://schemas.openxmlformats.org/markup-compatibility/2006">
          <mc:Choice Requires="x14">
            <control shapeId="3080" r:id="rId6" name="Check Box 8">
              <controlPr defaultSize="0" autoFill="0" autoLine="0" autoPict="0">
                <anchor moveWithCells="1">
                  <from>
                    <xdr:col>4</xdr:col>
                    <xdr:colOff>409575</xdr:colOff>
                    <xdr:row>169</xdr:row>
                    <xdr:rowOff>152400</xdr:rowOff>
                  </from>
                  <to>
                    <xdr:col>5</xdr:col>
                    <xdr:colOff>66675</xdr:colOff>
                    <xdr:row>171</xdr:row>
                    <xdr:rowOff>76200</xdr:rowOff>
                  </to>
                </anchor>
              </controlPr>
            </control>
          </mc:Choice>
        </mc:AlternateContent>
        <mc:AlternateContent xmlns:mc="http://schemas.openxmlformats.org/markup-compatibility/2006">
          <mc:Choice Requires="x14">
            <control shapeId="3084" r:id="rId7" name="Check Box 12">
              <controlPr defaultSize="0" autoFill="0" autoLine="0" autoPict="0">
                <anchor moveWithCells="1">
                  <from>
                    <xdr:col>4</xdr:col>
                    <xdr:colOff>409575</xdr:colOff>
                    <xdr:row>180</xdr:row>
                    <xdr:rowOff>152400</xdr:rowOff>
                  </from>
                  <to>
                    <xdr:col>5</xdr:col>
                    <xdr:colOff>66675</xdr:colOff>
                    <xdr:row>182</xdr:row>
                    <xdr:rowOff>76200</xdr:rowOff>
                  </to>
                </anchor>
              </controlPr>
            </control>
          </mc:Choice>
        </mc:AlternateContent>
        <mc:AlternateContent xmlns:mc="http://schemas.openxmlformats.org/markup-compatibility/2006">
          <mc:Choice Requires="x14">
            <control shapeId="3086" r:id="rId8" name="Button 14">
              <controlPr defaultSize="0" print="0" autoFill="0" autoPict="0" macro="[0]!MasquerAutre">
                <anchor moveWithCells="1" sizeWithCells="1">
                  <from>
                    <xdr:col>6</xdr:col>
                    <xdr:colOff>666750</xdr:colOff>
                    <xdr:row>0</xdr:row>
                    <xdr:rowOff>123825</xdr:rowOff>
                  </from>
                  <to>
                    <xdr:col>6</xdr:col>
                    <xdr:colOff>2076450</xdr:colOff>
                    <xdr:row>3</xdr:row>
                    <xdr:rowOff>28575</xdr:rowOff>
                  </to>
                </anchor>
              </controlPr>
            </control>
          </mc:Choice>
        </mc:AlternateContent>
        <mc:AlternateContent xmlns:mc="http://schemas.openxmlformats.org/markup-compatibility/2006">
          <mc:Choice Requires="x14">
            <control shapeId="3087" r:id="rId9" name="Button 15">
              <controlPr defaultSize="0" print="0" autoFill="0" autoPict="0" macro="[0]!AfficherGeneral">
                <anchor moveWithCells="1" sizeWithCells="1">
                  <from>
                    <xdr:col>6</xdr:col>
                    <xdr:colOff>2466975</xdr:colOff>
                    <xdr:row>0</xdr:row>
                    <xdr:rowOff>123825</xdr:rowOff>
                  </from>
                  <to>
                    <xdr:col>6</xdr:col>
                    <xdr:colOff>3933825</xdr:colOff>
                    <xdr:row>3</xdr:row>
                    <xdr:rowOff>38100</xdr:rowOff>
                  </to>
                </anchor>
              </controlPr>
            </control>
          </mc:Choice>
        </mc:AlternateContent>
        <mc:AlternateContent xmlns:mc="http://schemas.openxmlformats.org/markup-compatibility/2006">
          <mc:Choice Requires="x14">
            <control shapeId="3088" r:id="rId10" name="Check Box 16">
              <controlPr defaultSize="0" autoFill="0" autoLine="0" autoPict="0">
                <anchor moveWithCells="1">
                  <from>
                    <xdr:col>4</xdr:col>
                    <xdr:colOff>409575</xdr:colOff>
                    <xdr:row>181</xdr:row>
                    <xdr:rowOff>152400</xdr:rowOff>
                  </from>
                  <to>
                    <xdr:col>5</xdr:col>
                    <xdr:colOff>66675</xdr:colOff>
                    <xdr:row>183</xdr:row>
                    <xdr:rowOff>76200</xdr:rowOff>
                  </to>
                </anchor>
              </controlPr>
            </control>
          </mc:Choice>
        </mc:AlternateContent>
        <mc:AlternateContent xmlns:mc="http://schemas.openxmlformats.org/markup-compatibility/2006">
          <mc:Choice Requires="x14">
            <control shapeId="3089" r:id="rId11" name="Check Box 17">
              <controlPr defaultSize="0" autoFill="0" autoLine="0" autoPict="0">
                <anchor moveWithCells="1">
                  <from>
                    <xdr:col>4</xdr:col>
                    <xdr:colOff>409575</xdr:colOff>
                    <xdr:row>182</xdr:row>
                    <xdr:rowOff>152400</xdr:rowOff>
                  </from>
                  <to>
                    <xdr:col>5</xdr:col>
                    <xdr:colOff>66675</xdr:colOff>
                    <xdr:row>184</xdr:row>
                    <xdr:rowOff>76200</xdr:rowOff>
                  </to>
                </anchor>
              </controlPr>
            </control>
          </mc:Choice>
        </mc:AlternateContent>
        <mc:AlternateContent xmlns:mc="http://schemas.openxmlformats.org/markup-compatibility/2006">
          <mc:Choice Requires="x14">
            <control shapeId="3090" r:id="rId12" name="Check Box 18">
              <controlPr defaultSize="0" autoFill="0" autoLine="0" autoPict="0">
                <anchor moveWithCells="1">
                  <from>
                    <xdr:col>4</xdr:col>
                    <xdr:colOff>409575</xdr:colOff>
                    <xdr:row>183</xdr:row>
                    <xdr:rowOff>152400</xdr:rowOff>
                  </from>
                  <to>
                    <xdr:col>5</xdr:col>
                    <xdr:colOff>66675</xdr:colOff>
                    <xdr:row>185</xdr:row>
                    <xdr:rowOff>76200</xdr:rowOff>
                  </to>
                </anchor>
              </controlPr>
            </control>
          </mc:Choice>
        </mc:AlternateContent>
        <mc:AlternateContent xmlns:mc="http://schemas.openxmlformats.org/markup-compatibility/2006">
          <mc:Choice Requires="x14">
            <control shapeId="3091" r:id="rId13" name="Check Box 19">
              <controlPr defaultSize="0" autoFill="0" autoLine="0" autoPict="0">
                <anchor moveWithCells="1">
                  <from>
                    <xdr:col>4</xdr:col>
                    <xdr:colOff>409575</xdr:colOff>
                    <xdr:row>184</xdr:row>
                    <xdr:rowOff>152400</xdr:rowOff>
                  </from>
                  <to>
                    <xdr:col>5</xdr:col>
                    <xdr:colOff>66675</xdr:colOff>
                    <xdr:row>186</xdr:row>
                    <xdr:rowOff>76200</xdr:rowOff>
                  </to>
                </anchor>
              </controlPr>
            </control>
          </mc:Choice>
        </mc:AlternateContent>
        <mc:AlternateContent xmlns:mc="http://schemas.openxmlformats.org/markup-compatibility/2006">
          <mc:Choice Requires="x14">
            <control shapeId="3092" r:id="rId14" name="Check Box 20">
              <controlPr defaultSize="0" autoFill="0" autoLine="0" autoPict="0">
                <anchor moveWithCells="1">
                  <from>
                    <xdr:col>4</xdr:col>
                    <xdr:colOff>419100</xdr:colOff>
                    <xdr:row>185</xdr:row>
                    <xdr:rowOff>190500</xdr:rowOff>
                  </from>
                  <to>
                    <xdr:col>4</xdr:col>
                    <xdr:colOff>723900</xdr:colOff>
                    <xdr:row>187</xdr:row>
                    <xdr:rowOff>0</xdr:rowOff>
                  </to>
                </anchor>
              </controlPr>
            </control>
          </mc:Choice>
        </mc:AlternateContent>
        <mc:AlternateContent xmlns:mc="http://schemas.openxmlformats.org/markup-compatibility/2006">
          <mc:Choice Requires="x14">
            <control shapeId="3093" r:id="rId15" name="Check Box 21">
              <controlPr defaultSize="0" autoFill="0" autoLine="0" autoPict="0">
                <anchor moveWithCells="1">
                  <from>
                    <xdr:col>4</xdr:col>
                    <xdr:colOff>409575</xdr:colOff>
                    <xdr:row>186</xdr:row>
                    <xdr:rowOff>152400</xdr:rowOff>
                  </from>
                  <to>
                    <xdr:col>4</xdr:col>
                    <xdr:colOff>714375</xdr:colOff>
                    <xdr:row>188</xdr:row>
                    <xdr:rowOff>19050</xdr:rowOff>
                  </to>
                </anchor>
              </controlPr>
            </control>
          </mc:Choice>
        </mc:AlternateContent>
        <mc:AlternateContent xmlns:mc="http://schemas.openxmlformats.org/markup-compatibility/2006">
          <mc:Choice Requires="x14">
            <control shapeId="3094" r:id="rId16" name="Check Box 22">
              <controlPr defaultSize="0" autoFill="0" autoLine="0" autoPict="0">
                <anchor moveWithCells="1">
                  <from>
                    <xdr:col>4</xdr:col>
                    <xdr:colOff>400050</xdr:colOff>
                    <xdr:row>191</xdr:row>
                    <xdr:rowOff>0</xdr:rowOff>
                  </from>
                  <to>
                    <xdr:col>4</xdr:col>
                    <xdr:colOff>704850</xdr:colOff>
                    <xdr:row>192</xdr:row>
                    <xdr:rowOff>28575</xdr:rowOff>
                  </to>
                </anchor>
              </controlPr>
            </control>
          </mc:Choice>
        </mc:AlternateContent>
        <mc:AlternateContent xmlns:mc="http://schemas.openxmlformats.org/markup-compatibility/2006">
          <mc:Choice Requires="x14">
            <control shapeId="3095" r:id="rId17" name="Check Box 23">
              <controlPr defaultSize="0" autoFill="0" autoLine="0" autoPict="0">
                <anchor moveWithCells="1">
                  <from>
                    <xdr:col>4</xdr:col>
                    <xdr:colOff>409575</xdr:colOff>
                    <xdr:row>191</xdr:row>
                    <xdr:rowOff>152400</xdr:rowOff>
                  </from>
                  <to>
                    <xdr:col>5</xdr:col>
                    <xdr:colOff>66675</xdr:colOff>
                    <xdr:row>193</xdr:row>
                    <xdr:rowOff>76200</xdr:rowOff>
                  </to>
                </anchor>
              </controlPr>
            </control>
          </mc:Choice>
        </mc:AlternateContent>
        <mc:AlternateContent xmlns:mc="http://schemas.openxmlformats.org/markup-compatibility/2006">
          <mc:Choice Requires="x14">
            <control shapeId="3096" r:id="rId18" name="Check Box 24">
              <controlPr defaultSize="0" autoFill="0" autoLine="0" autoPict="0">
                <anchor moveWithCells="1">
                  <from>
                    <xdr:col>4</xdr:col>
                    <xdr:colOff>409575</xdr:colOff>
                    <xdr:row>192</xdr:row>
                    <xdr:rowOff>152400</xdr:rowOff>
                  </from>
                  <to>
                    <xdr:col>5</xdr:col>
                    <xdr:colOff>66675</xdr:colOff>
                    <xdr:row>194</xdr:row>
                    <xdr:rowOff>76200</xdr:rowOff>
                  </to>
                </anchor>
              </controlPr>
            </control>
          </mc:Choice>
        </mc:AlternateContent>
        <mc:AlternateContent xmlns:mc="http://schemas.openxmlformats.org/markup-compatibility/2006">
          <mc:Choice Requires="x14">
            <control shapeId="3097" r:id="rId19" name="Check Box 25">
              <controlPr defaultSize="0" autoFill="0" autoLine="0" autoPict="0">
                <anchor moveWithCells="1">
                  <from>
                    <xdr:col>4</xdr:col>
                    <xdr:colOff>409575</xdr:colOff>
                    <xdr:row>193</xdr:row>
                    <xdr:rowOff>152400</xdr:rowOff>
                  </from>
                  <to>
                    <xdr:col>5</xdr:col>
                    <xdr:colOff>66675</xdr:colOff>
                    <xdr:row>195</xdr:row>
                    <xdr:rowOff>76200</xdr:rowOff>
                  </to>
                </anchor>
              </controlPr>
            </control>
          </mc:Choice>
        </mc:AlternateContent>
        <mc:AlternateContent xmlns:mc="http://schemas.openxmlformats.org/markup-compatibility/2006">
          <mc:Choice Requires="x14">
            <control shapeId="3098" r:id="rId20" name="Check Box 26">
              <controlPr defaultSize="0" autoFill="0" autoLine="0" autoPict="0">
                <anchor moveWithCells="1">
                  <from>
                    <xdr:col>4</xdr:col>
                    <xdr:colOff>409575</xdr:colOff>
                    <xdr:row>194</xdr:row>
                    <xdr:rowOff>152400</xdr:rowOff>
                  </from>
                  <to>
                    <xdr:col>5</xdr:col>
                    <xdr:colOff>66675</xdr:colOff>
                    <xdr:row>196</xdr:row>
                    <xdr:rowOff>76200</xdr:rowOff>
                  </to>
                </anchor>
              </controlPr>
            </control>
          </mc:Choice>
        </mc:AlternateContent>
        <mc:AlternateContent xmlns:mc="http://schemas.openxmlformats.org/markup-compatibility/2006">
          <mc:Choice Requires="x14">
            <control shapeId="3099" r:id="rId21" name="Check Box 27">
              <controlPr defaultSize="0" autoFill="0" autoLine="0" autoPict="0">
                <anchor moveWithCells="1">
                  <from>
                    <xdr:col>4</xdr:col>
                    <xdr:colOff>409575</xdr:colOff>
                    <xdr:row>195</xdr:row>
                    <xdr:rowOff>152400</xdr:rowOff>
                  </from>
                  <to>
                    <xdr:col>5</xdr:col>
                    <xdr:colOff>66675</xdr:colOff>
                    <xdr:row>197</xdr:row>
                    <xdr:rowOff>76200</xdr:rowOff>
                  </to>
                </anchor>
              </controlPr>
            </control>
          </mc:Choice>
        </mc:AlternateContent>
        <mc:AlternateContent xmlns:mc="http://schemas.openxmlformats.org/markup-compatibility/2006">
          <mc:Choice Requires="x14">
            <control shapeId="3100" r:id="rId22" name="Check Box 28">
              <controlPr defaultSize="0" autoFill="0" autoLine="0" autoPict="0">
                <anchor moveWithCells="1">
                  <from>
                    <xdr:col>4</xdr:col>
                    <xdr:colOff>409575</xdr:colOff>
                    <xdr:row>196</xdr:row>
                    <xdr:rowOff>152400</xdr:rowOff>
                  </from>
                  <to>
                    <xdr:col>5</xdr:col>
                    <xdr:colOff>66675</xdr:colOff>
                    <xdr:row>198</xdr:row>
                    <xdr:rowOff>76200</xdr:rowOff>
                  </to>
                </anchor>
              </controlPr>
            </control>
          </mc:Choice>
        </mc:AlternateContent>
        <mc:AlternateContent xmlns:mc="http://schemas.openxmlformats.org/markup-compatibility/2006">
          <mc:Choice Requires="x14">
            <control shapeId="3101" r:id="rId23" name="Check Box 29">
              <controlPr defaultSize="0" autoFill="0" autoLine="0" autoPict="0">
                <anchor moveWithCells="1">
                  <from>
                    <xdr:col>4</xdr:col>
                    <xdr:colOff>409575</xdr:colOff>
                    <xdr:row>197</xdr:row>
                    <xdr:rowOff>152400</xdr:rowOff>
                  </from>
                  <to>
                    <xdr:col>5</xdr:col>
                    <xdr:colOff>66675</xdr:colOff>
                    <xdr:row>199</xdr:row>
                    <xdr:rowOff>76200</xdr:rowOff>
                  </to>
                </anchor>
              </controlPr>
            </control>
          </mc:Choice>
        </mc:AlternateContent>
        <mc:AlternateContent xmlns:mc="http://schemas.openxmlformats.org/markup-compatibility/2006">
          <mc:Choice Requires="x14">
            <control shapeId="3102" r:id="rId24" name="Check Box 30">
              <controlPr defaultSize="0" autoFill="0" autoLine="0" autoPict="0">
                <anchor moveWithCells="1">
                  <from>
                    <xdr:col>4</xdr:col>
                    <xdr:colOff>409575</xdr:colOff>
                    <xdr:row>198</xdr:row>
                    <xdr:rowOff>152400</xdr:rowOff>
                  </from>
                  <to>
                    <xdr:col>5</xdr:col>
                    <xdr:colOff>66675</xdr:colOff>
                    <xdr:row>200</xdr:row>
                    <xdr:rowOff>76200</xdr:rowOff>
                  </to>
                </anchor>
              </controlPr>
            </control>
          </mc:Choice>
        </mc:AlternateContent>
        <mc:AlternateContent xmlns:mc="http://schemas.openxmlformats.org/markup-compatibility/2006">
          <mc:Choice Requires="x14">
            <control shapeId="3103" r:id="rId25" name="Check Box 31">
              <controlPr defaultSize="0" autoFill="0" autoLine="0" autoPict="0">
                <anchor moveWithCells="1">
                  <from>
                    <xdr:col>4</xdr:col>
                    <xdr:colOff>409575</xdr:colOff>
                    <xdr:row>199</xdr:row>
                    <xdr:rowOff>152400</xdr:rowOff>
                  </from>
                  <to>
                    <xdr:col>5</xdr:col>
                    <xdr:colOff>66675</xdr:colOff>
                    <xdr:row>201</xdr:row>
                    <xdr:rowOff>76200</xdr:rowOff>
                  </to>
                </anchor>
              </controlPr>
            </control>
          </mc:Choice>
        </mc:AlternateContent>
        <mc:AlternateContent xmlns:mc="http://schemas.openxmlformats.org/markup-compatibility/2006">
          <mc:Choice Requires="x14">
            <control shapeId="3104" r:id="rId26" name="Check Box 32">
              <controlPr defaultSize="0" autoFill="0" autoLine="0" autoPict="0">
                <anchor moveWithCells="1">
                  <from>
                    <xdr:col>4</xdr:col>
                    <xdr:colOff>409575</xdr:colOff>
                    <xdr:row>203</xdr:row>
                    <xdr:rowOff>171450</xdr:rowOff>
                  </from>
                  <to>
                    <xdr:col>5</xdr:col>
                    <xdr:colOff>66675</xdr:colOff>
                    <xdr:row>205</xdr:row>
                    <xdr:rowOff>95250</xdr:rowOff>
                  </to>
                </anchor>
              </controlPr>
            </control>
          </mc:Choice>
        </mc:AlternateContent>
        <mc:AlternateContent xmlns:mc="http://schemas.openxmlformats.org/markup-compatibility/2006">
          <mc:Choice Requires="x14">
            <control shapeId="3105" r:id="rId27" name="Check Box 33">
              <controlPr defaultSize="0" autoFill="0" autoLine="0" autoPict="0">
                <anchor moveWithCells="1">
                  <from>
                    <xdr:col>4</xdr:col>
                    <xdr:colOff>409575</xdr:colOff>
                    <xdr:row>204</xdr:row>
                    <xdr:rowOff>152400</xdr:rowOff>
                  </from>
                  <to>
                    <xdr:col>5</xdr:col>
                    <xdr:colOff>66675</xdr:colOff>
                    <xdr:row>206</xdr:row>
                    <xdr:rowOff>76200</xdr:rowOff>
                  </to>
                </anchor>
              </controlPr>
            </control>
          </mc:Choice>
        </mc:AlternateContent>
        <mc:AlternateContent xmlns:mc="http://schemas.openxmlformats.org/markup-compatibility/2006">
          <mc:Choice Requires="x14">
            <control shapeId="3106" r:id="rId28" name="Check Box 34">
              <controlPr defaultSize="0" autoFill="0" autoLine="0" autoPict="0">
                <anchor moveWithCells="1">
                  <from>
                    <xdr:col>4</xdr:col>
                    <xdr:colOff>409575</xdr:colOff>
                    <xdr:row>205</xdr:row>
                    <xdr:rowOff>152400</xdr:rowOff>
                  </from>
                  <to>
                    <xdr:col>5</xdr:col>
                    <xdr:colOff>66675</xdr:colOff>
                    <xdr:row>207</xdr:row>
                    <xdr:rowOff>76200</xdr:rowOff>
                  </to>
                </anchor>
              </controlPr>
            </control>
          </mc:Choice>
        </mc:AlternateContent>
        <mc:AlternateContent xmlns:mc="http://schemas.openxmlformats.org/markup-compatibility/2006">
          <mc:Choice Requires="x14">
            <control shapeId="3107" r:id="rId29" name="Check Box 35">
              <controlPr defaultSize="0" autoFill="0" autoLine="0" autoPict="0">
                <anchor moveWithCells="1">
                  <from>
                    <xdr:col>4</xdr:col>
                    <xdr:colOff>409575</xdr:colOff>
                    <xdr:row>206</xdr:row>
                    <xdr:rowOff>152400</xdr:rowOff>
                  </from>
                  <to>
                    <xdr:col>5</xdr:col>
                    <xdr:colOff>66675</xdr:colOff>
                    <xdr:row>208</xdr:row>
                    <xdr:rowOff>76200</xdr:rowOff>
                  </to>
                </anchor>
              </controlPr>
            </control>
          </mc:Choice>
        </mc:AlternateContent>
        <mc:AlternateContent xmlns:mc="http://schemas.openxmlformats.org/markup-compatibility/2006">
          <mc:Choice Requires="x14">
            <control shapeId="3108" r:id="rId30" name="Check Box 36">
              <controlPr defaultSize="0" autoFill="0" autoLine="0" autoPict="0">
                <anchor moveWithCells="1">
                  <from>
                    <xdr:col>4</xdr:col>
                    <xdr:colOff>409575</xdr:colOff>
                    <xdr:row>207</xdr:row>
                    <xdr:rowOff>152400</xdr:rowOff>
                  </from>
                  <to>
                    <xdr:col>5</xdr:col>
                    <xdr:colOff>66675</xdr:colOff>
                    <xdr:row>209</xdr:row>
                    <xdr:rowOff>76200</xdr:rowOff>
                  </to>
                </anchor>
              </controlPr>
            </control>
          </mc:Choice>
        </mc:AlternateContent>
        <mc:AlternateContent xmlns:mc="http://schemas.openxmlformats.org/markup-compatibility/2006">
          <mc:Choice Requires="x14">
            <control shapeId="3109" r:id="rId31" name="Check Box 37">
              <controlPr defaultSize="0" autoFill="0" autoLine="0" autoPict="0">
                <anchor moveWithCells="1">
                  <from>
                    <xdr:col>4</xdr:col>
                    <xdr:colOff>409575</xdr:colOff>
                    <xdr:row>208</xdr:row>
                    <xdr:rowOff>152400</xdr:rowOff>
                  </from>
                  <to>
                    <xdr:col>5</xdr:col>
                    <xdr:colOff>66675</xdr:colOff>
                    <xdr:row>210</xdr:row>
                    <xdr:rowOff>76200</xdr:rowOff>
                  </to>
                </anchor>
              </controlPr>
            </control>
          </mc:Choice>
        </mc:AlternateContent>
        <mc:AlternateContent xmlns:mc="http://schemas.openxmlformats.org/markup-compatibility/2006">
          <mc:Choice Requires="x14">
            <control shapeId="3110" r:id="rId32" name="Check Box 38">
              <controlPr defaultSize="0" autoFill="0" autoLine="0" autoPict="0">
                <anchor moveWithCells="1">
                  <from>
                    <xdr:col>4</xdr:col>
                    <xdr:colOff>409575</xdr:colOff>
                    <xdr:row>209</xdr:row>
                    <xdr:rowOff>152400</xdr:rowOff>
                  </from>
                  <to>
                    <xdr:col>5</xdr:col>
                    <xdr:colOff>66675</xdr:colOff>
                    <xdr:row>211</xdr:row>
                    <xdr:rowOff>76200</xdr:rowOff>
                  </to>
                </anchor>
              </controlPr>
            </control>
          </mc:Choice>
        </mc:AlternateContent>
        <mc:AlternateContent xmlns:mc="http://schemas.openxmlformats.org/markup-compatibility/2006">
          <mc:Choice Requires="x14">
            <control shapeId="3111" r:id="rId33" name="Check Box 39">
              <controlPr defaultSize="0" autoFill="0" autoLine="0" autoPict="0">
                <anchor moveWithCells="1">
                  <from>
                    <xdr:col>4</xdr:col>
                    <xdr:colOff>409575</xdr:colOff>
                    <xdr:row>210</xdr:row>
                    <xdr:rowOff>152400</xdr:rowOff>
                  </from>
                  <to>
                    <xdr:col>5</xdr:col>
                    <xdr:colOff>66675</xdr:colOff>
                    <xdr:row>212</xdr:row>
                    <xdr:rowOff>76200</xdr:rowOff>
                  </to>
                </anchor>
              </controlPr>
            </control>
          </mc:Choice>
        </mc:AlternateContent>
        <mc:AlternateContent xmlns:mc="http://schemas.openxmlformats.org/markup-compatibility/2006">
          <mc:Choice Requires="x14">
            <control shapeId="3112" r:id="rId34" name="Check Box 40">
              <controlPr defaultSize="0" autoFill="0" autoLine="0" autoPict="0">
                <anchor moveWithCells="1">
                  <from>
                    <xdr:col>4</xdr:col>
                    <xdr:colOff>409575</xdr:colOff>
                    <xdr:row>211</xdr:row>
                    <xdr:rowOff>152400</xdr:rowOff>
                  </from>
                  <to>
                    <xdr:col>5</xdr:col>
                    <xdr:colOff>66675</xdr:colOff>
                    <xdr:row>213</xdr:row>
                    <xdr:rowOff>76200</xdr:rowOff>
                  </to>
                </anchor>
              </controlPr>
            </control>
          </mc:Choice>
        </mc:AlternateContent>
        <mc:AlternateContent xmlns:mc="http://schemas.openxmlformats.org/markup-compatibility/2006">
          <mc:Choice Requires="x14">
            <control shapeId="3113" r:id="rId35" name="Check Box 41">
              <controlPr defaultSize="0" autoFill="0" autoLine="0" autoPict="0">
                <anchor moveWithCells="1">
                  <from>
                    <xdr:col>4</xdr:col>
                    <xdr:colOff>409575</xdr:colOff>
                    <xdr:row>212</xdr:row>
                    <xdr:rowOff>152400</xdr:rowOff>
                  </from>
                  <to>
                    <xdr:col>5</xdr:col>
                    <xdr:colOff>66675</xdr:colOff>
                    <xdr:row>214</xdr:row>
                    <xdr:rowOff>76200</xdr:rowOff>
                  </to>
                </anchor>
              </controlPr>
            </control>
          </mc:Choice>
        </mc:AlternateContent>
        <mc:AlternateContent xmlns:mc="http://schemas.openxmlformats.org/markup-compatibility/2006">
          <mc:Choice Requires="x14">
            <control shapeId="3114" r:id="rId36" name="Check Box 42">
              <controlPr defaultSize="0" autoFill="0" autoLine="0" autoPict="0">
                <anchor moveWithCells="1">
                  <from>
                    <xdr:col>4</xdr:col>
                    <xdr:colOff>409575</xdr:colOff>
                    <xdr:row>213</xdr:row>
                    <xdr:rowOff>152400</xdr:rowOff>
                  </from>
                  <to>
                    <xdr:col>5</xdr:col>
                    <xdr:colOff>66675</xdr:colOff>
                    <xdr:row>215</xdr:row>
                    <xdr:rowOff>76200</xdr:rowOff>
                  </to>
                </anchor>
              </controlPr>
            </control>
          </mc:Choice>
        </mc:AlternateContent>
        <mc:AlternateContent xmlns:mc="http://schemas.openxmlformats.org/markup-compatibility/2006">
          <mc:Choice Requires="x14">
            <control shapeId="3115" r:id="rId37" name="Check Box 43">
              <controlPr defaultSize="0" autoFill="0" autoLine="0" autoPict="0">
                <anchor moveWithCells="1">
                  <from>
                    <xdr:col>4</xdr:col>
                    <xdr:colOff>409575</xdr:colOff>
                    <xdr:row>214</xdr:row>
                    <xdr:rowOff>152400</xdr:rowOff>
                  </from>
                  <to>
                    <xdr:col>5</xdr:col>
                    <xdr:colOff>66675</xdr:colOff>
                    <xdr:row>216</xdr:row>
                    <xdr:rowOff>76200</xdr:rowOff>
                  </to>
                </anchor>
              </controlPr>
            </control>
          </mc:Choice>
        </mc:AlternateContent>
        <mc:AlternateContent xmlns:mc="http://schemas.openxmlformats.org/markup-compatibility/2006">
          <mc:Choice Requires="x14">
            <control shapeId="3117" r:id="rId38" name="Check Box 45">
              <controlPr defaultSize="0" autoFill="0" autoLine="0" autoPict="0">
                <anchor moveWithCells="1">
                  <from>
                    <xdr:col>4</xdr:col>
                    <xdr:colOff>409575</xdr:colOff>
                    <xdr:row>176</xdr:row>
                    <xdr:rowOff>152400</xdr:rowOff>
                  </from>
                  <to>
                    <xdr:col>5</xdr:col>
                    <xdr:colOff>66675</xdr:colOff>
                    <xdr:row>178</xdr:row>
                    <xdr:rowOff>76200</xdr:rowOff>
                  </to>
                </anchor>
              </controlPr>
            </control>
          </mc:Choice>
        </mc:AlternateContent>
        <mc:AlternateContent xmlns:mc="http://schemas.openxmlformats.org/markup-compatibility/2006">
          <mc:Choice Requires="x14">
            <control shapeId="3118" r:id="rId39" name="Check Box 46">
              <controlPr defaultSize="0" autoFill="0" autoLine="0" autoPict="0">
                <anchor moveWithCells="1">
                  <from>
                    <xdr:col>4</xdr:col>
                    <xdr:colOff>409575</xdr:colOff>
                    <xdr:row>182</xdr:row>
                    <xdr:rowOff>152400</xdr:rowOff>
                  </from>
                  <to>
                    <xdr:col>5</xdr:col>
                    <xdr:colOff>66675</xdr:colOff>
                    <xdr:row>184</xdr:row>
                    <xdr:rowOff>76200</xdr:rowOff>
                  </to>
                </anchor>
              </controlPr>
            </control>
          </mc:Choice>
        </mc:AlternateContent>
        <mc:AlternateContent xmlns:mc="http://schemas.openxmlformats.org/markup-compatibility/2006">
          <mc:Choice Requires="x14">
            <control shapeId="3119" r:id="rId40" name="Check Box 47">
              <controlPr defaultSize="0" autoFill="0" autoLine="0" autoPict="0">
                <anchor moveWithCells="1">
                  <from>
                    <xdr:col>4</xdr:col>
                    <xdr:colOff>409575</xdr:colOff>
                    <xdr:row>183</xdr:row>
                    <xdr:rowOff>152400</xdr:rowOff>
                  </from>
                  <to>
                    <xdr:col>5</xdr:col>
                    <xdr:colOff>66675</xdr:colOff>
                    <xdr:row>185</xdr:row>
                    <xdr:rowOff>76200</xdr:rowOff>
                  </to>
                </anchor>
              </controlPr>
            </control>
          </mc:Choice>
        </mc:AlternateContent>
        <mc:AlternateContent xmlns:mc="http://schemas.openxmlformats.org/markup-compatibility/2006">
          <mc:Choice Requires="x14">
            <control shapeId="3120" r:id="rId41" name="Check Box 48">
              <controlPr defaultSize="0" autoFill="0" autoLine="0" autoPict="0">
                <anchor moveWithCells="1">
                  <from>
                    <xdr:col>4</xdr:col>
                    <xdr:colOff>409575</xdr:colOff>
                    <xdr:row>183</xdr:row>
                    <xdr:rowOff>152400</xdr:rowOff>
                  </from>
                  <to>
                    <xdr:col>5</xdr:col>
                    <xdr:colOff>66675</xdr:colOff>
                    <xdr:row>185</xdr:row>
                    <xdr:rowOff>76200</xdr:rowOff>
                  </to>
                </anchor>
              </controlPr>
            </control>
          </mc:Choice>
        </mc:AlternateContent>
        <mc:AlternateContent xmlns:mc="http://schemas.openxmlformats.org/markup-compatibility/2006">
          <mc:Choice Requires="x14">
            <control shapeId="3121" r:id="rId42" name="Check Box 49">
              <controlPr defaultSize="0" autoFill="0" autoLine="0" autoPict="0">
                <anchor moveWithCells="1">
                  <from>
                    <xdr:col>4</xdr:col>
                    <xdr:colOff>409575</xdr:colOff>
                    <xdr:row>184</xdr:row>
                    <xdr:rowOff>152400</xdr:rowOff>
                  </from>
                  <to>
                    <xdr:col>5</xdr:col>
                    <xdr:colOff>66675</xdr:colOff>
                    <xdr:row>186</xdr:row>
                    <xdr:rowOff>76200</xdr:rowOff>
                  </to>
                </anchor>
              </controlPr>
            </control>
          </mc:Choice>
        </mc:AlternateContent>
        <mc:AlternateContent xmlns:mc="http://schemas.openxmlformats.org/markup-compatibility/2006">
          <mc:Choice Requires="x14">
            <control shapeId="3122" r:id="rId43" name="Check Box 50">
              <controlPr defaultSize="0" autoFill="0" autoLine="0" autoPict="0">
                <anchor moveWithCells="1">
                  <from>
                    <xdr:col>4</xdr:col>
                    <xdr:colOff>409575</xdr:colOff>
                    <xdr:row>184</xdr:row>
                    <xdr:rowOff>152400</xdr:rowOff>
                  </from>
                  <to>
                    <xdr:col>5</xdr:col>
                    <xdr:colOff>66675</xdr:colOff>
                    <xdr:row>186</xdr:row>
                    <xdr:rowOff>76200</xdr:rowOff>
                  </to>
                </anchor>
              </controlPr>
            </control>
          </mc:Choice>
        </mc:AlternateContent>
        <mc:AlternateContent xmlns:mc="http://schemas.openxmlformats.org/markup-compatibility/2006">
          <mc:Choice Requires="x14">
            <control shapeId="3123" r:id="rId44" name="Check Box 51">
              <controlPr defaultSize="0" autoFill="0" autoLine="0" autoPict="0">
                <anchor moveWithCells="1">
                  <from>
                    <xdr:col>4</xdr:col>
                    <xdr:colOff>409575</xdr:colOff>
                    <xdr:row>184</xdr:row>
                    <xdr:rowOff>152400</xdr:rowOff>
                  </from>
                  <to>
                    <xdr:col>5</xdr:col>
                    <xdr:colOff>66675</xdr:colOff>
                    <xdr:row>186</xdr:row>
                    <xdr:rowOff>76200</xdr:rowOff>
                  </to>
                </anchor>
              </controlPr>
            </control>
          </mc:Choice>
        </mc:AlternateContent>
        <mc:AlternateContent xmlns:mc="http://schemas.openxmlformats.org/markup-compatibility/2006">
          <mc:Choice Requires="x14">
            <control shapeId="3134" r:id="rId45" name="Check Box 62">
              <controlPr defaultSize="0" autoFill="0" autoLine="0" autoPict="0">
                <anchor moveWithCells="1">
                  <from>
                    <xdr:col>4</xdr:col>
                    <xdr:colOff>409575</xdr:colOff>
                    <xdr:row>188</xdr:row>
                    <xdr:rowOff>0</xdr:rowOff>
                  </from>
                  <to>
                    <xdr:col>4</xdr:col>
                    <xdr:colOff>714375</xdr:colOff>
                    <xdr:row>189</xdr:row>
                    <xdr:rowOff>28575</xdr:rowOff>
                  </to>
                </anchor>
              </controlPr>
            </control>
          </mc:Choice>
        </mc:AlternateContent>
        <mc:AlternateContent xmlns:mc="http://schemas.openxmlformats.org/markup-compatibility/2006">
          <mc:Choice Requires="x14">
            <control shapeId="3145" r:id="rId46" name="Check Box 73">
              <controlPr defaultSize="0" autoFill="0" autoLine="0" autoPict="0">
                <anchor moveWithCells="1">
                  <from>
                    <xdr:col>4</xdr:col>
                    <xdr:colOff>409575</xdr:colOff>
                    <xdr:row>189</xdr:row>
                    <xdr:rowOff>0</xdr:rowOff>
                  </from>
                  <to>
                    <xdr:col>4</xdr:col>
                    <xdr:colOff>714375</xdr:colOff>
                    <xdr:row>190</xdr:row>
                    <xdr:rowOff>28575</xdr:rowOff>
                  </to>
                </anchor>
              </controlPr>
            </control>
          </mc:Choice>
        </mc:AlternateContent>
        <mc:AlternateContent xmlns:mc="http://schemas.openxmlformats.org/markup-compatibility/2006">
          <mc:Choice Requires="x14">
            <control shapeId="3146" r:id="rId47" name="Check Box 74">
              <controlPr defaultSize="0" autoFill="0" autoLine="0" autoPict="0">
                <anchor moveWithCells="1">
                  <from>
                    <xdr:col>4</xdr:col>
                    <xdr:colOff>409575</xdr:colOff>
                    <xdr:row>189</xdr:row>
                    <xdr:rowOff>0</xdr:rowOff>
                  </from>
                  <to>
                    <xdr:col>4</xdr:col>
                    <xdr:colOff>714375</xdr:colOff>
                    <xdr:row>190</xdr:row>
                    <xdr:rowOff>28575</xdr:rowOff>
                  </to>
                </anchor>
              </controlPr>
            </control>
          </mc:Choice>
        </mc:AlternateContent>
        <mc:AlternateContent xmlns:mc="http://schemas.openxmlformats.org/markup-compatibility/2006">
          <mc:Choice Requires="x14">
            <control shapeId="3147" r:id="rId48" name="Check Box 75">
              <controlPr defaultSize="0" autoFill="0" autoLine="0" autoPict="0">
                <anchor moveWithCells="1">
                  <from>
                    <xdr:col>4</xdr:col>
                    <xdr:colOff>409575</xdr:colOff>
                    <xdr:row>190</xdr:row>
                    <xdr:rowOff>0</xdr:rowOff>
                  </from>
                  <to>
                    <xdr:col>4</xdr:col>
                    <xdr:colOff>714375</xdr:colOff>
                    <xdr:row>191</xdr:row>
                    <xdr:rowOff>28575</xdr:rowOff>
                  </to>
                </anchor>
              </controlPr>
            </control>
          </mc:Choice>
        </mc:AlternateContent>
        <mc:AlternateContent xmlns:mc="http://schemas.openxmlformats.org/markup-compatibility/2006">
          <mc:Choice Requires="x14">
            <control shapeId="3148" r:id="rId49" name="Check Box 76">
              <controlPr defaultSize="0" autoFill="0" autoLine="0" autoPict="0">
                <anchor moveWithCells="1">
                  <from>
                    <xdr:col>4</xdr:col>
                    <xdr:colOff>409575</xdr:colOff>
                    <xdr:row>200</xdr:row>
                    <xdr:rowOff>152400</xdr:rowOff>
                  </from>
                  <to>
                    <xdr:col>5</xdr:col>
                    <xdr:colOff>66675</xdr:colOff>
                    <xdr:row>202</xdr:row>
                    <xdr:rowOff>76200</xdr:rowOff>
                  </to>
                </anchor>
              </controlPr>
            </control>
          </mc:Choice>
        </mc:AlternateContent>
        <mc:AlternateContent xmlns:mc="http://schemas.openxmlformats.org/markup-compatibility/2006">
          <mc:Choice Requires="x14">
            <control shapeId="3150" r:id="rId50" name="Check Box 78">
              <controlPr defaultSize="0" autoFill="0" autoLine="0" autoPict="0">
                <anchor moveWithCells="1">
                  <from>
                    <xdr:col>4</xdr:col>
                    <xdr:colOff>409575</xdr:colOff>
                    <xdr:row>201</xdr:row>
                    <xdr:rowOff>152400</xdr:rowOff>
                  </from>
                  <to>
                    <xdr:col>5</xdr:col>
                    <xdr:colOff>66675</xdr:colOff>
                    <xdr:row>203</xdr:row>
                    <xdr:rowOff>76200</xdr:rowOff>
                  </to>
                </anchor>
              </controlPr>
            </control>
          </mc:Choice>
        </mc:AlternateContent>
        <mc:AlternateContent xmlns:mc="http://schemas.openxmlformats.org/markup-compatibility/2006">
          <mc:Choice Requires="x14">
            <control shapeId="3151" r:id="rId51" name="Check Box 79">
              <controlPr defaultSize="0" autoFill="0" autoLine="0" autoPict="0">
                <anchor moveWithCells="1">
                  <from>
                    <xdr:col>4</xdr:col>
                    <xdr:colOff>409575</xdr:colOff>
                    <xdr:row>202</xdr:row>
                    <xdr:rowOff>152400</xdr:rowOff>
                  </from>
                  <to>
                    <xdr:col>5</xdr:col>
                    <xdr:colOff>66675</xdr:colOff>
                    <xdr:row>204</xdr:row>
                    <xdr:rowOff>76200</xdr:rowOff>
                  </to>
                </anchor>
              </controlPr>
            </control>
          </mc:Choice>
        </mc:AlternateContent>
        <mc:AlternateContent xmlns:mc="http://schemas.openxmlformats.org/markup-compatibility/2006">
          <mc:Choice Requires="x14">
            <control shapeId="3153" r:id="rId52" name="Check Box 81">
              <controlPr defaultSize="0" autoFill="0" autoLine="0" autoPict="0">
                <anchor moveWithCells="1">
                  <from>
                    <xdr:col>4</xdr:col>
                    <xdr:colOff>409575</xdr:colOff>
                    <xdr:row>201</xdr:row>
                    <xdr:rowOff>152400</xdr:rowOff>
                  </from>
                  <to>
                    <xdr:col>5</xdr:col>
                    <xdr:colOff>66675</xdr:colOff>
                    <xdr:row>203</xdr:row>
                    <xdr:rowOff>76200</xdr:rowOff>
                  </to>
                </anchor>
              </controlPr>
            </control>
          </mc:Choice>
        </mc:AlternateContent>
        <mc:AlternateContent xmlns:mc="http://schemas.openxmlformats.org/markup-compatibility/2006">
          <mc:Choice Requires="x14">
            <control shapeId="3154" r:id="rId53" name="Check Box 82">
              <controlPr defaultSize="0" autoFill="0" autoLine="0" autoPict="0">
                <anchor moveWithCells="1">
                  <from>
                    <xdr:col>4</xdr:col>
                    <xdr:colOff>409575</xdr:colOff>
                    <xdr:row>202</xdr:row>
                    <xdr:rowOff>152400</xdr:rowOff>
                  </from>
                  <to>
                    <xdr:col>5</xdr:col>
                    <xdr:colOff>66675</xdr:colOff>
                    <xdr:row>204</xdr:row>
                    <xdr:rowOff>76200</xdr:rowOff>
                  </to>
                </anchor>
              </controlPr>
            </control>
          </mc:Choice>
        </mc:AlternateContent>
        <mc:AlternateContent xmlns:mc="http://schemas.openxmlformats.org/markup-compatibility/2006">
          <mc:Choice Requires="x14">
            <control shapeId="3155" r:id="rId54" name="Check Box 83">
              <controlPr defaultSize="0" autoFill="0" autoLine="0" autoPict="0">
                <anchor moveWithCells="1">
                  <from>
                    <xdr:col>4</xdr:col>
                    <xdr:colOff>409575</xdr:colOff>
                    <xdr:row>179</xdr:row>
                    <xdr:rowOff>171450</xdr:rowOff>
                  </from>
                  <to>
                    <xdr:col>5</xdr:col>
                    <xdr:colOff>57150</xdr:colOff>
                    <xdr:row>181</xdr:row>
                    <xdr:rowOff>95250</xdr:rowOff>
                  </to>
                </anchor>
              </controlPr>
            </control>
          </mc:Choice>
        </mc:AlternateContent>
        <mc:AlternateContent xmlns:mc="http://schemas.openxmlformats.org/markup-compatibility/2006">
          <mc:Choice Requires="x14">
            <control shapeId="3156" r:id="rId55" name="Check Box 84">
              <controlPr defaultSize="0" autoFill="0" autoLine="0" autoPict="0">
                <anchor moveWithCells="1">
                  <from>
                    <xdr:col>4</xdr:col>
                    <xdr:colOff>409575</xdr:colOff>
                    <xdr:row>177</xdr:row>
                    <xdr:rowOff>114300</xdr:rowOff>
                  </from>
                  <to>
                    <xdr:col>5</xdr:col>
                    <xdr:colOff>57150</xdr:colOff>
                    <xdr:row>179</xdr:row>
                    <xdr:rowOff>38100</xdr:rowOff>
                  </to>
                </anchor>
              </controlPr>
            </control>
          </mc:Choice>
        </mc:AlternateContent>
        <mc:AlternateContent xmlns:mc="http://schemas.openxmlformats.org/markup-compatibility/2006">
          <mc:Choice Requires="x14">
            <control shapeId="3157" r:id="rId56" name="Check Box 85">
              <controlPr defaultSize="0" autoFill="0" autoLine="0" autoPict="0">
                <anchor moveWithCells="1">
                  <from>
                    <xdr:col>4</xdr:col>
                    <xdr:colOff>409575</xdr:colOff>
                    <xdr:row>178</xdr:row>
                    <xdr:rowOff>152400</xdr:rowOff>
                  </from>
                  <to>
                    <xdr:col>5</xdr:col>
                    <xdr:colOff>57150</xdr:colOff>
                    <xdr:row>180</xdr:row>
                    <xdr:rowOff>76200</xdr:rowOff>
                  </to>
                </anchor>
              </controlPr>
            </control>
          </mc:Choice>
        </mc:AlternateContent>
        <mc:AlternateContent xmlns:mc="http://schemas.openxmlformats.org/markup-compatibility/2006">
          <mc:Choice Requires="x14">
            <control shapeId="3163" r:id="rId57" name="Check Box 91">
              <controlPr defaultSize="0" autoFill="0" autoLine="0" autoPict="0">
                <anchor moveWithCells="1">
                  <from>
                    <xdr:col>4</xdr:col>
                    <xdr:colOff>409575</xdr:colOff>
                    <xdr:row>178</xdr:row>
                    <xdr:rowOff>152400</xdr:rowOff>
                  </from>
                  <to>
                    <xdr:col>5</xdr:col>
                    <xdr:colOff>66675</xdr:colOff>
                    <xdr:row>180</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tabColor rgb="FF00B0F0"/>
  </sheetPr>
  <dimension ref="A1:L167"/>
  <sheetViews>
    <sheetView showGridLines="0" topLeftCell="A61" workbookViewId="0">
      <selection activeCell="J115" sqref="J115"/>
    </sheetView>
  </sheetViews>
  <sheetFormatPr defaultColWidth="9.140625" defaultRowHeight="15"/>
  <cols>
    <col min="1" max="1" width="26.85546875" style="343" customWidth="1"/>
    <col min="2" max="2" width="11.85546875" style="2902" customWidth="1"/>
    <col min="3" max="3" width="13" style="2902" customWidth="1"/>
    <col min="4" max="4" width="15.7109375" style="2902" customWidth="1"/>
    <col min="5" max="5" width="17.42578125" style="343" customWidth="1"/>
    <col min="6" max="6" width="9.7109375" style="343" customWidth="1"/>
    <col min="7" max="7" width="14.5703125" style="343" customWidth="1"/>
    <col min="8" max="8" width="1.28515625" style="343" customWidth="1"/>
    <col min="9" max="9" width="18.7109375" style="343" customWidth="1"/>
    <col min="10" max="10" width="17.7109375" style="343" customWidth="1"/>
    <col min="11" max="11" width="17.42578125" style="343" customWidth="1"/>
    <col min="12" max="16384" width="9.140625" style="343"/>
  </cols>
  <sheetData>
    <row r="1" spans="1:11" ht="16.5">
      <c r="A1" s="2901" t="s">
        <v>4222</v>
      </c>
      <c r="B1" s="2902" t="s">
        <v>4314</v>
      </c>
      <c r="C1" s="343"/>
      <c r="D1" s="343"/>
      <c r="E1" s="2902" t="s">
        <v>1052</v>
      </c>
      <c r="J1" s="2902" t="s">
        <v>4314</v>
      </c>
      <c r="K1" s="2902" t="s">
        <v>1052</v>
      </c>
    </row>
    <row r="2" spans="1:11" s="2903" customFormat="1" ht="30.75" thickBot="1">
      <c r="B2" s="2904" t="s">
        <v>4315</v>
      </c>
      <c r="C2" s="2905"/>
      <c r="D2" s="2906"/>
      <c r="E2" s="3589" t="s">
        <v>4316</v>
      </c>
      <c r="F2" s="3589"/>
      <c r="G2" s="3590"/>
      <c r="J2" s="2907" t="s">
        <v>4315</v>
      </c>
      <c r="K2" s="2908" t="s">
        <v>4316</v>
      </c>
    </row>
    <row r="3" spans="1:11" s="2913" customFormat="1">
      <c r="A3" s="2909" t="s">
        <v>3530</v>
      </c>
      <c r="B3" s="2910" t="s">
        <v>4317</v>
      </c>
      <c r="C3" s="2911"/>
      <c r="D3" s="2912"/>
      <c r="E3" s="2911" t="s">
        <v>4317</v>
      </c>
      <c r="F3" s="2911"/>
      <c r="G3" s="2912"/>
      <c r="J3" s="2914" t="s">
        <v>1046</v>
      </c>
      <c r="K3" s="2914" t="s">
        <v>1046</v>
      </c>
    </row>
    <row r="4" spans="1:11">
      <c r="A4" s="2915" t="s">
        <v>1234</v>
      </c>
      <c r="B4" s="2916" t="s">
        <v>4332</v>
      </c>
      <c r="C4" s="2917"/>
      <c r="D4" s="2918"/>
      <c r="E4" s="2916" t="s">
        <v>4333</v>
      </c>
      <c r="F4" s="2917"/>
      <c r="G4" s="2918"/>
      <c r="J4" s="2919" t="s">
        <v>4334</v>
      </c>
      <c r="K4" s="2920" t="s">
        <v>4335</v>
      </c>
    </row>
    <row r="5" spans="1:11">
      <c r="A5" s="2921" t="s">
        <v>231</v>
      </c>
      <c r="B5" s="3591" t="s">
        <v>1010</v>
      </c>
      <c r="C5" s="3592"/>
      <c r="D5" s="3593"/>
      <c r="E5" s="3594" t="s">
        <v>1010</v>
      </c>
      <c r="F5" s="3594"/>
      <c r="G5" s="2922"/>
      <c r="I5" s="2921" t="s">
        <v>231</v>
      </c>
      <c r="J5" s="2923" t="s">
        <v>1011</v>
      </c>
      <c r="K5" s="2924" t="s">
        <v>1011</v>
      </c>
    </row>
    <row r="6" spans="1:11">
      <c r="A6" s="2925">
        <v>1000000</v>
      </c>
      <c r="B6" s="69">
        <v>600</v>
      </c>
      <c r="C6" s="2926"/>
      <c r="D6" s="2927"/>
      <c r="E6" s="60">
        <v>675</v>
      </c>
      <c r="F6" s="2928"/>
      <c r="G6" s="2929"/>
      <c r="I6" s="2925">
        <v>1000000</v>
      </c>
      <c r="J6" s="67">
        <v>1.2</v>
      </c>
      <c r="K6" s="67">
        <v>1.35</v>
      </c>
    </row>
    <row r="7" spans="1:11">
      <c r="A7" s="2925">
        <v>2000000</v>
      </c>
      <c r="B7" s="69">
        <v>675</v>
      </c>
      <c r="C7" s="2926"/>
      <c r="D7" s="2927"/>
      <c r="E7" s="60">
        <v>750</v>
      </c>
      <c r="F7" s="2928"/>
      <c r="G7" s="2929"/>
      <c r="I7" s="2925">
        <v>2000000</v>
      </c>
      <c r="J7" s="67">
        <v>1.35</v>
      </c>
      <c r="K7" s="67">
        <v>1.5</v>
      </c>
    </row>
    <row r="8" spans="1:11">
      <c r="A8" s="2925">
        <v>3000000</v>
      </c>
      <c r="B8" s="69">
        <v>750</v>
      </c>
      <c r="C8" s="2926"/>
      <c r="D8" s="2927"/>
      <c r="E8" s="60">
        <v>825</v>
      </c>
      <c r="F8" s="2928"/>
      <c r="G8" s="2929"/>
      <c r="I8" s="2925">
        <v>3000000</v>
      </c>
      <c r="J8" s="67">
        <v>1.5</v>
      </c>
      <c r="K8" s="67">
        <v>1.65</v>
      </c>
    </row>
    <row r="9" spans="1:11">
      <c r="A9" s="2925">
        <v>4000000</v>
      </c>
      <c r="B9" s="69">
        <v>825</v>
      </c>
      <c r="C9" s="2926"/>
      <c r="D9" s="2927"/>
      <c r="E9" s="60">
        <v>900</v>
      </c>
      <c r="F9" s="2928"/>
      <c r="G9" s="2929"/>
      <c r="I9" s="2925">
        <v>4000000</v>
      </c>
      <c r="J9" s="67">
        <v>1.65</v>
      </c>
      <c r="K9" s="67">
        <v>1.8</v>
      </c>
    </row>
    <row r="10" spans="1:11">
      <c r="A10" s="2930">
        <v>5000000</v>
      </c>
      <c r="B10" s="70">
        <v>900</v>
      </c>
      <c r="C10" s="2931"/>
      <c r="D10" s="2932"/>
      <c r="E10" s="65">
        <v>975</v>
      </c>
      <c r="F10" s="2933"/>
      <c r="G10" s="2934"/>
      <c r="I10" s="2930">
        <v>5000000</v>
      </c>
      <c r="J10" s="68">
        <v>1.8</v>
      </c>
      <c r="K10" s="68">
        <v>1.95</v>
      </c>
    </row>
    <row r="14" spans="1:11">
      <c r="A14" s="2913" t="s">
        <v>4318</v>
      </c>
      <c r="B14" s="2902" t="s">
        <v>4314</v>
      </c>
      <c r="C14" s="343"/>
      <c r="D14" s="343"/>
      <c r="E14" s="2902" t="s">
        <v>1052</v>
      </c>
      <c r="J14" s="2902" t="s">
        <v>4314</v>
      </c>
      <c r="K14" s="2902" t="s">
        <v>1052</v>
      </c>
    </row>
    <row r="15" spans="1:11" ht="30.75" thickBot="1">
      <c r="A15" s="2903"/>
      <c r="B15" s="2935" t="s">
        <v>4315</v>
      </c>
      <c r="C15" s="2936"/>
      <c r="D15" s="2908"/>
      <c r="E15" s="3595" t="s">
        <v>4316</v>
      </c>
      <c r="F15" s="3595"/>
      <c r="G15" s="3596"/>
      <c r="H15" s="2903"/>
      <c r="I15" s="2903"/>
      <c r="J15" s="2907" t="s">
        <v>4315</v>
      </c>
      <c r="K15" s="2908" t="s">
        <v>4316</v>
      </c>
    </row>
    <row r="16" spans="1:11">
      <c r="A16" s="2909" t="s">
        <v>3530</v>
      </c>
      <c r="B16" s="2937" t="s">
        <v>4317</v>
      </c>
      <c r="C16" s="2938"/>
      <c r="D16" s="2939"/>
      <c r="E16" s="2938" t="s">
        <v>4317</v>
      </c>
      <c r="F16" s="2938"/>
      <c r="G16" s="2939"/>
      <c r="H16" s="2913"/>
      <c r="I16" s="2913"/>
      <c r="J16" s="2914" t="s">
        <v>4319</v>
      </c>
      <c r="K16" s="2914" t="s">
        <v>4319</v>
      </c>
    </row>
    <row r="17" spans="1:12">
      <c r="A17" s="2915" t="s">
        <v>1234</v>
      </c>
      <c r="B17" s="2940" t="s">
        <v>4332</v>
      </c>
      <c r="C17" s="2941"/>
      <c r="D17" s="2942"/>
      <c r="E17" s="2940" t="s">
        <v>4333</v>
      </c>
      <c r="F17" s="2941"/>
      <c r="G17" s="2942"/>
      <c r="J17" s="2919" t="s">
        <v>4334</v>
      </c>
      <c r="K17" s="2920" t="s">
        <v>4335</v>
      </c>
    </row>
    <row r="18" spans="1:12">
      <c r="A18" s="2921" t="s">
        <v>231</v>
      </c>
      <c r="B18" s="2943" t="s">
        <v>1010</v>
      </c>
      <c r="C18" s="2944"/>
      <c r="D18" s="2945"/>
      <c r="E18" s="2946" t="s">
        <v>1010</v>
      </c>
      <c r="F18" s="2947"/>
      <c r="G18" s="2922"/>
      <c r="I18" s="2921" t="s">
        <v>231</v>
      </c>
      <c r="J18" s="2923" t="s">
        <v>1011</v>
      </c>
      <c r="K18" s="2924" t="s">
        <v>1011</v>
      </c>
    </row>
    <row r="19" spans="1:12">
      <c r="A19" s="2925">
        <v>1000000</v>
      </c>
      <c r="B19" s="2948">
        <v>725</v>
      </c>
      <c r="C19" s="2926"/>
      <c r="D19" s="2927"/>
      <c r="E19" s="2949">
        <v>850</v>
      </c>
      <c r="F19" s="2928"/>
      <c r="G19" s="2929"/>
      <c r="I19" s="2925">
        <v>1000000</v>
      </c>
      <c r="J19" s="2950">
        <v>1.5</v>
      </c>
      <c r="K19" s="2950">
        <v>1.75</v>
      </c>
      <c r="L19" s="2950"/>
    </row>
    <row r="20" spans="1:12">
      <c r="A20" s="2925">
        <v>2000000</v>
      </c>
      <c r="B20" s="2948">
        <v>850</v>
      </c>
      <c r="C20" s="2926"/>
      <c r="D20" s="2927"/>
      <c r="E20" s="2949">
        <v>1000</v>
      </c>
      <c r="F20" s="2928"/>
      <c r="G20" s="2929"/>
      <c r="I20" s="2925">
        <v>2000000</v>
      </c>
      <c r="J20" s="2950">
        <v>1.8</v>
      </c>
      <c r="K20" s="2950">
        <v>2.1</v>
      </c>
      <c r="L20" s="2950"/>
    </row>
    <row r="21" spans="1:12">
      <c r="A21" s="2925">
        <v>3000000</v>
      </c>
      <c r="B21" s="2948">
        <v>1000</v>
      </c>
      <c r="C21" s="2926"/>
      <c r="D21" s="2927"/>
      <c r="E21" s="2949">
        <v>1250</v>
      </c>
      <c r="F21" s="2928"/>
      <c r="G21" s="2929"/>
      <c r="I21" s="2925">
        <v>3000000</v>
      </c>
      <c r="J21" s="2950">
        <v>1.95</v>
      </c>
      <c r="K21" s="2950">
        <v>2.2749999999999999</v>
      </c>
      <c r="L21" s="2950"/>
    </row>
    <row r="22" spans="1:12">
      <c r="A22" s="2925">
        <v>4000000</v>
      </c>
      <c r="B22" s="2948">
        <v>1250</v>
      </c>
      <c r="C22" s="2926"/>
      <c r="D22" s="2927"/>
      <c r="E22" s="2949">
        <v>1500</v>
      </c>
      <c r="F22" s="2928"/>
      <c r="G22" s="2929"/>
      <c r="I22" s="2925">
        <v>4000000</v>
      </c>
      <c r="J22" s="2950">
        <v>2.1749999999999998</v>
      </c>
      <c r="K22" s="2950">
        <v>2.4500000000000002</v>
      </c>
      <c r="L22" s="2950"/>
    </row>
    <row r="23" spans="1:12">
      <c r="A23" s="2930">
        <v>5000000</v>
      </c>
      <c r="B23" s="2951">
        <v>1500</v>
      </c>
      <c r="C23" s="2931"/>
      <c r="D23" s="2932"/>
      <c r="E23" s="2952">
        <v>2000</v>
      </c>
      <c r="F23" s="2933"/>
      <c r="G23" s="2934"/>
      <c r="I23" s="2930">
        <v>5000000</v>
      </c>
      <c r="J23" s="2953">
        <v>2.25</v>
      </c>
      <c r="K23" s="2953">
        <v>2.625</v>
      </c>
      <c r="L23" s="2950"/>
    </row>
    <row r="24" spans="1:12">
      <c r="L24" s="2950"/>
    </row>
    <row r="25" spans="1:12">
      <c r="L25" s="2950"/>
    </row>
    <row r="27" spans="1:12">
      <c r="A27" s="2913" t="s">
        <v>4320</v>
      </c>
    </row>
    <row r="28" spans="1:12">
      <c r="A28" s="2954" t="s">
        <v>968</v>
      </c>
      <c r="B28" s="3588"/>
      <c r="C28" s="3588"/>
    </row>
    <row r="29" spans="1:12" ht="15.75">
      <c r="A29" s="2928" t="s">
        <v>3530</v>
      </c>
      <c r="B29" s="2926" t="s">
        <v>1010</v>
      </c>
      <c r="C29" s="253"/>
    </row>
    <row r="30" spans="1:12" ht="15.75">
      <c r="A30" s="2955" t="s">
        <v>231</v>
      </c>
      <c r="B30" s="2926" t="s">
        <v>4321</v>
      </c>
      <c r="C30" s="253"/>
    </row>
    <row r="31" spans="1:12" ht="15.75">
      <c r="A31" s="21">
        <v>1000000</v>
      </c>
      <c r="B31" s="52">
        <v>2200</v>
      </c>
      <c r="C31" s="2956"/>
    </row>
    <row r="32" spans="1:12" ht="15.75">
      <c r="A32" s="22">
        <v>2000000</v>
      </c>
      <c r="B32" s="52">
        <v>2500</v>
      </c>
      <c r="C32" s="2956"/>
    </row>
    <row r="33" spans="1:3" ht="15.75">
      <c r="A33" s="22">
        <v>3000000</v>
      </c>
      <c r="B33" s="52">
        <v>2860</v>
      </c>
      <c r="C33" s="2956"/>
    </row>
    <row r="34" spans="1:3" ht="15.75">
      <c r="A34" s="22">
        <v>4000000</v>
      </c>
      <c r="B34" s="52">
        <v>3080</v>
      </c>
      <c r="C34" s="2956"/>
    </row>
    <row r="35" spans="1:3" ht="15.75">
      <c r="A35" s="22">
        <v>5000000</v>
      </c>
      <c r="B35" s="52">
        <v>3300</v>
      </c>
      <c r="C35" s="2956"/>
    </row>
    <row r="38" spans="1:3">
      <c r="A38" s="2913" t="s">
        <v>4322</v>
      </c>
    </row>
    <row r="39" spans="1:3">
      <c r="A39" s="2954" t="s">
        <v>968</v>
      </c>
      <c r="B39" s="3588"/>
      <c r="C39" s="3588"/>
    </row>
    <row r="40" spans="1:3" ht="15.75">
      <c r="A40" s="2928" t="s">
        <v>3530</v>
      </c>
      <c r="B40" s="2926" t="s">
        <v>1010</v>
      </c>
      <c r="C40" s="253"/>
    </row>
    <row r="41" spans="1:3" ht="15.75">
      <c r="A41" s="2955" t="s">
        <v>231</v>
      </c>
      <c r="B41" s="2926" t="s">
        <v>4321</v>
      </c>
      <c r="C41" s="253" t="s">
        <v>222</v>
      </c>
    </row>
    <row r="42" spans="1:3" ht="15.75">
      <c r="A42" s="21">
        <v>1000000</v>
      </c>
      <c r="B42" s="52">
        <v>2500</v>
      </c>
      <c r="C42" s="2956">
        <v>1</v>
      </c>
    </row>
    <row r="43" spans="1:3" ht="15.75">
      <c r="A43" s="22">
        <v>2000000</v>
      </c>
      <c r="B43" s="52">
        <v>3000</v>
      </c>
      <c r="C43" s="2956">
        <v>1.2</v>
      </c>
    </row>
    <row r="44" spans="1:3" ht="15.75">
      <c r="A44" s="22">
        <v>3000000</v>
      </c>
      <c r="B44" s="52">
        <v>3250</v>
      </c>
      <c r="C44" s="2956">
        <v>1.3</v>
      </c>
    </row>
    <row r="45" spans="1:3" ht="15.75">
      <c r="A45" s="22">
        <v>4000000</v>
      </c>
      <c r="B45" s="52">
        <v>3500</v>
      </c>
      <c r="C45" s="2956">
        <v>1.4</v>
      </c>
    </row>
    <row r="46" spans="1:3" ht="15.75">
      <c r="A46" s="22">
        <v>5000000</v>
      </c>
      <c r="B46" s="52">
        <v>3750</v>
      </c>
      <c r="C46" s="2956">
        <v>1.5</v>
      </c>
    </row>
    <row r="49" spans="1:12" s="2913" customFormat="1">
      <c r="A49" s="2913" t="s">
        <v>4180</v>
      </c>
      <c r="B49" s="2957"/>
      <c r="C49" s="2957"/>
      <c r="D49" s="2957"/>
    </row>
    <row r="50" spans="1:12" s="2960" customFormat="1" ht="45">
      <c r="A50" s="99" t="s">
        <v>968</v>
      </c>
      <c r="B50" s="99" t="s">
        <v>222</v>
      </c>
      <c r="C50" s="2958" t="s">
        <v>4487</v>
      </c>
      <c r="D50" s="2959" t="s">
        <v>4323</v>
      </c>
      <c r="E50" s="2959" t="s">
        <v>4184</v>
      </c>
      <c r="F50" s="2959" t="s">
        <v>4324</v>
      </c>
      <c r="G50" s="2959" t="s">
        <v>4325</v>
      </c>
    </row>
    <row r="51" spans="1:12">
      <c r="A51" s="2739">
        <v>1000000</v>
      </c>
      <c r="B51" s="102">
        <v>1</v>
      </c>
      <c r="C51" s="2961"/>
      <c r="D51" s="2962" t="e">
        <f ca="1">J63</f>
        <v>#VALUE!</v>
      </c>
      <c r="E51" s="2962" t="e">
        <f ca="1">D51*(1+C51)</f>
        <v>#VALUE!</v>
      </c>
      <c r="F51" s="2961"/>
      <c r="G51" s="2962" t="e">
        <f ca="1">E51</f>
        <v>#VALUE!</v>
      </c>
    </row>
    <row r="52" spans="1:12">
      <c r="A52" s="2739">
        <v>2000000</v>
      </c>
      <c r="B52" s="102">
        <v>1.2</v>
      </c>
      <c r="C52" s="2961"/>
      <c r="D52" s="2962" t="e">
        <f ca="1">D$51*B52</f>
        <v>#VALUE!</v>
      </c>
      <c r="E52" s="2962" t="e">
        <f t="shared" ref="E52:E54" ca="1" si="0">D52*(1+C52)</f>
        <v>#VALUE!</v>
      </c>
      <c r="F52" s="2961"/>
      <c r="G52" s="2962" t="e">
        <f t="shared" ref="G52:G55" ca="1" si="1">E52</f>
        <v>#VALUE!</v>
      </c>
    </row>
    <row r="53" spans="1:12">
      <c r="A53" s="2739">
        <v>3000000</v>
      </c>
      <c r="B53" s="102">
        <v>1.3</v>
      </c>
      <c r="C53" s="2961"/>
      <c r="D53" s="2962" t="e">
        <f t="shared" ref="D53:D55" ca="1" si="2">D$51*B53</f>
        <v>#VALUE!</v>
      </c>
      <c r="E53" s="2962" t="e">
        <f t="shared" ca="1" si="0"/>
        <v>#VALUE!</v>
      </c>
      <c r="F53" s="2961"/>
      <c r="G53" s="2962" t="e">
        <f t="shared" ca="1" si="1"/>
        <v>#VALUE!</v>
      </c>
    </row>
    <row r="54" spans="1:12">
      <c r="A54" s="2739">
        <v>4000000</v>
      </c>
      <c r="B54" s="102">
        <v>1.4</v>
      </c>
      <c r="C54" s="2961"/>
      <c r="D54" s="2962" t="e">
        <f t="shared" ca="1" si="2"/>
        <v>#VALUE!</v>
      </c>
      <c r="E54" s="2962" t="e">
        <f t="shared" ca="1" si="0"/>
        <v>#VALUE!</v>
      </c>
      <c r="F54" s="2961"/>
      <c r="G54" s="2962" t="e">
        <f t="shared" ca="1" si="1"/>
        <v>#VALUE!</v>
      </c>
    </row>
    <row r="55" spans="1:12">
      <c r="A55" s="2739">
        <v>5000000</v>
      </c>
      <c r="B55" s="102">
        <v>1.5</v>
      </c>
      <c r="C55" s="2961"/>
      <c r="D55" s="2962" t="e">
        <f t="shared" ca="1" si="2"/>
        <v>#VALUE!</v>
      </c>
      <c r="E55" s="2962" t="e">
        <f ca="1">D55*(1+C55)</f>
        <v>#VALUE!</v>
      </c>
      <c r="F55" s="2961"/>
      <c r="G55" s="2962" t="e">
        <f t="shared" ca="1" si="1"/>
        <v>#VALUE!</v>
      </c>
    </row>
    <row r="56" spans="1:12" s="2928" customFormat="1">
      <c r="A56" s="2963"/>
      <c r="B56" s="2964"/>
      <c r="C56" s="166"/>
      <c r="D56" s="2926"/>
    </row>
    <row r="57" spans="1:12" ht="30">
      <c r="A57" s="100" t="s">
        <v>3530</v>
      </c>
      <c r="B57" s="2735" t="s">
        <v>4173</v>
      </c>
      <c r="C57" s="2735" t="s">
        <v>4176</v>
      </c>
      <c r="D57" s="2735" t="s">
        <v>4177</v>
      </c>
      <c r="E57" s="1711"/>
      <c r="F57" s="1711"/>
      <c r="G57" s="1711"/>
      <c r="H57" s="1711"/>
      <c r="I57" s="1711" t="s">
        <v>4180</v>
      </c>
      <c r="J57" s="581"/>
      <c r="K57" s="1711"/>
      <c r="L57" s="1711"/>
    </row>
    <row r="58" spans="1:12">
      <c r="A58" s="3259">
        <v>0</v>
      </c>
      <c r="B58" s="3258" t="s">
        <v>4493</v>
      </c>
      <c r="C58" s="249" t="e">
        <f>B58/1.2</f>
        <v>#VALUE!</v>
      </c>
      <c r="D58" s="249" t="e">
        <f>C58*1.15</f>
        <v>#VALUE!</v>
      </c>
      <c r="E58" s="1711"/>
      <c r="F58" s="2883"/>
      <c r="I58" s="1711" t="s">
        <v>4181</v>
      </c>
      <c r="J58" s="1711" t="str">
        <f ca="1">IF('Input '!$G$29&lt;3,D$119,$C$119)</f>
        <v>3 ans en affaires</v>
      </c>
      <c r="K58" s="1711"/>
      <c r="L58" s="1711"/>
    </row>
    <row r="59" spans="1:12">
      <c r="A59" s="3259">
        <v>30001</v>
      </c>
      <c r="B59" s="3258">
        <v>2500</v>
      </c>
      <c r="C59" s="249">
        <f t="shared" ref="C59:C71" si="3">B59/1.2</f>
        <v>2083.3333333333335</v>
      </c>
      <c r="D59" s="249">
        <f>C59*1.15</f>
        <v>2395.8333333333335</v>
      </c>
      <c r="E59" s="1711"/>
      <c r="F59" s="2883"/>
      <c r="I59" s="2736" t="s">
        <v>3530</v>
      </c>
      <c r="J59" s="2737">
        <f>'Input '!$G$39</f>
        <v>0</v>
      </c>
      <c r="K59" s="1711"/>
      <c r="L59" s="1711"/>
    </row>
    <row r="60" spans="1:12">
      <c r="A60" s="3259">
        <v>100001</v>
      </c>
      <c r="B60" s="3258">
        <v>3000</v>
      </c>
      <c r="C60" s="249">
        <f t="shared" si="3"/>
        <v>2500</v>
      </c>
      <c r="D60" s="249">
        <f t="shared" ref="D60:D71" si="4">C60*1.15</f>
        <v>2875</v>
      </c>
      <c r="E60" s="1711"/>
      <c r="F60" s="2883"/>
      <c r="I60" s="2736" t="s">
        <v>4183</v>
      </c>
      <c r="J60" s="2737">
        <f>VLOOKUP(J59,A58:A72,1,TRUE)</f>
        <v>0</v>
      </c>
      <c r="K60" s="1711"/>
      <c r="L60" s="1711"/>
    </row>
    <row r="61" spans="1:12">
      <c r="A61" s="3259">
        <v>200001</v>
      </c>
      <c r="B61" s="3258">
        <v>3500</v>
      </c>
      <c r="C61" s="249">
        <f t="shared" si="3"/>
        <v>2916.666666666667</v>
      </c>
      <c r="D61" s="249">
        <f t="shared" si="4"/>
        <v>3354.166666666667</v>
      </c>
      <c r="E61" s="1711"/>
      <c r="F61" s="2883"/>
      <c r="I61" s="2741" t="s">
        <v>4178</v>
      </c>
      <c r="J61" s="2742" t="e">
        <f>'Input '!$I$24+'Input '!$J$24</f>
        <v>#DIV/0!</v>
      </c>
      <c r="K61" s="1711"/>
      <c r="L61" s="1711"/>
    </row>
    <row r="62" spans="1:12">
      <c r="A62" s="3259">
        <v>300001</v>
      </c>
      <c r="B62" s="3258">
        <v>4000</v>
      </c>
      <c r="C62" s="249">
        <f t="shared" si="3"/>
        <v>3333.3333333333335</v>
      </c>
      <c r="D62" s="249">
        <f t="shared" si="4"/>
        <v>3833.333333333333</v>
      </c>
      <c r="E62" s="1711"/>
      <c r="F62" s="2883"/>
      <c r="I62" s="100" t="s">
        <v>231</v>
      </c>
      <c r="J62" s="2739">
        <f>'CGL coverage'!$I$5</f>
        <v>1000000</v>
      </c>
      <c r="K62" s="100">
        <f>VLOOKUP(J62,A51:B55,2,FALSE)</f>
        <v>1</v>
      </c>
      <c r="L62" s="100" t="s">
        <v>222</v>
      </c>
    </row>
    <row r="63" spans="1:12">
      <c r="A63" s="3259">
        <v>400001</v>
      </c>
      <c r="B63" s="3258">
        <v>4500</v>
      </c>
      <c r="C63" s="249">
        <f t="shared" si="3"/>
        <v>3750</v>
      </c>
      <c r="D63" s="249">
        <f t="shared" si="4"/>
        <v>4312.5</v>
      </c>
      <c r="E63" s="1711"/>
      <c r="F63" s="2883"/>
      <c r="I63" s="1711" t="s">
        <v>4326</v>
      </c>
      <c r="J63" s="1736" t="e">
        <f ca="1">INDEX(A57:D72,MATCH(J60,A57:A72,0),MATCH(J58,A57:D57,0))</f>
        <v>#VALUE!</v>
      </c>
      <c r="K63" s="2965" t="e">
        <f ca="1">J63*K62</f>
        <v>#VALUE!</v>
      </c>
      <c r="L63" s="1711"/>
    </row>
    <row r="64" spans="1:12">
      <c r="A64" s="3259">
        <v>500001</v>
      </c>
      <c r="B64" s="3258">
        <v>5000</v>
      </c>
      <c r="C64" s="249">
        <f t="shared" si="3"/>
        <v>4166.666666666667</v>
      </c>
      <c r="D64" s="249">
        <f t="shared" si="4"/>
        <v>4791.666666666667</v>
      </c>
      <c r="E64" s="1711"/>
      <c r="F64" s="2883"/>
      <c r="I64" s="2727" t="s">
        <v>4179</v>
      </c>
      <c r="J64" s="2728" t="e">
        <f>IF(J73="Yes",VLOOKUP(J61,I69:J72,2),0)</f>
        <v>#N/A</v>
      </c>
      <c r="K64" s="1711"/>
      <c r="L64" s="1711"/>
    </row>
    <row r="65" spans="1:11">
      <c r="A65" s="3259">
        <v>600001</v>
      </c>
      <c r="B65" s="3258">
        <v>5500</v>
      </c>
      <c r="C65" s="249">
        <f t="shared" si="3"/>
        <v>4583.3333333333339</v>
      </c>
      <c r="D65" s="249">
        <f t="shared" si="4"/>
        <v>5270.8333333333339</v>
      </c>
      <c r="E65" s="1711"/>
      <c r="F65" s="2883"/>
      <c r="I65" s="343" t="s">
        <v>4327</v>
      </c>
      <c r="J65" s="2965" t="e">
        <f ca="1">K63*(1+J64)</f>
        <v>#VALUE!</v>
      </c>
      <c r="K65" s="1711"/>
    </row>
    <row r="66" spans="1:11">
      <c r="A66" s="3259">
        <v>700001</v>
      </c>
      <c r="B66" s="3258">
        <v>6000</v>
      </c>
      <c r="C66" s="249">
        <f t="shared" si="3"/>
        <v>5000</v>
      </c>
      <c r="D66" s="249">
        <f t="shared" si="4"/>
        <v>5750</v>
      </c>
      <c r="E66" s="1711"/>
      <c r="F66" s="2883"/>
      <c r="I66" s="343" t="s">
        <v>4328</v>
      </c>
      <c r="J66" s="2966"/>
      <c r="K66" s="1711"/>
    </row>
    <row r="67" spans="1:11">
      <c r="A67" s="3259">
        <v>800001</v>
      </c>
      <c r="B67" s="3258">
        <v>6500</v>
      </c>
      <c r="C67" s="249">
        <f t="shared" si="3"/>
        <v>5416.666666666667</v>
      </c>
      <c r="D67" s="249">
        <f t="shared" si="4"/>
        <v>6229.166666666667</v>
      </c>
      <c r="E67" s="1711"/>
      <c r="F67" s="2883"/>
      <c r="I67" s="893" t="s">
        <v>4325</v>
      </c>
      <c r="J67" s="2965" t="e">
        <f ca="1">J65</f>
        <v>#VALUE!</v>
      </c>
      <c r="K67" s="1711"/>
    </row>
    <row r="68" spans="1:11">
      <c r="A68" s="3259">
        <v>900001</v>
      </c>
      <c r="B68" s="3258">
        <v>7000</v>
      </c>
      <c r="C68" s="249">
        <f t="shared" si="3"/>
        <v>5833.3333333333339</v>
      </c>
      <c r="D68" s="249">
        <f t="shared" si="4"/>
        <v>6708.3333333333339</v>
      </c>
      <c r="E68" s="1711"/>
      <c r="F68" s="2883"/>
      <c r="I68" s="2725" t="s">
        <v>4175</v>
      </c>
      <c r="J68" s="2725"/>
      <c r="K68" s="1711"/>
    </row>
    <row r="69" spans="1:11">
      <c r="A69" s="3259">
        <v>1000001</v>
      </c>
      <c r="B69" s="3258">
        <v>7500</v>
      </c>
      <c r="C69" s="249">
        <f t="shared" si="3"/>
        <v>6250</v>
      </c>
      <c r="D69" s="249">
        <f t="shared" si="4"/>
        <v>7187.4999999999991</v>
      </c>
      <c r="E69" s="1711"/>
      <c r="F69" s="2883"/>
      <c r="I69" s="2726">
        <v>0</v>
      </c>
      <c r="J69" s="2726">
        <v>0</v>
      </c>
      <c r="K69" s="1711"/>
    </row>
    <row r="70" spans="1:11">
      <c r="A70" s="3259">
        <v>1100001</v>
      </c>
      <c r="B70" s="3258">
        <v>8000</v>
      </c>
      <c r="C70" s="249">
        <f t="shared" si="3"/>
        <v>6666.666666666667</v>
      </c>
      <c r="D70" s="249">
        <f t="shared" si="4"/>
        <v>7666.6666666666661</v>
      </c>
      <c r="E70" s="1711"/>
      <c r="F70" s="2883"/>
      <c r="I70" s="2726">
        <v>0.06</v>
      </c>
      <c r="J70" s="2726">
        <v>0.2</v>
      </c>
      <c r="K70" s="1711"/>
    </row>
    <row r="71" spans="1:11">
      <c r="A71" s="3259">
        <v>1200001</v>
      </c>
      <c r="B71" s="3258">
        <v>8500</v>
      </c>
      <c r="C71" s="249">
        <f t="shared" si="3"/>
        <v>7083.3333333333339</v>
      </c>
      <c r="D71" s="249">
        <f t="shared" si="4"/>
        <v>8145.833333333333</v>
      </c>
      <c r="E71" s="1711"/>
      <c r="F71" s="2883"/>
      <c r="I71" s="2726">
        <v>0.26</v>
      </c>
      <c r="J71" s="2726">
        <v>0.35</v>
      </c>
    </row>
    <row r="72" spans="1:11">
      <c r="A72" s="3049">
        <v>1300001</v>
      </c>
      <c r="B72" s="3052">
        <f>IF(J59&lt;A72,0,J59*6.93/1000)</f>
        <v>0</v>
      </c>
      <c r="C72" s="3053">
        <f>B72/1.2</f>
        <v>0</v>
      </c>
      <c r="D72" s="3053">
        <f>C72*1.15</f>
        <v>0</v>
      </c>
      <c r="E72" s="1711"/>
      <c r="F72" s="2883"/>
      <c r="I72" s="2726">
        <v>0.41</v>
      </c>
      <c r="J72" s="2726">
        <v>0.5</v>
      </c>
    </row>
    <row r="73" spans="1:11">
      <c r="I73" s="2655" t="s">
        <v>4400</v>
      </c>
      <c r="J73" s="2655" t="e">
        <f>IF(J60&gt;J74,"Yes","No")</f>
        <v>#N/A</v>
      </c>
    </row>
    <row r="74" spans="1:11">
      <c r="I74" s="343" t="s">
        <v>4427</v>
      </c>
      <c r="J74" s="2966" t="e">
        <f>VLOOKUP('Input '!$G$37,'Conditions (sept 2020)'!B:M,12,FALSE)</f>
        <v>#N/A</v>
      </c>
    </row>
    <row r="81" spans="1:12">
      <c r="A81" s="2913" t="s">
        <v>4329</v>
      </c>
      <c r="B81" s="2957"/>
      <c r="C81" s="2957"/>
      <c r="D81" s="2957"/>
      <c r="E81" s="2913"/>
      <c r="F81" s="2913"/>
      <c r="G81" s="2913"/>
      <c r="H81" s="2913"/>
      <c r="I81" s="2913"/>
      <c r="J81" s="2913"/>
      <c r="K81" s="2913"/>
      <c r="L81" s="2913"/>
    </row>
    <row r="82" spans="1:12" ht="30">
      <c r="A82" s="99" t="s">
        <v>968</v>
      </c>
      <c r="B82" s="99" t="s">
        <v>222</v>
      </c>
      <c r="C82" s="2958"/>
      <c r="D82" s="2959" t="s">
        <v>4323</v>
      </c>
      <c r="E82" s="2959" t="s">
        <v>4184</v>
      </c>
      <c r="F82" s="2959" t="s">
        <v>4324</v>
      </c>
      <c r="G82" s="2959" t="s">
        <v>4325</v>
      </c>
      <c r="H82" s="2960"/>
      <c r="I82" s="2960"/>
      <c r="J82" s="2960"/>
      <c r="K82" s="2960"/>
      <c r="L82" s="2960"/>
    </row>
    <row r="83" spans="1:12">
      <c r="A83" s="2739">
        <v>1000000</v>
      </c>
      <c r="B83" s="102">
        <v>1</v>
      </c>
      <c r="C83" s="2961"/>
      <c r="D83" s="2962">
        <f ca="1">J95</f>
        <v>1145.8333333333335</v>
      </c>
      <c r="E83" s="2962">
        <f ca="1">D83*(1+C83)</f>
        <v>1145.8333333333335</v>
      </c>
      <c r="F83" s="2961"/>
      <c r="G83" s="2962">
        <f ca="1">E83</f>
        <v>1145.8333333333335</v>
      </c>
    </row>
    <row r="84" spans="1:12">
      <c r="A84" s="2739">
        <v>2000000</v>
      </c>
      <c r="B84" s="102">
        <v>1.2</v>
      </c>
      <c r="C84" s="2961"/>
      <c r="D84" s="2962">
        <f ca="1">D$83*B84</f>
        <v>1375.0000000000002</v>
      </c>
      <c r="E84" s="2962">
        <f t="shared" ref="E84:E87" ca="1" si="5">D84*(1+C84)</f>
        <v>1375.0000000000002</v>
      </c>
      <c r="F84" s="2961"/>
      <c r="G84" s="2962">
        <f t="shared" ref="G84:G87" ca="1" si="6">E84</f>
        <v>1375.0000000000002</v>
      </c>
    </row>
    <row r="85" spans="1:12">
      <c r="A85" s="2739">
        <v>3000000</v>
      </c>
      <c r="B85" s="102">
        <v>1.3</v>
      </c>
      <c r="C85" s="2961"/>
      <c r="D85" s="2962">
        <f t="shared" ref="D85:D86" ca="1" si="7">D$83*B85</f>
        <v>1489.5833333333335</v>
      </c>
      <c r="E85" s="2962">
        <f t="shared" ca="1" si="5"/>
        <v>1489.5833333333335</v>
      </c>
      <c r="F85" s="2961"/>
      <c r="G85" s="2962">
        <f t="shared" ca="1" si="6"/>
        <v>1489.5833333333335</v>
      </c>
    </row>
    <row r="86" spans="1:12">
      <c r="A86" s="2739">
        <v>4000000</v>
      </c>
      <c r="B86" s="102">
        <v>1.4</v>
      </c>
      <c r="C86" s="2961"/>
      <c r="D86" s="2962">
        <f t="shared" ca="1" si="7"/>
        <v>1604.1666666666667</v>
      </c>
      <c r="E86" s="2962">
        <f t="shared" ca="1" si="5"/>
        <v>1604.1666666666667</v>
      </c>
      <c r="F86" s="2961"/>
      <c r="G86" s="2962">
        <f t="shared" ca="1" si="6"/>
        <v>1604.1666666666667</v>
      </c>
    </row>
    <row r="87" spans="1:12">
      <c r="A87" s="2739">
        <v>5000000</v>
      </c>
      <c r="B87" s="102">
        <v>1.5</v>
      </c>
      <c r="C87" s="2961"/>
      <c r="D87" s="2962">
        <f ca="1">D$83*B87</f>
        <v>1718.7500000000002</v>
      </c>
      <c r="E87" s="2962">
        <f t="shared" ca="1" si="5"/>
        <v>1718.7500000000002</v>
      </c>
      <c r="F87" s="2961"/>
      <c r="G87" s="2962">
        <f t="shared" ca="1" si="6"/>
        <v>1718.7500000000002</v>
      </c>
    </row>
    <row r="88" spans="1:12">
      <c r="A88" s="2963"/>
      <c r="B88" s="2964"/>
      <c r="C88" s="166"/>
      <c r="D88" s="2926"/>
      <c r="E88" s="2928"/>
      <c r="F88" s="2928"/>
      <c r="G88" s="2928"/>
      <c r="H88" s="2928"/>
      <c r="I88" s="2928"/>
      <c r="J88" s="2928"/>
      <c r="K88" s="2928"/>
      <c r="L88" s="2928"/>
    </row>
    <row r="89" spans="1:12" ht="30">
      <c r="A89" s="100" t="s">
        <v>3530</v>
      </c>
      <c r="B89" s="2735" t="s">
        <v>4173</v>
      </c>
      <c r="C89" s="2735" t="s">
        <v>4176</v>
      </c>
      <c r="D89" s="2735" t="s">
        <v>4177</v>
      </c>
      <c r="E89" s="1711"/>
      <c r="F89" s="1711"/>
      <c r="G89" s="1711"/>
      <c r="H89" s="1711"/>
      <c r="I89" s="1711" t="s">
        <v>4329</v>
      </c>
      <c r="J89" s="581"/>
      <c r="K89" s="1711"/>
      <c r="L89" s="1711"/>
    </row>
    <row r="90" spans="1:12">
      <c r="A90" s="3047">
        <v>0</v>
      </c>
      <c r="B90" s="3258">
        <v>1375</v>
      </c>
      <c r="C90" s="249">
        <f>B90/1.2</f>
        <v>1145.8333333333335</v>
      </c>
      <c r="D90" s="249">
        <f>C90*1.15</f>
        <v>1317.7083333333335</v>
      </c>
      <c r="E90" s="1711"/>
      <c r="F90" s="748"/>
      <c r="I90" s="1711" t="s">
        <v>4181</v>
      </c>
      <c r="J90" s="1711" t="str">
        <f ca="1">IF('Input '!$G$29&lt;3,D$119,$C$119)</f>
        <v>3 ans en affaires</v>
      </c>
      <c r="K90" s="1711"/>
      <c r="L90" s="1711"/>
    </row>
    <row r="91" spans="1:12">
      <c r="A91" s="3047">
        <v>100001</v>
      </c>
      <c r="B91" s="3258">
        <v>1475</v>
      </c>
      <c r="C91" s="249">
        <f t="shared" ref="C91:C103" si="8">B91/1.2</f>
        <v>1229.1666666666667</v>
      </c>
      <c r="D91" s="249">
        <f>C91*1.15</f>
        <v>1413.5416666666667</v>
      </c>
      <c r="E91" s="1711"/>
      <c r="F91" s="748"/>
      <c r="I91" s="2736" t="s">
        <v>3530</v>
      </c>
      <c r="J91" s="2737">
        <f>'Input '!$G$39</f>
        <v>0</v>
      </c>
      <c r="K91" s="1711"/>
      <c r="L91" s="1711"/>
    </row>
    <row r="92" spans="1:12">
      <c r="A92" s="3047">
        <v>200001</v>
      </c>
      <c r="B92" s="3258">
        <v>1575</v>
      </c>
      <c r="C92" s="249">
        <f t="shared" si="8"/>
        <v>1312.5</v>
      </c>
      <c r="D92" s="249">
        <f t="shared" ref="D92:D103" si="9">C92*1.15</f>
        <v>1509.3749999999998</v>
      </c>
      <c r="E92" s="1711"/>
      <c r="F92" s="748"/>
      <c r="I92" s="2736" t="s">
        <v>4183</v>
      </c>
      <c r="J92" s="2737">
        <f>VLOOKUP(J91,A90:A105,1,TRUE)</f>
        <v>0</v>
      </c>
      <c r="K92" s="1711"/>
      <c r="L92" s="1711"/>
    </row>
    <row r="93" spans="1:12">
      <c r="A93" s="3047">
        <v>250001</v>
      </c>
      <c r="B93" s="3258">
        <v>1625</v>
      </c>
      <c r="C93" s="249">
        <f t="shared" si="8"/>
        <v>1354.1666666666667</v>
      </c>
      <c r="D93" s="249">
        <f t="shared" si="9"/>
        <v>1557.2916666666667</v>
      </c>
      <c r="E93" s="1711"/>
      <c r="F93" s="748"/>
      <c r="I93" s="2741" t="s">
        <v>4178</v>
      </c>
      <c r="J93" s="2742" t="e">
        <f>'Input '!$I$24+'Input '!$J$24</f>
        <v>#DIV/0!</v>
      </c>
      <c r="K93" s="1711"/>
      <c r="L93" s="1711"/>
    </row>
    <row r="94" spans="1:12">
      <c r="A94" s="3047">
        <v>300001</v>
      </c>
      <c r="B94" s="3258">
        <v>1675</v>
      </c>
      <c r="C94" s="249">
        <f t="shared" si="8"/>
        <v>1395.8333333333335</v>
      </c>
      <c r="D94" s="249">
        <f t="shared" si="9"/>
        <v>1605.2083333333335</v>
      </c>
      <c r="E94" s="1711"/>
      <c r="F94" s="748"/>
      <c r="I94" s="100" t="s">
        <v>231</v>
      </c>
      <c r="J94" s="2739">
        <f>'CGL coverage'!$I$5</f>
        <v>1000000</v>
      </c>
      <c r="K94" s="100">
        <f>VLOOKUP(J94,A83:B87,2,FALSE)</f>
        <v>1</v>
      </c>
      <c r="L94" s="100" t="s">
        <v>222</v>
      </c>
    </row>
    <row r="95" spans="1:12">
      <c r="A95" s="3047">
        <v>400001</v>
      </c>
      <c r="B95" s="3258">
        <v>1775</v>
      </c>
      <c r="C95" s="249">
        <f t="shared" si="8"/>
        <v>1479.1666666666667</v>
      </c>
      <c r="D95" s="249">
        <f t="shared" si="9"/>
        <v>1701.0416666666665</v>
      </c>
      <c r="E95" s="1711"/>
      <c r="F95" s="748"/>
      <c r="I95" s="1711" t="s">
        <v>4326</v>
      </c>
      <c r="J95" s="1736">
        <f ca="1">INDEX(A89:D104,MATCH(J92,A89:A104,0),MATCH(J90,A89:D89,0))</f>
        <v>1145.8333333333335</v>
      </c>
      <c r="K95" s="2965">
        <f ca="1">J95*K94</f>
        <v>1145.8333333333335</v>
      </c>
      <c r="L95" s="1711"/>
    </row>
    <row r="96" spans="1:12">
      <c r="A96" s="3047">
        <v>500001</v>
      </c>
      <c r="B96" s="3258">
        <v>1875</v>
      </c>
      <c r="C96" s="249">
        <f t="shared" si="8"/>
        <v>1562.5</v>
      </c>
      <c r="D96" s="249">
        <f t="shared" si="9"/>
        <v>1796.8749999999998</v>
      </c>
      <c r="E96" s="1711"/>
      <c r="F96" s="748"/>
      <c r="I96" s="2727" t="s">
        <v>4179</v>
      </c>
      <c r="J96" s="2728" t="e">
        <f>IF(J106="Yes",VLOOKUP(J93,I101:J105,2),0)</f>
        <v>#DIV/0!</v>
      </c>
      <c r="K96" s="1711"/>
      <c r="L96" s="1711"/>
    </row>
    <row r="97" spans="1:12">
      <c r="A97" s="3047">
        <v>600001</v>
      </c>
      <c r="B97" s="3258">
        <v>2011</v>
      </c>
      <c r="C97" s="249">
        <f t="shared" si="8"/>
        <v>1675.8333333333335</v>
      </c>
      <c r="D97" s="249">
        <f t="shared" si="9"/>
        <v>1927.2083333333333</v>
      </c>
      <c r="E97" s="1711"/>
      <c r="F97" s="748"/>
      <c r="I97" s="343" t="s">
        <v>4327</v>
      </c>
      <c r="J97" s="2965" t="e">
        <f ca="1">K95*(1+J96)</f>
        <v>#DIV/0!</v>
      </c>
      <c r="K97" s="1711"/>
    </row>
    <row r="98" spans="1:12">
      <c r="A98" s="3047">
        <v>700001</v>
      </c>
      <c r="B98" s="3258">
        <v>2147</v>
      </c>
      <c r="C98" s="249">
        <f t="shared" si="8"/>
        <v>1789.1666666666667</v>
      </c>
      <c r="D98" s="249">
        <f t="shared" si="9"/>
        <v>2057.5416666666665</v>
      </c>
      <c r="E98" s="1711"/>
      <c r="F98" s="748"/>
      <c r="I98" s="343" t="s">
        <v>4328</v>
      </c>
      <c r="J98" s="2966"/>
      <c r="K98" s="1711"/>
    </row>
    <row r="99" spans="1:12">
      <c r="A99" s="3047">
        <v>800001</v>
      </c>
      <c r="B99" s="3258">
        <v>2283</v>
      </c>
      <c r="C99" s="249">
        <f t="shared" si="8"/>
        <v>1902.5</v>
      </c>
      <c r="D99" s="249">
        <f t="shared" si="9"/>
        <v>2187.875</v>
      </c>
      <c r="E99" s="1711"/>
      <c r="F99" s="748"/>
      <c r="J99" s="2965"/>
      <c r="K99" s="1711"/>
    </row>
    <row r="100" spans="1:12">
      <c r="A100" s="3047">
        <v>900001</v>
      </c>
      <c r="B100" s="3258">
        <v>2419</v>
      </c>
      <c r="C100" s="249">
        <f t="shared" si="8"/>
        <v>2015.8333333333335</v>
      </c>
      <c r="D100" s="249">
        <f t="shared" si="9"/>
        <v>2318.2083333333335</v>
      </c>
      <c r="E100" s="1711"/>
      <c r="F100" s="748"/>
      <c r="I100" s="893" t="s">
        <v>4325</v>
      </c>
      <c r="J100" s="2965" t="e">
        <f ca="1">J97</f>
        <v>#DIV/0!</v>
      </c>
      <c r="K100" s="1711"/>
    </row>
    <row r="101" spans="1:12">
      <c r="A101" s="3047">
        <v>1000001</v>
      </c>
      <c r="B101" s="3258">
        <v>2589</v>
      </c>
      <c r="C101" s="249">
        <f t="shared" si="8"/>
        <v>2157.5</v>
      </c>
      <c r="D101" s="249">
        <f t="shared" si="9"/>
        <v>2481.125</v>
      </c>
      <c r="E101" s="1711"/>
      <c r="F101" s="748"/>
      <c r="I101" s="2725" t="s">
        <v>4175</v>
      </c>
      <c r="J101" s="2725"/>
      <c r="K101" s="748"/>
      <c r="L101" s="2966"/>
    </row>
    <row r="102" spans="1:12">
      <c r="A102" s="3047">
        <v>1100001</v>
      </c>
      <c r="B102" s="3258">
        <v>2759</v>
      </c>
      <c r="C102" s="249">
        <f t="shared" si="8"/>
        <v>2299.166666666667</v>
      </c>
      <c r="D102" s="249">
        <f t="shared" si="9"/>
        <v>2644.041666666667</v>
      </c>
      <c r="E102" s="1711"/>
      <c r="F102" s="748"/>
      <c r="I102" s="2726">
        <v>0</v>
      </c>
      <c r="J102" s="2726">
        <v>0</v>
      </c>
      <c r="K102" s="748"/>
      <c r="L102" s="2966"/>
    </row>
    <row r="103" spans="1:12">
      <c r="A103" s="3047">
        <v>1200001</v>
      </c>
      <c r="B103" s="3258">
        <v>2929</v>
      </c>
      <c r="C103" s="249">
        <f t="shared" si="8"/>
        <v>2440.8333333333335</v>
      </c>
      <c r="D103" s="249">
        <f t="shared" si="9"/>
        <v>2806.9583333333335</v>
      </c>
      <c r="E103" s="1711"/>
      <c r="F103" s="748"/>
      <c r="I103" s="2726">
        <v>0.1</v>
      </c>
      <c r="J103" s="2726">
        <v>0.2</v>
      </c>
      <c r="K103" s="748"/>
      <c r="L103" s="2966"/>
    </row>
    <row r="104" spans="1:12">
      <c r="A104" s="3049">
        <v>1300001</v>
      </c>
      <c r="B104" s="3258">
        <f>IF(J91&lt;A104,0,J91*2.5/1000)</f>
        <v>0</v>
      </c>
      <c r="C104" s="3053">
        <f>B104/1.2</f>
        <v>0</v>
      </c>
      <c r="D104" s="3053">
        <f>C104*1.15</f>
        <v>0</v>
      </c>
      <c r="E104" s="1711"/>
      <c r="F104" s="748"/>
      <c r="I104" s="2726">
        <v>0.26</v>
      </c>
      <c r="J104" s="2726">
        <v>0.35</v>
      </c>
      <c r="K104" s="2966"/>
      <c r="L104" s="2966"/>
    </row>
    <row r="105" spans="1:12">
      <c r="A105" s="249"/>
      <c r="B105" s="53"/>
      <c r="C105" s="249"/>
      <c r="D105" s="249"/>
      <c r="E105" s="1711"/>
      <c r="F105" s="748"/>
      <c r="I105" s="2726">
        <v>0.41</v>
      </c>
      <c r="J105" s="2726">
        <v>0.5</v>
      </c>
    </row>
    <row r="106" spans="1:12">
      <c r="I106" s="2655" t="s">
        <v>4400</v>
      </c>
      <c r="J106" s="2655" t="s">
        <v>3805</v>
      </c>
    </row>
    <row r="107" spans="1:12">
      <c r="I107" s="343" t="s">
        <v>4427</v>
      </c>
      <c r="J107" s="2966" t="e">
        <f>VLOOKUP('Input '!$G$37,'Conditions (sept 2020)'!B:M,12,FALSE)</f>
        <v>#N/A</v>
      </c>
    </row>
    <row r="111" spans="1:12">
      <c r="A111" s="2913" t="s">
        <v>4330</v>
      </c>
      <c r="B111" s="2957"/>
      <c r="C111" s="2957"/>
      <c r="D111" s="2957"/>
      <c r="E111" s="2913"/>
      <c r="F111" s="2913"/>
      <c r="G111" s="2913"/>
      <c r="H111" s="2913"/>
      <c r="I111" s="2913"/>
      <c r="J111" s="2913"/>
      <c r="K111" s="2913"/>
      <c r="L111" s="2913"/>
    </row>
    <row r="112" spans="1:12" ht="30">
      <c r="A112" s="99" t="s">
        <v>968</v>
      </c>
      <c r="B112" s="99" t="s">
        <v>222</v>
      </c>
      <c r="C112" s="2958"/>
      <c r="D112" s="2959" t="s">
        <v>4323</v>
      </c>
      <c r="E112" s="2959" t="s">
        <v>4184</v>
      </c>
      <c r="F112" s="2959" t="s">
        <v>4324</v>
      </c>
      <c r="G112" s="2959" t="s">
        <v>4325</v>
      </c>
      <c r="H112" s="2960"/>
      <c r="I112" s="2960"/>
      <c r="J112" s="2960"/>
      <c r="K112" s="2960"/>
      <c r="L112" s="2960"/>
    </row>
    <row r="113" spans="1:12">
      <c r="A113" s="2739">
        <v>1000000</v>
      </c>
      <c r="B113" s="102">
        <v>1</v>
      </c>
      <c r="C113" s="2961"/>
      <c r="D113" s="2962">
        <f ca="1">J125</f>
        <v>756.25000000000023</v>
      </c>
      <c r="E113" s="2962">
        <f ca="1">D113*(1+C113)</f>
        <v>756.25000000000023</v>
      </c>
      <c r="F113" s="2961"/>
      <c r="G113" s="2962">
        <f ca="1">E113</f>
        <v>756.25000000000023</v>
      </c>
    </row>
    <row r="114" spans="1:12">
      <c r="A114" s="2739">
        <v>2000000</v>
      </c>
      <c r="B114" s="102">
        <v>1.2</v>
      </c>
      <c r="C114" s="2961"/>
      <c r="D114" s="2962">
        <f ca="1">D$113*B114</f>
        <v>907.50000000000023</v>
      </c>
      <c r="E114" s="2962">
        <f t="shared" ref="E114:E117" ca="1" si="10">D114*(1+C114)</f>
        <v>907.50000000000023</v>
      </c>
      <c r="F114" s="2961"/>
      <c r="G114" s="2962">
        <f t="shared" ref="G114:G117" ca="1" si="11">E114</f>
        <v>907.50000000000023</v>
      </c>
    </row>
    <row r="115" spans="1:12">
      <c r="A115" s="2739">
        <v>3000000</v>
      </c>
      <c r="B115" s="102">
        <v>1.3</v>
      </c>
      <c r="C115" s="2961"/>
      <c r="D115" s="2962">
        <f t="shared" ref="D115:D116" ca="1" si="12">D$113*B115</f>
        <v>983.12500000000034</v>
      </c>
      <c r="E115" s="2962">
        <f t="shared" ca="1" si="10"/>
        <v>983.12500000000034</v>
      </c>
      <c r="F115" s="2961"/>
      <c r="G115" s="2962">
        <f t="shared" ca="1" si="11"/>
        <v>983.12500000000034</v>
      </c>
    </row>
    <row r="116" spans="1:12">
      <c r="A116" s="2739">
        <v>4000000</v>
      </c>
      <c r="B116" s="102">
        <v>1.4</v>
      </c>
      <c r="C116" s="2961"/>
      <c r="D116" s="2962">
        <f t="shared" ca="1" si="12"/>
        <v>1058.7500000000002</v>
      </c>
      <c r="E116" s="2962">
        <f t="shared" ca="1" si="10"/>
        <v>1058.7500000000002</v>
      </c>
      <c r="F116" s="2961"/>
      <c r="G116" s="2962">
        <f t="shared" ca="1" si="11"/>
        <v>1058.7500000000002</v>
      </c>
    </row>
    <row r="117" spans="1:12">
      <c r="A117" s="2739">
        <v>5000000</v>
      </c>
      <c r="B117" s="102">
        <v>1.5</v>
      </c>
      <c r="C117" s="2961"/>
      <c r="D117" s="2962">
        <f ca="1">D$113*B117</f>
        <v>1134.3750000000005</v>
      </c>
      <c r="E117" s="2962">
        <f t="shared" ca="1" si="10"/>
        <v>1134.3750000000005</v>
      </c>
      <c r="F117" s="2961"/>
      <c r="G117" s="2962">
        <f t="shared" ca="1" si="11"/>
        <v>1134.3750000000005</v>
      </c>
    </row>
    <row r="118" spans="1:12">
      <c r="A118" s="2963"/>
      <c r="B118" s="2964"/>
      <c r="C118" s="166"/>
      <c r="D118" s="2926"/>
      <c r="E118" s="2928"/>
      <c r="F118" s="2928"/>
      <c r="G118" s="2928"/>
      <c r="H118" s="2928"/>
      <c r="I118" s="2928"/>
      <c r="J118" s="2928"/>
      <c r="K118" s="2928"/>
      <c r="L118" s="2928"/>
    </row>
    <row r="119" spans="1:12" ht="30">
      <c r="A119" s="100" t="s">
        <v>3530</v>
      </c>
      <c r="B119" s="2735" t="s">
        <v>4173</v>
      </c>
      <c r="C119" s="2735" t="s">
        <v>4176</v>
      </c>
      <c r="D119" s="2735" t="s">
        <v>4177</v>
      </c>
      <c r="E119" s="1711"/>
      <c r="F119" s="1711"/>
      <c r="G119" s="1711"/>
      <c r="H119" s="1711"/>
      <c r="I119" s="1711" t="s">
        <v>4331</v>
      </c>
      <c r="J119" s="581"/>
      <c r="K119" s="1711"/>
      <c r="L119" s="1711"/>
    </row>
    <row r="120" spans="1:12">
      <c r="A120" s="3047">
        <v>0</v>
      </c>
      <c r="B120" s="3258">
        <v>907.50000000000023</v>
      </c>
      <c r="C120" s="3050">
        <f>B120/1.2</f>
        <v>756.25000000000023</v>
      </c>
      <c r="D120" s="3051">
        <f>C120*1.15</f>
        <v>869.68750000000023</v>
      </c>
      <c r="E120" s="1711"/>
      <c r="F120" s="748"/>
      <c r="I120" s="1711" t="s">
        <v>4181</v>
      </c>
      <c r="J120" s="1711" t="str">
        <f ca="1">IF('Input '!$G$29&lt;3,D$119,$C$119)</f>
        <v>3 ans en affaires</v>
      </c>
      <c r="K120" s="1711"/>
      <c r="L120" s="1711"/>
    </row>
    <row r="121" spans="1:12">
      <c r="A121" s="3047">
        <v>100001</v>
      </c>
      <c r="B121" s="3258">
        <v>968.00000000000023</v>
      </c>
      <c r="C121" s="3050">
        <f t="shared" ref="C121:C134" si="13">B121/1.2</f>
        <v>806.66666666666686</v>
      </c>
      <c r="D121" s="3051">
        <f t="shared" ref="D121:D134" si="14">C121*1.15</f>
        <v>927.66666666666686</v>
      </c>
      <c r="E121" s="1711"/>
      <c r="F121" s="748"/>
      <c r="I121" s="2736" t="s">
        <v>3530</v>
      </c>
      <c r="J121" s="2737">
        <f>'Input '!$G$39</f>
        <v>0</v>
      </c>
      <c r="K121" s="1711"/>
      <c r="L121" s="1711"/>
    </row>
    <row r="122" spans="1:12">
      <c r="A122" s="3047">
        <v>200001</v>
      </c>
      <c r="B122" s="3258">
        <v>1028.5000000000002</v>
      </c>
      <c r="C122" s="3050">
        <f t="shared" si="13"/>
        <v>857.0833333333336</v>
      </c>
      <c r="D122" s="3051">
        <f t="shared" si="14"/>
        <v>985.6458333333336</v>
      </c>
      <c r="E122" s="1711"/>
      <c r="F122" s="748"/>
      <c r="I122" s="2736" t="s">
        <v>4183</v>
      </c>
      <c r="J122" s="2737">
        <f>VLOOKUP(J121,A120:A135,1,TRUE)</f>
        <v>0</v>
      </c>
      <c r="K122" s="1711"/>
      <c r="L122" s="1711"/>
    </row>
    <row r="123" spans="1:12">
      <c r="A123" s="3047">
        <v>250001</v>
      </c>
      <c r="B123" s="3258">
        <v>1089.0000000000002</v>
      </c>
      <c r="C123" s="3050">
        <f t="shared" si="13"/>
        <v>907.50000000000023</v>
      </c>
      <c r="D123" s="3051">
        <f t="shared" si="14"/>
        <v>1043.6250000000002</v>
      </c>
      <c r="E123" s="1711"/>
      <c r="F123" s="748"/>
      <c r="I123" s="2741" t="s">
        <v>4178</v>
      </c>
      <c r="J123" s="2742" t="e">
        <f>'Input '!$I$24+'Input '!$J$24</f>
        <v>#DIV/0!</v>
      </c>
      <c r="K123" s="1711"/>
      <c r="L123" s="1711"/>
    </row>
    <row r="124" spans="1:12">
      <c r="A124" s="3047">
        <v>300001</v>
      </c>
      <c r="B124" s="3258">
        <v>1149.5</v>
      </c>
      <c r="C124" s="3050">
        <f t="shared" si="13"/>
        <v>957.91666666666674</v>
      </c>
      <c r="D124" s="3051">
        <f t="shared" si="14"/>
        <v>1101.6041666666667</v>
      </c>
      <c r="E124" s="1711"/>
      <c r="F124" s="748"/>
      <c r="I124" s="100" t="s">
        <v>231</v>
      </c>
      <c r="J124" s="2739">
        <f>'CGL coverage'!$I$5</f>
        <v>1000000</v>
      </c>
      <c r="K124" s="100">
        <f>VLOOKUP(J124,A113:B117,2,FALSE)</f>
        <v>1</v>
      </c>
      <c r="L124" s="100" t="s">
        <v>222</v>
      </c>
    </row>
    <row r="125" spans="1:12">
      <c r="A125" s="3047">
        <v>400001</v>
      </c>
      <c r="B125" s="3258">
        <v>1240.25</v>
      </c>
      <c r="C125" s="3050">
        <f t="shared" si="13"/>
        <v>1033.5416666666667</v>
      </c>
      <c r="D125" s="3051">
        <f t="shared" si="14"/>
        <v>1188.5729166666667</v>
      </c>
      <c r="E125" s="1711"/>
      <c r="F125" s="748"/>
      <c r="I125" s="1711" t="s">
        <v>4326</v>
      </c>
      <c r="J125" s="1736">
        <f ca="1">INDEX(A119:D134,MATCH(J122,A119:A134,0),MATCH(J120,A119:D119,0))</f>
        <v>756.25000000000023</v>
      </c>
      <c r="K125" s="2965">
        <f ca="1">J125*K124</f>
        <v>756.25000000000023</v>
      </c>
      <c r="L125" s="1711"/>
    </row>
    <row r="126" spans="1:12">
      <c r="A126" s="3047">
        <v>500001</v>
      </c>
      <c r="B126" s="3258">
        <v>1361.25</v>
      </c>
      <c r="C126" s="3050">
        <f t="shared" si="13"/>
        <v>1134.375</v>
      </c>
      <c r="D126" s="3051">
        <f t="shared" si="14"/>
        <v>1304.53125</v>
      </c>
      <c r="E126" s="1711"/>
      <c r="F126" s="748"/>
      <c r="I126" s="2727" t="s">
        <v>4179</v>
      </c>
      <c r="J126" s="2728" t="e">
        <f>IF(J136="Yes",VLOOKUP(J123,I131:J135,2),0)</f>
        <v>#DIV/0!</v>
      </c>
      <c r="K126" s="1711"/>
      <c r="L126" s="1711"/>
    </row>
    <row r="127" spans="1:12">
      <c r="A127" s="3047">
        <v>600001</v>
      </c>
      <c r="B127" s="3258">
        <v>1482.2500000000002</v>
      </c>
      <c r="C127" s="3050">
        <f t="shared" si="13"/>
        <v>1235.2083333333335</v>
      </c>
      <c r="D127" s="3051">
        <f t="shared" si="14"/>
        <v>1420.4895833333335</v>
      </c>
      <c r="E127" s="1711"/>
      <c r="F127" s="748"/>
      <c r="I127" s="343" t="s">
        <v>4327</v>
      </c>
      <c r="J127" s="2965" t="e">
        <f ca="1">K125*(1+J126)</f>
        <v>#DIV/0!</v>
      </c>
      <c r="K127" s="1711"/>
    </row>
    <row r="128" spans="1:12">
      <c r="A128" s="3047">
        <v>700001</v>
      </c>
      <c r="B128" s="3258">
        <v>1603.2500000000005</v>
      </c>
      <c r="C128" s="3050">
        <f t="shared" si="13"/>
        <v>1336.0416666666672</v>
      </c>
      <c r="D128" s="3051">
        <f t="shared" si="14"/>
        <v>1536.4479166666672</v>
      </c>
      <c r="E128" s="1711"/>
      <c r="F128" s="748"/>
      <c r="J128" s="2966"/>
      <c r="K128" s="1711"/>
    </row>
    <row r="129" spans="1:12">
      <c r="A129" s="3047">
        <v>800001</v>
      </c>
      <c r="B129" s="3258">
        <v>1724.2500000000005</v>
      </c>
      <c r="C129" s="3050">
        <f t="shared" si="13"/>
        <v>1436.8750000000005</v>
      </c>
      <c r="D129" s="3051">
        <f t="shared" si="14"/>
        <v>1652.4062500000005</v>
      </c>
      <c r="E129" s="1711"/>
      <c r="F129" s="748"/>
      <c r="I129" s="343" t="s">
        <v>4328</v>
      </c>
      <c r="J129" s="2965"/>
      <c r="K129" s="1711"/>
    </row>
    <row r="130" spans="1:12">
      <c r="A130" s="3047">
        <v>900001</v>
      </c>
      <c r="B130" s="3258">
        <v>1845.2500000000005</v>
      </c>
      <c r="C130" s="3050">
        <f t="shared" si="13"/>
        <v>1537.7083333333337</v>
      </c>
      <c r="D130" s="3051">
        <f t="shared" si="14"/>
        <v>1768.3645833333337</v>
      </c>
      <c r="E130" s="1711"/>
      <c r="F130" s="748"/>
      <c r="I130" s="893" t="s">
        <v>4325</v>
      </c>
      <c r="J130" s="2965" t="e">
        <f ca="1">J127</f>
        <v>#DIV/0!</v>
      </c>
      <c r="K130" s="1711"/>
    </row>
    <row r="131" spans="1:12">
      <c r="A131" s="3047">
        <v>1000001</v>
      </c>
      <c r="B131" s="3258">
        <v>1966.2500000000005</v>
      </c>
      <c r="C131" s="3050">
        <f t="shared" si="13"/>
        <v>1638.5416666666672</v>
      </c>
      <c r="D131" s="3051">
        <f t="shared" si="14"/>
        <v>1884.3229166666672</v>
      </c>
      <c r="E131" s="1711"/>
      <c r="F131" s="748"/>
      <c r="I131" s="2725" t="s">
        <v>4175</v>
      </c>
      <c r="J131" s="2725"/>
      <c r="K131" s="748"/>
      <c r="L131" s="2966"/>
    </row>
    <row r="132" spans="1:12">
      <c r="A132" s="3047">
        <v>1100001</v>
      </c>
      <c r="B132" s="3258">
        <v>2087.2500000000005</v>
      </c>
      <c r="C132" s="3050">
        <f t="shared" si="13"/>
        <v>1739.3750000000005</v>
      </c>
      <c r="D132" s="3051">
        <f t="shared" si="14"/>
        <v>2000.2812500000005</v>
      </c>
      <c r="E132" s="1711"/>
      <c r="F132" s="748"/>
      <c r="I132" s="2726">
        <v>0</v>
      </c>
      <c r="J132" s="2726">
        <v>0</v>
      </c>
      <c r="K132" s="748"/>
      <c r="L132" s="2966"/>
    </row>
    <row r="133" spans="1:12">
      <c r="A133" s="3047">
        <v>1200001</v>
      </c>
      <c r="B133" s="3258">
        <v>2208.2500000000005</v>
      </c>
      <c r="C133" s="3050">
        <f t="shared" si="13"/>
        <v>1840.2083333333337</v>
      </c>
      <c r="D133" s="3051">
        <f t="shared" si="14"/>
        <v>2116.2395833333335</v>
      </c>
      <c r="E133" s="1711"/>
      <c r="F133" s="748"/>
      <c r="I133" s="2726">
        <v>0.1</v>
      </c>
      <c r="J133" s="2726">
        <v>0.2</v>
      </c>
      <c r="K133" s="748"/>
      <c r="L133" s="2966"/>
    </row>
    <row r="134" spans="1:12">
      <c r="A134" s="3049">
        <v>1300001</v>
      </c>
      <c r="B134" s="3258">
        <f>IF(J121&lt;A$100,0,J121*2/1000)</f>
        <v>0</v>
      </c>
      <c r="C134" s="3050">
        <f t="shared" si="13"/>
        <v>0</v>
      </c>
      <c r="D134" s="3051">
        <f t="shared" si="14"/>
        <v>0</v>
      </c>
      <c r="E134" s="1711"/>
      <c r="F134" s="748"/>
      <c r="I134" s="2726">
        <v>0.26</v>
      </c>
      <c r="J134" s="2726">
        <v>0.35</v>
      </c>
      <c r="K134" s="2966"/>
      <c r="L134" s="2966"/>
    </row>
    <row r="135" spans="1:12">
      <c r="A135" s="249"/>
      <c r="B135" s="2967"/>
      <c r="C135" s="249"/>
      <c r="D135" s="249"/>
      <c r="E135" s="1711"/>
      <c r="F135" s="748"/>
      <c r="I135" s="2726">
        <v>0.41</v>
      </c>
      <c r="J135" s="2726">
        <v>0.5</v>
      </c>
    </row>
    <row r="136" spans="1:12">
      <c r="I136" s="2655" t="s">
        <v>4400</v>
      </c>
      <c r="J136" s="2655" t="str">
        <f>IF(OR('Input '!$G$37=735,'Input '!G37=736),"No","Yes")</f>
        <v>Yes</v>
      </c>
    </row>
    <row r="137" spans="1:12">
      <c r="I137" s="343" t="s">
        <v>4427</v>
      </c>
      <c r="J137" s="2966" t="e">
        <f>VLOOKUP('Input '!$G$37,'Conditions (sept 2020)'!B:M,12,FALSE)</f>
        <v>#N/A</v>
      </c>
    </row>
    <row r="141" spans="1:12" ht="18">
      <c r="A141" s="2861" t="s">
        <v>4387</v>
      </c>
      <c r="B141" s="2957"/>
      <c r="C141" s="2957"/>
      <c r="D141" s="2957"/>
      <c r="E141" s="2913"/>
      <c r="F141" s="2913"/>
      <c r="G141" s="2913"/>
      <c r="H141" s="2913"/>
      <c r="I141" s="2913"/>
      <c r="J141" s="2913"/>
      <c r="K141" s="2913"/>
      <c r="L141" s="2913"/>
    </row>
    <row r="142" spans="1:12" ht="30">
      <c r="A142" s="99" t="s">
        <v>968</v>
      </c>
      <c r="B142" s="99" t="s">
        <v>222</v>
      </c>
      <c r="C142" s="2958"/>
      <c r="D142" s="2959" t="s">
        <v>4323</v>
      </c>
      <c r="E142" s="2959" t="s">
        <v>4184</v>
      </c>
      <c r="F142" s="2959" t="s">
        <v>4324</v>
      </c>
      <c r="G142" s="2959" t="s">
        <v>4325</v>
      </c>
      <c r="H142" s="2960"/>
      <c r="I142" s="2960"/>
      <c r="J142" s="2960"/>
      <c r="K142" s="2960"/>
      <c r="L142" s="2960"/>
    </row>
    <row r="143" spans="1:12">
      <c r="A143" s="2739">
        <v>1000000</v>
      </c>
      <c r="B143" s="102">
        <v>1</v>
      </c>
      <c r="C143" s="2961"/>
      <c r="D143" s="2962">
        <f ca="1">J155</f>
        <v>1260.416666666667</v>
      </c>
      <c r="E143" s="2962">
        <f ca="1">D143*(1+C143)</f>
        <v>1260.416666666667</v>
      </c>
      <c r="F143" s="2961"/>
      <c r="G143" s="2962">
        <f ca="1">E143</f>
        <v>1260.416666666667</v>
      </c>
      <c r="I143" s="3164"/>
    </row>
    <row r="144" spans="1:12">
      <c r="A144" s="2739">
        <v>2000000</v>
      </c>
      <c r="B144" s="102">
        <v>1.2</v>
      </c>
      <c r="C144" s="2961"/>
      <c r="D144" s="2962">
        <f ca="1">$D$143*B144</f>
        <v>1512.5000000000002</v>
      </c>
      <c r="E144" s="2962">
        <f ca="1">D144*(1+C144)</f>
        <v>1512.5000000000002</v>
      </c>
      <c r="F144" s="2961"/>
      <c r="G144" s="2962">
        <f t="shared" ref="G144:G147" ca="1" si="15">E144</f>
        <v>1512.5000000000002</v>
      </c>
      <c r="I144" s="3164"/>
    </row>
    <row r="145" spans="1:12">
      <c r="A145" s="2739">
        <v>3000000</v>
      </c>
      <c r="B145" s="102">
        <v>1.3</v>
      </c>
      <c r="C145" s="2961"/>
      <c r="D145" s="2962">
        <f t="shared" ref="D145:D147" ca="1" si="16">$D$143*B145</f>
        <v>1638.5416666666672</v>
      </c>
      <c r="E145" s="2962">
        <f ca="1">D145*(1+C145)</f>
        <v>1638.5416666666672</v>
      </c>
      <c r="F145" s="2961"/>
      <c r="G145" s="2962">
        <f t="shared" ca="1" si="15"/>
        <v>1638.5416666666672</v>
      </c>
      <c r="I145" s="3164"/>
    </row>
    <row r="146" spans="1:12">
      <c r="A146" s="2739">
        <v>4000000</v>
      </c>
      <c r="B146" s="102">
        <v>1.4</v>
      </c>
      <c r="C146" s="2961"/>
      <c r="D146" s="2962">
        <f t="shared" ca="1" si="16"/>
        <v>1764.5833333333337</v>
      </c>
      <c r="E146" s="2962">
        <f ca="1">D146*(1+C146)</f>
        <v>1764.5833333333337</v>
      </c>
      <c r="F146" s="2961"/>
      <c r="G146" s="2962">
        <f t="shared" ca="1" si="15"/>
        <v>1764.5833333333337</v>
      </c>
      <c r="I146" s="3164"/>
    </row>
    <row r="147" spans="1:12">
      <c r="A147" s="2739">
        <v>5000000</v>
      </c>
      <c r="B147" s="102">
        <v>1.5</v>
      </c>
      <c r="C147" s="2961"/>
      <c r="D147" s="2962">
        <f t="shared" ca="1" si="16"/>
        <v>1890.6250000000005</v>
      </c>
      <c r="E147" s="2962">
        <f ca="1">D147*(1+C147)</f>
        <v>1890.6250000000005</v>
      </c>
      <c r="F147" s="2961"/>
      <c r="G147" s="2962">
        <f t="shared" ca="1" si="15"/>
        <v>1890.6250000000005</v>
      </c>
      <c r="I147" s="3164"/>
    </row>
    <row r="148" spans="1:12">
      <c r="A148" s="2963"/>
      <c r="B148" s="2964"/>
      <c r="C148" s="166"/>
      <c r="D148" s="2926"/>
      <c r="E148" s="2928"/>
      <c r="F148" s="2928"/>
      <c r="G148" s="2928"/>
      <c r="H148" s="2928"/>
      <c r="I148" s="2928"/>
      <c r="J148" s="2928"/>
      <c r="K148" s="2928"/>
      <c r="L148" s="2928"/>
    </row>
    <row r="149" spans="1:12" ht="36">
      <c r="A149" s="100" t="s">
        <v>3530</v>
      </c>
      <c r="B149" s="2735" t="s">
        <v>4173</v>
      </c>
      <c r="C149" s="2735" t="s">
        <v>4176</v>
      </c>
      <c r="D149" s="2735" t="s">
        <v>4177</v>
      </c>
      <c r="E149" s="1711"/>
      <c r="F149" s="1711"/>
      <c r="G149" s="1711"/>
      <c r="H149" s="1711"/>
      <c r="I149" s="2861" t="s">
        <v>4387</v>
      </c>
      <c r="J149" s="581"/>
      <c r="K149" s="1711"/>
      <c r="L149" s="1711"/>
    </row>
    <row r="150" spans="1:12">
      <c r="A150" s="3047">
        <v>0</v>
      </c>
      <c r="B150" s="3258">
        <v>1512.5000000000002</v>
      </c>
      <c r="C150" s="3048">
        <f t="shared" ref="C150:D150" si="17">C90*1.1</f>
        <v>1260.416666666667</v>
      </c>
      <c r="D150" s="3048">
        <f t="shared" si="17"/>
        <v>1449.479166666667</v>
      </c>
      <c r="E150" s="1711"/>
      <c r="F150" s="748"/>
      <c r="I150" s="1711" t="s">
        <v>4181</v>
      </c>
      <c r="J150" s="1711" t="str">
        <f ca="1">IF('Input '!$G$29&lt;3,D$119,$C$119)</f>
        <v>3 ans en affaires</v>
      </c>
      <c r="K150" s="1711"/>
      <c r="L150" s="1711"/>
    </row>
    <row r="151" spans="1:12">
      <c r="A151" s="3047">
        <v>100001</v>
      </c>
      <c r="B151" s="3258">
        <v>1622.5000000000002</v>
      </c>
      <c r="C151" s="3048">
        <f t="shared" ref="B151:D164" si="18">C91*1.1</f>
        <v>1352.0833333333335</v>
      </c>
      <c r="D151" s="3048">
        <f t="shared" si="18"/>
        <v>1554.8958333333335</v>
      </c>
      <c r="E151" s="1711"/>
      <c r="F151" s="748"/>
      <c r="I151" s="2736" t="s">
        <v>3530</v>
      </c>
      <c r="J151" s="2737">
        <f>'Input '!$G$39</f>
        <v>0</v>
      </c>
      <c r="K151" s="1711"/>
      <c r="L151" s="1711"/>
    </row>
    <row r="152" spans="1:12">
      <c r="A152" s="3047">
        <v>200001</v>
      </c>
      <c r="B152" s="3258">
        <v>1732.5000000000002</v>
      </c>
      <c r="C152" s="3048">
        <f t="shared" si="18"/>
        <v>1443.7500000000002</v>
      </c>
      <c r="D152" s="3048">
        <f t="shared" si="18"/>
        <v>1660.3124999999998</v>
      </c>
      <c r="E152" s="1711"/>
      <c r="F152" s="748"/>
      <c r="I152" s="2736" t="s">
        <v>4183</v>
      </c>
      <c r="J152" s="2737">
        <f>VLOOKUP(J151,A150:A165,1,TRUE)</f>
        <v>0</v>
      </c>
      <c r="K152" s="1711"/>
      <c r="L152" s="1711"/>
    </row>
    <row r="153" spans="1:12">
      <c r="A153" s="3047">
        <v>250001</v>
      </c>
      <c r="B153" s="3258">
        <v>1787.5000000000002</v>
      </c>
      <c r="C153" s="3048">
        <f t="shared" si="18"/>
        <v>1489.5833333333335</v>
      </c>
      <c r="D153" s="3048">
        <f t="shared" si="18"/>
        <v>1713.0208333333335</v>
      </c>
      <c r="E153" s="1711"/>
      <c r="F153" s="748"/>
      <c r="I153" s="2741" t="s">
        <v>4178</v>
      </c>
      <c r="J153" s="2742" t="e">
        <f>'Input '!$I$24+'Input '!$J$24</f>
        <v>#DIV/0!</v>
      </c>
      <c r="K153" s="1711"/>
      <c r="L153" s="1711"/>
    </row>
    <row r="154" spans="1:12">
      <c r="A154" s="3047">
        <v>300001</v>
      </c>
      <c r="B154" s="3258">
        <v>1842.5000000000002</v>
      </c>
      <c r="C154" s="3048">
        <f t="shared" si="18"/>
        <v>1535.416666666667</v>
      </c>
      <c r="D154" s="3048">
        <f t="shared" si="18"/>
        <v>1765.729166666667</v>
      </c>
      <c r="E154" s="1711"/>
      <c r="F154" s="748"/>
      <c r="I154" s="100" t="s">
        <v>231</v>
      </c>
      <c r="J154" s="2739">
        <f>'CGL coverage'!$I$5</f>
        <v>1000000</v>
      </c>
      <c r="K154" s="100">
        <f>VLOOKUP(J154,A143:B147,2,FALSE)</f>
        <v>1</v>
      </c>
      <c r="L154" s="100" t="s">
        <v>222</v>
      </c>
    </row>
    <row r="155" spans="1:12">
      <c r="A155" s="3047">
        <v>400001</v>
      </c>
      <c r="B155" s="3258">
        <v>1952.5000000000002</v>
      </c>
      <c r="C155" s="3048">
        <f t="shared" si="18"/>
        <v>1627.0833333333335</v>
      </c>
      <c r="D155" s="3048">
        <f t="shared" si="18"/>
        <v>1871.1458333333333</v>
      </c>
      <c r="E155" s="1711"/>
      <c r="F155" s="748"/>
      <c r="I155" s="1711" t="s">
        <v>4326</v>
      </c>
      <c r="J155" s="1736">
        <f ca="1">INDEX(A149:D164,MATCH(J152,A149:A164,0),MATCH(J150,A149:D149,0))</f>
        <v>1260.416666666667</v>
      </c>
      <c r="K155" s="2965">
        <f ca="1">J155*K154</f>
        <v>1260.416666666667</v>
      </c>
      <c r="L155" s="1711"/>
    </row>
    <row r="156" spans="1:12">
      <c r="A156" s="3047">
        <v>500001</v>
      </c>
      <c r="B156" s="3258">
        <v>2062.5</v>
      </c>
      <c r="C156" s="3048">
        <f t="shared" si="18"/>
        <v>1718.7500000000002</v>
      </c>
      <c r="D156" s="3048">
        <f t="shared" si="18"/>
        <v>1976.5625</v>
      </c>
      <c r="E156" s="1711"/>
      <c r="F156" s="748"/>
      <c r="I156" s="2727" t="s">
        <v>4179</v>
      </c>
      <c r="J156" s="2728" t="e">
        <f>IF(J166="Yes",VLOOKUP(J153,I161:J165,2),0)</f>
        <v>#DIV/0!</v>
      </c>
      <c r="K156" s="1711"/>
      <c r="L156" s="1711"/>
    </row>
    <row r="157" spans="1:12">
      <c r="A157" s="3047">
        <v>600001</v>
      </c>
      <c r="B157" s="3258">
        <v>2212.1000000000004</v>
      </c>
      <c r="C157" s="3048">
        <f t="shared" si="18"/>
        <v>1843.416666666667</v>
      </c>
      <c r="D157" s="3048">
        <f t="shared" si="18"/>
        <v>2119.9291666666668</v>
      </c>
      <c r="E157" s="1711"/>
      <c r="F157" s="748"/>
      <c r="I157" s="343" t="s">
        <v>4327</v>
      </c>
      <c r="J157" s="2965" t="e">
        <f ca="1">K155*(1+J156)</f>
        <v>#DIV/0!</v>
      </c>
      <c r="K157" s="3163"/>
    </row>
    <row r="158" spans="1:12">
      <c r="A158" s="3047">
        <v>700001</v>
      </c>
      <c r="B158" s="3258">
        <v>2361.7000000000003</v>
      </c>
      <c r="C158" s="3048">
        <f t="shared" si="18"/>
        <v>1968.0833333333335</v>
      </c>
      <c r="D158" s="3048">
        <f t="shared" si="18"/>
        <v>2263.2958333333336</v>
      </c>
      <c r="E158" s="1711"/>
      <c r="F158" s="748"/>
      <c r="I158" s="343" t="s">
        <v>4328</v>
      </c>
      <c r="J158" s="2966"/>
      <c r="K158" s="1711"/>
    </row>
    <row r="159" spans="1:12">
      <c r="A159" s="3047">
        <v>800001</v>
      </c>
      <c r="B159" s="3258">
        <v>2511.3000000000002</v>
      </c>
      <c r="C159" s="3048">
        <f t="shared" si="18"/>
        <v>2092.75</v>
      </c>
      <c r="D159" s="3048">
        <f t="shared" si="18"/>
        <v>2406.6625000000004</v>
      </c>
      <c r="E159" s="1711"/>
      <c r="F159" s="748"/>
      <c r="J159" s="2965"/>
      <c r="K159" s="1711"/>
    </row>
    <row r="160" spans="1:12">
      <c r="A160" s="3047">
        <v>900001</v>
      </c>
      <c r="B160" s="3258">
        <v>2660.9</v>
      </c>
      <c r="C160" s="3048">
        <f t="shared" si="18"/>
        <v>2217.416666666667</v>
      </c>
      <c r="D160" s="3048">
        <f t="shared" si="18"/>
        <v>2550.0291666666672</v>
      </c>
      <c r="E160" s="1711"/>
      <c r="F160" s="748"/>
      <c r="I160" s="893" t="s">
        <v>4325</v>
      </c>
      <c r="J160" s="2965" t="e">
        <f ca="1">J157</f>
        <v>#DIV/0!</v>
      </c>
      <c r="K160" s="1711"/>
    </row>
    <row r="161" spans="1:12">
      <c r="A161" s="3047">
        <v>1000001</v>
      </c>
      <c r="B161" s="3258">
        <v>2847.9</v>
      </c>
      <c r="C161" s="3048">
        <f t="shared" si="18"/>
        <v>2373.25</v>
      </c>
      <c r="D161" s="3048">
        <f t="shared" si="18"/>
        <v>2729.2375000000002</v>
      </c>
      <c r="E161" s="1711"/>
      <c r="F161" s="748"/>
      <c r="I161" s="2725" t="s">
        <v>4175</v>
      </c>
      <c r="J161" s="2725"/>
      <c r="K161" s="748"/>
      <c r="L161" s="2966"/>
    </row>
    <row r="162" spans="1:12">
      <c r="A162" s="3047">
        <v>1100001</v>
      </c>
      <c r="B162" s="3258">
        <v>3034.9</v>
      </c>
      <c r="C162" s="3048">
        <f t="shared" si="18"/>
        <v>2529.0833333333339</v>
      </c>
      <c r="D162" s="3048">
        <f t="shared" si="18"/>
        <v>2908.4458333333341</v>
      </c>
      <c r="E162" s="1711"/>
      <c r="F162" s="748"/>
      <c r="I162" s="2726">
        <v>0</v>
      </c>
      <c r="J162" s="2726">
        <v>0</v>
      </c>
      <c r="K162" s="748"/>
      <c r="L162" s="2966"/>
    </row>
    <row r="163" spans="1:12">
      <c r="A163" s="3047">
        <v>1200001</v>
      </c>
      <c r="B163" s="3258">
        <v>3221.9</v>
      </c>
      <c r="C163" s="3048">
        <f t="shared" si="18"/>
        <v>2684.916666666667</v>
      </c>
      <c r="D163" s="3048">
        <f t="shared" si="18"/>
        <v>3087.6541666666672</v>
      </c>
      <c r="E163" s="1711"/>
      <c r="F163" s="748"/>
      <c r="I163" s="2726">
        <v>0.1</v>
      </c>
      <c r="J163" s="2726">
        <v>0.2</v>
      </c>
      <c r="K163" s="748"/>
      <c r="L163" s="2966"/>
    </row>
    <row r="164" spans="1:12">
      <c r="A164" s="3049">
        <v>1300001</v>
      </c>
      <c r="B164" s="3048">
        <f t="shared" si="18"/>
        <v>0</v>
      </c>
      <c r="C164" s="3048">
        <f t="shared" si="18"/>
        <v>0</v>
      </c>
      <c r="D164" s="3048">
        <f t="shared" si="18"/>
        <v>0</v>
      </c>
      <c r="E164" s="1711"/>
      <c r="F164" s="748"/>
      <c r="I164" s="2726">
        <v>0.26</v>
      </c>
      <c r="J164" s="2726">
        <v>0.35</v>
      </c>
      <c r="K164" s="2966"/>
      <c r="L164" s="2966"/>
    </row>
    <row r="165" spans="1:12">
      <c r="A165" s="249"/>
      <c r="B165" s="53"/>
      <c r="C165" s="249"/>
      <c r="D165" s="249"/>
      <c r="E165" s="1711"/>
      <c r="F165" s="748"/>
      <c r="I165" s="2726">
        <v>0.41</v>
      </c>
      <c r="J165" s="2726">
        <v>0.5</v>
      </c>
    </row>
    <row r="166" spans="1:12">
      <c r="I166" s="2655" t="s">
        <v>4400</v>
      </c>
      <c r="J166" s="2655" t="str">
        <f>IF('Input '!$G$37=1536,"No","Yes")</f>
        <v>Yes</v>
      </c>
    </row>
    <row r="167" spans="1:12">
      <c r="I167" s="343" t="s">
        <v>4427</v>
      </c>
      <c r="J167" s="2966" t="e">
        <f>VLOOKUP('Input '!$G$37,'Conditions (sept 2020)'!B:M,12,FALSE)</f>
        <v>#N/A</v>
      </c>
    </row>
  </sheetData>
  <mergeCells count="6">
    <mergeCell ref="B39:C39"/>
    <mergeCell ref="E2:G2"/>
    <mergeCell ref="B5:D5"/>
    <mergeCell ref="E5:F5"/>
    <mergeCell ref="E15:G15"/>
    <mergeCell ref="B28:C28"/>
  </mergeCell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tabColor rgb="FFFFFF00"/>
  </sheetPr>
  <dimension ref="A1:I76"/>
  <sheetViews>
    <sheetView showGridLines="0" topLeftCell="A34" zoomScale="130" zoomScaleNormal="130" workbookViewId="0">
      <selection activeCell="D57" sqref="D57"/>
    </sheetView>
  </sheetViews>
  <sheetFormatPr defaultColWidth="65.42578125" defaultRowHeight="15"/>
  <cols>
    <col min="1" max="1" width="3.140625" customWidth="1"/>
    <col min="2" max="2" width="2" customWidth="1"/>
    <col min="3" max="3" width="19.42578125" style="1306" customWidth="1"/>
    <col min="4" max="4" width="71" style="1306" customWidth="1"/>
    <col min="5" max="5" width="65.42578125" style="1306"/>
    <col min="6" max="6" width="9" style="1339" customWidth="1"/>
    <col min="7" max="7" width="32.42578125" style="1306" customWidth="1"/>
    <col min="8" max="8" width="44.42578125" style="1306" customWidth="1"/>
    <col min="9" max="16384" width="65.42578125" style="1306"/>
  </cols>
  <sheetData>
    <row r="1" spans="1:9" ht="29.25">
      <c r="C1" s="2664" t="s">
        <v>1031</v>
      </c>
      <c r="D1" s="3058" t="s">
        <v>4282</v>
      </c>
      <c r="E1" s="3488" t="s">
        <v>4283</v>
      </c>
    </row>
    <row r="2" spans="1:9">
      <c r="A2" s="1711"/>
      <c r="B2" s="1711"/>
      <c r="C2" s="2664" t="s">
        <v>1031</v>
      </c>
      <c r="D2" s="3058" t="s">
        <v>4511</v>
      </c>
      <c r="E2" s="3488" t="s">
        <v>4512</v>
      </c>
    </row>
    <row r="3" spans="1:9" ht="29.25">
      <c r="A3" s="1711"/>
      <c r="B3" s="1711"/>
      <c r="C3" s="2664" t="s">
        <v>1031</v>
      </c>
      <c r="D3" s="3058" t="s">
        <v>4513</v>
      </c>
      <c r="E3" s="3058" t="s">
        <v>4514</v>
      </c>
    </row>
    <row r="4" spans="1:9" ht="30.75" customHeight="1">
      <c r="C4" s="2662"/>
      <c r="D4" s="3059" t="s">
        <v>3683</v>
      </c>
      <c r="E4" s="3487" t="s">
        <v>3684</v>
      </c>
    </row>
    <row r="5" spans="1:9" ht="30.75" customHeight="1">
      <c r="C5" s="2663"/>
      <c r="D5" s="3059" t="s">
        <v>4033</v>
      </c>
      <c r="E5" s="3487" t="s">
        <v>4022</v>
      </c>
    </row>
    <row r="6" spans="1:9" s="1336" customFormat="1" ht="15.75">
      <c r="C6" s="2663"/>
      <c r="D6" s="3061" t="s">
        <v>3713</v>
      </c>
      <c r="E6" s="3060" t="s">
        <v>3714</v>
      </c>
      <c r="F6" s="1340"/>
    </row>
    <row r="7" spans="1:9">
      <c r="C7" s="2718" t="str">
        <f>IF(OR('Input '!$G$37,'Input '!$G$37=1774),"Y","N")</f>
        <v>N</v>
      </c>
      <c r="D7" s="3058" t="s">
        <v>4152</v>
      </c>
      <c r="E7" s="3488" t="s">
        <v>4153</v>
      </c>
    </row>
    <row r="8" spans="1:9" ht="29.25">
      <c r="C8" s="2664" t="str">
        <f>IF('Input '!$G$27&gt;=0%,"Y","N")</f>
        <v>Y</v>
      </c>
      <c r="D8" s="3058" t="str">
        <f>IF('CGL coverage'!$I$5=1000000,"CW180F Engagement formel - attestation d'assurance des sous-traitants- min $1,000,000","CW180F Engagement formel - attestation d'assurance des sous-traitants- min $2,000,000")</f>
        <v>CW180F Engagement formel - attestation d'assurance des sous-traitants- min $1,000,000</v>
      </c>
      <c r="E8" s="3488" t="str">
        <f>IF('CGL coverage'!$I$5=1000000,"CW180 -SubContractors Warranty- min $1,000,000","CW180 -SubContractors Warranty- min $2,000,000")</f>
        <v>CW180 -SubContractors Warranty- min $1,000,000</v>
      </c>
      <c r="F8" s="1339" t="s">
        <v>1360</v>
      </c>
    </row>
    <row r="9" spans="1:9" s="1337" customFormat="1" ht="14.25">
      <c r="C9" s="2664" t="str">
        <f>IF('Input '!$S$37=2,"Y","N")</f>
        <v>N</v>
      </c>
      <c r="D9" s="3058" t="s">
        <v>991</v>
      </c>
      <c r="E9" s="3489" t="s">
        <v>3687</v>
      </c>
      <c r="F9" s="1341" t="s">
        <v>1360</v>
      </c>
      <c r="H9" s="1337" t="s">
        <v>3393</v>
      </c>
      <c r="I9" s="1337" t="s">
        <v>3394</v>
      </c>
    </row>
    <row r="10" spans="1:9" ht="14.25" customHeight="1">
      <c r="C10" s="2664"/>
      <c r="D10" s="3058"/>
      <c r="E10" s="3058"/>
      <c r="G10" s="2718" t="s">
        <v>4244</v>
      </c>
      <c r="H10" s="1330" t="e">
        <f>INDEX('Conditions (sept 2020)'!$B$2:$AL$102,MATCH('Input '!$G$37,'Conditions (sept 2020)'!$B$2:$B$102,0),MATCH('Mandatory endorsements'!$G10,'Conditions (sept 2020)'!$B$2:$AL$2,0))</f>
        <v>#N/A</v>
      </c>
      <c r="I10" s="1306" t="e">
        <f ca="1">IFERROR(INDEX($D$1:$E$76,MATCH(H10,E$1:E$76,0),1),blank())</f>
        <v>#NAME?</v>
      </c>
    </row>
    <row r="11" spans="1:9" ht="14.25" customHeight="1">
      <c r="C11" s="2664" t="s">
        <v>1031</v>
      </c>
      <c r="D11" s="3058" t="s">
        <v>4303</v>
      </c>
      <c r="E11" s="3488" t="s">
        <v>4303</v>
      </c>
      <c r="G11" s="2718" t="s">
        <v>4243</v>
      </c>
      <c r="H11" s="1330" t="e">
        <f>INDEX('Conditions (sept 2020)'!$B$2:$AL$102,MATCH('Input '!$G$37,'Conditions (sept 2020)'!$B$2:$B$102,0),MATCH('Mandatory endorsements'!$G11,'Conditions (sept 2020)'!$B$2:$AL$2,0))</f>
        <v>#N/A</v>
      </c>
      <c r="I11" s="1306" t="e">
        <f ca="1">IFERROR(INDEX($D$1:$E$76,MATCH(H11,E$1:E$76,0),1),blank())</f>
        <v>#NAME?</v>
      </c>
    </row>
    <row r="12" spans="1:9" ht="14.25" customHeight="1">
      <c r="C12" s="2664" t="str">
        <f t="shared" ref="C12" si="0">IF(D12=0,"N","Y")</f>
        <v>Y</v>
      </c>
      <c r="D12" s="3058" t="s">
        <v>4309</v>
      </c>
      <c r="E12" s="3488" t="s">
        <v>4309</v>
      </c>
      <c r="G12" s="2718" t="s">
        <v>4242</v>
      </c>
      <c r="H12" s="1330" t="e">
        <f>INDEX('Conditions (sept 2020)'!$B$2:$AL$102,MATCH('Input '!$G$37,'Conditions (sept 2020)'!$B$2:$B$102,0),MATCH('Mandatory endorsements'!$G12,'Conditions (sept 2020)'!$B$2:$AL$2,0))</f>
        <v>#N/A</v>
      </c>
      <c r="I12" s="1306" t="str">
        <f>IFERROR(INDEX($D$1:$E$76,MATCH(H12,E$1:E$76,0),1),"")</f>
        <v/>
      </c>
    </row>
    <row r="13" spans="1:9" ht="14.25" customHeight="1">
      <c r="C13" s="2664"/>
      <c r="D13" s="3058"/>
      <c r="E13" s="3058"/>
      <c r="G13" s="2718" t="s">
        <v>4241</v>
      </c>
      <c r="H13" s="1330" t="e">
        <f>INDEX('Conditions (sept 2020)'!$B$2:$AL$102,MATCH('Input '!$G$37,'Conditions (sept 2020)'!$B$2:$B$102,0),MATCH('Mandatory endorsements'!$G13,'Conditions (sept 2020)'!$B$2:$AL$2,0))</f>
        <v>#N/A</v>
      </c>
      <c r="I13" s="1306" t="e">
        <f ca="1">IFERROR(INDEX($D$1:$E$76,MATCH(H13,E$1:E$76,0),1),blank())</f>
        <v>#NAME?</v>
      </c>
    </row>
    <row r="14" spans="1:9" ht="15.75" customHeight="1">
      <c r="C14" s="2664" t="s">
        <v>1031</v>
      </c>
      <c r="D14" s="3062" t="str">
        <f>IF(E14=0,0,VLOOKUP(E14,'Translation endorsments'!B:C,2,FALSE))</f>
        <v xml:space="preserve">LX6 Exclusion de l'abattage à l'explosif, du battage de pieux et de l'affaiblissement d'un support </v>
      </c>
      <c r="E14" s="3488" t="s">
        <v>4284</v>
      </c>
      <c r="G14" s="2718"/>
      <c r="H14" s="1330"/>
      <c r="I14" s="1306" t="str">
        <f>IFERROR(INDEX($D$1:$E$76,MATCH(H14,E$1:E$76,0),1),"")</f>
        <v/>
      </c>
    </row>
    <row r="15" spans="1:9">
      <c r="C15" s="2664" t="e">
        <f>IF(H17="Yes","Y","N")</f>
        <v>#N/A</v>
      </c>
      <c r="D15" s="3058" t="s">
        <v>3723</v>
      </c>
      <c r="E15" s="3489" t="s">
        <v>3601</v>
      </c>
      <c r="G15" s="1337"/>
      <c r="H15" s="1337"/>
    </row>
    <row r="16" spans="1:9">
      <c r="A16" s="1711"/>
      <c r="B16" s="1711"/>
      <c r="C16" s="2664" t="s">
        <v>1031</v>
      </c>
      <c r="D16" s="3058" t="s">
        <v>4287</v>
      </c>
      <c r="E16" s="3488" t="s">
        <v>3598</v>
      </c>
      <c r="G16" s="1337"/>
      <c r="H16" s="1337"/>
    </row>
    <row r="17" spans="1:8">
      <c r="A17" s="1711"/>
      <c r="B17" s="1711"/>
      <c r="C17" s="2882" t="e">
        <f>IF(H17="Yes","Y","N")</f>
        <v>#N/A</v>
      </c>
      <c r="D17" s="3058" t="s">
        <v>4240</v>
      </c>
      <c r="E17" s="3058" t="s">
        <v>4240</v>
      </c>
      <c r="G17" s="2718" t="s">
        <v>4240</v>
      </c>
      <c r="H17" s="1330" t="e">
        <f>TRIM(INDEX('Conditions (sept 2020)'!$B$2:$AL$102,MATCH('Input '!$G$37,'Conditions (sept 2020)'!$B$2:$B$102,0),MATCH('Mandatory endorsements'!$G17,'Conditions (sept 2020)'!$B$2:$AL$2,0)))</f>
        <v>#N/A</v>
      </c>
    </row>
    <row r="18" spans="1:8">
      <c r="C18" s="2882" t="e">
        <f>IF(H18="Yes","Y","N")</f>
        <v>#N/A</v>
      </c>
      <c r="D18" s="3058" t="s">
        <v>4279</v>
      </c>
      <c r="E18" s="3058" t="s">
        <v>4278</v>
      </c>
      <c r="G18" s="2718" t="s">
        <v>4239</v>
      </c>
      <c r="H18" s="1330" t="e">
        <f>TRIM(INDEX('Conditions (sept 2020)'!$B$2:$AL$102,MATCH('Input '!$G$37,'Conditions (sept 2020)'!$B$2:$B$102,0),MATCH('Mandatory endorsements'!$G18,'Conditions (sept 2020)'!$B$2:$AL$2,0)))</f>
        <v>#N/A</v>
      </c>
    </row>
    <row r="19" spans="1:8">
      <c r="C19" s="2882" t="e">
        <f>IF(H19="Yes","Y","N")</f>
        <v>#N/A</v>
      </c>
      <c r="D19" s="3058" t="s">
        <v>4280</v>
      </c>
      <c r="E19" s="3058" t="s">
        <v>4281</v>
      </c>
      <c r="G19" s="2718" t="s">
        <v>4238</v>
      </c>
      <c r="H19" s="1330" t="e">
        <f>INDEX('Conditions (sept 2020)'!$B$2:$AL$102,MATCH('Input '!$G$37,'Conditions (sept 2020)'!$B$2:$B$102,0),MATCH('Mandatory endorsements'!$G19,'Conditions (sept 2020)'!$B$2:$AL$2,0))</f>
        <v>#N/A</v>
      </c>
    </row>
    <row r="20" spans="1:8" ht="21" customHeight="1">
      <c r="C20" s="2718" t="str">
        <f>IF('Input '!$I$60&gt;=100000,"Y","N")</f>
        <v>N</v>
      </c>
      <c r="D20" s="3058" t="s">
        <v>4159</v>
      </c>
      <c r="E20" s="3058" t="s">
        <v>4154</v>
      </c>
    </row>
    <row r="21" spans="1:8">
      <c r="C21" s="2718" t="str">
        <f>IF('Input '!$I$60&gt;=100000,"Y","N")</f>
        <v>N</v>
      </c>
      <c r="D21" s="3058" t="s">
        <v>4158</v>
      </c>
      <c r="E21" s="3058" t="s">
        <v>4156</v>
      </c>
    </row>
    <row r="22" spans="1:8">
      <c r="C22" s="2718" t="str">
        <f>IF('Input '!$I$60&gt;=100000,"Y","N")</f>
        <v>N</v>
      </c>
      <c r="D22" s="3058" t="s">
        <v>4160</v>
      </c>
      <c r="E22" s="3058" t="s">
        <v>4155</v>
      </c>
    </row>
    <row r="23" spans="1:8" ht="29.25">
      <c r="C23" s="2718" t="str">
        <f>IF('Input '!$I$60&gt;=100000,"Y","N")</f>
        <v>N</v>
      </c>
      <c r="D23" s="3058" t="s">
        <v>4161</v>
      </c>
      <c r="E23" s="3058" t="s">
        <v>4157</v>
      </c>
    </row>
    <row r="24" spans="1:8">
      <c r="D24" s="3058" t="s">
        <v>4310</v>
      </c>
      <c r="E24" s="3488" t="s">
        <v>4303</v>
      </c>
    </row>
    <row r="25" spans="1:8">
      <c r="D25" s="3058" t="s">
        <v>4312</v>
      </c>
      <c r="E25" s="3488" t="s">
        <v>4311</v>
      </c>
    </row>
    <row r="26" spans="1:8" ht="29.25">
      <c r="D26" s="3058" t="s">
        <v>4285</v>
      </c>
      <c r="E26" s="3058" t="s">
        <v>4284</v>
      </c>
    </row>
    <row r="27" spans="1:8" ht="29.25">
      <c r="D27" s="3058" t="s">
        <v>4282</v>
      </c>
      <c r="E27" s="3058" t="s">
        <v>4283</v>
      </c>
    </row>
    <row r="28" spans="1:8" ht="29.25">
      <c r="D28" s="3058" t="s">
        <v>3683</v>
      </c>
      <c r="E28" s="3058" t="s">
        <v>3684</v>
      </c>
    </row>
    <row r="29" spans="1:8" ht="29.25">
      <c r="D29" s="3058" t="s">
        <v>4033</v>
      </c>
      <c r="E29" s="3058" t="s">
        <v>4022</v>
      </c>
    </row>
    <row r="30" spans="1:8">
      <c r="D30" s="3058" t="s">
        <v>3346</v>
      </c>
      <c r="E30" s="3058" t="s">
        <v>3671</v>
      </c>
    </row>
    <row r="31" spans="1:8">
      <c r="D31" s="3058" t="s">
        <v>3713</v>
      </c>
      <c r="E31" s="3058" t="s">
        <v>3714</v>
      </c>
    </row>
    <row r="32" spans="1:8" ht="28.5">
      <c r="D32" s="3063" t="s">
        <v>4087</v>
      </c>
      <c r="E32" s="3063" t="s">
        <v>4247</v>
      </c>
    </row>
    <row r="33" spans="4:5">
      <c r="D33" s="3064"/>
      <c r="E33" s="3064"/>
    </row>
    <row r="34" spans="4:5">
      <c r="D34" s="3058" t="s">
        <v>3662</v>
      </c>
      <c r="E34" s="3063" t="s">
        <v>3676</v>
      </c>
    </row>
    <row r="35" spans="4:5" ht="28.5">
      <c r="D35" s="3065" t="s">
        <v>4254</v>
      </c>
      <c r="E35" s="3064" t="s">
        <v>4253</v>
      </c>
    </row>
    <row r="36" spans="4:5">
      <c r="D36" s="3063"/>
      <c r="E36" s="3064"/>
    </row>
    <row r="37" spans="4:5">
      <c r="D37" s="3058" t="s">
        <v>991</v>
      </c>
      <c r="E37" s="3065" t="s">
        <v>3687</v>
      </c>
    </row>
    <row r="38" spans="4:5" ht="30.75">
      <c r="D38" s="3066" t="s">
        <v>3667</v>
      </c>
      <c r="E38" s="3490" t="s">
        <v>3672</v>
      </c>
    </row>
    <row r="39" spans="4:5">
      <c r="D39" s="3064"/>
      <c r="E39" s="3064"/>
    </row>
    <row r="40" spans="4:5">
      <c r="D40" s="3064" t="s">
        <v>4256</v>
      </c>
      <c r="E40" s="3064" t="s">
        <v>4255</v>
      </c>
    </row>
    <row r="41" spans="4:5" ht="29.25">
      <c r="D41" s="3064" t="s">
        <v>3663</v>
      </c>
      <c r="E41" s="3063" t="s">
        <v>3673</v>
      </c>
    </row>
    <row r="42" spans="4:5">
      <c r="D42" s="3064" t="s">
        <v>4257</v>
      </c>
      <c r="E42" s="3064" t="s">
        <v>3592</v>
      </c>
    </row>
    <row r="43" spans="4:5">
      <c r="D43" s="3064" t="s">
        <v>4259</v>
      </c>
      <c r="E43" s="3064" t="s">
        <v>4258</v>
      </c>
    </row>
    <row r="44" spans="4:5">
      <c r="D44" s="3064" t="s">
        <v>4260</v>
      </c>
      <c r="E44" s="3064" t="s">
        <v>3645</v>
      </c>
    </row>
    <row r="45" spans="4:5">
      <c r="D45" s="3064" t="s">
        <v>4261</v>
      </c>
      <c r="E45" s="3064" t="s">
        <v>3590</v>
      </c>
    </row>
    <row r="46" spans="4:5">
      <c r="D46" s="3064" t="s">
        <v>3723</v>
      </c>
      <c r="E46" s="3064" t="s">
        <v>3601</v>
      </c>
    </row>
    <row r="47" spans="4:5">
      <c r="D47" s="3067" t="s">
        <v>4263</v>
      </c>
      <c r="E47" s="3067" t="s">
        <v>4262</v>
      </c>
    </row>
    <row r="48" spans="4:5">
      <c r="D48" s="3064" t="s">
        <v>4015</v>
      </c>
      <c r="E48" s="3064" t="s">
        <v>4021</v>
      </c>
    </row>
    <row r="49" spans="4:5">
      <c r="D49" s="3064" t="s">
        <v>4041</v>
      </c>
      <c r="E49" s="3064" t="s">
        <v>4042</v>
      </c>
    </row>
    <row r="50" spans="4:5" ht="29.25">
      <c r="D50" s="3064" t="s">
        <v>4264</v>
      </c>
      <c r="E50" s="3064" t="s">
        <v>4234</v>
      </c>
    </row>
    <row r="51" spans="4:5">
      <c r="D51" s="3068" t="s">
        <v>4265</v>
      </c>
      <c r="E51" s="3490" t="s">
        <v>4235</v>
      </c>
    </row>
    <row r="52" spans="4:5">
      <c r="D52" s="3064" t="s">
        <v>3662</v>
      </c>
      <c r="E52" s="3064" t="s">
        <v>3676</v>
      </c>
    </row>
    <row r="53" spans="4:5">
      <c r="D53" s="3064" t="s">
        <v>4266</v>
      </c>
      <c r="E53" s="3064" t="s">
        <v>4236</v>
      </c>
    </row>
    <row r="54" spans="4:5">
      <c r="D54" s="3064" t="s">
        <v>4267</v>
      </c>
      <c r="E54" s="3064" t="s">
        <v>4231</v>
      </c>
    </row>
    <row r="55" spans="4:5">
      <c r="D55" s="3064" t="s">
        <v>4041</v>
      </c>
      <c r="E55" s="3490" t="s">
        <v>4042</v>
      </c>
    </row>
    <row r="56" spans="4:5">
      <c r="D56" s="3064" t="s">
        <v>4237</v>
      </c>
      <c r="E56" s="3064" t="s">
        <v>4268</v>
      </c>
    </row>
    <row r="57" spans="4:5">
      <c r="D57" s="3064" t="s">
        <v>4233</v>
      </c>
      <c r="E57" s="3064" t="s">
        <v>4269</v>
      </c>
    </row>
    <row r="58" spans="4:5">
      <c r="D58" s="3064" t="s">
        <v>4232</v>
      </c>
      <c r="E58" s="3064" t="s">
        <v>4270</v>
      </c>
    </row>
    <row r="59" spans="4:5">
      <c r="D59" s="3064" t="s">
        <v>4230</v>
      </c>
      <c r="E59" s="3064" t="s">
        <v>4271</v>
      </c>
    </row>
    <row r="60" spans="4:5" ht="29.25">
      <c r="D60" s="3064" t="s">
        <v>4285</v>
      </c>
      <c r="E60" s="3064" t="s">
        <v>4284</v>
      </c>
    </row>
    <row r="61" spans="4:5">
      <c r="D61" s="3064" t="s">
        <v>3723</v>
      </c>
      <c r="E61" s="3064" t="s">
        <v>3601</v>
      </c>
    </row>
    <row r="62" spans="4:5">
      <c r="D62" s="3064" t="s">
        <v>4287</v>
      </c>
      <c r="E62" s="3064" t="s">
        <v>3598</v>
      </c>
    </row>
    <row r="63" spans="4:5">
      <c r="D63" s="3064" t="s">
        <v>4240</v>
      </c>
      <c r="E63" s="3064" t="s">
        <v>4240</v>
      </c>
    </row>
    <row r="64" spans="4:5">
      <c r="D64" s="3064" t="s">
        <v>4279</v>
      </c>
      <c r="E64" s="3064" t="s">
        <v>4278</v>
      </c>
    </row>
    <row r="65" spans="4:7" ht="29.25">
      <c r="D65" s="3064" t="s">
        <v>4304</v>
      </c>
      <c r="E65" s="3064" t="s">
        <v>4274</v>
      </c>
    </row>
    <row r="66" spans="4:7">
      <c r="D66" s="3064" t="s">
        <v>3664</v>
      </c>
      <c r="E66" s="3064" t="s">
        <v>3674</v>
      </c>
    </row>
    <row r="67" spans="4:7" ht="29.25">
      <c r="D67" s="3064" t="s">
        <v>4187</v>
      </c>
      <c r="E67" s="3490" t="s">
        <v>4188</v>
      </c>
      <c r="G67" s="1306" t="s">
        <v>5322</v>
      </c>
    </row>
    <row r="68" spans="4:7">
      <c r="D68" s="3064"/>
      <c r="E68" s="3064"/>
    </row>
    <row r="69" spans="4:7">
      <c r="D69" s="3064" t="s">
        <v>4198</v>
      </c>
      <c r="E69" s="3490" t="s">
        <v>4207</v>
      </c>
    </row>
    <row r="70" spans="4:7" ht="18">
      <c r="D70" s="1306" t="s">
        <v>4249</v>
      </c>
      <c r="E70" s="2860" t="s">
        <v>4249</v>
      </c>
    </row>
    <row r="71" spans="4:7">
      <c r="D71" s="3255" t="s">
        <v>4501</v>
      </c>
      <c r="E71" s="3490" t="s">
        <v>4500</v>
      </c>
    </row>
    <row r="72" spans="4:7" ht="36">
      <c r="D72" s="1306" t="s">
        <v>4490</v>
      </c>
      <c r="E72" s="3256" t="s">
        <v>4237</v>
      </c>
    </row>
    <row r="73" spans="4:7" ht="18">
      <c r="D73" s="1306" t="s">
        <v>4491</v>
      </c>
      <c r="E73" s="3256" t="s">
        <v>4026</v>
      </c>
    </row>
    <row r="74" spans="4:7" ht="18">
      <c r="D74" s="1306" t="s">
        <v>4271</v>
      </c>
      <c r="E74" s="3256" t="s">
        <v>4230</v>
      </c>
    </row>
    <row r="75" spans="4:7" ht="18">
      <c r="D75" s="1306" t="s">
        <v>4270</v>
      </c>
      <c r="E75" s="3257" t="s">
        <v>4232</v>
      </c>
    </row>
    <row r="76" spans="4:7" ht="18">
      <c r="D76" s="1306" t="s">
        <v>4492</v>
      </c>
      <c r="E76" s="3257" t="s">
        <v>4233</v>
      </c>
    </row>
  </sheetData>
  <autoFilter ref="C1:J32" xr:uid="{00000000-0009-0000-0000-00000E000000}"/>
  <conditionalFormatting sqref="D47:E47">
    <cfRule type="containsErrors" dxfId="28" priority="1">
      <formula>ISERROR(D47)</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theme="2" tint="-0.249977111117893"/>
  </sheetPr>
  <dimension ref="A3:N103"/>
  <sheetViews>
    <sheetView showGridLines="0" workbookViewId="0">
      <selection activeCell="I1" sqref="I1:N1048576"/>
    </sheetView>
  </sheetViews>
  <sheetFormatPr defaultColWidth="9.140625" defaultRowHeight="15"/>
  <cols>
    <col min="1" max="1" width="26.28515625" style="1711" customWidth="1"/>
    <col min="2" max="2" width="45" style="1711" customWidth="1"/>
    <col min="3" max="3" width="83.42578125" style="1711" customWidth="1"/>
    <col min="4" max="4" width="24.140625" style="1711" customWidth="1"/>
    <col min="5" max="5" width="75.7109375" style="1711" customWidth="1"/>
    <col min="6" max="7" width="0" style="1711" hidden="1" customWidth="1"/>
    <col min="8" max="16384" width="9.140625" style="1711"/>
  </cols>
  <sheetData>
    <row r="3" spans="1:14" ht="18">
      <c r="A3" s="10" t="s">
        <v>40</v>
      </c>
      <c r="B3" s="16" t="s">
        <v>41</v>
      </c>
      <c r="C3" s="16" t="s">
        <v>42</v>
      </c>
      <c r="D3" s="16" t="s">
        <v>1054</v>
      </c>
      <c r="E3" s="11" t="s">
        <v>43</v>
      </c>
      <c r="F3" s="1738" t="s">
        <v>3831</v>
      </c>
      <c r="I3" s="1711" t="s">
        <v>5126</v>
      </c>
      <c r="N3" s="1711" t="s">
        <v>5127</v>
      </c>
    </row>
    <row r="4" spans="1:14" ht="15.75">
      <c r="A4" s="12">
        <v>735</v>
      </c>
      <c r="B4" s="12" t="s">
        <v>220</v>
      </c>
      <c r="C4" s="12" t="s">
        <v>221</v>
      </c>
      <c r="D4" s="12" t="s">
        <v>1056</v>
      </c>
      <c r="E4" s="13" t="s">
        <v>57</v>
      </c>
      <c r="F4" s="1711" t="s">
        <v>1056</v>
      </c>
      <c r="G4" s="1711" t="b">
        <v>1</v>
      </c>
      <c r="I4" s="1711">
        <v>73500</v>
      </c>
      <c r="M4" s="3332"/>
      <c r="N4" s="1711">
        <f>IF(I4="","",A4)</f>
        <v>735</v>
      </c>
    </row>
    <row r="5" spans="1:14" ht="15.75">
      <c r="A5" s="12">
        <v>736</v>
      </c>
      <c r="B5" s="12" t="s">
        <v>218</v>
      </c>
      <c r="C5" s="12" t="s">
        <v>219</v>
      </c>
      <c r="D5" s="12" t="s">
        <v>1056</v>
      </c>
      <c r="E5" s="13" t="s">
        <v>57</v>
      </c>
      <c r="F5" s="1711" t="s">
        <v>1056</v>
      </c>
      <c r="G5" s="1711" t="b">
        <v>1</v>
      </c>
      <c r="I5" s="1711">
        <v>73600</v>
      </c>
      <c r="M5" s="3332"/>
      <c r="N5" s="1711">
        <f t="shared" ref="N5:N68" si="0">IF(I5="","",A5)</f>
        <v>736</v>
      </c>
    </row>
    <row r="6" spans="1:14" ht="15.75">
      <c r="A6" s="12">
        <v>1511</v>
      </c>
      <c r="B6" s="12" t="s">
        <v>216</v>
      </c>
      <c r="C6" s="12" t="s">
        <v>217</v>
      </c>
      <c r="D6" s="12" t="s">
        <v>1055</v>
      </c>
      <c r="E6" s="13" t="s">
        <v>46</v>
      </c>
      <c r="F6" s="1711" t="s">
        <v>1055</v>
      </c>
      <c r="G6" s="1711" t="b">
        <v>1</v>
      </c>
      <c r="M6" s="3332"/>
      <c r="N6" s="1711" t="str">
        <f t="shared" si="0"/>
        <v/>
      </c>
    </row>
    <row r="7" spans="1:14" ht="15.75">
      <c r="A7" s="12">
        <v>1512</v>
      </c>
      <c r="B7" s="12" t="s">
        <v>214</v>
      </c>
      <c r="C7" s="12" t="s">
        <v>215</v>
      </c>
      <c r="D7" s="1758" t="s">
        <v>1056</v>
      </c>
      <c r="E7" s="13" t="s">
        <v>46</v>
      </c>
      <c r="F7" s="1711" t="s">
        <v>1056</v>
      </c>
      <c r="G7" s="1711" t="b">
        <v>1</v>
      </c>
      <c r="I7" s="1711">
        <v>151200</v>
      </c>
      <c r="M7" s="3332"/>
      <c r="N7" s="1711">
        <f t="shared" si="0"/>
        <v>1512</v>
      </c>
    </row>
    <row r="8" spans="1:14" ht="15.75">
      <c r="A8" s="12">
        <v>1513</v>
      </c>
      <c r="B8" s="12" t="s">
        <v>212</v>
      </c>
      <c r="C8" s="12" t="s">
        <v>213</v>
      </c>
      <c r="D8" s="12" t="s">
        <v>1055</v>
      </c>
      <c r="E8" s="13" t="s">
        <v>46</v>
      </c>
      <c r="F8" s="1711" t="s">
        <v>1055</v>
      </c>
      <c r="G8" s="1711" t="b">
        <v>1</v>
      </c>
      <c r="M8" s="3332"/>
      <c r="N8" s="1711" t="str">
        <f t="shared" si="0"/>
        <v/>
      </c>
    </row>
    <row r="9" spans="1:14" ht="15.75">
      <c r="A9" s="12">
        <v>1514</v>
      </c>
      <c r="B9" s="12" t="s">
        <v>210</v>
      </c>
      <c r="C9" s="12" t="s">
        <v>211</v>
      </c>
      <c r="D9" s="12" t="s">
        <v>1055</v>
      </c>
      <c r="E9" s="13" t="s">
        <v>46</v>
      </c>
      <c r="F9" s="1711" t="s">
        <v>1055</v>
      </c>
      <c r="G9" s="1711" t="b">
        <v>1</v>
      </c>
      <c r="M9" s="3332"/>
      <c r="N9" s="1711" t="str">
        <f t="shared" si="0"/>
        <v/>
      </c>
    </row>
    <row r="10" spans="1:14" ht="15.75">
      <c r="A10" s="12">
        <v>1515</v>
      </c>
      <c r="B10" s="12" t="s">
        <v>208</v>
      </c>
      <c r="C10" s="12" t="s">
        <v>209</v>
      </c>
      <c r="D10" s="12" t="s">
        <v>1055</v>
      </c>
      <c r="E10" s="13" t="s">
        <v>46</v>
      </c>
      <c r="F10" s="1711" t="s">
        <v>1055</v>
      </c>
      <c r="G10" s="1711" t="b">
        <v>1</v>
      </c>
      <c r="M10" s="3332"/>
      <c r="N10" s="1711" t="str">
        <f t="shared" si="0"/>
        <v/>
      </c>
    </row>
    <row r="11" spans="1:14" ht="15.75">
      <c r="A11" s="12">
        <v>1521</v>
      </c>
      <c r="B11" s="12" t="s">
        <v>206</v>
      </c>
      <c r="C11" s="12" t="s">
        <v>207</v>
      </c>
      <c r="D11" s="12" t="s">
        <v>1056</v>
      </c>
      <c r="E11" s="13" t="s">
        <v>46</v>
      </c>
      <c r="F11" s="1711" t="s">
        <v>1056</v>
      </c>
      <c r="G11" s="1711" t="b">
        <v>1</v>
      </c>
      <c r="I11" s="1711">
        <v>152100</v>
      </c>
      <c r="M11" s="3332"/>
      <c r="N11" s="1711">
        <f t="shared" si="0"/>
        <v>1521</v>
      </c>
    </row>
    <row r="12" spans="1:14" ht="15.75">
      <c r="A12" s="12">
        <v>1522</v>
      </c>
      <c r="B12" s="12" t="s">
        <v>204</v>
      </c>
      <c r="C12" s="12" t="s">
        <v>205</v>
      </c>
      <c r="D12" s="12" t="s">
        <v>1056</v>
      </c>
      <c r="E12" s="13" t="s">
        <v>46</v>
      </c>
      <c r="F12" s="1711" t="s">
        <v>1056</v>
      </c>
      <c r="G12" s="1711" t="b">
        <v>1</v>
      </c>
      <c r="I12" s="1711">
        <v>152200</v>
      </c>
      <c r="M12" s="3332"/>
      <c r="N12" s="1711">
        <f t="shared" si="0"/>
        <v>1522</v>
      </c>
    </row>
    <row r="13" spans="1:14" ht="15.75">
      <c r="A13" s="12">
        <v>1523</v>
      </c>
      <c r="B13" s="12" t="s">
        <v>202</v>
      </c>
      <c r="C13" s="12" t="s">
        <v>203</v>
      </c>
      <c r="D13" s="12" t="s">
        <v>1056</v>
      </c>
      <c r="E13" s="13" t="s">
        <v>46</v>
      </c>
      <c r="F13" s="1711" t="s">
        <v>1056</v>
      </c>
      <c r="G13" s="1711" t="b">
        <v>1</v>
      </c>
      <c r="I13" s="1711">
        <v>152300</v>
      </c>
      <c r="M13" s="3332"/>
      <c r="N13" s="1711">
        <f t="shared" si="0"/>
        <v>1523</v>
      </c>
    </row>
    <row r="14" spans="1:14" ht="15.75">
      <c r="A14" s="12">
        <v>1524</v>
      </c>
      <c r="B14" s="12" t="s">
        <v>200</v>
      </c>
      <c r="C14" s="12" t="s">
        <v>201</v>
      </c>
      <c r="D14" s="12" t="s">
        <v>1056</v>
      </c>
      <c r="E14" s="13" t="s">
        <v>46</v>
      </c>
      <c r="F14" s="1711" t="s">
        <v>1056</v>
      </c>
      <c r="G14" s="1711" t="b">
        <v>1</v>
      </c>
      <c r="I14" s="1711">
        <v>152400</v>
      </c>
      <c r="M14" s="3332"/>
      <c r="N14" s="1711">
        <f t="shared" si="0"/>
        <v>1524</v>
      </c>
    </row>
    <row r="15" spans="1:14" ht="15.75">
      <c r="A15" s="12">
        <v>1526</v>
      </c>
      <c r="B15" s="12" t="s">
        <v>198</v>
      </c>
      <c r="C15" s="12" t="s">
        <v>199</v>
      </c>
      <c r="D15" s="12" t="s">
        <v>1056</v>
      </c>
      <c r="E15" s="13" t="s">
        <v>46</v>
      </c>
      <c r="F15" s="1711" t="s">
        <v>1056</v>
      </c>
      <c r="G15" s="1711" t="b">
        <v>1</v>
      </c>
      <c r="I15" s="1711">
        <v>152600</v>
      </c>
      <c r="M15" s="3332"/>
      <c r="N15" s="1711">
        <f t="shared" si="0"/>
        <v>1526</v>
      </c>
    </row>
    <row r="16" spans="1:14" ht="15.75">
      <c r="A16" s="12">
        <v>1527</v>
      </c>
      <c r="B16" s="12" t="s">
        <v>196</v>
      </c>
      <c r="C16" s="12" t="s">
        <v>197</v>
      </c>
      <c r="D16" s="12" t="s">
        <v>1056</v>
      </c>
      <c r="E16" s="13" t="s">
        <v>46</v>
      </c>
      <c r="F16" s="1711" t="s">
        <v>1056</v>
      </c>
      <c r="G16" s="1711" t="b">
        <v>1</v>
      </c>
      <c r="I16" s="1711">
        <v>152700</v>
      </c>
      <c r="M16" s="3332"/>
      <c r="N16" s="1711">
        <f t="shared" si="0"/>
        <v>1527</v>
      </c>
    </row>
    <row r="17" spans="1:14" ht="15.75">
      <c r="A17" s="12">
        <v>1528</v>
      </c>
      <c r="B17" s="12" t="s">
        <v>194</v>
      </c>
      <c r="C17" s="12" t="s">
        <v>195</v>
      </c>
      <c r="D17" s="12" t="s">
        <v>1056</v>
      </c>
      <c r="E17" s="13" t="s">
        <v>46</v>
      </c>
      <c r="F17" s="1711" t="s">
        <v>1056</v>
      </c>
      <c r="G17" s="1711" t="b">
        <v>1</v>
      </c>
      <c r="I17" s="1711">
        <v>152800</v>
      </c>
      <c r="M17" s="3332"/>
      <c r="N17" s="1711">
        <f t="shared" si="0"/>
        <v>1528</v>
      </c>
    </row>
    <row r="18" spans="1:14" ht="15.75">
      <c r="A18" s="12">
        <v>1531</v>
      </c>
      <c r="B18" s="12" t="s">
        <v>192</v>
      </c>
      <c r="C18" s="12" t="s">
        <v>193</v>
      </c>
      <c r="D18" s="12" t="s">
        <v>1056</v>
      </c>
      <c r="E18" s="13" t="s">
        <v>46</v>
      </c>
      <c r="F18" s="1711" t="s">
        <v>1056</v>
      </c>
      <c r="G18" s="1711" t="b">
        <v>1</v>
      </c>
      <c r="I18" s="1711">
        <v>153100</v>
      </c>
      <c r="M18" s="3332"/>
      <c r="N18" s="1711">
        <f t="shared" si="0"/>
        <v>1531</v>
      </c>
    </row>
    <row r="19" spans="1:14" ht="15.75">
      <c r="A19" s="12">
        <v>1532</v>
      </c>
      <c r="B19" s="12" t="s">
        <v>190</v>
      </c>
      <c r="C19" s="12" t="s">
        <v>191</v>
      </c>
      <c r="D19" s="12" t="s">
        <v>1056</v>
      </c>
      <c r="E19" s="13" t="s">
        <v>46</v>
      </c>
      <c r="F19" s="1711" t="s">
        <v>1056</v>
      </c>
      <c r="G19" s="1711" t="b">
        <v>1</v>
      </c>
      <c r="I19" s="1711">
        <v>153200</v>
      </c>
      <c r="M19" s="3332"/>
      <c r="N19" s="1711">
        <f t="shared" si="0"/>
        <v>1532</v>
      </c>
    </row>
    <row r="20" spans="1:14" ht="15.75">
      <c r="A20" s="12">
        <v>1533</v>
      </c>
      <c r="B20" s="12" t="s">
        <v>188</v>
      </c>
      <c r="C20" s="12" t="s">
        <v>189</v>
      </c>
      <c r="D20" s="12" t="s">
        <v>1056</v>
      </c>
      <c r="E20" s="13" t="s">
        <v>46</v>
      </c>
      <c r="F20" s="1711" t="s">
        <v>1056</v>
      </c>
      <c r="G20" s="1711" t="b">
        <v>1</v>
      </c>
      <c r="I20" s="1711">
        <v>153300</v>
      </c>
      <c r="M20" s="3332"/>
      <c r="N20" s="1711">
        <f t="shared" si="0"/>
        <v>1533</v>
      </c>
    </row>
    <row r="21" spans="1:14" ht="15.75">
      <c r="A21" s="12">
        <v>1534</v>
      </c>
      <c r="B21" s="12" t="s">
        <v>186</v>
      </c>
      <c r="C21" s="12" t="s">
        <v>187</v>
      </c>
      <c r="D21" s="12" t="s">
        <v>1056</v>
      </c>
      <c r="E21" s="13" t="s">
        <v>46</v>
      </c>
      <c r="F21" s="1711" t="s">
        <v>1056</v>
      </c>
      <c r="G21" s="1711" t="b">
        <v>1</v>
      </c>
      <c r="I21" s="1711">
        <v>153400</v>
      </c>
      <c r="M21" s="3332"/>
      <c r="N21" s="1711">
        <f t="shared" si="0"/>
        <v>1534</v>
      </c>
    </row>
    <row r="22" spans="1:14" ht="15.75">
      <c r="A22" s="12">
        <v>1535</v>
      </c>
      <c r="B22" s="12" t="s">
        <v>184</v>
      </c>
      <c r="C22" s="12" t="s">
        <v>185</v>
      </c>
      <c r="D22" s="12" t="s">
        <v>1056</v>
      </c>
      <c r="E22" s="13" t="s">
        <v>46</v>
      </c>
      <c r="F22" s="1711" t="s">
        <v>1056</v>
      </c>
      <c r="G22" s="1711" t="b">
        <v>1</v>
      </c>
      <c r="I22" s="1711">
        <v>153500</v>
      </c>
      <c r="M22" s="3332"/>
      <c r="N22" s="1711">
        <f t="shared" si="0"/>
        <v>1535</v>
      </c>
    </row>
    <row r="23" spans="1:14" ht="15.75">
      <c r="A23" s="12">
        <v>1536</v>
      </c>
      <c r="B23" s="12" t="s">
        <v>182</v>
      </c>
      <c r="C23" s="12" t="s">
        <v>183</v>
      </c>
      <c r="D23" s="12" t="s">
        <v>1056</v>
      </c>
      <c r="E23" s="13" t="s">
        <v>46</v>
      </c>
      <c r="F23" s="1711" t="s">
        <v>1055</v>
      </c>
      <c r="G23" s="1711" t="b">
        <v>1</v>
      </c>
      <c r="I23" s="1711">
        <v>153601</v>
      </c>
      <c r="J23" s="1711">
        <v>153602</v>
      </c>
      <c r="M23" s="3332"/>
      <c r="N23" s="1711">
        <f t="shared" si="0"/>
        <v>1536</v>
      </c>
    </row>
    <row r="24" spans="1:14" ht="15.75">
      <c r="A24" s="12">
        <v>1537</v>
      </c>
      <c r="B24" s="12" t="s">
        <v>180</v>
      </c>
      <c r="C24" s="12" t="s">
        <v>181</v>
      </c>
      <c r="D24" s="12" t="s">
        <v>1056</v>
      </c>
      <c r="E24" s="13" t="s">
        <v>46</v>
      </c>
      <c r="F24" s="1711" t="s">
        <v>1056</v>
      </c>
      <c r="G24" s="1711" t="b">
        <v>1</v>
      </c>
      <c r="I24" s="1711">
        <v>153700</v>
      </c>
      <c r="M24" s="3332"/>
      <c r="N24" s="1711">
        <f t="shared" si="0"/>
        <v>1537</v>
      </c>
    </row>
    <row r="25" spans="1:14" ht="15.75">
      <c r="A25" s="12">
        <v>1621</v>
      </c>
      <c r="B25" s="12" t="s">
        <v>178</v>
      </c>
      <c r="C25" s="12" t="s">
        <v>179</v>
      </c>
      <c r="D25" s="12" t="s">
        <v>1055</v>
      </c>
      <c r="E25" s="13" t="s">
        <v>46</v>
      </c>
      <c r="F25" s="1711" t="s">
        <v>1055</v>
      </c>
      <c r="G25" s="1711" t="b">
        <v>1</v>
      </c>
      <c r="M25" s="3332"/>
      <c r="N25" s="1711" t="str">
        <f t="shared" si="0"/>
        <v/>
      </c>
    </row>
    <row r="26" spans="1:14" ht="15.75">
      <c r="A26" s="12">
        <v>1622</v>
      </c>
      <c r="B26" s="12" t="s">
        <v>176</v>
      </c>
      <c r="C26" s="12" t="s">
        <v>177</v>
      </c>
      <c r="D26" s="12" t="s">
        <v>1055</v>
      </c>
      <c r="E26" s="13" t="s">
        <v>46</v>
      </c>
      <c r="F26" s="1711" t="s">
        <v>1055</v>
      </c>
      <c r="G26" s="1711" t="b">
        <v>1</v>
      </c>
      <c r="M26" s="3332"/>
      <c r="N26" s="1711" t="str">
        <f t="shared" si="0"/>
        <v/>
      </c>
    </row>
    <row r="27" spans="1:14" ht="15.75">
      <c r="A27" s="12">
        <v>1623</v>
      </c>
      <c r="B27" s="12" t="s">
        <v>174</v>
      </c>
      <c r="C27" s="12" t="s">
        <v>175</v>
      </c>
      <c r="D27" s="12" t="s">
        <v>1055</v>
      </c>
      <c r="E27" s="13" t="s">
        <v>46</v>
      </c>
      <c r="F27" s="1711" t="s">
        <v>1055</v>
      </c>
      <c r="G27" s="1711" t="b">
        <v>1</v>
      </c>
      <c r="M27" s="3332"/>
      <c r="N27" s="1711" t="str">
        <f t="shared" si="0"/>
        <v/>
      </c>
    </row>
    <row r="28" spans="1:14" ht="15.75">
      <c r="A28" s="12">
        <v>1624</v>
      </c>
      <c r="B28" s="12" t="s">
        <v>172</v>
      </c>
      <c r="C28" s="12" t="s">
        <v>173</v>
      </c>
      <c r="D28" s="12" t="s">
        <v>1055</v>
      </c>
      <c r="E28" s="13" t="s">
        <v>46</v>
      </c>
      <c r="F28" s="1711" t="s">
        <v>1055</v>
      </c>
      <c r="G28" s="1711" t="b">
        <v>1</v>
      </c>
      <c r="M28" s="3332"/>
      <c r="N28" s="1711" t="str">
        <f t="shared" si="0"/>
        <v/>
      </c>
    </row>
    <row r="29" spans="1:14" ht="15.75">
      <c r="A29" s="12">
        <v>1625</v>
      </c>
      <c r="B29" s="12" t="s">
        <v>170</v>
      </c>
      <c r="C29" s="12" t="s">
        <v>171</v>
      </c>
      <c r="D29" s="12" t="s">
        <v>1055</v>
      </c>
      <c r="E29" s="13" t="s">
        <v>46</v>
      </c>
      <c r="F29" s="1711" t="s">
        <v>1055</v>
      </c>
      <c r="G29" s="1711" t="b">
        <v>1</v>
      </c>
      <c r="M29" s="3332"/>
      <c r="N29" s="1711" t="str">
        <f t="shared" si="0"/>
        <v/>
      </c>
    </row>
    <row r="30" spans="1:14" ht="15.75">
      <c r="A30" s="12">
        <v>1631</v>
      </c>
      <c r="B30" s="12" t="s">
        <v>168</v>
      </c>
      <c r="C30" s="12" t="s">
        <v>169</v>
      </c>
      <c r="D30" s="12" t="s">
        <v>1056</v>
      </c>
      <c r="E30" s="13" t="s">
        <v>46</v>
      </c>
      <c r="F30" s="1711" t="s">
        <v>1056</v>
      </c>
      <c r="G30" s="1711" t="b">
        <v>1</v>
      </c>
      <c r="I30" s="1711">
        <v>163100</v>
      </c>
      <c r="M30" s="3332"/>
      <c r="N30" s="1711">
        <f t="shared" si="0"/>
        <v>1631</v>
      </c>
    </row>
    <row r="31" spans="1:14" ht="15.75">
      <c r="A31" s="12">
        <v>1632</v>
      </c>
      <c r="B31" s="12" t="s">
        <v>166</v>
      </c>
      <c r="C31" s="12" t="s">
        <v>167</v>
      </c>
      <c r="D31" s="1758" t="s">
        <v>1055</v>
      </c>
      <c r="E31" s="13" t="s">
        <v>46</v>
      </c>
      <c r="F31" s="1711" t="s">
        <v>1055</v>
      </c>
      <c r="G31" s="1711" t="b">
        <v>1</v>
      </c>
      <c r="M31" s="3332"/>
      <c r="N31" s="1711" t="str">
        <f t="shared" si="0"/>
        <v/>
      </c>
    </row>
    <row r="32" spans="1:14" ht="15.75">
      <c r="A32" s="12">
        <v>1633</v>
      </c>
      <c r="B32" s="12" t="s">
        <v>165</v>
      </c>
      <c r="C32" s="12" t="s">
        <v>165</v>
      </c>
      <c r="D32" s="12" t="s">
        <v>1055</v>
      </c>
      <c r="E32" s="13" t="s">
        <v>46</v>
      </c>
      <c r="F32" s="1711" t="s">
        <v>1055</v>
      </c>
      <c r="G32" s="1711" t="b">
        <v>1</v>
      </c>
      <c r="M32" s="3332"/>
      <c r="N32" s="1711" t="str">
        <f t="shared" si="0"/>
        <v/>
      </c>
    </row>
    <row r="33" spans="1:14" ht="15.75">
      <c r="A33" s="12">
        <v>1634</v>
      </c>
      <c r="B33" s="12" t="s">
        <v>163</v>
      </c>
      <c r="C33" s="12" t="s">
        <v>164</v>
      </c>
      <c r="D33" s="12" t="s">
        <v>1055</v>
      </c>
      <c r="E33" s="13" t="s">
        <v>46</v>
      </c>
      <c r="F33" s="1711" t="s">
        <v>1055</v>
      </c>
      <c r="G33" s="1711" t="b">
        <v>1</v>
      </c>
      <c r="M33" s="3332"/>
      <c r="N33" s="1711" t="str">
        <f t="shared" si="0"/>
        <v/>
      </c>
    </row>
    <row r="34" spans="1:14" ht="15.75">
      <c r="A34" s="12">
        <v>1635</v>
      </c>
      <c r="B34" s="12" t="s">
        <v>161</v>
      </c>
      <c r="C34" s="12" t="s">
        <v>162</v>
      </c>
      <c r="D34" s="12" t="s">
        <v>1055</v>
      </c>
      <c r="E34" s="13" t="s">
        <v>46</v>
      </c>
      <c r="F34" s="1711" t="s">
        <v>1055</v>
      </c>
      <c r="G34" s="1711" t="b">
        <v>1</v>
      </c>
      <c r="M34" s="3332"/>
      <c r="N34" s="1711" t="str">
        <f t="shared" si="0"/>
        <v/>
      </c>
    </row>
    <row r="35" spans="1:14" ht="15.75">
      <c r="A35" s="12">
        <v>1636</v>
      </c>
      <c r="B35" s="12" t="s">
        <v>159</v>
      </c>
      <c r="C35" s="12" t="s">
        <v>160</v>
      </c>
      <c r="D35" s="12" t="s">
        <v>1055</v>
      </c>
      <c r="E35" s="13" t="s">
        <v>46</v>
      </c>
      <c r="F35" s="1711" t="s">
        <v>1055</v>
      </c>
      <c r="G35" s="1711" t="b">
        <v>1</v>
      </c>
      <c r="M35" s="3332"/>
      <c r="N35" s="1711" t="str">
        <f t="shared" si="0"/>
        <v/>
      </c>
    </row>
    <row r="36" spans="1:14" ht="15.75">
      <c r="A36" s="12">
        <v>1637</v>
      </c>
      <c r="B36" s="12" t="s">
        <v>157</v>
      </c>
      <c r="C36" s="12" t="s">
        <v>158</v>
      </c>
      <c r="D36" s="1758" t="s">
        <v>1055</v>
      </c>
      <c r="E36" s="13" t="s">
        <v>46</v>
      </c>
      <c r="F36" s="1711" t="s">
        <v>1055</v>
      </c>
      <c r="G36" s="1711" t="b">
        <v>1</v>
      </c>
      <c r="M36" s="3332"/>
      <c r="N36" s="1711" t="str">
        <f t="shared" si="0"/>
        <v/>
      </c>
    </row>
    <row r="37" spans="1:14" ht="15.75">
      <c r="A37" s="12">
        <v>1638</v>
      </c>
      <c r="B37" s="12" t="s">
        <v>155</v>
      </c>
      <c r="C37" s="12" t="s">
        <v>156</v>
      </c>
      <c r="D37" s="12" t="s">
        <v>1056</v>
      </c>
      <c r="E37" s="13" t="s">
        <v>46</v>
      </c>
      <c r="F37" s="1711" t="s">
        <v>1056</v>
      </c>
      <c r="G37" s="1711" t="b">
        <v>1</v>
      </c>
      <c r="I37" s="1711">
        <v>163800</v>
      </c>
      <c r="M37" s="3332"/>
      <c r="N37" s="1711">
        <f t="shared" si="0"/>
        <v>1638</v>
      </c>
    </row>
    <row r="38" spans="1:14" ht="15.75">
      <c r="A38" s="12">
        <v>1711</v>
      </c>
      <c r="B38" s="12" t="s">
        <v>153</v>
      </c>
      <c r="C38" s="12" t="s">
        <v>154</v>
      </c>
      <c r="D38" s="1758" t="s">
        <v>1055</v>
      </c>
      <c r="E38" s="13" t="s">
        <v>46</v>
      </c>
      <c r="F38" s="1711" t="s">
        <v>1055</v>
      </c>
      <c r="G38" s="1711" t="b">
        <v>1</v>
      </c>
      <c r="M38" s="3332"/>
      <c r="N38" s="1711" t="str">
        <f t="shared" si="0"/>
        <v/>
      </c>
    </row>
    <row r="39" spans="1:14" ht="15.75">
      <c r="A39" s="12">
        <v>1712</v>
      </c>
      <c r="B39" s="12" t="s">
        <v>151</v>
      </c>
      <c r="C39" s="12" t="s">
        <v>152</v>
      </c>
      <c r="D39" s="12" t="s">
        <v>1055</v>
      </c>
      <c r="E39" s="13" t="s">
        <v>46</v>
      </c>
      <c r="F39" s="1711" t="s">
        <v>1055</v>
      </c>
      <c r="G39" s="1711" t="b">
        <v>1</v>
      </c>
      <c r="M39" s="3332"/>
      <c r="N39" s="1711" t="str">
        <f t="shared" si="0"/>
        <v/>
      </c>
    </row>
    <row r="40" spans="1:14" ht="15.75">
      <c r="A40" s="12">
        <v>1713</v>
      </c>
      <c r="B40" s="12" t="s">
        <v>149</v>
      </c>
      <c r="C40" s="12" t="s">
        <v>150</v>
      </c>
      <c r="D40" s="1758" t="s">
        <v>1055</v>
      </c>
      <c r="E40" s="13" t="s">
        <v>46</v>
      </c>
      <c r="F40" s="1711" t="s">
        <v>1055</v>
      </c>
      <c r="G40" s="1711" t="b">
        <v>1</v>
      </c>
      <c r="M40" s="3332"/>
      <c r="N40" s="1711" t="str">
        <f t="shared" si="0"/>
        <v/>
      </c>
    </row>
    <row r="41" spans="1:14" ht="15.75">
      <c r="A41" s="12">
        <v>1714</v>
      </c>
      <c r="B41" s="12" t="s">
        <v>147</v>
      </c>
      <c r="C41" s="12" t="s">
        <v>148</v>
      </c>
      <c r="D41" s="1758" t="s">
        <v>1055</v>
      </c>
      <c r="E41" s="13" t="s">
        <v>46</v>
      </c>
      <c r="F41" s="1711" t="s">
        <v>1055</v>
      </c>
      <c r="G41" s="1711" t="b">
        <v>1</v>
      </c>
      <c r="M41" s="3332"/>
      <c r="N41" s="1711" t="str">
        <f t="shared" si="0"/>
        <v/>
      </c>
    </row>
    <row r="42" spans="1:14" ht="15.75">
      <c r="A42" s="12">
        <v>1715</v>
      </c>
      <c r="B42" s="12" t="s">
        <v>145</v>
      </c>
      <c r="C42" s="12" t="s">
        <v>146</v>
      </c>
      <c r="D42" s="1758" t="s">
        <v>1055</v>
      </c>
      <c r="E42" s="13" t="s">
        <v>46</v>
      </c>
      <c r="F42" s="1711" t="s">
        <v>1055</v>
      </c>
      <c r="G42" s="1711" t="b">
        <v>1</v>
      </c>
      <c r="M42" s="3332"/>
      <c r="N42" s="1711" t="str">
        <f t="shared" si="0"/>
        <v/>
      </c>
    </row>
    <row r="43" spans="1:14" ht="15.75">
      <c r="A43" s="12">
        <v>1716</v>
      </c>
      <c r="B43" s="12" t="s">
        <v>143</v>
      </c>
      <c r="C43" s="12" t="s">
        <v>144</v>
      </c>
      <c r="D43" s="1758" t="s">
        <v>1055</v>
      </c>
      <c r="E43" s="13" t="s">
        <v>46</v>
      </c>
      <c r="F43" s="1711" t="s">
        <v>1055</v>
      </c>
      <c r="G43" s="1711" t="b">
        <v>1</v>
      </c>
      <c r="M43" s="3332"/>
      <c r="N43" s="1711" t="str">
        <f t="shared" si="0"/>
        <v/>
      </c>
    </row>
    <row r="44" spans="1:14" ht="15.75">
      <c r="A44" s="12">
        <v>1717</v>
      </c>
      <c r="B44" s="12" t="s">
        <v>141</v>
      </c>
      <c r="C44" s="12" t="s">
        <v>142</v>
      </c>
      <c r="D44" s="1758" t="s">
        <v>1055</v>
      </c>
      <c r="E44" s="13" t="s">
        <v>46</v>
      </c>
      <c r="F44" s="1711" t="s">
        <v>1055</v>
      </c>
      <c r="G44" s="1711" t="b">
        <v>1</v>
      </c>
      <c r="M44" s="3332"/>
      <c r="N44" s="1711" t="str">
        <f t="shared" si="0"/>
        <v/>
      </c>
    </row>
    <row r="45" spans="1:14" ht="15.75">
      <c r="A45" s="12">
        <v>1718</v>
      </c>
      <c r="B45" s="12" t="s">
        <v>139</v>
      </c>
      <c r="C45" s="12" t="s">
        <v>140</v>
      </c>
      <c r="D45" s="1758" t="s">
        <v>1055</v>
      </c>
      <c r="E45" s="13" t="s">
        <v>46</v>
      </c>
      <c r="F45" s="1711" t="s">
        <v>1055</v>
      </c>
      <c r="G45" s="1711" t="b">
        <v>1</v>
      </c>
      <c r="M45" s="3332"/>
      <c r="N45" s="1711" t="str">
        <f t="shared" si="0"/>
        <v/>
      </c>
    </row>
    <row r="46" spans="1:14" ht="15.75">
      <c r="A46" s="12">
        <v>1719</v>
      </c>
      <c r="B46" s="12" t="s">
        <v>137</v>
      </c>
      <c r="C46" s="12" t="s">
        <v>138</v>
      </c>
      <c r="D46" s="1758" t="s">
        <v>1055</v>
      </c>
      <c r="E46" s="13" t="s">
        <v>46</v>
      </c>
      <c r="F46" s="1711" t="s">
        <v>1055</v>
      </c>
      <c r="G46" s="1711" t="b">
        <v>1</v>
      </c>
      <c r="M46" s="3332"/>
      <c r="N46" s="1711" t="str">
        <f t="shared" si="0"/>
        <v/>
      </c>
    </row>
    <row r="47" spans="1:14" ht="15.75">
      <c r="A47" s="12">
        <v>1720</v>
      </c>
      <c r="B47" s="12" t="s">
        <v>135</v>
      </c>
      <c r="C47" s="12" t="s">
        <v>136</v>
      </c>
      <c r="D47" s="1758" t="s">
        <v>1055</v>
      </c>
      <c r="E47" s="13" t="s">
        <v>46</v>
      </c>
      <c r="F47" s="1711" t="s">
        <v>1055</v>
      </c>
      <c r="G47" s="1711" t="b">
        <v>1</v>
      </c>
      <c r="N47" s="1711" t="str">
        <f t="shared" si="0"/>
        <v/>
      </c>
    </row>
    <row r="48" spans="1:14" ht="15.75">
      <c r="A48" s="12">
        <v>1731</v>
      </c>
      <c r="B48" s="12" t="s">
        <v>133</v>
      </c>
      <c r="C48" s="12" t="s">
        <v>134</v>
      </c>
      <c r="D48" s="12" t="s">
        <v>1056</v>
      </c>
      <c r="E48" s="13" t="s">
        <v>46</v>
      </c>
      <c r="F48" s="1711" t="s">
        <v>1056</v>
      </c>
      <c r="G48" s="1711" t="b">
        <v>1</v>
      </c>
      <c r="I48" s="1711">
        <v>173101</v>
      </c>
      <c r="J48" s="1711">
        <v>173102</v>
      </c>
      <c r="K48" s="1711">
        <v>173103</v>
      </c>
      <c r="N48" s="1711">
        <f t="shared" si="0"/>
        <v>1731</v>
      </c>
    </row>
    <row r="49" spans="1:14" ht="15.75">
      <c r="A49" s="12">
        <v>1732</v>
      </c>
      <c r="B49" s="12" t="s">
        <v>131</v>
      </c>
      <c r="C49" s="12" t="s">
        <v>132</v>
      </c>
      <c r="D49" s="12" t="s">
        <v>1056</v>
      </c>
      <c r="E49" s="13" t="s">
        <v>46</v>
      </c>
      <c r="F49" s="1711" t="s">
        <v>1056</v>
      </c>
      <c r="G49" s="1711" t="b">
        <v>1</v>
      </c>
      <c r="I49" s="1711">
        <v>173200</v>
      </c>
      <c r="N49" s="1711">
        <f t="shared" si="0"/>
        <v>1732</v>
      </c>
    </row>
    <row r="50" spans="1:14" ht="15.75">
      <c r="A50" s="12">
        <v>1733</v>
      </c>
      <c r="B50" s="12" t="s">
        <v>129</v>
      </c>
      <c r="C50" s="12" t="s">
        <v>130</v>
      </c>
      <c r="D50" s="12" t="s">
        <v>1056</v>
      </c>
      <c r="E50" s="13" t="s">
        <v>46</v>
      </c>
      <c r="F50" s="1711" t="s">
        <v>1056</v>
      </c>
      <c r="G50" s="1711" t="b">
        <v>1</v>
      </c>
      <c r="I50" s="1711">
        <v>173300</v>
      </c>
      <c r="N50" s="1711">
        <f t="shared" si="0"/>
        <v>1733</v>
      </c>
    </row>
    <row r="51" spans="1:14" ht="15.75">
      <c r="A51" s="12">
        <v>1734</v>
      </c>
      <c r="B51" s="12" t="s">
        <v>127</v>
      </c>
      <c r="C51" s="12" t="s">
        <v>128</v>
      </c>
      <c r="D51" s="12" t="s">
        <v>1056</v>
      </c>
      <c r="E51" s="13" t="s">
        <v>46</v>
      </c>
      <c r="F51" s="1711" t="s">
        <v>1056</v>
      </c>
      <c r="G51" s="1711" t="b">
        <v>1</v>
      </c>
      <c r="I51" s="1711">
        <v>173400</v>
      </c>
      <c r="N51" s="1711">
        <f t="shared" si="0"/>
        <v>1734</v>
      </c>
    </row>
    <row r="52" spans="1:14" ht="15.75">
      <c r="A52" s="12">
        <v>1735</v>
      </c>
      <c r="B52" s="12" t="s">
        <v>124</v>
      </c>
      <c r="C52" s="12" t="s">
        <v>125</v>
      </c>
      <c r="D52" s="12" t="s">
        <v>1055</v>
      </c>
      <c r="E52" s="13" t="s">
        <v>46</v>
      </c>
      <c r="F52" s="1711" t="s">
        <v>1055</v>
      </c>
      <c r="G52" s="1711" t="b">
        <v>1</v>
      </c>
      <c r="N52" s="1711" t="str">
        <f t="shared" si="0"/>
        <v/>
      </c>
    </row>
    <row r="53" spans="1:14" ht="15.75">
      <c r="A53" s="12">
        <v>1735</v>
      </c>
      <c r="B53" s="12" t="s">
        <v>126</v>
      </c>
      <c r="C53" s="12" t="s">
        <v>125</v>
      </c>
      <c r="D53" s="12" t="s">
        <v>1055</v>
      </c>
      <c r="E53" s="13" t="s">
        <v>46</v>
      </c>
      <c r="F53" s="1711" t="s">
        <v>1055</v>
      </c>
      <c r="G53" s="1711" t="b">
        <v>1</v>
      </c>
      <c r="N53" s="1711" t="str">
        <f t="shared" si="0"/>
        <v/>
      </c>
    </row>
    <row r="54" spans="1:14" ht="15.75">
      <c r="A54" s="12">
        <v>1736</v>
      </c>
      <c r="B54" s="12" t="s">
        <v>122</v>
      </c>
      <c r="C54" s="12" t="s">
        <v>123</v>
      </c>
      <c r="D54" s="12" t="s">
        <v>1056</v>
      </c>
      <c r="E54" s="13" t="s">
        <v>46</v>
      </c>
      <c r="F54" s="1711" t="s">
        <v>1056</v>
      </c>
      <c r="G54" s="1711" t="b">
        <v>1</v>
      </c>
      <c r="I54" s="1711">
        <v>173600</v>
      </c>
      <c r="N54" s="1711">
        <f t="shared" si="0"/>
        <v>1736</v>
      </c>
    </row>
    <row r="55" spans="1:14" ht="15.75">
      <c r="A55" s="12">
        <v>1741</v>
      </c>
      <c r="B55" s="12" t="s">
        <v>120</v>
      </c>
      <c r="C55" s="12" t="s">
        <v>121</v>
      </c>
      <c r="D55" s="12" t="s">
        <v>1056</v>
      </c>
      <c r="E55" s="13" t="s">
        <v>46</v>
      </c>
      <c r="F55" s="1711" t="s">
        <v>1056</v>
      </c>
      <c r="G55" s="1711" t="b">
        <v>1</v>
      </c>
      <c r="I55" s="1711">
        <v>174100</v>
      </c>
      <c r="N55" s="1711">
        <f t="shared" si="0"/>
        <v>1741</v>
      </c>
    </row>
    <row r="56" spans="1:14" ht="15.75">
      <c r="A56" s="12">
        <v>1742</v>
      </c>
      <c r="B56" s="12" t="s">
        <v>118</v>
      </c>
      <c r="C56" s="12" t="s">
        <v>119</v>
      </c>
      <c r="D56" s="12" t="s">
        <v>1056</v>
      </c>
      <c r="E56" s="13" t="s">
        <v>46</v>
      </c>
      <c r="F56" s="1711" t="s">
        <v>1056</v>
      </c>
      <c r="G56" s="1711" t="b">
        <v>1</v>
      </c>
      <c r="I56" s="1711">
        <v>174200</v>
      </c>
      <c r="N56" s="1711">
        <f t="shared" si="0"/>
        <v>1742</v>
      </c>
    </row>
    <row r="57" spans="1:14" ht="15.75">
      <c r="A57" s="12">
        <v>1743</v>
      </c>
      <c r="B57" s="12" t="s">
        <v>116</v>
      </c>
      <c r="C57" s="12" t="s">
        <v>117</v>
      </c>
      <c r="D57" s="12" t="s">
        <v>1056</v>
      </c>
      <c r="E57" s="13" t="s">
        <v>46</v>
      </c>
      <c r="F57" s="1711" t="s">
        <v>1056</v>
      </c>
      <c r="G57" s="1711" t="b">
        <v>1</v>
      </c>
      <c r="I57" s="1711">
        <v>174300</v>
      </c>
      <c r="N57" s="1711">
        <f t="shared" si="0"/>
        <v>1743</v>
      </c>
    </row>
    <row r="58" spans="1:14" ht="15.75">
      <c r="A58" s="12">
        <v>1744</v>
      </c>
      <c r="B58" s="12" t="s">
        <v>114</v>
      </c>
      <c r="C58" s="12" t="s">
        <v>115</v>
      </c>
      <c r="D58" s="12" t="s">
        <v>1056</v>
      </c>
      <c r="E58" s="13" t="s">
        <v>46</v>
      </c>
      <c r="F58" s="1711" t="s">
        <v>1056</v>
      </c>
      <c r="G58" s="1711" t="b">
        <v>1</v>
      </c>
      <c r="I58" s="1711">
        <v>174400</v>
      </c>
      <c r="N58" s="1711">
        <f t="shared" si="0"/>
        <v>1744</v>
      </c>
    </row>
    <row r="59" spans="1:14" ht="15.75">
      <c r="A59" s="12">
        <v>1745</v>
      </c>
      <c r="B59" s="12" t="s">
        <v>112</v>
      </c>
      <c r="C59" s="12" t="s">
        <v>113</v>
      </c>
      <c r="D59" s="12" t="s">
        <v>1056</v>
      </c>
      <c r="E59" s="13" t="s">
        <v>46</v>
      </c>
      <c r="F59" s="1711" t="s">
        <v>1056</v>
      </c>
      <c r="G59" s="1711" t="b">
        <v>1</v>
      </c>
      <c r="I59" s="1711">
        <v>174500</v>
      </c>
      <c r="N59" s="1711">
        <f t="shared" si="0"/>
        <v>1745</v>
      </c>
    </row>
    <row r="60" spans="1:14" ht="15.75">
      <c r="A60" s="12">
        <v>1751</v>
      </c>
      <c r="B60" s="12" t="s">
        <v>110</v>
      </c>
      <c r="C60" s="12" t="s">
        <v>111</v>
      </c>
      <c r="D60" s="12" t="s">
        <v>1056</v>
      </c>
      <c r="E60" s="13" t="s">
        <v>46</v>
      </c>
      <c r="F60" s="1711" t="s">
        <v>1056</v>
      </c>
      <c r="G60" s="1711" t="b">
        <v>1</v>
      </c>
      <c r="I60" s="1711">
        <v>175100</v>
      </c>
      <c r="N60" s="1711">
        <f t="shared" si="0"/>
        <v>1751</v>
      </c>
    </row>
    <row r="61" spans="1:14" ht="15.75">
      <c r="A61" s="12">
        <v>1752</v>
      </c>
      <c r="B61" s="12" t="s">
        <v>108</v>
      </c>
      <c r="C61" s="12" t="s">
        <v>109</v>
      </c>
      <c r="D61" s="12" t="s">
        <v>1056</v>
      </c>
      <c r="E61" s="13" t="s">
        <v>46</v>
      </c>
      <c r="F61" s="1711" t="s">
        <v>1056</v>
      </c>
      <c r="G61" s="1711" t="b">
        <v>1</v>
      </c>
      <c r="I61" s="1711">
        <v>175200</v>
      </c>
      <c r="N61" s="1711">
        <f t="shared" si="0"/>
        <v>1752</v>
      </c>
    </row>
    <row r="62" spans="1:14" ht="15.75">
      <c r="A62" s="12">
        <v>1753</v>
      </c>
      <c r="B62" s="12" t="s">
        <v>106</v>
      </c>
      <c r="C62" s="12" t="s">
        <v>107</v>
      </c>
      <c r="D62" s="12" t="s">
        <v>1056</v>
      </c>
      <c r="E62" s="13" t="s">
        <v>46</v>
      </c>
      <c r="F62" s="1711" t="s">
        <v>1056</v>
      </c>
      <c r="G62" s="1711" t="b">
        <v>1</v>
      </c>
      <c r="I62" s="1711">
        <v>175300</v>
      </c>
      <c r="N62" s="1711">
        <f t="shared" si="0"/>
        <v>1753</v>
      </c>
    </row>
    <row r="63" spans="1:14" ht="15.75">
      <c r="A63" s="12">
        <v>1754</v>
      </c>
      <c r="B63" s="12" t="s">
        <v>104</v>
      </c>
      <c r="C63" s="12" t="s">
        <v>105</v>
      </c>
      <c r="D63" s="12" t="s">
        <v>1056</v>
      </c>
      <c r="E63" s="13" t="s">
        <v>46</v>
      </c>
      <c r="F63" s="1711" t="s">
        <v>1056</v>
      </c>
      <c r="G63" s="1711" t="b">
        <v>1</v>
      </c>
      <c r="I63" s="1711">
        <v>175400</v>
      </c>
      <c r="N63" s="1711">
        <f t="shared" si="0"/>
        <v>1754</v>
      </c>
    </row>
    <row r="64" spans="1:14" ht="15.75">
      <c r="A64" s="12">
        <v>1755</v>
      </c>
      <c r="B64" s="12" t="s">
        <v>102</v>
      </c>
      <c r="C64" s="12" t="s">
        <v>103</v>
      </c>
      <c r="D64" s="12" t="s">
        <v>1056</v>
      </c>
      <c r="E64" s="13" t="s">
        <v>46</v>
      </c>
      <c r="F64" s="1711" t="s">
        <v>1056</v>
      </c>
      <c r="G64" s="1711" t="b">
        <v>1</v>
      </c>
      <c r="I64" s="1711">
        <v>175500</v>
      </c>
      <c r="N64" s="1711">
        <f t="shared" si="0"/>
        <v>1755</v>
      </c>
    </row>
    <row r="65" spans="1:14" ht="15.75">
      <c r="A65" s="12">
        <v>1756</v>
      </c>
      <c r="B65" s="12" t="s">
        <v>100</v>
      </c>
      <c r="C65" s="12" t="s">
        <v>101</v>
      </c>
      <c r="D65" s="12" t="s">
        <v>1056</v>
      </c>
      <c r="E65" s="13" t="s">
        <v>46</v>
      </c>
      <c r="F65" s="1711" t="s">
        <v>1056</v>
      </c>
      <c r="G65" s="1711" t="b">
        <v>1</v>
      </c>
      <c r="I65" s="1711">
        <v>175601</v>
      </c>
      <c r="J65" s="1711">
        <v>175602</v>
      </c>
      <c r="K65" s="1711">
        <v>175603</v>
      </c>
      <c r="L65" s="1711">
        <v>175604</v>
      </c>
      <c r="N65" s="1711">
        <f t="shared" si="0"/>
        <v>1756</v>
      </c>
    </row>
    <row r="66" spans="1:14" ht="15.75">
      <c r="A66" s="12">
        <v>1757</v>
      </c>
      <c r="B66" s="12" t="s">
        <v>98</v>
      </c>
      <c r="C66" s="12" t="s">
        <v>99</v>
      </c>
      <c r="D66" s="12" t="s">
        <v>1056</v>
      </c>
      <c r="E66" s="13" t="s">
        <v>46</v>
      </c>
      <c r="F66" s="1711" t="s">
        <v>1056</v>
      </c>
      <c r="G66" s="1711" t="b">
        <v>1</v>
      </c>
      <c r="I66" s="1711">
        <v>175700</v>
      </c>
      <c r="N66" s="1711">
        <f t="shared" si="0"/>
        <v>1757</v>
      </c>
    </row>
    <row r="67" spans="1:14" ht="15.75">
      <c r="A67" s="12">
        <v>1761</v>
      </c>
      <c r="B67" s="12" t="s">
        <v>96</v>
      </c>
      <c r="C67" s="12" t="s">
        <v>97</v>
      </c>
      <c r="D67" s="12" t="s">
        <v>1056</v>
      </c>
      <c r="E67" s="13" t="s">
        <v>46</v>
      </c>
      <c r="F67" s="1711" t="s">
        <v>1056</v>
      </c>
      <c r="G67" s="1711" t="b">
        <v>1</v>
      </c>
      <c r="I67" s="1711">
        <v>176100</v>
      </c>
      <c r="N67" s="1711">
        <f t="shared" si="0"/>
        <v>1761</v>
      </c>
    </row>
    <row r="68" spans="1:14" ht="15.75">
      <c r="A68" s="12">
        <v>1762</v>
      </c>
      <c r="B68" s="12" t="s">
        <v>94</v>
      </c>
      <c r="C68" s="12" t="s">
        <v>95</v>
      </c>
      <c r="D68" s="12" t="s">
        <v>1056</v>
      </c>
      <c r="E68" s="13" t="s">
        <v>46</v>
      </c>
      <c r="F68" s="1711" t="s">
        <v>1056</v>
      </c>
      <c r="G68" s="1711" t="b">
        <v>1</v>
      </c>
      <c r="I68" s="1711">
        <v>176200</v>
      </c>
      <c r="N68" s="1711">
        <f t="shared" si="0"/>
        <v>1762</v>
      </c>
    </row>
    <row r="69" spans="1:14" ht="15.75">
      <c r="A69" s="12">
        <v>1763</v>
      </c>
      <c r="B69" s="12" t="s">
        <v>92</v>
      </c>
      <c r="C69" s="12" t="s">
        <v>93</v>
      </c>
      <c r="D69" s="12" t="s">
        <v>1056</v>
      </c>
      <c r="E69" s="13" t="s">
        <v>46</v>
      </c>
      <c r="F69" s="1711" t="s">
        <v>1056</v>
      </c>
      <c r="G69" s="1711" t="b">
        <v>1</v>
      </c>
      <c r="I69" s="1711">
        <v>176300</v>
      </c>
      <c r="N69" s="1711">
        <f t="shared" ref="N69:N100" si="1">IF(I69="","",A69)</f>
        <v>1763</v>
      </c>
    </row>
    <row r="70" spans="1:14" ht="15.75">
      <c r="A70" s="12">
        <v>1764</v>
      </c>
      <c r="B70" s="12" t="s">
        <v>90</v>
      </c>
      <c r="C70" s="12" t="s">
        <v>91</v>
      </c>
      <c r="D70" s="12" t="s">
        <v>1055</v>
      </c>
      <c r="E70" s="13" t="s">
        <v>46</v>
      </c>
      <c r="F70" s="1711" t="s">
        <v>1055</v>
      </c>
      <c r="G70" s="1711" t="b">
        <v>1</v>
      </c>
      <c r="N70" s="1711" t="str">
        <f t="shared" si="1"/>
        <v/>
      </c>
    </row>
    <row r="71" spans="1:14" ht="15.75">
      <c r="A71" s="12">
        <v>1765</v>
      </c>
      <c r="B71" s="12" t="s">
        <v>88</v>
      </c>
      <c r="C71" s="12" t="s">
        <v>89</v>
      </c>
      <c r="D71" s="12" t="s">
        <v>1055</v>
      </c>
      <c r="E71" s="13" t="s">
        <v>46</v>
      </c>
      <c r="F71" s="1711" t="s">
        <v>1055</v>
      </c>
      <c r="G71" s="1711" t="b">
        <v>1</v>
      </c>
      <c r="N71" s="1711" t="str">
        <f t="shared" si="1"/>
        <v/>
      </c>
    </row>
    <row r="72" spans="1:14" ht="15.75">
      <c r="A72" s="12">
        <v>1766</v>
      </c>
      <c r="B72" s="12" t="s">
        <v>86</v>
      </c>
      <c r="C72" s="12" t="s">
        <v>87</v>
      </c>
      <c r="D72" s="12" t="s">
        <v>1056</v>
      </c>
      <c r="E72" s="13" t="s">
        <v>46</v>
      </c>
      <c r="F72" s="1711" t="s">
        <v>1056</v>
      </c>
      <c r="G72" s="1711" t="b">
        <v>1</v>
      </c>
      <c r="I72" s="1711">
        <v>176600</v>
      </c>
      <c r="N72" s="1711">
        <f t="shared" si="1"/>
        <v>1766</v>
      </c>
    </row>
    <row r="73" spans="1:14" ht="15.75">
      <c r="A73" s="12">
        <v>1770</v>
      </c>
      <c r="B73" s="12" t="s">
        <v>84</v>
      </c>
      <c r="C73" s="12" t="s">
        <v>85</v>
      </c>
      <c r="D73" s="12" t="s">
        <v>1056</v>
      </c>
      <c r="E73" s="13" t="s">
        <v>46</v>
      </c>
      <c r="F73" s="1711" t="s">
        <v>1056</v>
      </c>
      <c r="G73" s="1711" t="b">
        <v>1</v>
      </c>
      <c r="I73" s="1711">
        <v>177000</v>
      </c>
      <c r="N73" s="1711">
        <f t="shared" si="1"/>
        <v>1770</v>
      </c>
    </row>
    <row r="74" spans="1:14" ht="15.75">
      <c r="A74" s="12">
        <v>1774</v>
      </c>
      <c r="B74" s="12" t="s">
        <v>83</v>
      </c>
      <c r="C74" s="12" t="s">
        <v>83</v>
      </c>
      <c r="D74" s="12" t="s">
        <v>1056</v>
      </c>
      <c r="E74" s="13" t="s">
        <v>46</v>
      </c>
      <c r="F74" s="1711" t="s">
        <v>1056</v>
      </c>
      <c r="G74" s="1711" t="b">
        <v>1</v>
      </c>
      <c r="I74" s="1711">
        <v>177400</v>
      </c>
      <c r="N74" s="1711">
        <f t="shared" si="1"/>
        <v>1774</v>
      </c>
    </row>
    <row r="75" spans="1:14" ht="15.75">
      <c r="A75" s="12">
        <v>1777</v>
      </c>
      <c r="B75" s="12" t="s">
        <v>81</v>
      </c>
      <c r="C75" s="12" t="s">
        <v>82</v>
      </c>
      <c r="D75" s="12" t="s">
        <v>1056</v>
      </c>
      <c r="E75" s="13" t="s">
        <v>46</v>
      </c>
      <c r="F75" s="1711" t="s">
        <v>1056</v>
      </c>
      <c r="G75" s="1711" t="b">
        <v>1</v>
      </c>
      <c r="I75" s="1711">
        <v>177700</v>
      </c>
      <c r="N75" s="1711">
        <f t="shared" si="1"/>
        <v>1777</v>
      </c>
    </row>
    <row r="76" spans="1:14" ht="15.75">
      <c r="A76" s="14">
        <v>1778</v>
      </c>
      <c r="B76" s="14" t="s">
        <v>79</v>
      </c>
      <c r="C76" s="12" t="s">
        <v>80</v>
      </c>
      <c r="D76" s="12" t="s">
        <v>1056</v>
      </c>
      <c r="E76" s="15" t="s">
        <v>46</v>
      </c>
      <c r="F76" s="1711" t="s">
        <v>1056</v>
      </c>
      <c r="G76" s="1711" t="b">
        <v>1</v>
      </c>
      <c r="I76" s="1711">
        <v>177800</v>
      </c>
      <c r="N76" s="1711">
        <f t="shared" si="1"/>
        <v>1778</v>
      </c>
    </row>
    <row r="77" spans="1:14" ht="15.75">
      <c r="A77" s="12">
        <v>1779</v>
      </c>
      <c r="B77" s="12" t="s">
        <v>77</v>
      </c>
      <c r="C77" s="12" t="s">
        <v>78</v>
      </c>
      <c r="D77" s="1758" t="s">
        <v>1055</v>
      </c>
      <c r="E77" s="13" t="s">
        <v>46</v>
      </c>
      <c r="F77" s="1711" t="s">
        <v>1055</v>
      </c>
      <c r="G77" s="1711" t="b">
        <v>1</v>
      </c>
      <c r="N77" s="1711" t="str">
        <f t="shared" si="1"/>
        <v/>
      </c>
    </row>
    <row r="78" spans="1:14" ht="15.75">
      <c r="A78" s="12">
        <v>1780</v>
      </c>
      <c r="B78" s="12" t="s">
        <v>75</v>
      </c>
      <c r="C78" s="12" t="s">
        <v>76</v>
      </c>
      <c r="D78" s="12" t="s">
        <v>1056</v>
      </c>
      <c r="E78" s="13" t="s">
        <v>46</v>
      </c>
      <c r="F78" s="1711" t="s">
        <v>1056</v>
      </c>
      <c r="G78" s="1711" t="b">
        <v>1</v>
      </c>
      <c r="I78" s="1711">
        <v>178000</v>
      </c>
      <c r="N78" s="1711">
        <f t="shared" si="1"/>
        <v>1780</v>
      </c>
    </row>
    <row r="79" spans="1:14" ht="15.75">
      <c r="A79" s="12">
        <v>1781</v>
      </c>
      <c r="B79" s="12" t="s">
        <v>73</v>
      </c>
      <c r="C79" s="12" t="s">
        <v>74</v>
      </c>
      <c r="D79" s="12" t="s">
        <v>3823</v>
      </c>
      <c r="E79" s="13" t="s">
        <v>46</v>
      </c>
      <c r="F79" s="1711" t="s">
        <v>3823</v>
      </c>
      <c r="G79" s="1711" t="b">
        <v>1</v>
      </c>
      <c r="N79" s="1711" t="str">
        <f t="shared" si="1"/>
        <v/>
      </c>
    </row>
    <row r="80" spans="1:14" ht="15.75">
      <c r="A80" s="12">
        <v>1783</v>
      </c>
      <c r="B80" s="12" t="s">
        <v>71</v>
      </c>
      <c r="C80" s="12" t="s">
        <v>72</v>
      </c>
      <c r="D80" s="1758" t="s">
        <v>1055</v>
      </c>
      <c r="E80" s="13" t="s">
        <v>46</v>
      </c>
      <c r="F80" s="1711" t="s">
        <v>1055</v>
      </c>
      <c r="G80" s="1711" t="b">
        <v>1</v>
      </c>
      <c r="N80" s="1711" t="str">
        <f t="shared" si="1"/>
        <v/>
      </c>
    </row>
    <row r="81" spans="1:14" ht="15.75">
      <c r="A81" s="12">
        <v>1811</v>
      </c>
      <c r="B81" s="12" t="s">
        <v>69</v>
      </c>
      <c r="C81" s="12" t="s">
        <v>70</v>
      </c>
      <c r="D81" s="12" t="s">
        <v>1056</v>
      </c>
      <c r="E81" s="13" t="s">
        <v>46</v>
      </c>
      <c r="F81" s="1711" t="s">
        <v>1056</v>
      </c>
      <c r="G81" s="1711" t="b">
        <v>1</v>
      </c>
      <c r="I81" s="1711">
        <v>181101</v>
      </c>
      <c r="J81" s="1711">
        <v>181102</v>
      </c>
      <c r="N81" s="1711">
        <f t="shared" si="1"/>
        <v>1811</v>
      </c>
    </row>
    <row r="82" spans="1:14" ht="15.75">
      <c r="A82" s="12">
        <v>1812</v>
      </c>
      <c r="B82" s="12" t="s">
        <v>68</v>
      </c>
      <c r="C82" s="12" t="s">
        <v>952</v>
      </c>
      <c r="D82" s="12" t="s">
        <v>1056</v>
      </c>
      <c r="E82" s="13" t="s">
        <v>46</v>
      </c>
      <c r="F82" s="1711" t="s">
        <v>1056</v>
      </c>
      <c r="G82" s="1711" t="b">
        <v>1</v>
      </c>
      <c r="I82" s="1711">
        <v>181200</v>
      </c>
      <c r="N82" s="1711">
        <f t="shared" si="1"/>
        <v>1812</v>
      </c>
    </row>
    <row r="83" spans="1:14" ht="15.75">
      <c r="A83" s="12">
        <v>1813</v>
      </c>
      <c r="B83" s="12" t="s">
        <v>66</v>
      </c>
      <c r="C83" s="12" t="s">
        <v>67</v>
      </c>
      <c r="D83" s="12" t="s">
        <v>1056</v>
      </c>
      <c r="E83" s="13" t="s">
        <v>46</v>
      </c>
      <c r="F83" s="1711" t="s">
        <v>1056</v>
      </c>
      <c r="G83" s="1711" t="b">
        <v>1</v>
      </c>
      <c r="I83" s="1711">
        <v>181300</v>
      </c>
      <c r="N83" s="1711">
        <f t="shared" si="1"/>
        <v>1813</v>
      </c>
    </row>
    <row r="84" spans="1:14" ht="15.75">
      <c r="A84" s="8">
        <v>1814</v>
      </c>
      <c r="B84" s="8" t="s">
        <v>64</v>
      </c>
      <c r="C84" s="12" t="s">
        <v>65</v>
      </c>
      <c r="D84" s="12" t="s">
        <v>1056</v>
      </c>
      <c r="E84" s="9" t="s">
        <v>46</v>
      </c>
      <c r="F84" s="1711" t="s">
        <v>1056</v>
      </c>
      <c r="G84" s="1711" t="b">
        <v>1</v>
      </c>
      <c r="I84" s="1711">
        <v>181400</v>
      </c>
      <c r="N84" s="1711">
        <f t="shared" si="1"/>
        <v>1814</v>
      </c>
    </row>
    <row r="85" spans="1:14" ht="15.75">
      <c r="A85" s="12">
        <v>1830</v>
      </c>
      <c r="B85" s="12" t="s">
        <v>62</v>
      </c>
      <c r="C85" s="12" t="s">
        <v>63</v>
      </c>
      <c r="D85" s="1758" t="s">
        <v>4252</v>
      </c>
      <c r="E85" s="13" t="s">
        <v>46</v>
      </c>
      <c r="F85" s="1711" t="s">
        <v>4252</v>
      </c>
      <c r="G85" s="1711" t="b">
        <v>1</v>
      </c>
      <c r="N85" s="1711" t="str">
        <f t="shared" si="1"/>
        <v/>
      </c>
    </row>
    <row r="86" spans="1:14" ht="15.75">
      <c r="A86" s="12">
        <v>1831</v>
      </c>
      <c r="B86" s="12" t="s">
        <v>60</v>
      </c>
      <c r="C86" s="12" t="s">
        <v>61</v>
      </c>
      <c r="D86" s="12" t="s">
        <v>1056</v>
      </c>
      <c r="E86" s="13" t="s">
        <v>46</v>
      </c>
      <c r="F86" s="1711" t="s">
        <v>1056</v>
      </c>
      <c r="G86" s="1711" t="b">
        <v>1</v>
      </c>
      <c r="I86" s="1711">
        <v>183100</v>
      </c>
      <c r="N86" s="1711">
        <f t="shared" si="1"/>
        <v>1831</v>
      </c>
    </row>
    <row r="87" spans="1:14" ht="15.75">
      <c r="A87" s="12">
        <v>2353</v>
      </c>
      <c r="B87" s="12" t="s">
        <v>58</v>
      </c>
      <c r="C87" s="12" t="s">
        <v>59</v>
      </c>
      <c r="D87" s="12" t="s">
        <v>1056</v>
      </c>
      <c r="E87" s="13" t="s">
        <v>46</v>
      </c>
      <c r="F87" s="1711" t="s">
        <v>1056</v>
      </c>
      <c r="G87" s="1711" t="b">
        <v>1</v>
      </c>
      <c r="I87" s="1711">
        <v>235300</v>
      </c>
      <c r="N87" s="1711">
        <f t="shared" si="1"/>
        <v>2353</v>
      </c>
    </row>
    <row r="88" spans="1:14" ht="15.75">
      <c r="A88" s="12">
        <v>7396</v>
      </c>
      <c r="B88" s="12" t="s">
        <v>55</v>
      </c>
      <c r="C88" s="12" t="s">
        <v>56</v>
      </c>
      <c r="D88" s="1758" t="s">
        <v>3823</v>
      </c>
      <c r="E88" s="13" t="s">
        <v>57</v>
      </c>
      <c r="F88" s="1711" t="s">
        <v>3823</v>
      </c>
      <c r="G88" s="1711" t="b">
        <v>1</v>
      </c>
      <c r="N88" s="1711" t="str">
        <f t="shared" si="1"/>
        <v/>
      </c>
    </row>
    <row r="89" spans="1:14" ht="15.75">
      <c r="A89" s="12">
        <v>7411</v>
      </c>
      <c r="B89" s="12" t="s">
        <v>53</v>
      </c>
      <c r="C89" s="12" t="s">
        <v>54</v>
      </c>
      <c r="D89" s="1758" t="s">
        <v>1055</v>
      </c>
      <c r="E89" s="13" t="s">
        <v>46</v>
      </c>
      <c r="F89" s="1711" t="s">
        <v>1055</v>
      </c>
      <c r="G89" s="1711" t="b">
        <v>1</v>
      </c>
      <c r="N89" s="1711" t="str">
        <f t="shared" si="1"/>
        <v/>
      </c>
    </row>
    <row r="90" spans="1:14" ht="15.75">
      <c r="A90" s="12">
        <v>7412</v>
      </c>
      <c r="B90" s="12" t="s">
        <v>51</v>
      </c>
      <c r="C90" s="12" t="s">
        <v>52</v>
      </c>
      <c r="D90" s="12" t="s">
        <v>3823</v>
      </c>
      <c r="E90" s="13" t="s">
        <v>46</v>
      </c>
      <c r="F90" s="1711" t="s">
        <v>3823</v>
      </c>
      <c r="G90" s="1711" t="b">
        <v>1</v>
      </c>
      <c r="N90" s="1711" t="str">
        <f t="shared" si="1"/>
        <v/>
      </c>
    </row>
    <row r="91" spans="1:14" ht="15.75">
      <c r="A91" s="12">
        <v>7413</v>
      </c>
      <c r="B91" s="12" t="s">
        <v>49</v>
      </c>
      <c r="C91" s="12" t="s">
        <v>50</v>
      </c>
      <c r="D91" s="1758" t="s">
        <v>1055</v>
      </c>
      <c r="E91" s="13" t="s">
        <v>46</v>
      </c>
      <c r="F91" s="1711" t="s">
        <v>1055</v>
      </c>
      <c r="G91" s="1711" t="b">
        <v>1</v>
      </c>
      <c r="N91" s="1711" t="str">
        <f t="shared" si="1"/>
        <v/>
      </c>
    </row>
    <row r="92" spans="1:14" ht="15.75">
      <c r="A92" s="12">
        <v>7414</v>
      </c>
      <c r="B92" s="12" t="s">
        <v>47</v>
      </c>
      <c r="C92" s="12" t="s">
        <v>48</v>
      </c>
      <c r="D92" s="12" t="s">
        <v>3823</v>
      </c>
      <c r="E92" s="13" t="s">
        <v>46</v>
      </c>
      <c r="F92" s="1711" t="s">
        <v>3823</v>
      </c>
      <c r="G92" s="1711" t="b">
        <v>1</v>
      </c>
      <c r="N92" s="1711" t="str">
        <f t="shared" si="1"/>
        <v/>
      </c>
    </row>
    <row r="93" spans="1:14" ht="15.75">
      <c r="A93" s="12">
        <v>7415</v>
      </c>
      <c r="B93" s="12" t="s">
        <v>44</v>
      </c>
      <c r="C93" s="12" t="s">
        <v>45</v>
      </c>
      <c r="D93" s="12" t="s">
        <v>3823</v>
      </c>
      <c r="E93" s="13" t="s">
        <v>46</v>
      </c>
      <c r="F93" s="1711" t="s">
        <v>3823</v>
      </c>
      <c r="G93" s="1711" t="b">
        <v>1</v>
      </c>
      <c r="N93" s="1711" t="str">
        <f t="shared" si="1"/>
        <v/>
      </c>
    </row>
    <row r="94" spans="1:14" ht="15.75">
      <c r="A94" s="12">
        <v>7301</v>
      </c>
      <c r="B94" s="12" t="s">
        <v>784</v>
      </c>
      <c r="C94" s="12" t="s">
        <v>3380</v>
      </c>
      <c r="D94" s="14" t="s">
        <v>258</v>
      </c>
      <c r="E94" s="13" t="s">
        <v>46</v>
      </c>
      <c r="F94" s="1711" t="s">
        <v>258</v>
      </c>
      <c r="G94" s="1711" t="b">
        <v>1</v>
      </c>
      <c r="N94" s="1711" t="str">
        <f t="shared" si="1"/>
        <v/>
      </c>
    </row>
    <row r="95" spans="1:14" ht="15.75">
      <c r="A95" s="12">
        <v>7321</v>
      </c>
      <c r="B95" s="12" t="s">
        <v>789</v>
      </c>
      <c r="C95" s="12" t="s">
        <v>3381</v>
      </c>
      <c r="D95" s="14" t="s">
        <v>258</v>
      </c>
      <c r="E95" s="13" t="s">
        <v>46</v>
      </c>
      <c r="F95" s="1711" t="s">
        <v>258</v>
      </c>
      <c r="G95" s="1711" t="b">
        <v>1</v>
      </c>
      <c r="N95" s="1711" t="str">
        <f t="shared" si="1"/>
        <v/>
      </c>
    </row>
    <row r="96" spans="1:14" ht="15.75">
      <c r="A96" s="12">
        <v>7391</v>
      </c>
      <c r="B96" s="12" t="s">
        <v>790</v>
      </c>
      <c r="C96" s="12" t="s">
        <v>3382</v>
      </c>
      <c r="D96" s="1758" t="s">
        <v>1056</v>
      </c>
      <c r="E96" s="13" t="s">
        <v>46</v>
      </c>
      <c r="F96" s="1711" t="s">
        <v>1056</v>
      </c>
      <c r="G96" s="1711" t="b">
        <v>1</v>
      </c>
      <c r="I96" s="1711">
        <v>739100</v>
      </c>
      <c r="N96" s="1711">
        <f t="shared" si="1"/>
        <v>7391</v>
      </c>
    </row>
    <row r="97" spans="1:14" ht="15.75">
      <c r="A97" s="12">
        <v>7394</v>
      </c>
      <c r="B97" s="12" t="s">
        <v>793</v>
      </c>
      <c r="C97" s="12" t="s">
        <v>3383</v>
      </c>
      <c r="D97" s="12" t="s">
        <v>1056</v>
      </c>
      <c r="E97" s="13" t="s">
        <v>46</v>
      </c>
      <c r="F97" s="1711" t="s">
        <v>1056</v>
      </c>
      <c r="G97" s="1711" t="b">
        <v>1</v>
      </c>
      <c r="I97" s="1711">
        <v>739401</v>
      </c>
      <c r="J97" s="1711">
        <v>739402</v>
      </c>
      <c r="N97" s="1711">
        <f t="shared" si="1"/>
        <v>7394</v>
      </c>
    </row>
    <row r="98" spans="1:14" ht="15.75">
      <c r="A98" s="12">
        <v>7395</v>
      </c>
      <c r="B98" s="12" t="s">
        <v>794</v>
      </c>
      <c r="C98" s="12" t="s">
        <v>3384</v>
      </c>
      <c r="D98" s="12" t="s">
        <v>1056</v>
      </c>
      <c r="E98" s="13" t="s">
        <v>46</v>
      </c>
      <c r="F98" s="1711" t="s">
        <v>1056</v>
      </c>
      <c r="G98" s="1711" t="b">
        <v>1</v>
      </c>
      <c r="I98" s="1711">
        <v>739500</v>
      </c>
      <c r="N98" s="1711">
        <f t="shared" si="1"/>
        <v>7395</v>
      </c>
    </row>
    <row r="99" spans="1:14" ht="15.75">
      <c r="A99" s="12">
        <v>7693</v>
      </c>
      <c r="B99" s="12" t="s">
        <v>816</v>
      </c>
      <c r="C99" s="12" t="s">
        <v>3385</v>
      </c>
      <c r="D99" s="12" t="s">
        <v>1056</v>
      </c>
      <c r="E99" s="13" t="s">
        <v>46</v>
      </c>
      <c r="F99" s="1711" t="s">
        <v>1056</v>
      </c>
      <c r="G99" s="1711" t="b">
        <v>1</v>
      </c>
      <c r="I99" s="1711">
        <v>769300</v>
      </c>
      <c r="N99" s="1711">
        <f t="shared" si="1"/>
        <v>7693</v>
      </c>
    </row>
    <row r="100" spans="1:14" ht="15.75">
      <c r="A100" s="12">
        <v>7392</v>
      </c>
      <c r="B100" s="12" t="s">
        <v>3962</v>
      </c>
      <c r="C100" s="12" t="s">
        <v>3963</v>
      </c>
      <c r="D100" s="12" t="s">
        <v>1056</v>
      </c>
      <c r="E100" s="13" t="s">
        <v>46</v>
      </c>
      <c r="F100" s="1711" t="s">
        <v>1056</v>
      </c>
      <c r="G100" s="1711" t="b">
        <v>1</v>
      </c>
      <c r="I100" s="1711">
        <v>739200</v>
      </c>
      <c r="N100" s="1711">
        <f t="shared" si="1"/>
        <v>7392</v>
      </c>
    </row>
    <row r="101" spans="1:14" ht="15.75">
      <c r="A101" s="12">
        <v>1525</v>
      </c>
      <c r="B101" s="12" t="s">
        <v>307</v>
      </c>
      <c r="C101" s="12" t="s">
        <v>307</v>
      </c>
      <c r="D101" s="14" t="s">
        <v>258</v>
      </c>
      <c r="E101" s="13" t="s">
        <v>46</v>
      </c>
      <c r="F101" s="1711" t="s">
        <v>258</v>
      </c>
      <c r="G101" s="1711" t="b">
        <v>1</v>
      </c>
    </row>
    <row r="102" spans="1:14" ht="15.75">
      <c r="A102" s="12">
        <v>1775</v>
      </c>
      <c r="B102" s="12" t="s">
        <v>312</v>
      </c>
      <c r="C102" s="12" t="s">
        <v>312</v>
      </c>
      <c r="D102" s="14" t="s">
        <v>258</v>
      </c>
      <c r="E102" s="13" t="s">
        <v>46</v>
      </c>
      <c r="F102" s="1711" t="s">
        <v>258</v>
      </c>
      <c r="G102" s="1711" t="b">
        <v>1</v>
      </c>
    </row>
    <row r="103" spans="1:14" ht="15.75">
      <c r="A103" s="12">
        <v>1776</v>
      </c>
      <c r="B103" s="12" t="s">
        <v>313</v>
      </c>
      <c r="C103" s="12" t="s">
        <v>313</v>
      </c>
      <c r="D103" s="14" t="s">
        <v>258</v>
      </c>
      <c r="E103" s="13" t="s">
        <v>46</v>
      </c>
      <c r="F103" s="1711" t="s">
        <v>258</v>
      </c>
      <c r="G103" s="1711" t="b">
        <v>1</v>
      </c>
    </row>
  </sheetData>
  <autoFilter ref="A3:G103" xr:uid="{00000000-0009-0000-0000-00000F000000}"/>
  <sortState xmlns:xlrd2="http://schemas.microsoft.com/office/spreadsheetml/2017/richdata2" ref="A4:D93">
    <sortCondition ref="A4:A9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4">
    <tabColor rgb="FFEC14B3"/>
  </sheetPr>
  <dimension ref="A1:I72"/>
  <sheetViews>
    <sheetView showGridLines="0" zoomScale="90" zoomScaleNormal="90" workbookViewId="0">
      <selection activeCell="G33" sqref="G33"/>
    </sheetView>
  </sheetViews>
  <sheetFormatPr defaultColWidth="9.140625" defaultRowHeight="15" outlineLevelCol="1"/>
  <cols>
    <col min="1" max="1" width="22.5703125" style="1711" customWidth="1"/>
    <col min="2" max="2" width="6.5703125" style="1711" hidden="1" customWidth="1" outlineLevel="1"/>
    <col min="3" max="3" width="8.140625" style="1711" hidden="1" customWidth="1" outlineLevel="1"/>
    <col min="4" max="4" width="22.85546875" style="1711" hidden="1" customWidth="1" outlineLevel="1"/>
    <col min="5" max="5" width="22.7109375" style="1711" customWidth="1" collapsed="1"/>
    <col min="6" max="6" width="24" style="1711" customWidth="1"/>
    <col min="7" max="7" width="45" customWidth="1"/>
    <col min="8" max="8" width="15.85546875" customWidth="1"/>
    <col min="9" max="9" width="15" style="423" customWidth="1"/>
  </cols>
  <sheetData>
    <row r="1" spans="1:9" s="1711" customFormat="1">
      <c r="A1" s="1711" t="s">
        <v>4435</v>
      </c>
      <c r="H1" s="569">
        <v>8.4</v>
      </c>
      <c r="I1" s="569">
        <v>8.3000000000000007</v>
      </c>
    </row>
    <row r="2" spans="1:9" s="1711" customFormat="1"/>
    <row r="3" spans="1:9" s="1711" customFormat="1" ht="26.25">
      <c r="A3" s="3190" t="s">
        <v>4448</v>
      </c>
      <c r="F3" s="1711" t="s">
        <v>4451</v>
      </c>
      <c r="G3" s="1711" t="s">
        <v>4455</v>
      </c>
      <c r="H3" s="1807" t="s">
        <v>4442</v>
      </c>
    </row>
    <row r="4" spans="1:9" s="445" customFormat="1" ht="15.75">
      <c r="A4" s="3179" t="s">
        <v>4181</v>
      </c>
      <c r="B4" s="3179" t="s">
        <v>4438</v>
      </c>
      <c r="C4" s="3179" t="s">
        <v>4438</v>
      </c>
      <c r="D4" s="3179"/>
      <c r="E4" s="3179" t="s">
        <v>259</v>
      </c>
      <c r="F4" s="3179" t="s">
        <v>4439</v>
      </c>
      <c r="G4" s="3179" t="s">
        <v>1196</v>
      </c>
      <c r="H4" s="3180" t="s">
        <v>4437</v>
      </c>
      <c r="I4" s="3181" t="s">
        <v>4436</v>
      </c>
    </row>
    <row r="5" spans="1:9" ht="16.5">
      <c r="A5" s="3172" t="s">
        <v>4433</v>
      </c>
      <c r="B5" s="3172" t="str">
        <f>LEFT(A5,1)</f>
        <v>N</v>
      </c>
      <c r="C5" s="3172" t="str">
        <f t="shared" ref="C5:C28" si="0">CONCATENATE(B5,"_",LEFT(E5,1))</f>
        <v>N_Q</v>
      </c>
      <c r="D5" s="3172" t="str">
        <f>CONCATENATE(C5,"_",G5)</f>
        <v>N_Q_Tools</v>
      </c>
      <c r="E5" s="3172" t="s">
        <v>246</v>
      </c>
      <c r="F5" s="3172" t="s">
        <v>4441</v>
      </c>
      <c r="G5" s="3185" t="s">
        <v>4017</v>
      </c>
      <c r="H5" s="3173">
        <v>3.5</v>
      </c>
      <c r="I5" s="3173">
        <v>3.5</v>
      </c>
    </row>
    <row r="6" spans="1:9" ht="16.5">
      <c r="A6" s="3172" t="s">
        <v>4433</v>
      </c>
      <c r="B6" s="3172" t="str">
        <f t="shared" ref="B6:B28" si="1">LEFT(A6,1)</f>
        <v>N</v>
      </c>
      <c r="C6" s="3172" t="str">
        <f t="shared" si="0"/>
        <v>N_Q</v>
      </c>
      <c r="D6" s="3172" t="str">
        <f t="shared" ref="D6:D28" si="2">CONCATENATE(C6,"_",G6)</f>
        <v>N_Q_Contractor Equipment</v>
      </c>
      <c r="E6" s="3172" t="s">
        <v>246</v>
      </c>
      <c r="F6" s="3172" t="s">
        <v>4441</v>
      </c>
      <c r="G6" s="3185" t="s">
        <v>4515</v>
      </c>
      <c r="H6" s="3173">
        <f>I6</f>
        <v>1</v>
      </c>
      <c r="I6" s="3173">
        <v>1</v>
      </c>
    </row>
    <row r="7" spans="1:9" ht="16.5">
      <c r="A7" s="3172" t="s">
        <v>4433</v>
      </c>
      <c r="B7" s="3172" t="str">
        <f t="shared" si="1"/>
        <v>N</v>
      </c>
      <c r="C7" s="3172" t="str">
        <f t="shared" si="0"/>
        <v>N_Q</v>
      </c>
      <c r="D7" s="3172" t="str">
        <f t="shared" si="2"/>
        <v>N_Q_Contractor's equipment Rented(max 45 days per year)</v>
      </c>
      <c r="E7" s="3172" t="s">
        <v>246</v>
      </c>
      <c r="F7" s="3172" t="s">
        <v>4441</v>
      </c>
      <c r="G7" s="3185" t="s">
        <v>4123</v>
      </c>
      <c r="H7" s="3173">
        <f>I7</f>
        <v>1</v>
      </c>
      <c r="I7" s="3173">
        <f>I6</f>
        <v>1</v>
      </c>
    </row>
    <row r="8" spans="1:9" ht="16.5">
      <c r="A8" s="3172" t="s">
        <v>4433</v>
      </c>
      <c r="B8" s="3172" t="str">
        <f t="shared" si="1"/>
        <v>N</v>
      </c>
      <c r="C8" s="3172" t="str">
        <f t="shared" si="0"/>
        <v>N_Q</v>
      </c>
      <c r="D8" s="3172" t="str">
        <f t="shared" si="2"/>
        <v>N_Q_Installation floater</v>
      </c>
      <c r="E8" s="3172" t="s">
        <v>246</v>
      </c>
      <c r="F8" s="3172" t="s">
        <v>4441</v>
      </c>
      <c r="G8" s="3185" t="s">
        <v>3503</v>
      </c>
      <c r="H8" s="3173">
        <f>I8</f>
        <v>5.1749999999999997E-2</v>
      </c>
      <c r="I8" s="3173">
        <f>0.045*1.15</f>
        <v>5.1749999999999997E-2</v>
      </c>
    </row>
    <row r="9" spans="1:9" ht="16.5">
      <c r="A9" s="3172" t="s">
        <v>4433</v>
      </c>
      <c r="B9" s="3172" t="str">
        <f t="shared" si="1"/>
        <v>N</v>
      </c>
      <c r="C9" s="3172" t="str">
        <f t="shared" si="0"/>
        <v>N_Q</v>
      </c>
      <c r="D9" s="3172" t="str">
        <f t="shared" si="2"/>
        <v xml:space="preserve">N_Q_Extension of Coverage </v>
      </c>
      <c r="E9" s="3172" t="s">
        <v>246</v>
      </c>
      <c r="F9" s="3172" t="s">
        <v>4441</v>
      </c>
      <c r="G9" s="3185" t="s">
        <v>4075</v>
      </c>
      <c r="H9" s="3173">
        <f>I9</f>
        <v>0.12</v>
      </c>
      <c r="I9" s="3173">
        <f>0.1*1.2</f>
        <v>0.12</v>
      </c>
    </row>
    <row r="10" spans="1:9" ht="16.5">
      <c r="A10" s="3172" t="s">
        <v>4433</v>
      </c>
      <c r="B10" s="3172" t="str">
        <f t="shared" si="1"/>
        <v>N</v>
      </c>
      <c r="C10" s="3172" t="str">
        <f t="shared" si="0"/>
        <v>N_Q</v>
      </c>
      <c r="D10" s="3172" t="str">
        <f t="shared" si="2"/>
        <v>N_Q_Rental Expenses ( min value $5000)</v>
      </c>
      <c r="E10" s="3172" t="s">
        <v>246</v>
      </c>
      <c r="F10" s="3172" t="s">
        <v>4441</v>
      </c>
      <c r="G10" s="3185" t="s">
        <v>3487</v>
      </c>
      <c r="H10" s="3173">
        <f>H7/2</f>
        <v>0.5</v>
      </c>
      <c r="I10" s="3173">
        <f>0.1*1.2</f>
        <v>0.12</v>
      </c>
    </row>
    <row r="11" spans="1:9" ht="16.5">
      <c r="A11" s="3171" t="s">
        <v>4433</v>
      </c>
      <c r="B11" s="3172" t="str">
        <f t="shared" si="1"/>
        <v>N</v>
      </c>
      <c r="C11" s="3172" t="str">
        <f t="shared" si="0"/>
        <v>N_O</v>
      </c>
      <c r="D11" s="3172" t="str">
        <f t="shared" si="2"/>
        <v>N_O_Tools</v>
      </c>
      <c r="E11" s="3171" t="s">
        <v>244</v>
      </c>
      <c r="F11" s="3171" t="s">
        <v>4440</v>
      </c>
      <c r="G11" s="3171" t="s">
        <v>4017</v>
      </c>
      <c r="H11" s="3177">
        <v>2.5</v>
      </c>
      <c r="I11" s="3174">
        <v>3.25</v>
      </c>
    </row>
    <row r="12" spans="1:9" ht="16.5">
      <c r="A12" s="3171" t="s">
        <v>4433</v>
      </c>
      <c r="B12" s="3172" t="str">
        <f t="shared" si="1"/>
        <v>N</v>
      </c>
      <c r="C12" s="3172" t="str">
        <f t="shared" si="0"/>
        <v>N_O</v>
      </c>
      <c r="D12" s="3172" t="str">
        <f t="shared" si="2"/>
        <v>N_O_Contractor Equipment</v>
      </c>
      <c r="E12" s="3171" t="s">
        <v>244</v>
      </c>
      <c r="F12" s="3171" t="s">
        <v>4440</v>
      </c>
      <c r="G12" s="3171" t="s">
        <v>4515</v>
      </c>
      <c r="H12" s="3177">
        <v>0.65</v>
      </c>
      <c r="I12" s="3174">
        <v>0.9</v>
      </c>
    </row>
    <row r="13" spans="1:9" ht="16.5">
      <c r="A13" s="3171" t="s">
        <v>4433</v>
      </c>
      <c r="B13" s="3172" t="str">
        <f t="shared" si="1"/>
        <v>N</v>
      </c>
      <c r="C13" s="3172" t="str">
        <f t="shared" si="0"/>
        <v>N_O</v>
      </c>
      <c r="D13" s="3172" t="str">
        <f t="shared" si="2"/>
        <v>N_O_Contractor's equipment Rented(max 45 days per year)</v>
      </c>
      <c r="E13" s="3171" t="s">
        <v>244</v>
      </c>
      <c r="F13" s="3171" t="s">
        <v>4440</v>
      </c>
      <c r="G13" s="3171" t="s">
        <v>4123</v>
      </c>
      <c r="H13" s="3174">
        <f>I13</f>
        <v>0.9</v>
      </c>
      <c r="I13" s="3174">
        <f>I12</f>
        <v>0.9</v>
      </c>
    </row>
    <row r="14" spans="1:9" ht="16.5">
      <c r="A14" s="3171" t="s">
        <v>4433</v>
      </c>
      <c r="B14" s="3172" t="str">
        <f t="shared" si="1"/>
        <v>N</v>
      </c>
      <c r="C14" s="3172" t="str">
        <f t="shared" si="0"/>
        <v>N_O</v>
      </c>
      <c r="D14" s="3172" t="str">
        <f t="shared" si="2"/>
        <v>N_O_Installation floater</v>
      </c>
      <c r="E14" s="3171" t="s">
        <v>244</v>
      </c>
      <c r="F14" s="3171" t="s">
        <v>4440</v>
      </c>
      <c r="G14" s="3171" t="s">
        <v>3503</v>
      </c>
      <c r="H14" s="3174">
        <f>I14</f>
        <v>5.1749999999999997E-2</v>
      </c>
      <c r="I14" s="3174">
        <f>0.045*1.15</f>
        <v>5.1749999999999997E-2</v>
      </c>
    </row>
    <row r="15" spans="1:9" ht="16.5">
      <c r="A15" s="3171" t="s">
        <v>4433</v>
      </c>
      <c r="B15" s="3172" t="str">
        <f t="shared" si="1"/>
        <v>N</v>
      </c>
      <c r="C15" s="3172" t="str">
        <f t="shared" si="0"/>
        <v>N_O</v>
      </c>
      <c r="D15" s="3172" t="str">
        <f t="shared" si="2"/>
        <v xml:space="preserve">N_O_Extension of Coverage </v>
      </c>
      <c r="E15" s="3171" t="s">
        <v>244</v>
      </c>
      <c r="F15" s="3171" t="s">
        <v>4440</v>
      </c>
      <c r="G15" s="3171" t="s">
        <v>4075</v>
      </c>
      <c r="H15" s="3174">
        <f>I15</f>
        <v>0.12</v>
      </c>
      <c r="I15" s="3174">
        <f>0.1*1.2</f>
        <v>0.12</v>
      </c>
    </row>
    <row r="16" spans="1:9" ht="16.5">
      <c r="A16" s="3171" t="s">
        <v>4433</v>
      </c>
      <c r="B16" s="3172" t="str">
        <f t="shared" si="1"/>
        <v>N</v>
      </c>
      <c r="C16" s="3172" t="str">
        <f t="shared" si="0"/>
        <v>N_O</v>
      </c>
      <c r="D16" s="3172" t="str">
        <f t="shared" si="2"/>
        <v>N_O_Rental Expenses ( min value $5000)</v>
      </c>
      <c r="E16" s="3171" t="s">
        <v>244</v>
      </c>
      <c r="F16" s="3171" t="s">
        <v>4440</v>
      </c>
      <c r="G16" s="3171" t="s">
        <v>3487</v>
      </c>
      <c r="H16" s="3174">
        <f>H13/2</f>
        <v>0.45</v>
      </c>
      <c r="I16" s="3174">
        <f>0.1*1.2</f>
        <v>0.12</v>
      </c>
    </row>
    <row r="17" spans="1:9" s="3176" customFormat="1" ht="16.5">
      <c r="A17" s="3172" t="s">
        <v>4434</v>
      </c>
      <c r="B17" s="3172" t="str">
        <f t="shared" si="1"/>
        <v>R</v>
      </c>
      <c r="C17" s="3172" t="str">
        <f t="shared" si="0"/>
        <v>R_Q</v>
      </c>
      <c r="D17" s="3172" t="str">
        <f t="shared" si="2"/>
        <v>R_Q_Tools</v>
      </c>
      <c r="E17" s="3172" t="s">
        <v>246</v>
      </c>
      <c r="F17" s="3172" t="s">
        <v>4441</v>
      </c>
      <c r="G17" s="3185" t="s">
        <v>4017</v>
      </c>
      <c r="H17" s="3173">
        <v>3.5</v>
      </c>
      <c r="I17" s="3173">
        <v>3.5</v>
      </c>
    </row>
    <row r="18" spans="1:9" s="3176" customFormat="1" ht="16.5">
      <c r="A18" s="3172" t="s">
        <v>4434</v>
      </c>
      <c r="B18" s="3172" t="str">
        <f t="shared" si="1"/>
        <v>R</v>
      </c>
      <c r="C18" s="3172" t="str">
        <f t="shared" si="0"/>
        <v>R_Q</v>
      </c>
      <c r="D18" s="3172" t="str">
        <f t="shared" si="2"/>
        <v>R_Q_Contractor Equipment</v>
      </c>
      <c r="E18" s="3172" t="s">
        <v>246</v>
      </c>
      <c r="F18" s="3172" t="s">
        <v>4441</v>
      </c>
      <c r="G18" s="3185" t="s">
        <v>4515</v>
      </c>
      <c r="H18" s="3173">
        <f>I18</f>
        <v>1</v>
      </c>
      <c r="I18" s="3173">
        <v>1</v>
      </c>
    </row>
    <row r="19" spans="1:9" s="3176" customFormat="1" ht="16.5">
      <c r="A19" s="3172" t="s">
        <v>4434</v>
      </c>
      <c r="B19" s="3172" t="str">
        <f t="shared" si="1"/>
        <v>R</v>
      </c>
      <c r="C19" s="3172" t="str">
        <f t="shared" si="0"/>
        <v>R_Q</v>
      </c>
      <c r="D19" s="3172" t="str">
        <f t="shared" si="2"/>
        <v>R_Q_Contractor's equipment Rented(max 45 days per year)</v>
      </c>
      <c r="E19" s="3172" t="s">
        <v>246</v>
      </c>
      <c r="F19" s="3172" t="s">
        <v>4441</v>
      </c>
      <c r="G19" s="3185" t="s">
        <v>4123</v>
      </c>
      <c r="H19" s="3173">
        <f>I19</f>
        <v>1</v>
      </c>
      <c r="I19" s="3173">
        <f>I18</f>
        <v>1</v>
      </c>
    </row>
    <row r="20" spans="1:9" s="3176" customFormat="1" ht="16.5">
      <c r="A20" s="3172" t="s">
        <v>4434</v>
      </c>
      <c r="B20" s="3172" t="str">
        <f t="shared" si="1"/>
        <v>R</v>
      </c>
      <c r="C20" s="3172" t="str">
        <f t="shared" si="0"/>
        <v>R_Q</v>
      </c>
      <c r="D20" s="3172" t="str">
        <f t="shared" si="2"/>
        <v>R_Q_Installation floater</v>
      </c>
      <c r="E20" s="3172" t="s">
        <v>246</v>
      </c>
      <c r="F20" s="3172" t="s">
        <v>4441</v>
      </c>
      <c r="G20" s="3185" t="s">
        <v>3503</v>
      </c>
      <c r="H20" s="3173">
        <f>I20</f>
        <v>5.1749999999999997E-2</v>
      </c>
      <c r="I20" s="3173">
        <f>0.045*1.15</f>
        <v>5.1749999999999997E-2</v>
      </c>
    </row>
    <row r="21" spans="1:9" s="3176" customFormat="1" ht="16.5">
      <c r="A21" s="3172" t="s">
        <v>4434</v>
      </c>
      <c r="B21" s="3172" t="str">
        <f t="shared" si="1"/>
        <v>R</v>
      </c>
      <c r="C21" s="3172" t="str">
        <f t="shared" si="0"/>
        <v>R_Q</v>
      </c>
      <c r="D21" s="3172" t="str">
        <f t="shared" si="2"/>
        <v xml:space="preserve">R_Q_Extension of Coverage </v>
      </c>
      <c r="E21" s="3172" t="s">
        <v>246</v>
      </c>
      <c r="F21" s="3172" t="s">
        <v>4441</v>
      </c>
      <c r="G21" s="3185" t="s">
        <v>4075</v>
      </c>
      <c r="H21" s="3173">
        <f>I21</f>
        <v>0.12</v>
      </c>
      <c r="I21" s="3173">
        <f>0.1*1.2</f>
        <v>0.12</v>
      </c>
    </row>
    <row r="22" spans="1:9" s="3176" customFormat="1" ht="16.5">
      <c r="A22" s="3172" t="s">
        <v>4434</v>
      </c>
      <c r="B22" s="3172" t="str">
        <f t="shared" si="1"/>
        <v>R</v>
      </c>
      <c r="C22" s="3172" t="str">
        <f t="shared" si="0"/>
        <v>R_Q</v>
      </c>
      <c r="D22" s="3172" t="str">
        <f t="shared" si="2"/>
        <v>R_Q_Rental Expenses ( min value $5000)</v>
      </c>
      <c r="E22" s="3172" t="s">
        <v>246</v>
      </c>
      <c r="F22" s="3172" t="s">
        <v>4441</v>
      </c>
      <c r="G22" s="3185" t="s">
        <v>3487</v>
      </c>
      <c r="H22" s="3173">
        <f>H19/2</f>
        <v>0.5</v>
      </c>
      <c r="I22" s="3173">
        <f>0.1*1.2</f>
        <v>0.12</v>
      </c>
    </row>
    <row r="23" spans="1:9" s="3175" customFormat="1" ht="16.5">
      <c r="A23" s="3171" t="s">
        <v>4434</v>
      </c>
      <c r="B23" s="3172" t="str">
        <f t="shared" si="1"/>
        <v>R</v>
      </c>
      <c r="C23" s="3172" t="str">
        <f t="shared" si="0"/>
        <v>R_O</v>
      </c>
      <c r="D23" s="3172" t="str">
        <f t="shared" si="2"/>
        <v>R_O_Tools</v>
      </c>
      <c r="E23" s="3171" t="s">
        <v>244</v>
      </c>
      <c r="F23" s="3171" t="s">
        <v>4440</v>
      </c>
      <c r="G23" s="3171" t="s">
        <v>4017</v>
      </c>
      <c r="H23" s="3174">
        <f>I23</f>
        <v>3.25</v>
      </c>
      <c r="I23" s="3174">
        <v>3.25</v>
      </c>
    </row>
    <row r="24" spans="1:9" s="3175" customFormat="1" ht="16.5">
      <c r="A24" s="3171" t="s">
        <v>4434</v>
      </c>
      <c r="B24" s="3172" t="str">
        <f t="shared" si="1"/>
        <v>R</v>
      </c>
      <c r="C24" s="3172" t="str">
        <f t="shared" si="0"/>
        <v>R_O</v>
      </c>
      <c r="D24" s="3172" t="str">
        <f t="shared" si="2"/>
        <v>R_O_Contractor Equipment</v>
      </c>
      <c r="E24" s="3171" t="s">
        <v>244</v>
      </c>
      <c r="F24" s="3171" t="s">
        <v>4440</v>
      </c>
      <c r="G24" s="3171" t="s">
        <v>4515</v>
      </c>
      <c r="H24" s="3174">
        <f>I24</f>
        <v>0.9</v>
      </c>
      <c r="I24" s="3174">
        <v>0.9</v>
      </c>
    </row>
    <row r="25" spans="1:9" s="3175" customFormat="1" ht="16.5">
      <c r="A25" s="3171" t="s">
        <v>4434</v>
      </c>
      <c r="B25" s="3172" t="str">
        <f t="shared" si="1"/>
        <v>R</v>
      </c>
      <c r="C25" s="3172" t="str">
        <f t="shared" si="0"/>
        <v>R_O</v>
      </c>
      <c r="D25" s="3172" t="str">
        <f t="shared" si="2"/>
        <v>R_O_Contractor's equipment Rented(max 45 days per year)</v>
      </c>
      <c r="E25" s="3171" t="s">
        <v>244</v>
      </c>
      <c r="F25" s="3171" t="s">
        <v>4440</v>
      </c>
      <c r="G25" s="3171" t="s">
        <v>4123</v>
      </c>
      <c r="H25" s="3174">
        <f>I25</f>
        <v>0.9</v>
      </c>
      <c r="I25" s="3174">
        <f>I24</f>
        <v>0.9</v>
      </c>
    </row>
    <row r="26" spans="1:9" s="3175" customFormat="1" ht="16.5">
      <c r="A26" s="3171" t="s">
        <v>4434</v>
      </c>
      <c r="B26" s="3172" t="str">
        <f t="shared" si="1"/>
        <v>R</v>
      </c>
      <c r="C26" s="3172" t="str">
        <f t="shared" si="0"/>
        <v>R_O</v>
      </c>
      <c r="D26" s="3172" t="str">
        <f t="shared" si="2"/>
        <v>R_O_Installation floater</v>
      </c>
      <c r="E26" s="3171" t="s">
        <v>244</v>
      </c>
      <c r="F26" s="3171" t="s">
        <v>4440</v>
      </c>
      <c r="G26" s="3171" t="s">
        <v>3503</v>
      </c>
      <c r="H26" s="3174">
        <f>I26</f>
        <v>5.1749999999999997E-2</v>
      </c>
      <c r="I26" s="3174">
        <f>0.045*1.15</f>
        <v>5.1749999999999997E-2</v>
      </c>
    </row>
    <row r="27" spans="1:9" s="3175" customFormat="1" ht="16.5">
      <c r="A27" s="3171" t="s">
        <v>4434</v>
      </c>
      <c r="B27" s="3172" t="str">
        <f t="shared" si="1"/>
        <v>R</v>
      </c>
      <c r="C27" s="3172" t="str">
        <f t="shared" si="0"/>
        <v>R_O</v>
      </c>
      <c r="D27" s="3172" t="str">
        <f t="shared" si="2"/>
        <v xml:space="preserve">R_O_Extension of Coverage </v>
      </c>
      <c r="E27" s="3171" t="s">
        <v>244</v>
      </c>
      <c r="F27" s="3171" t="s">
        <v>4440</v>
      </c>
      <c r="G27" s="3171" t="s">
        <v>4075</v>
      </c>
      <c r="H27" s="3174">
        <f>I27</f>
        <v>0.12</v>
      </c>
      <c r="I27" s="3174">
        <f>0.1*1.2</f>
        <v>0.12</v>
      </c>
    </row>
    <row r="28" spans="1:9" s="3175" customFormat="1" ht="16.5">
      <c r="A28" s="3171" t="s">
        <v>4434</v>
      </c>
      <c r="B28" s="3172" t="str">
        <f t="shared" si="1"/>
        <v>R</v>
      </c>
      <c r="C28" s="3172" t="str">
        <f t="shared" si="0"/>
        <v>R_O</v>
      </c>
      <c r="D28" s="3172" t="str">
        <f t="shared" si="2"/>
        <v>R_O_Rental Expenses ( min value $5000)</v>
      </c>
      <c r="E28" s="3171" t="s">
        <v>244</v>
      </c>
      <c r="F28" s="3171" t="s">
        <v>4440</v>
      </c>
      <c r="G28" s="3171" t="s">
        <v>3487</v>
      </c>
      <c r="H28" s="3174">
        <f>H25/2</f>
        <v>0.45</v>
      </c>
      <c r="I28" s="3174">
        <f>0.1*1.2</f>
        <v>0.12</v>
      </c>
    </row>
    <row r="30" spans="1:9" s="255" customFormat="1" ht="16.5">
      <c r="A30" s="3172" t="s">
        <v>4433</v>
      </c>
      <c r="B30" s="3172" t="str">
        <f>LEFT(A30,1)</f>
        <v>N</v>
      </c>
      <c r="C30" s="3172" t="str">
        <f>CONCATENATE(B30,"_",LEFT(E30,1))</f>
        <v>N_Q</v>
      </c>
      <c r="D30" s="3172" t="str">
        <f>CONCATENATE(C30,"_",G30)</f>
        <v>N_Q_property</v>
      </c>
      <c r="E30" s="3172" t="s">
        <v>246</v>
      </c>
      <c r="F30" s="3172" t="s">
        <v>4441</v>
      </c>
      <c r="G30" s="3172" t="s">
        <v>4444</v>
      </c>
      <c r="H30" s="3173"/>
      <c r="I30" s="3173"/>
    </row>
    <row r="31" spans="1:9" s="255" customFormat="1" ht="16.5">
      <c r="A31" s="3171" t="s">
        <v>4433</v>
      </c>
      <c r="B31" s="3172" t="str">
        <f t="shared" ref="B31:B33" si="3">LEFT(A31,1)</f>
        <v>N</v>
      </c>
      <c r="C31" s="3172" t="str">
        <f>CONCATENATE(B31,"_",LEFT(E31,1))</f>
        <v>N_O</v>
      </c>
      <c r="D31" s="3172" t="str">
        <f t="shared" ref="D31:D33" si="4">CONCATENATE(C31,"_",G31)</f>
        <v>N_O_property</v>
      </c>
      <c r="E31" s="3171" t="s">
        <v>244</v>
      </c>
      <c r="F31" s="3171" t="s">
        <v>4440</v>
      </c>
      <c r="G31" s="3171" t="s">
        <v>4444</v>
      </c>
      <c r="H31" s="3174"/>
      <c r="I31" s="3174"/>
    </row>
    <row r="32" spans="1:9" s="3188" customFormat="1" ht="16.5">
      <c r="A32" s="3172" t="s">
        <v>4434</v>
      </c>
      <c r="B32" s="3172" t="str">
        <f t="shared" si="3"/>
        <v>R</v>
      </c>
      <c r="C32" s="3172" t="str">
        <f>CONCATENATE(B32,"_",LEFT(E32,1))</f>
        <v>R_Q</v>
      </c>
      <c r="D32" s="3172" t="str">
        <f t="shared" si="4"/>
        <v>R_Q_property</v>
      </c>
      <c r="E32" s="3172" t="s">
        <v>246</v>
      </c>
      <c r="F32" s="3172" t="s">
        <v>4441</v>
      </c>
      <c r="G32" s="3172" t="s">
        <v>4444</v>
      </c>
      <c r="H32" s="3173"/>
      <c r="I32" s="3173"/>
    </row>
    <row r="33" spans="1:9" s="3189" customFormat="1" ht="16.5">
      <c r="A33" s="3171" t="s">
        <v>4434</v>
      </c>
      <c r="B33" s="3172" t="str">
        <f t="shared" si="3"/>
        <v>R</v>
      </c>
      <c r="C33" s="3172" t="str">
        <f>CONCATENATE(B33,"_",LEFT(E33,1))</f>
        <v>R_O</v>
      </c>
      <c r="D33" s="3172" t="str">
        <f t="shared" si="4"/>
        <v>R_O_property</v>
      </c>
      <c r="E33" s="3171" t="s">
        <v>244</v>
      </c>
      <c r="F33" s="3171" t="s">
        <v>4440</v>
      </c>
      <c r="G33" s="3171" t="s">
        <v>4444</v>
      </c>
      <c r="H33" s="3174"/>
      <c r="I33" s="3174"/>
    </row>
    <row r="35" spans="1:9" s="3190" customFormat="1" ht="26.25">
      <c r="A35" s="3190" t="s">
        <v>4445</v>
      </c>
      <c r="F35" s="1711" t="s">
        <v>4451</v>
      </c>
      <c r="G35" s="655" t="s">
        <v>4454</v>
      </c>
      <c r="H35" s="3180" t="str">
        <f>H4</f>
        <v>At  Dec 2020</v>
      </c>
      <c r="I35" s="3180" t="str">
        <f>I4</f>
        <v>At  Nov 2020</v>
      </c>
    </row>
    <row r="36" spans="1:9" s="255" customFormat="1" ht="16.5">
      <c r="A36" s="3172" t="s">
        <v>4433</v>
      </c>
      <c r="B36" s="3172" t="str">
        <f>LEFT(A36,1)</f>
        <v>N</v>
      </c>
      <c r="C36" s="3172" t="str">
        <f>CONCATENATE(B36,"_",LEFT(E36,1))</f>
        <v>N_Q</v>
      </c>
      <c r="D36" s="3172" t="str">
        <f>CONCATENATE(C36,"_",G36)</f>
        <v>N_Q_Contractor Equipment</v>
      </c>
      <c r="E36" s="3172" t="s">
        <v>246</v>
      </c>
      <c r="F36" s="3172" t="s">
        <v>4441</v>
      </c>
      <c r="G36" s="3185" t="s">
        <v>4515</v>
      </c>
      <c r="H36" s="3185">
        <v>75000</v>
      </c>
      <c r="I36" s="3185">
        <v>75000</v>
      </c>
    </row>
    <row r="37" spans="1:9" s="255" customFormat="1" ht="16.5">
      <c r="A37" s="3171" t="s">
        <v>4433</v>
      </c>
      <c r="B37" s="3172" t="str">
        <f t="shared" ref="B37:B39" si="5">LEFT(A37,1)</f>
        <v>N</v>
      </c>
      <c r="C37" s="3172" t="str">
        <f>CONCATENATE(B37,"_",LEFT(E37,1))</f>
        <v>N_O</v>
      </c>
      <c r="D37" s="3172" t="str">
        <f t="shared" ref="D37:D39" si="6">CONCATENATE(C37,"_",G37)</f>
        <v>N_O_Contractor Equipment</v>
      </c>
      <c r="E37" s="3171" t="s">
        <v>244</v>
      </c>
      <c r="F37" s="3171" t="s">
        <v>4440</v>
      </c>
      <c r="G37" s="3171" t="s">
        <v>4515</v>
      </c>
      <c r="H37" s="3171">
        <v>100000</v>
      </c>
      <c r="I37" s="3171">
        <v>75000</v>
      </c>
    </row>
    <row r="38" spans="1:9" s="3188" customFormat="1" ht="16.5">
      <c r="A38" s="3172" t="s">
        <v>4434</v>
      </c>
      <c r="B38" s="3172" t="str">
        <f t="shared" si="5"/>
        <v>R</v>
      </c>
      <c r="C38" s="3172" t="str">
        <f>CONCATENATE(B38,"_",LEFT(E38,1))</f>
        <v>R_Q</v>
      </c>
      <c r="D38" s="3172" t="str">
        <f t="shared" si="6"/>
        <v>R_Q_Contractor Equipment</v>
      </c>
      <c r="E38" s="3172" t="s">
        <v>246</v>
      </c>
      <c r="F38" s="3172" t="s">
        <v>4441</v>
      </c>
      <c r="G38" s="3185" t="s">
        <v>4515</v>
      </c>
      <c r="H38" s="3185">
        <v>75000</v>
      </c>
      <c r="I38" s="3185">
        <v>75000</v>
      </c>
    </row>
    <row r="39" spans="1:9" s="3189" customFormat="1" ht="16.5">
      <c r="A39" s="3171" t="s">
        <v>4434</v>
      </c>
      <c r="B39" s="3172" t="str">
        <f t="shared" si="5"/>
        <v>R</v>
      </c>
      <c r="C39" s="3172" t="str">
        <f>CONCATENATE(B39,"_",LEFT(E39,1))</f>
        <v>R_O</v>
      </c>
      <c r="D39" s="3172" t="str">
        <f t="shared" si="6"/>
        <v>R_O_Contractor Equipment</v>
      </c>
      <c r="E39" s="3171" t="s">
        <v>244</v>
      </c>
      <c r="F39" s="3171" t="s">
        <v>4440</v>
      </c>
      <c r="G39" s="3171" t="s">
        <v>4515</v>
      </c>
      <c r="H39" s="3171">
        <v>75000</v>
      </c>
      <c r="I39" s="3171">
        <v>75000</v>
      </c>
    </row>
    <row r="40" spans="1:9" s="3190" customFormat="1" ht="26.25">
      <c r="A40" s="3190" t="s">
        <v>4447</v>
      </c>
      <c r="E40" s="3190">
        <v>1774</v>
      </c>
      <c r="F40" s="1711" t="s">
        <v>4451</v>
      </c>
      <c r="G40" s="655" t="s">
        <v>4454</v>
      </c>
      <c r="H40" s="3180" t="str">
        <f>H46</f>
        <v>At  Dec 2020</v>
      </c>
      <c r="I40" s="3180" t="str">
        <f>I46</f>
        <v>At  Nov 2020</v>
      </c>
    </row>
    <row r="41" spans="1:9" s="255" customFormat="1" ht="16.5">
      <c r="A41" s="3172" t="s">
        <v>4433</v>
      </c>
      <c r="B41" s="3172" t="str">
        <f>LEFT(A41,1)</f>
        <v>N</v>
      </c>
      <c r="C41" s="3172" t="str">
        <f>CONCATENATE(B41,"_",LEFT(E41,1))</f>
        <v>N_Q</v>
      </c>
      <c r="D41" s="3172" t="str">
        <f>CONCATENATE(C41,"_",G41)</f>
        <v>N_Q_Contractor Equipment</v>
      </c>
      <c r="E41" s="3172" t="s">
        <v>246</v>
      </c>
      <c r="F41" s="3172" t="s">
        <v>4441</v>
      </c>
      <c r="G41" s="3185" t="s">
        <v>4515</v>
      </c>
      <c r="H41" s="3185">
        <v>0</v>
      </c>
      <c r="I41" s="3185">
        <v>0</v>
      </c>
    </row>
    <row r="42" spans="1:9" s="255" customFormat="1" ht="16.5">
      <c r="A42" s="3171" t="s">
        <v>4433</v>
      </c>
      <c r="B42" s="3172" t="str">
        <f t="shared" ref="B42:B44" si="7">LEFT(A42,1)</f>
        <v>N</v>
      </c>
      <c r="C42" s="3172" t="str">
        <f>CONCATENATE(B42,"_",LEFT(E42,1))</f>
        <v>N_O</v>
      </c>
      <c r="D42" s="3172" t="str">
        <f t="shared" ref="D42:D44" si="8">CONCATENATE(C42,"_",G42)</f>
        <v>N_O_Contractor Equipment</v>
      </c>
      <c r="E42" s="3171" t="s">
        <v>244</v>
      </c>
      <c r="F42" s="3171" t="s">
        <v>4440</v>
      </c>
      <c r="G42" s="3171" t="s">
        <v>4515</v>
      </c>
      <c r="H42" s="3171">
        <v>50000</v>
      </c>
      <c r="I42" s="3171">
        <v>50000</v>
      </c>
    </row>
    <row r="43" spans="1:9" s="3188" customFormat="1" ht="16.5">
      <c r="A43" s="3172" t="s">
        <v>4434</v>
      </c>
      <c r="B43" s="3172" t="str">
        <f t="shared" si="7"/>
        <v>R</v>
      </c>
      <c r="C43" s="3172" t="str">
        <f>CONCATENATE(B43,"_",LEFT(E43,1))</f>
        <v>R_Q</v>
      </c>
      <c r="D43" s="3172" t="str">
        <f t="shared" si="8"/>
        <v>R_Q_Contractor Equipment</v>
      </c>
      <c r="E43" s="3172" t="s">
        <v>246</v>
      </c>
      <c r="F43" s="3172" t="s">
        <v>4441</v>
      </c>
      <c r="G43" s="3185" t="s">
        <v>4515</v>
      </c>
      <c r="H43" s="3185">
        <v>0</v>
      </c>
      <c r="I43" s="3185">
        <v>0</v>
      </c>
    </row>
    <row r="44" spans="1:9" s="3189" customFormat="1" ht="16.5">
      <c r="A44" s="3171" t="s">
        <v>4434</v>
      </c>
      <c r="B44" s="3172" t="str">
        <f t="shared" si="7"/>
        <v>R</v>
      </c>
      <c r="C44" s="3172" t="str">
        <f>CONCATENATE(B44,"_",LEFT(E44,1))</f>
        <v>R_O</v>
      </c>
      <c r="D44" s="3172" t="str">
        <f t="shared" si="8"/>
        <v>R_O_Contractor Equipment</v>
      </c>
      <c r="E44" s="3171" t="s">
        <v>244</v>
      </c>
      <c r="F44" s="3171" t="s">
        <v>4440</v>
      </c>
      <c r="G44" s="3171" t="s">
        <v>4515</v>
      </c>
      <c r="H44" s="3171">
        <v>50000</v>
      </c>
      <c r="I44" s="3171">
        <v>50000</v>
      </c>
    </row>
    <row r="46" spans="1:9" s="3190" customFormat="1" ht="26.25">
      <c r="A46" s="3190" t="s">
        <v>4446</v>
      </c>
      <c r="F46" s="1711" t="s">
        <v>4451</v>
      </c>
      <c r="G46" s="655" t="s">
        <v>4453</v>
      </c>
      <c r="H46" s="3180" t="str">
        <f>H4</f>
        <v>At  Dec 2020</v>
      </c>
      <c r="I46" s="3180" t="str">
        <f>I4</f>
        <v>At  Nov 2020</v>
      </c>
    </row>
    <row r="47" spans="1:9" s="255" customFormat="1" ht="16.5">
      <c r="A47" s="3172" t="s">
        <v>4433</v>
      </c>
      <c r="B47" s="3172" t="str">
        <f>LEFT(A47,1)</f>
        <v>N</v>
      </c>
      <c r="C47" s="3172" t="str">
        <f>CONCATENATE(B47,"_",LEFT(E47,1))</f>
        <v>N_Q</v>
      </c>
      <c r="D47" s="3172" t="str">
        <f>CONCATENATE(C47,"_",G47)</f>
        <v>N_Q_Contractor Equipment</v>
      </c>
      <c r="E47" s="3172" t="s">
        <v>246</v>
      </c>
      <c r="F47" s="3172" t="s">
        <v>4441</v>
      </c>
      <c r="G47" s="3185" t="s">
        <v>4515</v>
      </c>
      <c r="H47" s="3185">
        <v>150000</v>
      </c>
      <c r="I47" s="3185">
        <v>100000</v>
      </c>
    </row>
    <row r="48" spans="1:9" s="255" customFormat="1" ht="16.5">
      <c r="A48" s="3171" t="s">
        <v>4433</v>
      </c>
      <c r="B48" s="3172" t="str">
        <f t="shared" ref="B48:B50" si="9">LEFT(A48,1)</f>
        <v>N</v>
      </c>
      <c r="C48" s="3172" t="str">
        <f>CONCATENATE(B48,"_",LEFT(E48,1))</f>
        <v>N_O</v>
      </c>
      <c r="D48" s="3172" t="str">
        <f t="shared" ref="D48:D50" si="10">CONCATENATE(C48,"_",G48)</f>
        <v>N_O_Contractor Equipment</v>
      </c>
      <c r="E48" s="3171" t="s">
        <v>244</v>
      </c>
      <c r="F48" s="3171" t="s">
        <v>4440</v>
      </c>
      <c r="G48" s="3171" t="s">
        <v>4515</v>
      </c>
      <c r="H48" s="3171">
        <v>150000</v>
      </c>
      <c r="I48" s="3171">
        <v>100000</v>
      </c>
    </row>
    <row r="49" spans="1:9" s="3188" customFormat="1" ht="16.5">
      <c r="A49" s="3172" t="s">
        <v>4434</v>
      </c>
      <c r="B49" s="3172" t="str">
        <f t="shared" si="9"/>
        <v>R</v>
      </c>
      <c r="C49" s="3172" t="str">
        <f>CONCATENATE(B49,"_",LEFT(E49,1))</f>
        <v>R_Q</v>
      </c>
      <c r="D49" s="3172" t="str">
        <f t="shared" si="10"/>
        <v>R_Q_Contractor Equipment</v>
      </c>
      <c r="E49" s="3172" t="s">
        <v>246</v>
      </c>
      <c r="F49" s="3172" t="s">
        <v>4441</v>
      </c>
      <c r="G49" s="3185" t="s">
        <v>4515</v>
      </c>
      <c r="H49" s="3185">
        <v>100000</v>
      </c>
      <c r="I49" s="3185">
        <v>100000</v>
      </c>
    </row>
    <row r="50" spans="1:9" s="3189" customFormat="1" ht="16.5">
      <c r="A50" s="3171" t="s">
        <v>4434</v>
      </c>
      <c r="B50" s="3172" t="str">
        <f t="shared" si="9"/>
        <v>R</v>
      </c>
      <c r="C50" s="3172" t="str">
        <f>CONCATENATE(B50,"_",LEFT(E50,1))</f>
        <v>R_O</v>
      </c>
      <c r="D50" s="3172" t="str">
        <f t="shared" si="10"/>
        <v>R_O_Contractor Equipment</v>
      </c>
      <c r="E50" s="3171" t="s">
        <v>244</v>
      </c>
      <c r="F50" s="3171" t="s">
        <v>4440</v>
      </c>
      <c r="G50" s="3171" t="s">
        <v>4515</v>
      </c>
      <c r="H50" s="3171">
        <v>100000</v>
      </c>
      <c r="I50" s="3171">
        <v>100000</v>
      </c>
    </row>
    <row r="55" spans="1:9" ht="26.25">
      <c r="A55" s="3190" t="s">
        <v>4466</v>
      </c>
      <c r="F55" s="1711" t="s">
        <v>4451</v>
      </c>
      <c r="G55" s="655" t="s">
        <v>4452</v>
      </c>
      <c r="H55" s="3180" t="str">
        <f>H46</f>
        <v>At  Dec 2020</v>
      </c>
      <c r="I55" s="3180" t="str">
        <f>I46</f>
        <v>At  Nov 2020</v>
      </c>
    </row>
    <row r="56" spans="1:9" s="255" customFormat="1" ht="16.5">
      <c r="A56" s="3172" t="s">
        <v>4433</v>
      </c>
      <c r="B56" s="3172" t="str">
        <f>LEFT(A56,1)</f>
        <v>N</v>
      </c>
      <c r="C56" s="3172" t="str">
        <f>CONCATENATE(B56,"_",LEFT(E56,1))</f>
        <v>N_Q</v>
      </c>
      <c r="D56" s="3172" t="str">
        <f>CONCATENATE(C56,"_",G56)</f>
        <v>N_Q_Contractor Equipment</v>
      </c>
      <c r="E56" s="3172" t="s">
        <v>246</v>
      </c>
      <c r="F56" s="3172" t="s">
        <v>4441</v>
      </c>
      <c r="G56" s="3185" t="s">
        <v>4515</v>
      </c>
      <c r="H56" s="3191">
        <v>0</v>
      </c>
      <c r="I56" s="3191">
        <v>0.1</v>
      </c>
    </row>
    <row r="57" spans="1:9" s="255" customFormat="1" ht="16.5">
      <c r="A57" s="3171" t="s">
        <v>4433</v>
      </c>
      <c r="B57" s="3172" t="str">
        <f t="shared" ref="B57:B59" si="11">LEFT(A57,1)</f>
        <v>N</v>
      </c>
      <c r="C57" s="3172" t="str">
        <f>CONCATENATE(B57,"_",LEFT(E57,1))</f>
        <v>N_O</v>
      </c>
      <c r="D57" s="3172" t="str">
        <f t="shared" ref="D57:D59" si="12">CONCATENATE(C57,"_",G57)</f>
        <v>N_O_Contractor Equipment</v>
      </c>
      <c r="E57" s="3171" t="s">
        <v>244</v>
      </c>
      <c r="F57" s="3171" t="s">
        <v>4440</v>
      </c>
      <c r="G57" s="3171" t="s">
        <v>4515</v>
      </c>
      <c r="H57" s="3192">
        <v>0.2</v>
      </c>
      <c r="I57" s="3192">
        <v>0.1</v>
      </c>
    </row>
    <row r="58" spans="1:9" s="3188" customFormat="1" ht="16.5">
      <c r="A58" s="3172" t="s">
        <v>4434</v>
      </c>
      <c r="B58" s="3172" t="str">
        <f t="shared" si="11"/>
        <v>R</v>
      </c>
      <c r="C58" s="3172" t="str">
        <f>CONCATENATE(B58,"_",LEFT(E58,1))</f>
        <v>R_Q</v>
      </c>
      <c r="D58" s="3172" t="str">
        <f t="shared" si="12"/>
        <v>R_Q_Contractor Equipment</v>
      </c>
      <c r="E58" s="3172" t="s">
        <v>246</v>
      </c>
      <c r="F58" s="3172" t="s">
        <v>4441</v>
      </c>
      <c r="G58" s="3185" t="s">
        <v>4515</v>
      </c>
      <c r="H58" s="3191">
        <v>0</v>
      </c>
      <c r="I58" s="3191">
        <v>0.1</v>
      </c>
    </row>
    <row r="59" spans="1:9" s="3189" customFormat="1" ht="16.5">
      <c r="A59" s="3171" t="s">
        <v>4434</v>
      </c>
      <c r="B59" s="3172" t="str">
        <f t="shared" si="11"/>
        <v>R</v>
      </c>
      <c r="C59" s="3172" t="str">
        <f>CONCATENATE(B59,"_",LEFT(E59,1))</f>
        <v>R_O</v>
      </c>
      <c r="D59" s="3172" t="str">
        <f t="shared" si="12"/>
        <v>R_O_Contractor Equipment</v>
      </c>
      <c r="E59" s="3171" t="s">
        <v>244</v>
      </c>
      <c r="F59" s="3171" t="s">
        <v>4440</v>
      </c>
      <c r="G59" s="3171" t="s">
        <v>4515</v>
      </c>
      <c r="H59" s="3192">
        <v>0.2</v>
      </c>
      <c r="I59" s="3192">
        <v>0.1</v>
      </c>
    </row>
    <row r="61" spans="1:9" ht="26.25">
      <c r="A61" s="3190" t="s">
        <v>4467</v>
      </c>
      <c r="F61" s="1711" t="s">
        <v>4451</v>
      </c>
      <c r="G61" s="655"/>
      <c r="H61" s="3180" t="str">
        <f>H55</f>
        <v>At  Dec 2020</v>
      </c>
      <c r="I61" s="3180" t="str">
        <f>I55</f>
        <v>At  Nov 2020</v>
      </c>
    </row>
    <row r="62" spans="1:9" ht="16.5">
      <c r="A62" s="3172" t="s">
        <v>4433</v>
      </c>
      <c r="B62" s="3172" t="str">
        <f>LEFT(A62,1)</f>
        <v>N</v>
      </c>
      <c r="C62" s="3172" t="str">
        <f>CONCATENATE(B62,"_",LEFT(E62,1))</f>
        <v>N_Q</v>
      </c>
      <c r="D62" s="3172" t="str">
        <f>CONCATENATE(C62,"_",G62)</f>
        <v>N_Q_Contractor Equipment</v>
      </c>
      <c r="E62" s="3172" t="s">
        <v>246</v>
      </c>
      <c r="F62" s="3172" t="s">
        <v>4441</v>
      </c>
      <c r="G62" s="3185" t="s">
        <v>4515</v>
      </c>
      <c r="H62" s="3191">
        <v>0</v>
      </c>
      <c r="I62" s="3191">
        <v>0.1</v>
      </c>
    </row>
    <row r="63" spans="1:9" ht="16.5">
      <c r="A63" s="3171" t="s">
        <v>4433</v>
      </c>
      <c r="B63" s="3172" t="str">
        <f t="shared" ref="B63:B65" si="13">LEFT(A63,1)</f>
        <v>N</v>
      </c>
      <c r="C63" s="3172" t="str">
        <f>CONCATENATE(B63,"_",LEFT(E63,1))</f>
        <v>N_O</v>
      </c>
      <c r="D63" s="3172" t="str">
        <f t="shared" ref="D63:D65" si="14">CONCATENATE(C63,"_",G63)</f>
        <v>N_O_Contractor Equipment</v>
      </c>
      <c r="E63" s="3171" t="s">
        <v>244</v>
      </c>
      <c r="F63" s="3171" t="s">
        <v>4440</v>
      </c>
      <c r="G63" s="3171" t="s">
        <v>4515</v>
      </c>
      <c r="H63" s="3192">
        <v>0.1</v>
      </c>
      <c r="I63" s="3192">
        <v>0.1</v>
      </c>
    </row>
    <row r="64" spans="1:9" ht="16.5">
      <c r="A64" s="3172" t="s">
        <v>4434</v>
      </c>
      <c r="B64" s="3172" t="str">
        <f t="shared" si="13"/>
        <v>R</v>
      </c>
      <c r="C64" s="3172" t="str">
        <f>CONCATENATE(B64,"_",LEFT(E64,1))</f>
        <v>R_Q</v>
      </c>
      <c r="D64" s="3172" t="str">
        <f t="shared" si="14"/>
        <v>R_Q_Contractor Equipment</v>
      </c>
      <c r="E64" s="3172" t="s">
        <v>246</v>
      </c>
      <c r="F64" s="3172" t="s">
        <v>4441</v>
      </c>
      <c r="G64" s="3185" t="s">
        <v>4515</v>
      </c>
      <c r="H64" s="3191">
        <v>0</v>
      </c>
      <c r="I64" s="3191">
        <v>0.1</v>
      </c>
    </row>
    <row r="65" spans="1:9" ht="16.5">
      <c r="A65" s="3171" t="s">
        <v>4434</v>
      </c>
      <c r="B65" s="3172" t="str">
        <f t="shared" si="13"/>
        <v>R</v>
      </c>
      <c r="C65" s="3172" t="str">
        <f>CONCATENATE(B65,"_",LEFT(E65,1))</f>
        <v>R_O</v>
      </c>
      <c r="D65" s="3172" t="str">
        <f t="shared" si="14"/>
        <v>R_O_Contractor Equipment</v>
      </c>
      <c r="E65" s="3171" t="s">
        <v>244</v>
      </c>
      <c r="F65" s="3171" t="s">
        <v>4440</v>
      </c>
      <c r="G65" s="3171" t="s">
        <v>4515</v>
      </c>
      <c r="H65" s="3192">
        <v>0.1</v>
      </c>
      <c r="I65" s="3192">
        <v>0.1</v>
      </c>
    </row>
    <row r="68" spans="1:9" s="1711" customFormat="1" ht="26.25">
      <c r="A68" s="3190" t="s">
        <v>4475</v>
      </c>
      <c r="F68" s="1711" t="s">
        <v>4451</v>
      </c>
      <c r="G68" s="655"/>
      <c r="H68" s="3180" t="str">
        <f>H61</f>
        <v>At  Dec 2020</v>
      </c>
      <c r="I68" s="3180" t="str">
        <f>I61</f>
        <v>At  Nov 2020</v>
      </c>
    </row>
    <row r="69" spans="1:9" s="1711" customFormat="1" ht="16.5">
      <c r="A69" s="3172" t="s">
        <v>4433</v>
      </c>
      <c r="B69" s="3172" t="str">
        <f>LEFT(A69,1)</f>
        <v>N</v>
      </c>
      <c r="C69" s="3172" t="str">
        <f>CONCATENATE(B69,"_",LEFT(E69,1))</f>
        <v>N_Q</v>
      </c>
      <c r="D69" s="3172" t="str">
        <f>CONCATENATE(C69,"_",G69)</f>
        <v>N_Q_Contractor Equipment</v>
      </c>
      <c r="E69" s="3172" t="s">
        <v>246</v>
      </c>
      <c r="F69" s="3172" t="s">
        <v>4441</v>
      </c>
      <c r="G69" s="3185" t="s">
        <v>4515</v>
      </c>
      <c r="H69" s="3191">
        <v>0</v>
      </c>
      <c r="I69" s="3191">
        <v>0</v>
      </c>
    </row>
    <row r="70" spans="1:9" s="1711" customFormat="1" ht="16.5">
      <c r="A70" s="3171" t="s">
        <v>4433</v>
      </c>
      <c r="B70" s="3172" t="str">
        <f t="shared" ref="B70:B72" si="15">LEFT(A70,1)</f>
        <v>N</v>
      </c>
      <c r="C70" s="3172" t="str">
        <f>CONCATENATE(B70,"_",LEFT(E70,1))</f>
        <v>N_O</v>
      </c>
      <c r="D70" s="3172" t="str">
        <f t="shared" ref="D70:D72" si="16">CONCATENATE(C70,"_",G70)</f>
        <v>N_O_Contractor Equipment</v>
      </c>
      <c r="E70" s="3171" t="s">
        <v>244</v>
      </c>
      <c r="F70" s="3171" t="s">
        <v>4440</v>
      </c>
      <c r="G70" s="3171" t="s">
        <v>4515</v>
      </c>
      <c r="H70" s="3192">
        <v>0</v>
      </c>
      <c r="I70" s="3192">
        <v>0</v>
      </c>
    </row>
    <row r="71" spans="1:9" s="1711" customFormat="1" ht="16.5">
      <c r="A71" s="3172" t="s">
        <v>4434</v>
      </c>
      <c r="B71" s="3172" t="str">
        <f t="shared" si="15"/>
        <v>R</v>
      </c>
      <c r="C71" s="3172" t="str">
        <f>CONCATENATE(B71,"_",LEFT(E71,1))</f>
        <v>R_Q</v>
      </c>
      <c r="D71" s="3172" t="str">
        <f t="shared" si="16"/>
        <v>R_Q_Contractor Equipment</v>
      </c>
      <c r="E71" s="3172" t="s">
        <v>246</v>
      </c>
      <c r="F71" s="3172" t="s">
        <v>4441</v>
      </c>
      <c r="G71" s="3185" t="s">
        <v>4515</v>
      </c>
      <c r="H71" s="3191">
        <v>0.05</v>
      </c>
      <c r="I71" s="3191">
        <v>0.05</v>
      </c>
    </row>
    <row r="72" spans="1:9" s="1711" customFormat="1" ht="16.5">
      <c r="A72" s="3171" t="s">
        <v>4434</v>
      </c>
      <c r="B72" s="3172" t="str">
        <f t="shared" si="15"/>
        <v>R</v>
      </c>
      <c r="C72" s="3172" t="str">
        <f>CONCATENATE(B72,"_",LEFT(E72,1))</f>
        <v>R_O</v>
      </c>
      <c r="D72" s="3172" t="str">
        <f t="shared" si="16"/>
        <v>R_O_Contractor Equipment</v>
      </c>
      <c r="E72" s="3171" t="s">
        <v>244</v>
      </c>
      <c r="F72" s="3171" t="s">
        <v>4440</v>
      </c>
      <c r="G72" s="3171" t="s">
        <v>4515</v>
      </c>
      <c r="H72" s="3192">
        <v>0.05</v>
      </c>
      <c r="I72" s="3192">
        <v>0.05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6">
    <tabColor rgb="FF00B0F0"/>
  </sheetPr>
  <dimension ref="A1:AR102"/>
  <sheetViews>
    <sheetView showGridLines="0" view="pageBreakPreview" topLeftCell="A7" zoomScale="60" zoomScaleNormal="85" workbookViewId="0">
      <selection activeCell="F9" sqref="F9"/>
    </sheetView>
  </sheetViews>
  <sheetFormatPr defaultColWidth="9.140625" defaultRowHeight="18.75" outlineLevelCol="1"/>
  <cols>
    <col min="1" max="1" width="6.28515625" style="3072" customWidth="1" collapsed="1"/>
    <col min="2" max="2" width="8.42578125" style="3073" customWidth="1"/>
    <col min="3" max="4" width="23.5703125" style="3074" hidden="1" customWidth="1" outlineLevel="1"/>
    <col min="5" max="5" width="28" style="3075" customWidth="1" collapsed="1"/>
    <col min="6" max="6" width="13.140625" style="3072" customWidth="1"/>
    <col min="7" max="7" width="14.5703125" style="3076" customWidth="1"/>
    <col min="8" max="8" width="11.140625" style="3077" customWidth="1"/>
    <col min="9" max="9" width="19.5703125" style="3076" customWidth="1"/>
    <col min="10" max="10" width="17.28515625" style="3078" customWidth="1"/>
    <col min="11" max="12" width="10" style="3076" customWidth="1"/>
    <col min="13" max="14" width="10" style="3077" customWidth="1"/>
    <col min="15" max="16" width="10" style="3076" customWidth="1"/>
    <col min="17" max="20" width="10" style="3079" customWidth="1"/>
    <col min="21" max="21" width="12" style="3076" customWidth="1" outlineLevel="1"/>
    <col min="22" max="22" width="12.140625" style="3080" customWidth="1" outlineLevel="1"/>
    <col min="23" max="23" width="11.140625" style="3076" customWidth="1" outlineLevel="1"/>
    <col min="24" max="24" width="12.140625" style="3076" customWidth="1" outlineLevel="1"/>
    <col min="25" max="25" width="10" style="3076" customWidth="1" outlineLevel="1"/>
    <col min="26" max="26" width="13.85546875" style="3078" customWidth="1" outlineLevel="1"/>
    <col min="27" max="27" width="11.85546875" style="3080" customWidth="1" outlineLevel="1"/>
    <col min="28" max="28" width="14.28515625" style="3081" customWidth="1" outlineLevel="1"/>
    <col min="29" max="29" width="19.7109375" style="3156" customWidth="1" outlineLevel="1"/>
    <col min="30" max="30" width="25.85546875" style="3156" customWidth="1" outlineLevel="1"/>
    <col min="31" max="32" width="19.7109375" style="3157" customWidth="1" outlineLevel="1"/>
    <col min="33" max="34" width="30" style="3157" customWidth="1" outlineLevel="1"/>
    <col min="35" max="37" width="13.28515625" style="3076" customWidth="1" outlineLevel="1"/>
    <col min="38" max="38" width="14.140625" style="3087" customWidth="1"/>
    <col min="39" max="43" width="9.140625" style="3087"/>
    <col min="44" max="44" width="9.140625" style="1711"/>
    <col min="45" max="16384" width="9.140625" style="3088"/>
  </cols>
  <sheetData>
    <row r="1" spans="1:43" s="3088" customFormat="1">
      <c r="A1" s="3072"/>
      <c r="B1" s="3073"/>
      <c r="C1" s="3074"/>
      <c r="D1" s="3074"/>
      <c r="E1" s="3075"/>
      <c r="F1" s="3072"/>
      <c r="G1" s="3076"/>
      <c r="H1" s="3077"/>
      <c r="I1" s="3076"/>
      <c r="J1" s="3078"/>
      <c r="K1" s="3158"/>
      <c r="L1" s="3159"/>
      <c r="M1" s="3160" t="s">
        <v>4426</v>
      </c>
      <c r="N1" s="3161"/>
      <c r="O1" s="3162"/>
      <c r="P1" s="3076"/>
      <c r="Q1" s="3079"/>
      <c r="R1" s="3079"/>
      <c r="S1" s="3079"/>
      <c r="T1" s="3079"/>
      <c r="U1" s="3076"/>
      <c r="V1" s="3080"/>
      <c r="W1" s="3076"/>
      <c r="X1" s="3076"/>
      <c r="Y1" s="3076"/>
      <c r="Z1" s="3078"/>
      <c r="AA1" s="3080"/>
      <c r="AB1" s="3081"/>
      <c r="AC1" s="3082"/>
      <c r="AD1" s="3083" t="s">
        <v>4403</v>
      </c>
      <c r="AE1" s="3084" t="s">
        <v>4247</v>
      </c>
      <c r="AF1" s="3085"/>
      <c r="AG1" s="3086"/>
      <c r="AH1" s="3086"/>
      <c r="AI1" s="3076"/>
      <c r="AJ1" s="3076"/>
      <c r="AK1" s="3076"/>
      <c r="AL1" s="3087"/>
      <c r="AM1" s="3087"/>
      <c r="AN1" s="3087"/>
      <c r="AO1" s="3087"/>
      <c r="AP1" s="3087"/>
      <c r="AQ1" s="3087"/>
    </row>
    <row r="2" spans="1:43" s="3110" customFormat="1" ht="69" customHeight="1" thickBot="1">
      <c r="A2" s="3089"/>
      <c r="B2" s="3089" t="s">
        <v>40</v>
      </c>
      <c r="C2" s="3090" t="s">
        <v>41</v>
      </c>
      <c r="D2" s="3090" t="s">
        <v>41</v>
      </c>
      <c r="E2" s="3091" t="s">
        <v>42</v>
      </c>
      <c r="F2" s="3090" t="s">
        <v>4404</v>
      </c>
      <c r="G2" s="3092"/>
      <c r="H2" s="3093" t="s">
        <v>4405</v>
      </c>
      <c r="I2" s="3094" t="s">
        <v>4246</v>
      </c>
      <c r="J2" s="3095" t="s">
        <v>3965</v>
      </c>
      <c r="K2" s="3096" t="s">
        <v>4406</v>
      </c>
      <c r="L2" s="3097" t="s">
        <v>4407</v>
      </c>
      <c r="M2" s="3098" t="s">
        <v>4408</v>
      </c>
      <c r="N2" s="3098" t="s">
        <v>4409</v>
      </c>
      <c r="O2" s="3099" t="s">
        <v>4410</v>
      </c>
      <c r="P2" s="3100" t="s">
        <v>1236</v>
      </c>
      <c r="Q2" s="3101" t="s">
        <v>4313</v>
      </c>
      <c r="R2" s="3101" t="s">
        <v>4411</v>
      </c>
      <c r="S2" s="3101" t="s">
        <v>4412</v>
      </c>
      <c r="T2" s="3101" t="s">
        <v>4413</v>
      </c>
      <c r="U2" s="3092" t="s">
        <v>4414</v>
      </c>
      <c r="V2" s="3102" t="s">
        <v>4245</v>
      </c>
      <c r="W2" s="3092" t="s">
        <v>3974</v>
      </c>
      <c r="X2" s="3092" t="s">
        <v>1236</v>
      </c>
      <c r="Y2" s="3092" t="s">
        <v>1237</v>
      </c>
      <c r="Z2" s="3103" t="s">
        <v>4415</v>
      </c>
      <c r="AA2" s="3104" t="s">
        <v>4416</v>
      </c>
      <c r="AB2" s="3105" t="s">
        <v>4417</v>
      </c>
      <c r="AC2" s="3106" t="s">
        <v>4244</v>
      </c>
      <c r="AD2" s="3106" t="s">
        <v>4243</v>
      </c>
      <c r="AE2" s="3106" t="s">
        <v>4242</v>
      </c>
      <c r="AF2" s="3106" t="s">
        <v>4241</v>
      </c>
      <c r="AG2" s="3106" t="s">
        <v>4418</v>
      </c>
      <c r="AH2" s="3106" t="s">
        <v>4248</v>
      </c>
      <c r="AI2" s="3107" t="s">
        <v>4240</v>
      </c>
      <c r="AJ2" s="3107" t="s">
        <v>4239</v>
      </c>
      <c r="AK2" s="3107" t="s">
        <v>4238</v>
      </c>
      <c r="AL2" s="3108" t="s">
        <v>4419</v>
      </c>
      <c r="AM2" s="3109"/>
      <c r="AN2" s="3109"/>
      <c r="AO2" s="3109"/>
      <c r="AP2" s="3109"/>
      <c r="AQ2" s="3109"/>
    </row>
    <row r="3" spans="1:43" s="3088" customFormat="1" ht="90" customHeight="1">
      <c r="A3" s="3111">
        <v>1</v>
      </c>
      <c r="B3" s="3112">
        <v>735</v>
      </c>
      <c r="C3" s="3113" t="s">
        <v>220</v>
      </c>
      <c r="D3" s="3113" t="s">
        <v>220</v>
      </c>
      <c r="E3" s="3114" t="s">
        <v>221</v>
      </c>
      <c r="F3" s="3112" t="s">
        <v>1056</v>
      </c>
      <c r="G3" s="3115"/>
      <c r="H3" s="3116">
        <v>0.35</v>
      </c>
      <c r="I3" s="3117" t="s">
        <v>4330</v>
      </c>
      <c r="J3" s="3118"/>
      <c r="K3" s="3119"/>
      <c r="L3" s="3120"/>
      <c r="M3" s="3121">
        <v>0.5</v>
      </c>
      <c r="N3" s="3121">
        <v>0.5</v>
      </c>
      <c r="O3" s="3119">
        <v>0</v>
      </c>
      <c r="P3" s="3116"/>
      <c r="Q3" s="3122">
        <v>0</v>
      </c>
      <c r="R3" s="3122"/>
      <c r="S3" s="3122"/>
      <c r="T3" s="3122"/>
      <c r="U3" s="3123" t="s">
        <v>3821</v>
      </c>
      <c r="V3" s="3123">
        <v>0</v>
      </c>
      <c r="W3" s="3123" t="s">
        <v>3821</v>
      </c>
      <c r="X3" s="3124"/>
      <c r="Y3" s="3125" t="s">
        <v>1056</v>
      </c>
      <c r="Z3" s="3126" t="s">
        <v>223</v>
      </c>
      <c r="AA3" s="3127">
        <v>2500</v>
      </c>
      <c r="AB3" s="3128">
        <v>2000000</v>
      </c>
      <c r="AC3" s="3129" t="s">
        <v>4021</v>
      </c>
      <c r="AD3" s="2639" t="s">
        <v>4207</v>
      </c>
      <c r="AE3" s="2860" t="s">
        <v>3672</v>
      </c>
      <c r="AF3" s="2860" t="s">
        <v>4500</v>
      </c>
      <c r="AG3" s="3130" t="s">
        <v>3684</v>
      </c>
      <c r="AH3" s="3130" t="s">
        <v>4284</v>
      </c>
      <c r="AI3" s="3111" t="s">
        <v>3821</v>
      </c>
      <c r="AJ3" s="3111" t="s">
        <v>3821</v>
      </c>
      <c r="AK3" s="3111" t="s">
        <v>3805</v>
      </c>
      <c r="AL3" s="3087" t="s">
        <v>3821</v>
      </c>
      <c r="AM3" s="3087"/>
      <c r="AN3" s="3087"/>
      <c r="AO3" s="3087"/>
      <c r="AP3" s="3087"/>
      <c r="AQ3" s="3087"/>
    </row>
    <row r="4" spans="1:43" s="3088" customFormat="1" ht="90" customHeight="1">
      <c r="A4" s="3131">
        <v>2</v>
      </c>
      <c r="B4" s="3132">
        <v>736</v>
      </c>
      <c r="C4" s="3133" t="s">
        <v>218</v>
      </c>
      <c r="D4" s="3133" t="s">
        <v>218</v>
      </c>
      <c r="E4" s="3134" t="s">
        <v>219</v>
      </c>
      <c r="F4" s="3131" t="s">
        <v>1056</v>
      </c>
      <c r="G4" s="3115"/>
      <c r="H4" s="3116">
        <v>0.35</v>
      </c>
      <c r="I4" s="3117" t="s">
        <v>4330</v>
      </c>
      <c r="J4" s="2861"/>
      <c r="K4" s="3115"/>
      <c r="L4" s="3115"/>
      <c r="M4" s="3135">
        <v>0.5</v>
      </c>
      <c r="N4" s="3135">
        <v>0.5</v>
      </c>
      <c r="O4" s="3136">
        <v>0</v>
      </c>
      <c r="P4" s="3115"/>
      <c r="Q4" s="3137">
        <v>0.25</v>
      </c>
      <c r="R4" s="3137"/>
      <c r="S4" s="3137"/>
      <c r="T4" s="3137"/>
      <c r="U4" s="3115" t="s">
        <v>3821</v>
      </c>
      <c r="V4" s="3138">
        <v>0</v>
      </c>
      <c r="W4" s="3115" t="s">
        <v>3821</v>
      </c>
      <c r="X4" s="3138"/>
      <c r="Y4" s="3115" t="s">
        <v>1056</v>
      </c>
      <c r="Z4" s="3139" t="s">
        <v>223</v>
      </c>
      <c r="AA4" s="3127">
        <v>2500</v>
      </c>
      <c r="AB4" s="3140">
        <v>2000000</v>
      </c>
      <c r="AC4" s="2639" t="s">
        <v>4207</v>
      </c>
      <c r="AD4" s="2639"/>
      <c r="AE4" s="2860"/>
      <c r="AF4" s="2860" t="s">
        <v>4500</v>
      </c>
      <c r="AG4" s="3130" t="s">
        <v>3684</v>
      </c>
      <c r="AH4" s="3130" t="s">
        <v>4284</v>
      </c>
      <c r="AI4" s="3111" t="s">
        <v>3821</v>
      </c>
      <c r="AJ4" s="3111" t="s">
        <v>3821</v>
      </c>
      <c r="AK4" s="3111" t="s">
        <v>3805</v>
      </c>
      <c r="AL4" s="3087" t="s">
        <v>3821</v>
      </c>
      <c r="AM4" s="3087"/>
      <c r="AN4" s="3087"/>
      <c r="AO4" s="3087"/>
      <c r="AP4" s="3087"/>
      <c r="AQ4" s="3087"/>
    </row>
    <row r="5" spans="1:43" s="3088" customFormat="1" ht="90" customHeight="1">
      <c r="A5" s="3111">
        <v>3</v>
      </c>
      <c r="B5" s="3112">
        <v>1511</v>
      </c>
      <c r="C5" s="3113" t="s">
        <v>216</v>
      </c>
      <c r="D5" s="3113" t="s">
        <v>216</v>
      </c>
      <c r="E5" s="3114" t="s">
        <v>217</v>
      </c>
      <c r="F5" s="3141" t="s">
        <v>1055</v>
      </c>
      <c r="G5" s="3115"/>
      <c r="H5" s="3116"/>
      <c r="I5" s="3124"/>
      <c r="J5" s="3118"/>
      <c r="K5" s="3124"/>
      <c r="L5" s="3142"/>
      <c r="M5" s="3143"/>
      <c r="N5" s="3143"/>
      <c r="O5" s="3124"/>
      <c r="P5" s="3116"/>
      <c r="Q5" s="3122"/>
      <c r="R5" s="3122"/>
      <c r="S5" s="3122"/>
      <c r="T5" s="3122"/>
      <c r="U5" s="3123"/>
      <c r="V5" s="3123"/>
      <c r="W5" s="3123"/>
      <c r="X5" s="3124"/>
      <c r="Y5" s="3125"/>
      <c r="Z5" s="3126"/>
      <c r="AA5" s="3127">
        <v>2500</v>
      </c>
      <c r="AB5" s="3128"/>
      <c r="AC5" s="3129"/>
      <c r="AD5" s="3129"/>
      <c r="AE5" s="3129"/>
      <c r="AF5" s="2860" t="s">
        <v>4500</v>
      </c>
      <c r="AG5" s="3130"/>
      <c r="AH5" s="3130" t="s">
        <v>4284</v>
      </c>
      <c r="AI5" s="3111"/>
      <c r="AJ5" s="3111"/>
      <c r="AK5" s="3111"/>
      <c r="AL5" s="3087">
        <v>0</v>
      </c>
      <c r="AM5" s="3087"/>
      <c r="AN5" s="3087"/>
      <c r="AO5" s="3087"/>
      <c r="AP5" s="3087"/>
      <c r="AQ5" s="3087"/>
    </row>
    <row r="6" spans="1:43" s="3088" customFormat="1" ht="90" customHeight="1">
      <c r="A6" s="3131">
        <v>4</v>
      </c>
      <c r="B6" s="3132">
        <v>1512</v>
      </c>
      <c r="C6" s="3133" t="s">
        <v>214</v>
      </c>
      <c r="D6" s="3133" t="s">
        <v>214</v>
      </c>
      <c r="E6" s="3134" t="s">
        <v>215</v>
      </c>
      <c r="F6" s="3131" t="s">
        <v>1056</v>
      </c>
      <c r="G6" s="3115"/>
      <c r="H6" s="3116">
        <v>0.35</v>
      </c>
      <c r="I6" s="3144" t="s">
        <v>4322</v>
      </c>
      <c r="J6" s="2861" t="s">
        <v>4420</v>
      </c>
      <c r="K6" s="3115">
        <v>1</v>
      </c>
      <c r="L6" s="3115">
        <v>0</v>
      </c>
      <c r="M6" s="3135">
        <v>0</v>
      </c>
      <c r="N6" s="3135">
        <v>0</v>
      </c>
      <c r="O6" s="3136">
        <v>0</v>
      </c>
      <c r="P6" s="3115"/>
      <c r="Q6" s="3137">
        <v>0</v>
      </c>
      <c r="R6" s="3137"/>
      <c r="S6" s="3137"/>
      <c r="T6" s="3137"/>
      <c r="U6" s="3115" t="s">
        <v>3805</v>
      </c>
      <c r="V6" s="3145">
        <v>2500</v>
      </c>
      <c r="W6" s="3115" t="s">
        <v>3821</v>
      </c>
      <c r="X6" s="3138"/>
      <c r="Y6" s="3115"/>
      <c r="Z6" s="3139"/>
      <c r="AA6" s="3127">
        <v>2500</v>
      </c>
      <c r="AB6" s="3140">
        <v>400000</v>
      </c>
      <c r="AC6" s="2860"/>
      <c r="AD6" s="2860"/>
      <c r="AE6" s="2860"/>
      <c r="AF6" s="2860" t="s">
        <v>4500</v>
      </c>
      <c r="AG6" s="3130" t="s">
        <v>3684</v>
      </c>
      <c r="AH6" s="3130" t="s">
        <v>4284</v>
      </c>
      <c r="AI6" s="3111" t="s">
        <v>3805</v>
      </c>
      <c r="AJ6" s="3111" t="s">
        <v>3805</v>
      </c>
      <c r="AK6" s="3146" t="s">
        <v>3821</v>
      </c>
      <c r="AL6" s="3087" t="s">
        <v>3805</v>
      </c>
      <c r="AM6" s="3087"/>
      <c r="AN6" s="3087"/>
      <c r="AO6" s="3087"/>
      <c r="AP6" s="3087"/>
      <c r="AQ6" s="3087"/>
    </row>
    <row r="7" spans="1:43" s="3088" customFormat="1" ht="90" customHeight="1">
      <c r="A7" s="3111">
        <v>5</v>
      </c>
      <c r="B7" s="3112">
        <v>1513</v>
      </c>
      <c r="C7" s="3113" t="s">
        <v>212</v>
      </c>
      <c r="D7" s="3113" t="s">
        <v>212</v>
      </c>
      <c r="E7" s="3114" t="s">
        <v>213</v>
      </c>
      <c r="F7" s="3141" t="s">
        <v>1055</v>
      </c>
      <c r="G7" s="3115"/>
      <c r="H7" s="3116"/>
      <c r="I7" s="3124"/>
      <c r="J7" s="3118"/>
      <c r="K7" s="3124"/>
      <c r="L7" s="3142"/>
      <c r="M7" s="3143"/>
      <c r="N7" s="3143"/>
      <c r="O7" s="3124"/>
      <c r="P7" s="3116"/>
      <c r="Q7" s="3122"/>
      <c r="R7" s="3122"/>
      <c r="S7" s="3122"/>
      <c r="T7" s="3122"/>
      <c r="U7" s="3123"/>
      <c r="V7" s="3123"/>
      <c r="W7" s="3123"/>
      <c r="X7" s="3124"/>
      <c r="Y7" s="3125"/>
      <c r="Z7" s="3126"/>
      <c r="AA7" s="3127">
        <v>2500</v>
      </c>
      <c r="AB7" s="3128"/>
      <c r="AC7" s="3129"/>
      <c r="AD7" s="3129"/>
      <c r="AE7" s="3129"/>
      <c r="AF7" s="2860" t="s">
        <v>4500</v>
      </c>
      <c r="AG7" s="3130"/>
      <c r="AH7" s="3130" t="s">
        <v>4284</v>
      </c>
      <c r="AI7" s="3111"/>
      <c r="AJ7" s="3111"/>
      <c r="AK7" s="3111"/>
      <c r="AL7" s="3087">
        <v>0</v>
      </c>
      <c r="AM7" s="3087"/>
      <c r="AN7" s="3087"/>
      <c r="AO7" s="3087"/>
      <c r="AP7" s="3087"/>
      <c r="AQ7" s="3087"/>
    </row>
    <row r="8" spans="1:43" s="3088" customFormat="1" ht="90" customHeight="1">
      <c r="A8" s="3131">
        <v>6</v>
      </c>
      <c r="B8" s="3132">
        <v>1514</v>
      </c>
      <c r="C8" s="3133" t="s">
        <v>210</v>
      </c>
      <c r="D8" s="3133" t="s">
        <v>210</v>
      </c>
      <c r="E8" s="3134" t="s">
        <v>211</v>
      </c>
      <c r="F8" s="3141" t="s">
        <v>1055</v>
      </c>
      <c r="G8" s="3115"/>
      <c r="H8" s="3135"/>
      <c r="I8" s="3115"/>
      <c r="J8" s="2861"/>
      <c r="K8" s="3115"/>
      <c r="L8" s="3115"/>
      <c r="M8" s="3135"/>
      <c r="N8" s="3135"/>
      <c r="O8" s="3136"/>
      <c r="P8" s="3115"/>
      <c r="Q8" s="3137"/>
      <c r="R8" s="3137"/>
      <c r="S8" s="3137"/>
      <c r="T8" s="3137"/>
      <c r="U8" s="3115"/>
      <c r="V8" s="3138"/>
      <c r="W8" s="3115"/>
      <c r="X8" s="3138"/>
      <c r="Y8" s="3115"/>
      <c r="Z8" s="3139"/>
      <c r="AA8" s="3127">
        <v>2500</v>
      </c>
      <c r="AB8" s="3140"/>
      <c r="AC8" s="2860"/>
      <c r="AD8" s="2860"/>
      <c r="AE8" s="2860"/>
      <c r="AF8" s="2860" t="s">
        <v>4500</v>
      </c>
      <c r="AG8" s="3130"/>
      <c r="AH8" s="3130" t="s">
        <v>4284</v>
      </c>
      <c r="AI8" s="3146"/>
      <c r="AJ8" s="3146"/>
      <c r="AK8" s="3146"/>
      <c r="AL8" s="3087">
        <v>0</v>
      </c>
      <c r="AM8" s="3087"/>
      <c r="AN8" s="3087"/>
      <c r="AO8" s="3087"/>
      <c r="AP8" s="3087"/>
      <c r="AQ8" s="3087"/>
    </row>
    <row r="9" spans="1:43" s="3088" customFormat="1" ht="90" customHeight="1">
      <c r="A9" s="3111">
        <v>7</v>
      </c>
      <c r="B9" s="3112">
        <v>1515</v>
      </c>
      <c r="C9" s="3113" t="s">
        <v>208</v>
      </c>
      <c r="D9" s="3113" t="s">
        <v>208</v>
      </c>
      <c r="E9" s="3114" t="s">
        <v>209</v>
      </c>
      <c r="F9" s="3141" t="s">
        <v>1055</v>
      </c>
      <c r="G9" s="3115"/>
      <c r="H9" s="3116"/>
      <c r="I9" s="3124"/>
      <c r="J9" s="3118"/>
      <c r="K9" s="3124"/>
      <c r="L9" s="3142"/>
      <c r="M9" s="3143"/>
      <c r="N9" s="3143"/>
      <c r="O9" s="3124"/>
      <c r="P9" s="3116"/>
      <c r="Q9" s="3122"/>
      <c r="R9" s="3122"/>
      <c r="S9" s="3122"/>
      <c r="T9" s="3122"/>
      <c r="U9" s="3123"/>
      <c r="V9" s="3123"/>
      <c r="W9" s="3123"/>
      <c r="X9" s="3124"/>
      <c r="Y9" s="3125"/>
      <c r="Z9" s="3126"/>
      <c r="AA9" s="3127">
        <v>2500</v>
      </c>
      <c r="AB9" s="3128"/>
      <c r="AC9" s="3129"/>
      <c r="AD9" s="3129"/>
      <c r="AE9" s="3129"/>
      <c r="AF9" s="2860" t="s">
        <v>4500</v>
      </c>
      <c r="AG9" s="3130"/>
      <c r="AH9" s="3130" t="s">
        <v>4284</v>
      </c>
      <c r="AI9" s="3111"/>
      <c r="AJ9" s="3111"/>
      <c r="AK9" s="3111"/>
      <c r="AL9" s="3087">
        <v>0</v>
      </c>
      <c r="AM9" s="3087"/>
      <c r="AN9" s="3087"/>
      <c r="AO9" s="3087"/>
      <c r="AP9" s="3087"/>
      <c r="AQ9" s="3087"/>
    </row>
    <row r="10" spans="1:43" s="3088" customFormat="1" ht="90" customHeight="1">
      <c r="A10" s="3131">
        <v>8</v>
      </c>
      <c r="B10" s="3132">
        <v>1521</v>
      </c>
      <c r="C10" s="3133" t="s">
        <v>206</v>
      </c>
      <c r="D10" s="3133" t="s">
        <v>206</v>
      </c>
      <c r="E10" s="3134" t="s">
        <v>207</v>
      </c>
      <c r="F10" s="3131" t="s">
        <v>1056</v>
      </c>
      <c r="G10" s="3115"/>
      <c r="H10" s="3116">
        <v>0.35</v>
      </c>
      <c r="I10" s="2861" t="s">
        <v>4387</v>
      </c>
      <c r="J10" s="2861"/>
      <c r="K10" s="3115"/>
      <c r="L10" s="3115"/>
      <c r="M10" s="3135">
        <v>0.3</v>
      </c>
      <c r="N10" s="3135">
        <v>0.3</v>
      </c>
      <c r="O10" s="3136">
        <v>0</v>
      </c>
      <c r="P10" s="3115"/>
      <c r="Q10" s="3147">
        <v>0.25</v>
      </c>
      <c r="R10" s="3147"/>
      <c r="S10" s="3147"/>
      <c r="T10" s="3147"/>
      <c r="U10" s="3115" t="s">
        <v>3821</v>
      </c>
      <c r="V10" s="3138">
        <v>0</v>
      </c>
      <c r="W10" s="3115" t="s">
        <v>3821</v>
      </c>
      <c r="X10" s="3138"/>
      <c r="Y10" s="3115" t="s">
        <v>1056</v>
      </c>
      <c r="Z10" s="3139" t="s">
        <v>223</v>
      </c>
      <c r="AA10" s="3127">
        <v>2500</v>
      </c>
      <c r="AB10" s="3140">
        <v>2000000</v>
      </c>
      <c r="AC10" s="2860" t="s">
        <v>3671</v>
      </c>
      <c r="AD10" s="2860" t="s">
        <v>3672</v>
      </c>
      <c r="AE10" s="2860" t="s">
        <v>4249</v>
      </c>
      <c r="AF10" s="2860" t="s">
        <v>4500</v>
      </c>
      <c r="AG10" s="3130" t="s">
        <v>3684</v>
      </c>
      <c r="AH10" s="3130" t="s">
        <v>4284</v>
      </c>
      <c r="AI10" s="3146" t="s">
        <v>3805</v>
      </c>
      <c r="AJ10" s="3146" t="s">
        <v>3805</v>
      </c>
      <c r="AK10" s="3146" t="s">
        <v>3805</v>
      </c>
      <c r="AL10" s="3087" t="s">
        <v>3821</v>
      </c>
      <c r="AM10" s="3087"/>
      <c r="AN10" s="3087"/>
      <c r="AO10" s="3087"/>
      <c r="AP10" s="3087"/>
      <c r="AQ10" s="3087"/>
    </row>
    <row r="11" spans="1:43" s="3088" customFormat="1" ht="90" customHeight="1">
      <c r="A11" s="3111">
        <v>9</v>
      </c>
      <c r="B11" s="3112">
        <v>1522</v>
      </c>
      <c r="C11" s="3113" t="s">
        <v>204</v>
      </c>
      <c r="D11" s="3113" t="s">
        <v>204</v>
      </c>
      <c r="E11" s="3114" t="s">
        <v>205</v>
      </c>
      <c r="F11" s="3112" t="s">
        <v>1056</v>
      </c>
      <c r="G11" s="3115"/>
      <c r="H11" s="3116">
        <v>0.35</v>
      </c>
      <c r="I11" s="3117" t="s">
        <v>4330</v>
      </c>
      <c r="J11" s="3118"/>
      <c r="K11" s="3124"/>
      <c r="L11" s="3142"/>
      <c r="M11" s="3143">
        <v>0.3</v>
      </c>
      <c r="N11" s="3143">
        <v>0.3</v>
      </c>
      <c r="O11" s="3124">
        <v>0</v>
      </c>
      <c r="P11" s="3116"/>
      <c r="Q11" s="3122">
        <v>0</v>
      </c>
      <c r="R11" s="3122"/>
      <c r="S11" s="3122"/>
      <c r="T11" s="3122"/>
      <c r="U11" s="3123" t="s">
        <v>3821</v>
      </c>
      <c r="V11" s="3123">
        <v>0</v>
      </c>
      <c r="W11" s="3123" t="s">
        <v>3821</v>
      </c>
      <c r="X11" s="3124"/>
      <c r="Y11" s="3125" t="s">
        <v>1056</v>
      </c>
      <c r="Z11" s="3126" t="s">
        <v>223</v>
      </c>
      <c r="AA11" s="3127">
        <v>2500</v>
      </c>
      <c r="AB11" s="3128">
        <v>2000000</v>
      </c>
      <c r="AC11" s="3129" t="s">
        <v>3671</v>
      </c>
      <c r="AD11" s="3129" t="s">
        <v>3676</v>
      </c>
      <c r="AE11" s="3129" t="s">
        <v>3672</v>
      </c>
      <c r="AF11" s="2860" t="s">
        <v>4500</v>
      </c>
      <c r="AG11" s="3130" t="s">
        <v>3684</v>
      </c>
      <c r="AH11" s="3130" t="s">
        <v>4284</v>
      </c>
      <c r="AI11" s="3111" t="s">
        <v>3821</v>
      </c>
      <c r="AJ11" s="3111" t="s">
        <v>3821</v>
      </c>
      <c r="AK11" s="3111" t="s">
        <v>3805</v>
      </c>
      <c r="AL11" s="3087" t="s">
        <v>3821</v>
      </c>
      <c r="AM11" s="3087"/>
      <c r="AN11" s="3087"/>
      <c r="AO11" s="3087"/>
      <c r="AP11" s="3087"/>
      <c r="AQ11" s="3087"/>
    </row>
    <row r="12" spans="1:43" s="3088" customFormat="1" ht="90" customHeight="1">
      <c r="A12" s="3131">
        <v>10</v>
      </c>
      <c r="B12" s="3132">
        <v>1523</v>
      </c>
      <c r="C12" s="3133" t="s">
        <v>202</v>
      </c>
      <c r="D12" s="3133" t="s">
        <v>202</v>
      </c>
      <c r="E12" s="3134" t="s">
        <v>203</v>
      </c>
      <c r="F12" s="3131" t="s">
        <v>1056</v>
      </c>
      <c r="G12" s="3115"/>
      <c r="H12" s="3116">
        <v>0.35</v>
      </c>
      <c r="I12" s="2861" t="s">
        <v>4387</v>
      </c>
      <c r="J12" s="2861"/>
      <c r="K12" s="3115"/>
      <c r="L12" s="3115"/>
      <c r="M12" s="3135">
        <v>0.3</v>
      </c>
      <c r="N12" s="3135">
        <v>0.3</v>
      </c>
      <c r="O12" s="3136">
        <v>0</v>
      </c>
      <c r="P12" s="3115"/>
      <c r="Q12" s="3147">
        <v>0.5</v>
      </c>
      <c r="R12" s="3147"/>
      <c r="S12" s="3147"/>
      <c r="T12" s="3147"/>
      <c r="U12" s="3115" t="s">
        <v>3821</v>
      </c>
      <c r="V12" s="3138">
        <v>0</v>
      </c>
      <c r="W12" s="3115" t="s">
        <v>3821</v>
      </c>
      <c r="X12" s="3138"/>
      <c r="Y12" s="3115" t="s">
        <v>1056</v>
      </c>
      <c r="Z12" s="3139" t="s">
        <v>223</v>
      </c>
      <c r="AA12" s="3127">
        <v>2500</v>
      </c>
      <c r="AB12" s="3140">
        <v>2000000</v>
      </c>
      <c r="AC12" s="2860"/>
      <c r="AD12" s="2860"/>
      <c r="AE12" s="2860" t="s">
        <v>4249</v>
      </c>
      <c r="AF12" s="2860" t="s">
        <v>4500</v>
      </c>
      <c r="AG12" s="3130" t="s">
        <v>3684</v>
      </c>
      <c r="AH12" s="3130" t="s">
        <v>4284</v>
      </c>
      <c r="AI12" s="3146" t="s">
        <v>3805</v>
      </c>
      <c r="AJ12" s="3146" t="s">
        <v>3805</v>
      </c>
      <c r="AK12" s="3146" t="s">
        <v>3805</v>
      </c>
      <c r="AL12" s="3087" t="s">
        <v>3821</v>
      </c>
      <c r="AM12" s="3087"/>
      <c r="AN12" s="3087"/>
      <c r="AO12" s="3087"/>
      <c r="AP12" s="3087"/>
      <c r="AQ12" s="3087"/>
    </row>
    <row r="13" spans="1:43" s="3088" customFormat="1" ht="90" customHeight="1">
      <c r="A13" s="3111">
        <v>11</v>
      </c>
      <c r="B13" s="3112">
        <v>1524</v>
      </c>
      <c r="C13" s="3113" t="s">
        <v>200</v>
      </c>
      <c r="D13" s="3113" t="s">
        <v>200</v>
      </c>
      <c r="E13" s="3114" t="s">
        <v>201</v>
      </c>
      <c r="F13" s="3112" t="s">
        <v>1056</v>
      </c>
      <c r="G13" s="3115"/>
      <c r="H13" s="3116">
        <v>0.35</v>
      </c>
      <c r="I13" s="2861" t="s">
        <v>4387</v>
      </c>
      <c r="J13" s="3118"/>
      <c r="K13" s="3124"/>
      <c r="L13" s="3142"/>
      <c r="M13" s="3143">
        <v>0</v>
      </c>
      <c r="N13" s="3143">
        <v>0</v>
      </c>
      <c r="O13" s="3124">
        <v>0</v>
      </c>
      <c r="P13" s="3116"/>
      <c r="Q13" s="3147">
        <v>0.25</v>
      </c>
      <c r="R13" s="3147"/>
      <c r="S13" s="3147"/>
      <c r="T13" s="3147"/>
      <c r="U13" s="3123" t="s">
        <v>3821</v>
      </c>
      <c r="V13" s="3123">
        <v>0</v>
      </c>
      <c r="W13" s="3123" t="s">
        <v>3821</v>
      </c>
      <c r="X13" s="3124"/>
      <c r="Y13" s="3125" t="s">
        <v>1056</v>
      </c>
      <c r="Z13" s="3126" t="s">
        <v>223</v>
      </c>
      <c r="AA13" s="3127">
        <v>2500</v>
      </c>
      <c r="AB13" s="3128">
        <v>2000000</v>
      </c>
      <c r="AC13" s="3129" t="s">
        <v>3671</v>
      </c>
      <c r="AD13" s="3129" t="s">
        <v>3672</v>
      </c>
      <c r="AE13" s="3129" t="s">
        <v>4021</v>
      </c>
      <c r="AF13" s="2860" t="s">
        <v>4500</v>
      </c>
      <c r="AG13" s="3130" t="s">
        <v>3684</v>
      </c>
      <c r="AH13" s="3130" t="s">
        <v>4284</v>
      </c>
      <c r="AI13" s="3146" t="s">
        <v>3805</v>
      </c>
      <c r="AJ13" s="3146" t="s">
        <v>3805</v>
      </c>
      <c r="AK13" s="3146" t="s">
        <v>3805</v>
      </c>
      <c r="AL13" s="3087" t="s">
        <v>3805</v>
      </c>
      <c r="AM13" s="3087"/>
      <c r="AN13" s="3087"/>
      <c r="AO13" s="3087"/>
      <c r="AP13" s="3087"/>
      <c r="AQ13" s="3087"/>
    </row>
    <row r="14" spans="1:43" s="3088" customFormat="1" ht="90" customHeight="1">
      <c r="A14" s="3131">
        <v>12</v>
      </c>
      <c r="B14" s="3132">
        <v>1525</v>
      </c>
      <c r="C14" s="3133" t="s">
        <v>307</v>
      </c>
      <c r="D14" s="3133" t="s">
        <v>307</v>
      </c>
      <c r="E14" s="3134" t="s">
        <v>307</v>
      </c>
      <c r="F14" s="3141" t="s">
        <v>258</v>
      </c>
      <c r="G14" s="3115"/>
      <c r="H14" s="3135"/>
      <c r="I14" s="3115"/>
      <c r="J14" s="2861"/>
      <c r="K14" s="3115"/>
      <c r="L14" s="3115"/>
      <c r="M14" s="3135"/>
      <c r="N14" s="3135"/>
      <c r="O14" s="3136"/>
      <c r="P14" s="3115"/>
      <c r="Q14" s="3137"/>
      <c r="R14" s="3137"/>
      <c r="S14" s="3137"/>
      <c r="T14" s="3137"/>
      <c r="U14" s="3115"/>
      <c r="V14" s="3138"/>
      <c r="W14" s="3115"/>
      <c r="X14" s="3138"/>
      <c r="Y14" s="3115"/>
      <c r="Z14" s="3139"/>
      <c r="AA14" s="3148"/>
      <c r="AB14" s="3140"/>
      <c r="AC14" s="2860"/>
      <c r="AD14" s="2860"/>
      <c r="AE14" s="2860"/>
      <c r="AF14" s="2860" t="s">
        <v>4500</v>
      </c>
      <c r="AG14" s="3130"/>
      <c r="AH14" s="3130" t="s">
        <v>4284</v>
      </c>
      <c r="AI14" s="3146"/>
      <c r="AJ14" s="3146"/>
      <c r="AK14" s="3146"/>
      <c r="AL14" s="3087">
        <v>0</v>
      </c>
      <c r="AM14" s="3087"/>
      <c r="AN14" s="3087"/>
      <c r="AO14" s="3087"/>
      <c r="AP14" s="3087"/>
      <c r="AQ14" s="3087"/>
    </row>
    <row r="15" spans="1:43" s="3088" customFormat="1" ht="90" customHeight="1">
      <c r="A15" s="3111">
        <v>13</v>
      </c>
      <c r="B15" s="3112">
        <v>1526</v>
      </c>
      <c r="C15" s="3113" t="s">
        <v>198</v>
      </c>
      <c r="D15" s="3113" t="s">
        <v>198</v>
      </c>
      <c r="E15" s="3114" t="s">
        <v>199</v>
      </c>
      <c r="F15" s="3112" t="s">
        <v>1056</v>
      </c>
      <c r="G15" s="3115"/>
      <c r="H15" s="3116">
        <v>0.35</v>
      </c>
      <c r="I15" s="2861" t="s">
        <v>4387</v>
      </c>
      <c r="J15" s="3118"/>
      <c r="K15" s="3124"/>
      <c r="L15" s="3142"/>
      <c r="M15" s="3143">
        <v>0.3</v>
      </c>
      <c r="N15" s="3143">
        <v>0.3</v>
      </c>
      <c r="O15" s="3124">
        <v>0</v>
      </c>
      <c r="P15" s="3116"/>
      <c r="Q15" s="3147">
        <v>0.25</v>
      </c>
      <c r="R15" s="3147"/>
      <c r="S15" s="3147"/>
      <c r="T15" s="3147"/>
      <c r="U15" s="3123" t="s">
        <v>3821</v>
      </c>
      <c r="V15" s="3123">
        <v>0</v>
      </c>
      <c r="W15" s="3123" t="s">
        <v>3821</v>
      </c>
      <c r="X15" s="3124"/>
      <c r="Y15" s="3125" t="s">
        <v>1056</v>
      </c>
      <c r="Z15" s="3126" t="s">
        <v>223</v>
      </c>
      <c r="AA15" s="3127">
        <v>2500</v>
      </c>
      <c r="AB15" s="3128">
        <v>2000000</v>
      </c>
      <c r="AC15" s="3129" t="s">
        <v>3671</v>
      </c>
      <c r="AD15" s="3129" t="s">
        <v>3672</v>
      </c>
      <c r="AE15" s="2860" t="s">
        <v>4249</v>
      </c>
      <c r="AF15" s="2860" t="s">
        <v>4500</v>
      </c>
      <c r="AG15" s="3130" t="s">
        <v>3684</v>
      </c>
      <c r="AH15" s="3130" t="s">
        <v>4284</v>
      </c>
      <c r="AI15" s="3111" t="s">
        <v>3805</v>
      </c>
      <c r="AJ15" s="3111" t="s">
        <v>3805</v>
      </c>
      <c r="AK15" s="3111" t="s">
        <v>3805</v>
      </c>
      <c r="AL15" s="3087" t="s">
        <v>3805</v>
      </c>
      <c r="AM15" s="3087"/>
      <c r="AN15" s="3087"/>
      <c r="AO15" s="3087"/>
      <c r="AP15" s="3087"/>
      <c r="AQ15" s="3087"/>
    </row>
    <row r="16" spans="1:43" s="3088" customFormat="1" ht="90" customHeight="1">
      <c r="A16" s="3131">
        <v>14</v>
      </c>
      <c r="B16" s="3132">
        <v>1527</v>
      </c>
      <c r="C16" s="3133" t="s">
        <v>196</v>
      </c>
      <c r="D16" s="3133" t="s">
        <v>196</v>
      </c>
      <c r="E16" s="3134" t="s">
        <v>197</v>
      </c>
      <c r="F16" s="3131" t="s">
        <v>1056</v>
      </c>
      <c r="G16" s="3115"/>
      <c r="H16" s="3116">
        <v>0.35</v>
      </c>
      <c r="I16" s="2861" t="s">
        <v>4387</v>
      </c>
      <c r="J16" s="2861"/>
      <c r="K16" s="3115"/>
      <c r="L16" s="3115"/>
      <c r="M16" s="3135">
        <v>0.3</v>
      </c>
      <c r="N16" s="3135">
        <v>0.3</v>
      </c>
      <c r="O16" s="3136">
        <v>0</v>
      </c>
      <c r="P16" s="3115"/>
      <c r="Q16" s="3147">
        <v>0.35</v>
      </c>
      <c r="R16" s="3147"/>
      <c r="S16" s="3147"/>
      <c r="T16" s="3147"/>
      <c r="U16" s="3115" t="s">
        <v>3821</v>
      </c>
      <c r="V16" s="3138">
        <v>0</v>
      </c>
      <c r="W16" s="3149" t="s">
        <v>3805</v>
      </c>
      <c r="X16" s="3138"/>
      <c r="Y16" s="3115" t="s">
        <v>1056</v>
      </c>
      <c r="Z16" s="3150" t="s">
        <v>4421</v>
      </c>
      <c r="AA16" s="3151">
        <v>2500</v>
      </c>
      <c r="AB16" s="3140">
        <v>2000000</v>
      </c>
      <c r="AC16" s="2860"/>
      <c r="AD16" s="2860"/>
      <c r="AE16" s="2860"/>
      <c r="AF16" s="2860" t="s">
        <v>4500</v>
      </c>
      <c r="AG16" s="3130" t="s">
        <v>3684</v>
      </c>
      <c r="AH16" s="3130" t="s">
        <v>4284</v>
      </c>
      <c r="AI16" s="3146" t="s">
        <v>3821</v>
      </c>
      <c r="AJ16" s="3146" t="s">
        <v>3821</v>
      </c>
      <c r="AK16" s="3146" t="s">
        <v>3805</v>
      </c>
      <c r="AL16" s="3087" t="s">
        <v>3805</v>
      </c>
      <c r="AM16" s="3087"/>
      <c r="AN16" s="3087"/>
      <c r="AO16" s="3087"/>
      <c r="AP16" s="3087"/>
      <c r="AQ16" s="3087"/>
    </row>
    <row r="17" spans="1:39" s="3088" customFormat="1" ht="90" customHeight="1">
      <c r="A17" s="3111">
        <v>15</v>
      </c>
      <c r="B17" s="3112">
        <v>1528</v>
      </c>
      <c r="C17" s="3113" t="s">
        <v>194</v>
      </c>
      <c r="D17" s="3113" t="s">
        <v>194</v>
      </c>
      <c r="E17" s="3114" t="s">
        <v>195</v>
      </c>
      <c r="F17" s="3112" t="s">
        <v>1056</v>
      </c>
      <c r="G17" s="3115"/>
      <c r="H17" s="3116">
        <v>0.35</v>
      </c>
      <c r="I17" s="2861" t="s">
        <v>4387</v>
      </c>
      <c r="J17" s="3118"/>
      <c r="K17" s="3124"/>
      <c r="L17" s="3142"/>
      <c r="M17" s="3143">
        <v>0.3</v>
      </c>
      <c r="N17" s="3143">
        <v>0.3</v>
      </c>
      <c r="O17" s="3124">
        <v>0</v>
      </c>
      <c r="P17" s="3116"/>
      <c r="Q17" s="3147">
        <v>0.3</v>
      </c>
      <c r="R17" s="3147"/>
      <c r="S17" s="3147"/>
      <c r="T17" s="3147"/>
      <c r="U17" s="3123" t="s">
        <v>3821</v>
      </c>
      <c r="V17" s="3123">
        <v>0</v>
      </c>
      <c r="W17" s="3123" t="s">
        <v>3821</v>
      </c>
      <c r="X17" s="3124"/>
      <c r="Y17" s="3125" t="s">
        <v>1056</v>
      </c>
      <c r="Z17" s="3126" t="s">
        <v>223</v>
      </c>
      <c r="AA17" s="3127">
        <v>2500</v>
      </c>
      <c r="AB17" s="3128">
        <v>2000000</v>
      </c>
      <c r="AC17" s="3129" t="s">
        <v>4021</v>
      </c>
      <c r="AD17" s="3129"/>
      <c r="AE17" s="3129"/>
      <c r="AF17" s="2860" t="s">
        <v>4500</v>
      </c>
      <c r="AG17" s="3130" t="s">
        <v>3684</v>
      </c>
      <c r="AH17" s="3130" t="s">
        <v>4284</v>
      </c>
      <c r="AI17" s="3146" t="s">
        <v>3821</v>
      </c>
      <c r="AJ17" s="3146" t="s">
        <v>3821</v>
      </c>
      <c r="AK17" s="3146" t="s">
        <v>3805</v>
      </c>
      <c r="AL17" s="3087" t="s">
        <v>3821</v>
      </c>
      <c r="AM17" s="3087"/>
    </row>
    <row r="18" spans="1:39" s="3088" customFormat="1" ht="90" customHeight="1">
      <c r="A18" s="3131">
        <v>16</v>
      </c>
      <c r="B18" s="3132">
        <v>1531</v>
      </c>
      <c r="C18" s="3133" t="s">
        <v>192</v>
      </c>
      <c r="D18" s="3133" t="s">
        <v>192</v>
      </c>
      <c r="E18" s="3134" t="s">
        <v>193</v>
      </c>
      <c r="F18" s="3131" t="s">
        <v>1056</v>
      </c>
      <c r="G18" s="3115"/>
      <c r="H18" s="3116">
        <v>0.35</v>
      </c>
      <c r="I18" s="3115" t="s">
        <v>1033</v>
      </c>
      <c r="J18" s="2861" t="s">
        <v>3969</v>
      </c>
      <c r="K18" s="3115"/>
      <c r="L18" s="3115"/>
      <c r="M18" s="3135">
        <v>0.3</v>
      </c>
      <c r="N18" s="3135">
        <v>0.3</v>
      </c>
      <c r="O18" s="3136">
        <v>0</v>
      </c>
      <c r="P18" s="3115"/>
      <c r="Q18" s="3147">
        <v>0.75</v>
      </c>
      <c r="R18" s="3147"/>
      <c r="S18" s="3147"/>
      <c r="T18" s="3147"/>
      <c r="U18" s="3115" t="s">
        <v>3805</v>
      </c>
      <c r="V18" s="3145">
        <v>2500</v>
      </c>
      <c r="W18" s="3115" t="s">
        <v>3821</v>
      </c>
      <c r="X18" s="3138"/>
      <c r="Y18" s="3115" t="s">
        <v>1056</v>
      </c>
      <c r="Z18" s="3139" t="s">
        <v>223</v>
      </c>
      <c r="AA18" s="3127">
        <v>2500</v>
      </c>
      <c r="AB18" s="3140">
        <v>2000000</v>
      </c>
      <c r="AC18" s="2860" t="s">
        <v>3676</v>
      </c>
      <c r="AD18" s="2860"/>
      <c r="AE18" s="2860"/>
      <c r="AF18" s="2860" t="s">
        <v>4500</v>
      </c>
      <c r="AG18" s="3130" t="s">
        <v>3684</v>
      </c>
      <c r="AH18" s="3130" t="s">
        <v>4284</v>
      </c>
      <c r="AI18" s="3146" t="s">
        <v>3821</v>
      </c>
      <c r="AJ18" s="3146" t="s">
        <v>3821</v>
      </c>
      <c r="AK18" s="3146" t="s">
        <v>3805</v>
      </c>
      <c r="AL18" s="3087" t="s">
        <v>3805</v>
      </c>
      <c r="AM18" s="3087"/>
    </row>
    <row r="19" spans="1:39" s="3088" customFormat="1" ht="90" customHeight="1">
      <c r="A19" s="3111">
        <v>17</v>
      </c>
      <c r="B19" s="3112">
        <v>1532</v>
      </c>
      <c r="C19" s="3113" t="s">
        <v>190</v>
      </c>
      <c r="D19" s="3113" t="s">
        <v>190</v>
      </c>
      <c r="E19" s="3114" t="s">
        <v>191</v>
      </c>
      <c r="F19" s="3112" t="s">
        <v>1056</v>
      </c>
      <c r="G19" s="3115"/>
      <c r="H19" s="3116">
        <v>0.35</v>
      </c>
      <c r="I19" s="3117" t="s">
        <v>4330</v>
      </c>
      <c r="J19" s="3118"/>
      <c r="K19" s="3124"/>
      <c r="L19" s="3142"/>
      <c r="M19" s="3143">
        <v>0.3</v>
      </c>
      <c r="N19" s="3143">
        <v>0.3</v>
      </c>
      <c r="O19" s="3124">
        <v>0</v>
      </c>
      <c r="P19" s="3116"/>
      <c r="Q19" s="3122">
        <v>0</v>
      </c>
      <c r="R19" s="3122"/>
      <c r="S19" s="3122"/>
      <c r="T19" s="3122"/>
      <c r="U19" s="3123" t="s">
        <v>3821</v>
      </c>
      <c r="V19" s="3123">
        <v>0</v>
      </c>
      <c r="W19" s="3123" t="s">
        <v>3821</v>
      </c>
      <c r="X19" s="3124"/>
      <c r="Y19" s="3125" t="s">
        <v>1056</v>
      </c>
      <c r="Z19" s="3126" t="s">
        <v>223</v>
      </c>
      <c r="AA19" s="3127">
        <v>2500</v>
      </c>
      <c r="AB19" s="3128">
        <v>2000000</v>
      </c>
      <c r="AC19" s="3129"/>
      <c r="AD19" s="3129"/>
      <c r="AE19" s="3129"/>
      <c r="AF19" s="2860" t="s">
        <v>4500</v>
      </c>
      <c r="AG19" s="3130" t="s">
        <v>3684</v>
      </c>
      <c r="AH19" s="3130" t="s">
        <v>4284</v>
      </c>
      <c r="AI19" s="3146" t="s">
        <v>3821</v>
      </c>
      <c r="AJ19" s="3146" t="s">
        <v>3821</v>
      </c>
      <c r="AK19" s="3146" t="s">
        <v>3805</v>
      </c>
      <c r="AL19" s="3087" t="s">
        <v>3805</v>
      </c>
      <c r="AM19" s="3087"/>
    </row>
    <row r="20" spans="1:39" s="3088" customFormat="1" ht="90" customHeight="1">
      <c r="A20" s="3131">
        <v>18</v>
      </c>
      <c r="B20" s="3132">
        <v>1533</v>
      </c>
      <c r="C20" s="3133" t="s">
        <v>188</v>
      </c>
      <c r="D20" s="3133" t="s">
        <v>188</v>
      </c>
      <c r="E20" s="3134" t="s">
        <v>189</v>
      </c>
      <c r="F20" s="3131" t="s">
        <v>1056</v>
      </c>
      <c r="G20" s="3115"/>
      <c r="H20" s="3116">
        <v>0.35</v>
      </c>
      <c r="I20" s="2861" t="s">
        <v>4387</v>
      </c>
      <c r="J20" s="2861"/>
      <c r="K20" s="3115"/>
      <c r="L20" s="3115"/>
      <c r="M20" s="3135"/>
      <c r="N20" s="3135"/>
      <c r="O20" s="3136"/>
      <c r="P20" s="3115"/>
      <c r="Q20" s="3147">
        <v>0.5</v>
      </c>
      <c r="R20" s="3147"/>
      <c r="S20" s="3147"/>
      <c r="T20" s="3147"/>
      <c r="U20" s="3115" t="s">
        <v>3821</v>
      </c>
      <c r="V20" s="3138">
        <v>0</v>
      </c>
      <c r="W20" s="3115" t="s">
        <v>3821</v>
      </c>
      <c r="X20" s="3138"/>
      <c r="Y20" s="3115"/>
      <c r="Z20" s="3139"/>
      <c r="AA20" s="3127">
        <v>2500</v>
      </c>
      <c r="AB20" s="3129" t="s">
        <v>3671</v>
      </c>
      <c r="AC20" s="3129" t="s">
        <v>3672</v>
      </c>
      <c r="AD20" s="2860"/>
      <c r="AE20" s="2860"/>
      <c r="AF20" s="2860" t="s">
        <v>4500</v>
      </c>
      <c r="AG20" s="3130" t="s">
        <v>3684</v>
      </c>
      <c r="AH20" s="3130" t="s">
        <v>4284</v>
      </c>
      <c r="AI20" s="3146" t="s">
        <v>3821</v>
      </c>
      <c r="AJ20" s="3146" t="s">
        <v>3821</v>
      </c>
      <c r="AK20" s="3146" t="s">
        <v>3805</v>
      </c>
      <c r="AL20" s="3087" t="s">
        <v>3805</v>
      </c>
      <c r="AM20" s="3087"/>
    </row>
    <row r="21" spans="1:39" s="3088" customFormat="1" ht="90" customHeight="1">
      <c r="A21" s="3111">
        <v>19</v>
      </c>
      <c r="B21" s="3112">
        <v>1534</v>
      </c>
      <c r="C21" s="3113" t="s">
        <v>186</v>
      </c>
      <c r="D21" s="3113" t="s">
        <v>186</v>
      </c>
      <c r="E21" s="3114" t="s">
        <v>187</v>
      </c>
      <c r="F21" s="3112" t="s">
        <v>1056</v>
      </c>
      <c r="G21" s="3115"/>
      <c r="H21" s="3116">
        <v>0.35</v>
      </c>
      <c r="I21" s="3117" t="s">
        <v>4330</v>
      </c>
      <c r="J21" s="3118"/>
      <c r="K21" s="3124"/>
      <c r="L21" s="3142"/>
      <c r="M21" s="3143">
        <v>0.3</v>
      </c>
      <c r="N21" s="3143">
        <v>0.3</v>
      </c>
      <c r="O21" s="3124">
        <v>0</v>
      </c>
      <c r="P21" s="3116"/>
      <c r="Q21" s="3122">
        <v>0</v>
      </c>
      <c r="R21" s="3122"/>
      <c r="S21" s="3122"/>
      <c r="T21" s="3122"/>
      <c r="U21" s="3123" t="s">
        <v>3821</v>
      </c>
      <c r="V21" s="3123">
        <v>0</v>
      </c>
      <c r="W21" s="3123" t="s">
        <v>3821</v>
      </c>
      <c r="X21" s="3124"/>
      <c r="Y21" s="3125" t="s">
        <v>1056</v>
      </c>
      <c r="Z21" s="3126" t="s">
        <v>223</v>
      </c>
      <c r="AA21" s="3127">
        <v>2500</v>
      </c>
      <c r="AB21" s="3128">
        <v>2000000</v>
      </c>
      <c r="AC21" s="3129"/>
      <c r="AD21" s="3129"/>
      <c r="AE21" s="3129"/>
      <c r="AF21" s="2860" t="s">
        <v>4500</v>
      </c>
      <c r="AG21" s="3130" t="s">
        <v>3684</v>
      </c>
      <c r="AH21" s="3130" t="s">
        <v>4284</v>
      </c>
      <c r="AI21" s="3146" t="s">
        <v>3821</v>
      </c>
      <c r="AJ21" s="3146" t="s">
        <v>3821</v>
      </c>
      <c r="AK21" s="3146" t="s">
        <v>3805</v>
      </c>
      <c r="AL21" s="3087" t="s">
        <v>3821</v>
      </c>
      <c r="AM21" s="3087"/>
    </row>
    <row r="22" spans="1:39" s="3088" customFormat="1" ht="90" customHeight="1">
      <c r="A22" s="3131">
        <v>20</v>
      </c>
      <c r="B22" s="3132">
        <v>1535</v>
      </c>
      <c r="C22" s="3133" t="s">
        <v>184</v>
      </c>
      <c r="D22" s="3133" t="s">
        <v>184</v>
      </c>
      <c r="E22" s="3134" t="s">
        <v>185</v>
      </c>
      <c r="F22" s="3131" t="s">
        <v>1056</v>
      </c>
      <c r="G22" s="3115"/>
      <c r="H22" s="3116">
        <v>0.35</v>
      </c>
      <c r="I22" s="2861" t="s">
        <v>4387</v>
      </c>
      <c r="J22" s="2861"/>
      <c r="K22" s="3115"/>
      <c r="L22" s="3115"/>
      <c r="M22" s="3135">
        <v>0.3</v>
      </c>
      <c r="N22" s="3135">
        <v>0.3</v>
      </c>
      <c r="O22" s="3136">
        <v>0</v>
      </c>
      <c r="P22" s="3115"/>
      <c r="Q22" s="3137">
        <v>0</v>
      </c>
      <c r="R22" s="3137"/>
      <c r="S22" s="3137"/>
      <c r="T22" s="3137"/>
      <c r="U22" s="3115" t="s">
        <v>3821</v>
      </c>
      <c r="V22" s="3138">
        <v>0</v>
      </c>
      <c r="W22" s="3115" t="s">
        <v>3821</v>
      </c>
      <c r="X22" s="3138"/>
      <c r="Y22" s="3115" t="s">
        <v>1056</v>
      </c>
      <c r="Z22" s="3139" t="s">
        <v>223</v>
      </c>
      <c r="AA22" s="3127">
        <v>2500</v>
      </c>
      <c r="AB22" s="3140">
        <v>2000000</v>
      </c>
      <c r="AC22" s="2860" t="s">
        <v>4231</v>
      </c>
      <c r="AD22" s="2860"/>
      <c r="AE22" s="2860"/>
      <c r="AF22" s="2860" t="s">
        <v>4500</v>
      </c>
      <c r="AG22" s="3130" t="s">
        <v>3684</v>
      </c>
      <c r="AH22" s="3130" t="s">
        <v>4284</v>
      </c>
      <c r="AI22" s="3146" t="s">
        <v>3821</v>
      </c>
      <c r="AJ22" s="3146" t="s">
        <v>3821</v>
      </c>
      <c r="AK22" s="3146" t="s">
        <v>3805</v>
      </c>
      <c r="AL22" s="3087" t="s">
        <v>3805</v>
      </c>
      <c r="AM22" s="3087"/>
    </row>
    <row r="23" spans="1:39" s="3088" customFormat="1" ht="90" customHeight="1">
      <c r="A23" s="3111">
        <v>21</v>
      </c>
      <c r="B23" s="3112">
        <v>1536</v>
      </c>
      <c r="C23" s="3113" t="s">
        <v>182</v>
      </c>
      <c r="D23" s="3113" t="s">
        <v>182</v>
      </c>
      <c r="E23" s="3114" t="s">
        <v>183</v>
      </c>
      <c r="F23" s="3141" t="s">
        <v>1056</v>
      </c>
      <c r="G23" s="3115"/>
      <c r="H23" s="3116">
        <v>0.35</v>
      </c>
      <c r="I23" s="3124" t="s">
        <v>1033</v>
      </c>
      <c r="J23" s="3118" t="s">
        <v>3969</v>
      </c>
      <c r="K23" s="3124"/>
      <c r="L23" s="3142"/>
      <c r="M23" s="3143">
        <v>1</v>
      </c>
      <c r="N23" s="3143">
        <v>1</v>
      </c>
      <c r="O23" s="3124">
        <v>0</v>
      </c>
      <c r="P23" s="3116"/>
      <c r="Q23" s="3147">
        <v>0.75</v>
      </c>
      <c r="R23" s="3147"/>
      <c r="S23" s="3147"/>
      <c r="T23" s="3147"/>
      <c r="U23" s="3123" t="s">
        <v>3805</v>
      </c>
      <c r="V23" s="3145">
        <v>2500</v>
      </c>
      <c r="W23" s="3123" t="s">
        <v>3821</v>
      </c>
      <c r="X23" s="3124"/>
      <c r="Y23" s="3125" t="s">
        <v>1056</v>
      </c>
      <c r="Z23" s="3126" t="s">
        <v>223</v>
      </c>
      <c r="AA23" s="3127">
        <v>2500</v>
      </c>
      <c r="AB23" s="3128">
        <v>400000</v>
      </c>
      <c r="AC23" s="3129" t="s">
        <v>3676</v>
      </c>
      <c r="AD23" s="3129"/>
      <c r="AE23" s="3129"/>
      <c r="AF23" s="2860"/>
      <c r="AG23" s="3130" t="s">
        <v>3684</v>
      </c>
      <c r="AH23" s="3130" t="s">
        <v>4284</v>
      </c>
      <c r="AI23" s="3146" t="s">
        <v>3821</v>
      </c>
      <c r="AJ23" s="3146" t="s">
        <v>3821</v>
      </c>
      <c r="AK23" s="3146" t="s">
        <v>3805</v>
      </c>
      <c r="AL23" s="3087">
        <v>0</v>
      </c>
      <c r="AM23" s="3087"/>
    </row>
    <row r="24" spans="1:39" s="3088" customFormat="1" ht="90" customHeight="1">
      <c r="A24" s="3131">
        <v>22</v>
      </c>
      <c r="B24" s="3132">
        <v>1537</v>
      </c>
      <c r="C24" s="3133" t="s">
        <v>180</v>
      </c>
      <c r="D24" s="3133" t="s">
        <v>180</v>
      </c>
      <c r="E24" s="3134" t="s">
        <v>181</v>
      </c>
      <c r="F24" s="3131" t="s">
        <v>1056</v>
      </c>
      <c r="G24" s="3115"/>
      <c r="H24" s="3116">
        <v>0.35</v>
      </c>
      <c r="I24" s="3115" t="s">
        <v>1033</v>
      </c>
      <c r="J24" s="2861" t="s">
        <v>3969</v>
      </c>
      <c r="K24" s="3115"/>
      <c r="L24" s="3115"/>
      <c r="M24" s="3135">
        <v>0.3</v>
      </c>
      <c r="N24" s="3135">
        <v>0.3</v>
      </c>
      <c r="O24" s="3136">
        <v>0</v>
      </c>
      <c r="P24" s="3115"/>
      <c r="Q24" s="3147">
        <v>0.75</v>
      </c>
      <c r="R24" s="3147"/>
      <c r="S24" s="3147"/>
      <c r="T24" s="3147"/>
      <c r="U24" s="3115" t="s">
        <v>3805</v>
      </c>
      <c r="V24" s="3145">
        <v>2500</v>
      </c>
      <c r="W24" s="3115" t="s">
        <v>3821</v>
      </c>
      <c r="X24" s="3138"/>
      <c r="Y24" s="3115" t="s">
        <v>1056</v>
      </c>
      <c r="Z24" s="3139" t="s">
        <v>223</v>
      </c>
      <c r="AA24" s="3127">
        <v>2500</v>
      </c>
      <c r="AB24" s="3140">
        <v>400000</v>
      </c>
      <c r="AC24" s="2860" t="s">
        <v>3676</v>
      </c>
      <c r="AD24" s="2860"/>
      <c r="AE24" s="2860"/>
      <c r="AF24" s="2860" t="s">
        <v>4500</v>
      </c>
      <c r="AG24" s="3130" t="s">
        <v>3684</v>
      </c>
      <c r="AH24" s="3130" t="s">
        <v>4284</v>
      </c>
      <c r="AI24" s="3146"/>
      <c r="AJ24" s="3146"/>
      <c r="AK24" s="3146"/>
      <c r="AL24" s="3087" t="s">
        <v>3805</v>
      </c>
      <c r="AM24" s="3087"/>
    </row>
    <row r="25" spans="1:39" s="3088" customFormat="1" ht="90" customHeight="1">
      <c r="A25" s="3111">
        <v>23</v>
      </c>
      <c r="B25" s="3112">
        <v>1621</v>
      </c>
      <c r="C25" s="3113" t="s">
        <v>178</v>
      </c>
      <c r="D25" s="3113" t="s">
        <v>178</v>
      </c>
      <c r="E25" s="3114" t="s">
        <v>179</v>
      </c>
      <c r="F25" s="3141" t="s">
        <v>1055</v>
      </c>
      <c r="G25" s="3115"/>
      <c r="H25" s="3116"/>
      <c r="I25" s="3124"/>
      <c r="J25" s="3118"/>
      <c r="K25" s="3124"/>
      <c r="L25" s="3142"/>
      <c r="M25" s="3143"/>
      <c r="N25" s="3143"/>
      <c r="O25" s="3124"/>
      <c r="P25" s="3116"/>
      <c r="Q25" s="3122"/>
      <c r="R25" s="3122"/>
      <c r="S25" s="3122"/>
      <c r="T25" s="3122"/>
      <c r="U25" s="3123"/>
      <c r="V25" s="3123"/>
      <c r="W25" s="3123"/>
      <c r="X25" s="3124"/>
      <c r="Y25" s="3125"/>
      <c r="Z25" s="3126"/>
      <c r="AA25" s="3127">
        <v>2500</v>
      </c>
      <c r="AB25" s="3128"/>
      <c r="AC25" s="3129"/>
      <c r="AD25" s="3129"/>
      <c r="AE25" s="3129"/>
      <c r="AF25" s="2860" t="s">
        <v>4500</v>
      </c>
      <c r="AG25" s="3130"/>
      <c r="AH25" s="3130" t="s">
        <v>4284</v>
      </c>
      <c r="AI25" s="3111"/>
      <c r="AJ25" s="3111"/>
      <c r="AK25" s="3111"/>
      <c r="AL25" s="3087">
        <v>0</v>
      </c>
      <c r="AM25" s="3087"/>
    </row>
    <row r="26" spans="1:39" s="3088" customFormat="1" ht="90" customHeight="1">
      <c r="A26" s="3131">
        <v>24</v>
      </c>
      <c r="B26" s="3132">
        <v>1622</v>
      </c>
      <c r="C26" s="3133" t="s">
        <v>176</v>
      </c>
      <c r="D26" s="3133" t="s">
        <v>176</v>
      </c>
      <c r="E26" s="3134" t="s">
        <v>177</v>
      </c>
      <c r="F26" s="3141" t="s">
        <v>1055</v>
      </c>
      <c r="G26" s="3115"/>
      <c r="H26" s="3135"/>
      <c r="I26" s="3115"/>
      <c r="J26" s="2861"/>
      <c r="K26" s="3115"/>
      <c r="L26" s="3115"/>
      <c r="M26" s="3135"/>
      <c r="N26" s="3135"/>
      <c r="O26" s="3136"/>
      <c r="P26" s="3115"/>
      <c r="Q26" s="3137"/>
      <c r="R26" s="3137"/>
      <c r="S26" s="3137"/>
      <c r="T26" s="3137"/>
      <c r="U26" s="3115"/>
      <c r="V26" s="3138"/>
      <c r="W26" s="3115"/>
      <c r="X26" s="3138"/>
      <c r="Y26" s="3115"/>
      <c r="Z26" s="3139"/>
      <c r="AA26" s="3127">
        <v>2500</v>
      </c>
      <c r="AB26" s="3140"/>
      <c r="AC26" s="2860"/>
      <c r="AD26" s="2860"/>
      <c r="AE26" s="2860"/>
      <c r="AF26" s="2860" t="s">
        <v>4500</v>
      </c>
      <c r="AG26" s="3130"/>
      <c r="AH26" s="3130" t="s">
        <v>4284</v>
      </c>
      <c r="AI26" s="3146"/>
      <c r="AJ26" s="3146"/>
      <c r="AK26" s="3146"/>
      <c r="AL26" s="3087">
        <v>0</v>
      </c>
      <c r="AM26" s="3087"/>
    </row>
    <row r="27" spans="1:39" s="3088" customFormat="1" ht="90" customHeight="1">
      <c r="A27" s="3111">
        <v>25</v>
      </c>
      <c r="B27" s="3112">
        <v>1623</v>
      </c>
      <c r="C27" s="3113" t="s">
        <v>174</v>
      </c>
      <c r="D27" s="3113" t="s">
        <v>174</v>
      </c>
      <c r="E27" s="3114" t="s">
        <v>175</v>
      </c>
      <c r="F27" s="3141" t="s">
        <v>1055</v>
      </c>
      <c r="G27" s="3115"/>
      <c r="H27" s="3116"/>
      <c r="I27" s="3124"/>
      <c r="J27" s="3118"/>
      <c r="K27" s="3124"/>
      <c r="L27" s="3142"/>
      <c r="M27" s="3143"/>
      <c r="N27" s="3143"/>
      <c r="O27" s="3124"/>
      <c r="P27" s="3116"/>
      <c r="Q27" s="3122"/>
      <c r="R27" s="3122"/>
      <c r="S27" s="3122"/>
      <c r="T27" s="3122"/>
      <c r="U27" s="3123"/>
      <c r="V27" s="3123"/>
      <c r="W27" s="3123"/>
      <c r="X27" s="3124"/>
      <c r="Y27" s="3125"/>
      <c r="Z27" s="3126"/>
      <c r="AA27" s="3127">
        <v>2500</v>
      </c>
      <c r="AB27" s="3128"/>
      <c r="AC27" s="3129"/>
      <c r="AD27" s="3129"/>
      <c r="AE27" s="3129"/>
      <c r="AF27" s="2860" t="s">
        <v>4500</v>
      </c>
      <c r="AG27" s="3130"/>
      <c r="AH27" s="3130" t="s">
        <v>4284</v>
      </c>
      <c r="AI27" s="3111"/>
      <c r="AJ27" s="3111"/>
      <c r="AK27" s="3111"/>
      <c r="AL27" s="3087">
        <v>0</v>
      </c>
      <c r="AM27" s="3087"/>
    </row>
    <row r="28" spans="1:39" s="3088" customFormat="1" ht="90" customHeight="1">
      <c r="A28" s="3131">
        <v>26</v>
      </c>
      <c r="B28" s="3132">
        <v>1624</v>
      </c>
      <c r="C28" s="3133" t="s">
        <v>172</v>
      </c>
      <c r="D28" s="3133" t="s">
        <v>172</v>
      </c>
      <c r="E28" s="3134" t="s">
        <v>173</v>
      </c>
      <c r="F28" s="3141" t="s">
        <v>1055</v>
      </c>
      <c r="G28" s="3115"/>
      <c r="H28" s="3135"/>
      <c r="I28" s="3115"/>
      <c r="J28" s="2861"/>
      <c r="K28" s="3115"/>
      <c r="L28" s="3115"/>
      <c r="M28" s="3135"/>
      <c r="N28" s="3135"/>
      <c r="O28" s="3136"/>
      <c r="P28" s="3115"/>
      <c r="Q28" s="3137"/>
      <c r="R28" s="3137"/>
      <c r="S28" s="3137"/>
      <c r="T28" s="3137"/>
      <c r="U28" s="3115"/>
      <c r="V28" s="3138"/>
      <c r="W28" s="3115"/>
      <c r="X28" s="3138"/>
      <c r="Y28" s="3115"/>
      <c r="Z28" s="3139"/>
      <c r="AA28" s="3127">
        <v>2500</v>
      </c>
      <c r="AB28" s="3140"/>
      <c r="AC28" s="2860"/>
      <c r="AD28" s="2860"/>
      <c r="AE28" s="2860"/>
      <c r="AF28" s="2860" t="s">
        <v>4500</v>
      </c>
      <c r="AG28" s="3130"/>
      <c r="AH28" s="3130" t="s">
        <v>4284</v>
      </c>
      <c r="AI28" s="3146"/>
      <c r="AJ28" s="3146"/>
      <c r="AK28" s="3146"/>
      <c r="AL28" s="3087">
        <v>0</v>
      </c>
      <c r="AM28" s="3087"/>
    </row>
    <row r="29" spans="1:39" s="3088" customFormat="1" ht="90" customHeight="1">
      <c r="A29" s="3111">
        <v>27</v>
      </c>
      <c r="B29" s="3112">
        <v>1625</v>
      </c>
      <c r="C29" s="3113" t="s">
        <v>170</v>
      </c>
      <c r="D29" s="3113" t="s">
        <v>170</v>
      </c>
      <c r="E29" s="3114" t="s">
        <v>171</v>
      </c>
      <c r="F29" s="3141" t="s">
        <v>1055</v>
      </c>
      <c r="G29" s="3115"/>
      <c r="H29" s="3116"/>
      <c r="I29" s="3124"/>
      <c r="J29" s="3118"/>
      <c r="K29" s="3124"/>
      <c r="L29" s="3142"/>
      <c r="M29" s="3143"/>
      <c r="N29" s="3143"/>
      <c r="O29" s="3124"/>
      <c r="P29" s="3116"/>
      <c r="Q29" s="3122"/>
      <c r="R29" s="3122"/>
      <c r="S29" s="3122"/>
      <c r="T29" s="3122"/>
      <c r="U29" s="3123"/>
      <c r="V29" s="3123"/>
      <c r="W29" s="3123"/>
      <c r="X29" s="3124"/>
      <c r="Y29" s="3125"/>
      <c r="Z29" s="3126"/>
      <c r="AA29" s="3127">
        <v>2500</v>
      </c>
      <c r="AB29" s="3128"/>
      <c r="AC29" s="3129"/>
      <c r="AD29" s="3129"/>
      <c r="AE29" s="3129"/>
      <c r="AF29" s="2860" t="s">
        <v>4500</v>
      </c>
      <c r="AG29" s="3130"/>
      <c r="AH29" s="3130" t="s">
        <v>4284</v>
      </c>
      <c r="AI29" s="3111"/>
      <c r="AJ29" s="3111"/>
      <c r="AK29" s="3111"/>
      <c r="AL29" s="3087">
        <v>0</v>
      </c>
      <c r="AM29" s="3087"/>
    </row>
    <row r="30" spans="1:39" s="3088" customFormat="1" ht="90" customHeight="1">
      <c r="A30" s="3131">
        <v>28</v>
      </c>
      <c r="B30" s="3132">
        <v>1631</v>
      </c>
      <c r="C30" s="3133" t="s">
        <v>168</v>
      </c>
      <c r="D30" s="3133" t="s">
        <v>168</v>
      </c>
      <c r="E30" s="3134" t="s">
        <v>169</v>
      </c>
      <c r="F30" s="3131" t="s">
        <v>1056</v>
      </c>
      <c r="G30" s="3115"/>
      <c r="H30" s="3116">
        <v>0.35</v>
      </c>
      <c r="I30" s="2861" t="s">
        <v>4387</v>
      </c>
      <c r="J30" s="2861"/>
      <c r="K30" s="3115"/>
      <c r="L30" s="3115"/>
      <c r="M30" s="3135">
        <v>0.3</v>
      </c>
      <c r="N30" s="3135">
        <v>0.3</v>
      </c>
      <c r="O30" s="3136">
        <v>0</v>
      </c>
      <c r="P30" s="3115"/>
      <c r="Q30" s="3147">
        <v>0.5</v>
      </c>
      <c r="R30" s="3147"/>
      <c r="S30" s="3147"/>
      <c r="T30" s="3147"/>
      <c r="U30" s="3115" t="s">
        <v>3821</v>
      </c>
      <c r="V30" s="3138">
        <v>0</v>
      </c>
      <c r="W30" s="3115" t="s">
        <v>3821</v>
      </c>
      <c r="X30" s="3138"/>
      <c r="Y30" s="3115" t="s">
        <v>1056</v>
      </c>
      <c r="Z30" s="3139" t="s">
        <v>223</v>
      </c>
      <c r="AA30" s="3127">
        <v>2500</v>
      </c>
      <c r="AB30" s="3140">
        <v>2000000</v>
      </c>
      <c r="AC30" s="2860" t="s">
        <v>3671</v>
      </c>
      <c r="AD30" s="2860" t="s">
        <v>3672</v>
      </c>
      <c r="AE30" s="2860"/>
      <c r="AF30" s="2860" t="s">
        <v>4500</v>
      </c>
      <c r="AG30" s="3130" t="s">
        <v>3684</v>
      </c>
      <c r="AH30" s="3130" t="s">
        <v>4284</v>
      </c>
      <c r="AI30" s="3146" t="s">
        <v>3805</v>
      </c>
      <c r="AJ30" s="3146" t="s">
        <v>3805</v>
      </c>
      <c r="AK30" s="3146" t="s">
        <v>3805</v>
      </c>
      <c r="AL30" s="3087" t="s">
        <v>3805</v>
      </c>
      <c r="AM30" s="3087"/>
    </row>
    <row r="31" spans="1:39" s="3088" customFormat="1" ht="90" customHeight="1">
      <c r="A31" s="3111">
        <v>29</v>
      </c>
      <c r="B31" s="3112">
        <v>1632</v>
      </c>
      <c r="C31" s="3113" t="s">
        <v>166</v>
      </c>
      <c r="D31" s="3113" t="s">
        <v>166</v>
      </c>
      <c r="E31" s="3114" t="s">
        <v>167</v>
      </c>
      <c r="F31" s="3112" t="s">
        <v>1055</v>
      </c>
      <c r="G31" s="3115"/>
      <c r="H31" s="3116"/>
      <c r="I31" s="2861" t="s">
        <v>4387</v>
      </c>
      <c r="J31" s="3118"/>
      <c r="K31" s="3124"/>
      <c r="L31" s="3142"/>
      <c r="M31" s="3143"/>
      <c r="N31" s="3143"/>
      <c r="O31" s="3124"/>
      <c r="P31" s="3116"/>
      <c r="Q31" s="3147">
        <v>0.5</v>
      </c>
      <c r="R31" s="3147"/>
      <c r="S31" s="3147"/>
      <c r="T31" s="3147"/>
      <c r="U31" s="3123" t="s">
        <v>3821</v>
      </c>
      <c r="V31" s="3123">
        <v>0</v>
      </c>
      <c r="W31" s="3123" t="s">
        <v>3821</v>
      </c>
      <c r="X31" s="3124"/>
      <c r="Y31" s="3125"/>
      <c r="Z31" s="3126"/>
      <c r="AA31" s="3127">
        <v>2500</v>
      </c>
      <c r="AB31" s="3128"/>
      <c r="AC31" s="3129"/>
      <c r="AD31" s="3129"/>
      <c r="AE31" s="3129"/>
      <c r="AF31" s="2860" t="s">
        <v>4500</v>
      </c>
      <c r="AG31" s="3130" t="s">
        <v>3684</v>
      </c>
      <c r="AH31" s="3130" t="s">
        <v>4284</v>
      </c>
      <c r="AI31" s="3111"/>
      <c r="AJ31" s="3111"/>
      <c r="AK31" s="3111"/>
      <c r="AL31" s="3087">
        <v>0</v>
      </c>
      <c r="AM31" s="3087"/>
    </row>
    <row r="32" spans="1:39" s="3088" customFormat="1" ht="90" customHeight="1">
      <c r="A32" s="3131">
        <v>30</v>
      </c>
      <c r="B32" s="3132">
        <v>1633</v>
      </c>
      <c r="C32" s="3133" t="s">
        <v>165</v>
      </c>
      <c r="D32" s="3133" t="s">
        <v>165</v>
      </c>
      <c r="E32" s="3134" t="s">
        <v>165</v>
      </c>
      <c r="F32" s="3141" t="s">
        <v>1055</v>
      </c>
      <c r="G32" s="3115"/>
      <c r="H32" s="3135"/>
      <c r="I32" s="3115"/>
      <c r="J32" s="2861"/>
      <c r="K32" s="3115"/>
      <c r="L32" s="3115"/>
      <c r="M32" s="3135"/>
      <c r="N32" s="3135"/>
      <c r="O32" s="3136"/>
      <c r="P32" s="3115"/>
      <c r="Q32" s="3137"/>
      <c r="R32" s="3137"/>
      <c r="S32" s="3137"/>
      <c r="T32" s="3137"/>
      <c r="U32" s="3115"/>
      <c r="V32" s="3138"/>
      <c r="W32" s="3115"/>
      <c r="X32" s="3138"/>
      <c r="Y32" s="3115"/>
      <c r="Z32" s="3139"/>
      <c r="AA32" s="3127">
        <v>2500</v>
      </c>
      <c r="AB32" s="3140"/>
      <c r="AC32" s="2860"/>
      <c r="AD32" s="2860"/>
      <c r="AE32" s="2860"/>
      <c r="AF32" s="2860" t="s">
        <v>4500</v>
      </c>
      <c r="AG32" s="3130"/>
      <c r="AH32" s="3130" t="s">
        <v>4284</v>
      </c>
      <c r="AI32" s="3146"/>
      <c r="AJ32" s="3146"/>
      <c r="AK32" s="3146"/>
      <c r="AL32" s="3087">
        <v>0</v>
      </c>
      <c r="AM32" s="3087"/>
    </row>
    <row r="33" spans="1:39" s="3088" customFormat="1" ht="90" customHeight="1">
      <c r="A33" s="3111">
        <v>31</v>
      </c>
      <c r="B33" s="3112">
        <v>1634</v>
      </c>
      <c r="C33" s="3113" t="s">
        <v>163</v>
      </c>
      <c r="D33" s="3113" t="s">
        <v>163</v>
      </c>
      <c r="E33" s="3114" t="s">
        <v>164</v>
      </c>
      <c r="F33" s="3141" t="s">
        <v>1055</v>
      </c>
      <c r="G33" s="3115"/>
      <c r="H33" s="3116"/>
      <c r="I33" s="3124"/>
      <c r="J33" s="3118"/>
      <c r="K33" s="3124"/>
      <c r="L33" s="3142"/>
      <c r="M33" s="3143"/>
      <c r="N33" s="3143"/>
      <c r="O33" s="3124"/>
      <c r="P33" s="3116"/>
      <c r="Q33" s="3122"/>
      <c r="R33" s="3122"/>
      <c r="S33" s="3122"/>
      <c r="T33" s="3122"/>
      <c r="U33" s="3123"/>
      <c r="V33" s="3123"/>
      <c r="W33" s="3123"/>
      <c r="X33" s="3124"/>
      <c r="Y33" s="3125"/>
      <c r="Z33" s="3126"/>
      <c r="AA33" s="3127">
        <v>2500</v>
      </c>
      <c r="AB33" s="3128"/>
      <c r="AC33" s="3129"/>
      <c r="AD33" s="3129"/>
      <c r="AE33" s="3129"/>
      <c r="AF33" s="2860" t="s">
        <v>4500</v>
      </c>
      <c r="AG33" s="3130"/>
      <c r="AH33" s="3130" t="s">
        <v>4284</v>
      </c>
      <c r="AI33" s="3111"/>
      <c r="AJ33" s="3111"/>
      <c r="AK33" s="3111"/>
      <c r="AL33" s="3087">
        <v>0</v>
      </c>
      <c r="AM33" s="3087"/>
    </row>
    <row r="34" spans="1:39" s="3088" customFormat="1" ht="90" customHeight="1">
      <c r="A34" s="3131">
        <v>32</v>
      </c>
      <c r="B34" s="3132">
        <v>1635</v>
      </c>
      <c r="C34" s="3133" t="s">
        <v>161</v>
      </c>
      <c r="D34" s="3133" t="s">
        <v>161</v>
      </c>
      <c r="E34" s="3134" t="s">
        <v>162</v>
      </c>
      <c r="F34" s="3141" t="s">
        <v>1055</v>
      </c>
      <c r="G34" s="3115"/>
      <c r="H34" s="3135"/>
      <c r="I34" s="3115"/>
      <c r="J34" s="2861"/>
      <c r="K34" s="3115"/>
      <c r="L34" s="3115"/>
      <c r="M34" s="3135"/>
      <c r="N34" s="3135"/>
      <c r="O34" s="3136"/>
      <c r="P34" s="3115"/>
      <c r="Q34" s="3137"/>
      <c r="R34" s="3137"/>
      <c r="S34" s="3137"/>
      <c r="T34" s="3137"/>
      <c r="U34" s="3115"/>
      <c r="V34" s="3138"/>
      <c r="W34" s="3115"/>
      <c r="X34" s="3138"/>
      <c r="Y34" s="3115"/>
      <c r="Z34" s="3139"/>
      <c r="AA34" s="3127">
        <v>2500</v>
      </c>
      <c r="AB34" s="3140"/>
      <c r="AC34" s="2860"/>
      <c r="AD34" s="2860"/>
      <c r="AE34" s="2860"/>
      <c r="AF34" s="2860" t="s">
        <v>4500</v>
      </c>
      <c r="AG34" s="3130"/>
      <c r="AH34" s="3130" t="s">
        <v>4284</v>
      </c>
      <c r="AI34" s="3146"/>
      <c r="AJ34" s="3146"/>
      <c r="AK34" s="3146"/>
      <c r="AL34" s="3087">
        <v>0</v>
      </c>
      <c r="AM34" s="3087"/>
    </row>
    <row r="35" spans="1:39" s="3088" customFormat="1" ht="90" customHeight="1">
      <c r="A35" s="3111">
        <v>33</v>
      </c>
      <c r="B35" s="3112">
        <v>1636</v>
      </c>
      <c r="C35" s="3113" t="s">
        <v>159</v>
      </c>
      <c r="D35" s="3113" t="s">
        <v>159</v>
      </c>
      <c r="E35" s="3114" t="s">
        <v>160</v>
      </c>
      <c r="F35" s="3141" t="s">
        <v>1055</v>
      </c>
      <c r="G35" s="3115"/>
      <c r="H35" s="3116"/>
      <c r="I35" s="3124"/>
      <c r="J35" s="3118"/>
      <c r="K35" s="3124"/>
      <c r="L35" s="3142"/>
      <c r="M35" s="3143"/>
      <c r="N35" s="3143"/>
      <c r="O35" s="3124"/>
      <c r="P35" s="3116"/>
      <c r="Q35" s="3122"/>
      <c r="R35" s="3122"/>
      <c r="S35" s="3122"/>
      <c r="T35" s="3122"/>
      <c r="U35" s="3123"/>
      <c r="V35" s="3123"/>
      <c r="W35" s="3123"/>
      <c r="X35" s="3124"/>
      <c r="Y35" s="3125"/>
      <c r="Z35" s="3126"/>
      <c r="AA35" s="3127">
        <v>2500</v>
      </c>
      <c r="AB35" s="3128"/>
      <c r="AC35" s="3129"/>
      <c r="AD35" s="3129"/>
      <c r="AE35" s="3129"/>
      <c r="AF35" s="2860" t="s">
        <v>4500</v>
      </c>
      <c r="AG35" s="3130"/>
      <c r="AH35" s="3130" t="s">
        <v>4284</v>
      </c>
      <c r="AI35" s="3111"/>
      <c r="AJ35" s="3111"/>
      <c r="AK35" s="3111"/>
      <c r="AL35" s="3087">
        <v>0</v>
      </c>
      <c r="AM35" s="3087"/>
    </row>
    <row r="36" spans="1:39" s="3088" customFormat="1" ht="90" customHeight="1">
      <c r="A36" s="3131">
        <v>34</v>
      </c>
      <c r="B36" s="3132">
        <v>1637</v>
      </c>
      <c r="C36" s="3133" t="s">
        <v>157</v>
      </c>
      <c r="D36" s="3133" t="s">
        <v>157</v>
      </c>
      <c r="E36" s="3134" t="s">
        <v>158</v>
      </c>
      <c r="F36" s="3131" t="s">
        <v>1055</v>
      </c>
      <c r="G36" s="3115"/>
      <c r="H36" s="3135"/>
      <c r="I36" s="2861" t="s">
        <v>4387</v>
      </c>
      <c r="J36" s="2861"/>
      <c r="K36" s="3115"/>
      <c r="L36" s="3115"/>
      <c r="M36" s="3135"/>
      <c r="N36" s="3135"/>
      <c r="O36" s="3136"/>
      <c r="P36" s="3115"/>
      <c r="Q36" s="3147">
        <v>0.5</v>
      </c>
      <c r="R36" s="3147"/>
      <c r="S36" s="3147"/>
      <c r="T36" s="3147"/>
      <c r="U36" s="3115" t="s">
        <v>3821</v>
      </c>
      <c r="V36" s="3138">
        <v>0</v>
      </c>
      <c r="W36" s="3115" t="s">
        <v>3821</v>
      </c>
      <c r="X36" s="3138"/>
      <c r="Y36" s="3115"/>
      <c r="Z36" s="3139"/>
      <c r="AA36" s="3127">
        <v>2500</v>
      </c>
      <c r="AB36" s="3140"/>
      <c r="AC36" s="2860"/>
      <c r="AD36" s="2860"/>
      <c r="AE36" s="2860"/>
      <c r="AF36" s="2860" t="s">
        <v>4500</v>
      </c>
      <c r="AG36" s="3130" t="s">
        <v>3684</v>
      </c>
      <c r="AH36" s="3130" t="s">
        <v>4284</v>
      </c>
      <c r="AI36" s="3146"/>
      <c r="AJ36" s="3146"/>
      <c r="AK36" s="3146"/>
      <c r="AL36" s="3087">
        <v>0</v>
      </c>
      <c r="AM36" s="3087"/>
    </row>
    <row r="37" spans="1:39" s="3088" customFormat="1" ht="90" customHeight="1">
      <c r="A37" s="3111">
        <v>35</v>
      </c>
      <c r="B37" s="3112">
        <v>1638</v>
      </c>
      <c r="C37" s="3113" t="s">
        <v>155</v>
      </c>
      <c r="D37" s="3113" t="s">
        <v>155</v>
      </c>
      <c r="E37" s="3114" t="s">
        <v>156</v>
      </c>
      <c r="F37" s="3112" t="s">
        <v>1056</v>
      </c>
      <c r="G37" s="3115"/>
      <c r="H37" s="3116">
        <v>0.35</v>
      </c>
      <c r="I37" s="2861" t="s">
        <v>4387</v>
      </c>
      <c r="J37" s="3118"/>
      <c r="K37" s="3124"/>
      <c r="L37" s="3142"/>
      <c r="M37" s="3143">
        <v>0.3</v>
      </c>
      <c r="N37" s="3143">
        <v>0.3</v>
      </c>
      <c r="O37" s="3124">
        <v>0</v>
      </c>
      <c r="P37" s="3116"/>
      <c r="Q37" s="3147">
        <v>0.5</v>
      </c>
      <c r="R37" s="3147"/>
      <c r="S37" s="3147"/>
      <c r="T37" s="3147"/>
      <c r="U37" s="3123" t="s">
        <v>3821</v>
      </c>
      <c r="V37" s="3123">
        <v>0</v>
      </c>
      <c r="W37" s="3123" t="s">
        <v>3821</v>
      </c>
      <c r="X37" s="3124"/>
      <c r="Y37" s="3125" t="s">
        <v>1056</v>
      </c>
      <c r="Z37" s="3126" t="s">
        <v>223</v>
      </c>
      <c r="AA37" s="3127">
        <v>2500</v>
      </c>
      <c r="AB37" s="3128">
        <v>2000000</v>
      </c>
      <c r="AC37" s="3129" t="s">
        <v>4237</v>
      </c>
      <c r="AD37" s="3129" t="s">
        <v>3672</v>
      </c>
      <c r="AE37" s="3129"/>
      <c r="AF37" s="2860" t="s">
        <v>4500</v>
      </c>
      <c r="AG37" s="3130" t="s">
        <v>3684</v>
      </c>
      <c r="AH37" s="3130" t="s">
        <v>4284</v>
      </c>
      <c r="AI37" s="3111" t="s">
        <v>3805</v>
      </c>
      <c r="AJ37" s="3111" t="s">
        <v>3805</v>
      </c>
      <c r="AK37" s="3111" t="s">
        <v>3805</v>
      </c>
      <c r="AL37" s="3087" t="s">
        <v>3805</v>
      </c>
      <c r="AM37" s="3087"/>
    </row>
    <row r="38" spans="1:39" s="3088" customFormat="1" ht="90" customHeight="1">
      <c r="A38" s="3131">
        <v>36</v>
      </c>
      <c r="B38" s="3132">
        <v>1711</v>
      </c>
      <c r="C38" s="3133" t="s">
        <v>153</v>
      </c>
      <c r="D38" s="3133" t="s">
        <v>153</v>
      </c>
      <c r="E38" s="3134" t="s">
        <v>154</v>
      </c>
      <c r="F38" s="3131" t="s">
        <v>1055</v>
      </c>
      <c r="G38" s="3115"/>
      <c r="H38" s="3135"/>
      <c r="I38" s="2861" t="s">
        <v>4387</v>
      </c>
      <c r="J38" s="2861"/>
      <c r="K38" s="3115"/>
      <c r="L38" s="3115"/>
      <c r="M38" s="3135"/>
      <c r="N38" s="3135"/>
      <c r="O38" s="3136"/>
      <c r="P38" s="3115"/>
      <c r="Q38" s="3137"/>
      <c r="R38" s="3137"/>
      <c r="S38" s="3137"/>
      <c r="T38" s="3137"/>
      <c r="U38" s="3115"/>
      <c r="V38" s="3138"/>
      <c r="W38" s="3115" t="s">
        <v>3805</v>
      </c>
      <c r="X38" s="3138"/>
      <c r="Y38" s="3115"/>
      <c r="Z38" s="3139"/>
      <c r="AA38" s="3152">
        <v>10000</v>
      </c>
      <c r="AB38" s="3140"/>
      <c r="AC38" s="2860"/>
      <c r="AD38" s="2860"/>
      <c r="AE38" s="2860"/>
      <c r="AF38" s="2860" t="s">
        <v>4500</v>
      </c>
      <c r="AG38" s="3130" t="s">
        <v>3684</v>
      </c>
      <c r="AH38" s="3130" t="s">
        <v>4284</v>
      </c>
      <c r="AI38" s="3146"/>
      <c r="AJ38" s="3146"/>
      <c r="AK38" s="3146"/>
      <c r="AL38" s="3087">
        <v>0</v>
      </c>
      <c r="AM38" s="3087"/>
    </row>
    <row r="39" spans="1:39" s="3088" customFormat="1" ht="90" customHeight="1">
      <c r="A39" s="3111">
        <v>37</v>
      </c>
      <c r="B39" s="3112">
        <v>1712</v>
      </c>
      <c r="C39" s="3113" t="s">
        <v>151</v>
      </c>
      <c r="D39" s="3113" t="s">
        <v>151</v>
      </c>
      <c r="E39" s="3114" t="s">
        <v>152</v>
      </c>
      <c r="F39" s="3141" t="s">
        <v>1055</v>
      </c>
      <c r="G39" s="3115"/>
      <c r="H39" s="3116"/>
      <c r="I39" s="3124"/>
      <c r="J39" s="3118"/>
      <c r="K39" s="3124"/>
      <c r="L39" s="3142"/>
      <c r="M39" s="3143"/>
      <c r="N39" s="3143"/>
      <c r="O39" s="3124"/>
      <c r="P39" s="3116"/>
      <c r="Q39" s="3122"/>
      <c r="R39" s="3122"/>
      <c r="S39" s="3122"/>
      <c r="T39" s="3122"/>
      <c r="U39" s="3123"/>
      <c r="V39" s="3123"/>
      <c r="W39" s="3115" t="s">
        <v>3805</v>
      </c>
      <c r="X39" s="3124"/>
      <c r="Y39" s="3125"/>
      <c r="Z39" s="3126"/>
      <c r="AA39" s="3152">
        <v>10000</v>
      </c>
      <c r="AB39" s="3128"/>
      <c r="AC39" s="3129"/>
      <c r="AD39" s="3129"/>
      <c r="AE39" s="3129"/>
      <c r="AF39" s="2860" t="s">
        <v>4500</v>
      </c>
      <c r="AG39" s="3130"/>
      <c r="AH39" s="3130" t="s">
        <v>4284</v>
      </c>
      <c r="AI39" s="3111"/>
      <c r="AJ39" s="3111"/>
      <c r="AK39" s="3111"/>
      <c r="AL39" s="3087">
        <v>0</v>
      </c>
      <c r="AM39" s="3087"/>
    </row>
    <row r="40" spans="1:39" s="3088" customFormat="1" ht="90" customHeight="1">
      <c r="A40" s="3131">
        <v>38</v>
      </c>
      <c r="B40" s="3132">
        <v>1713</v>
      </c>
      <c r="C40" s="3133" t="s">
        <v>149</v>
      </c>
      <c r="D40" s="3133" t="s">
        <v>149</v>
      </c>
      <c r="E40" s="3134" t="s">
        <v>150</v>
      </c>
      <c r="F40" s="3131" t="s">
        <v>1055</v>
      </c>
      <c r="G40" s="3115"/>
      <c r="H40" s="3135"/>
      <c r="I40" s="2861" t="s">
        <v>4387</v>
      </c>
      <c r="J40" s="2861"/>
      <c r="K40" s="3115"/>
      <c r="L40" s="3115"/>
      <c r="M40" s="3135"/>
      <c r="N40" s="3135"/>
      <c r="O40" s="3136"/>
      <c r="P40" s="3115"/>
      <c r="Q40" s="3147">
        <v>0.5</v>
      </c>
      <c r="R40" s="3147"/>
      <c r="S40" s="3147"/>
      <c r="T40" s="3147"/>
      <c r="U40" s="3115" t="s">
        <v>3821</v>
      </c>
      <c r="V40" s="3138">
        <v>0</v>
      </c>
      <c r="W40" s="3115" t="s">
        <v>3805</v>
      </c>
      <c r="X40" s="3138"/>
      <c r="Y40" s="3115"/>
      <c r="Z40" s="3139"/>
      <c r="AA40" s="3152">
        <v>10000</v>
      </c>
      <c r="AB40" s="3140"/>
      <c r="AC40" s="2860"/>
      <c r="AD40" s="2860"/>
      <c r="AE40" s="2860"/>
      <c r="AF40" s="2860" t="s">
        <v>4500</v>
      </c>
      <c r="AG40" s="3130" t="s">
        <v>3684</v>
      </c>
      <c r="AH40" s="3130" t="s">
        <v>4284</v>
      </c>
      <c r="AI40" s="3146"/>
      <c r="AJ40" s="3146"/>
      <c r="AK40" s="3146"/>
      <c r="AL40" s="3087">
        <v>0</v>
      </c>
      <c r="AM40" s="3087"/>
    </row>
    <row r="41" spans="1:39" s="3088" customFormat="1" ht="90" customHeight="1">
      <c r="A41" s="3111">
        <v>39</v>
      </c>
      <c r="B41" s="3112">
        <v>1714</v>
      </c>
      <c r="C41" s="3113" t="s">
        <v>147</v>
      </c>
      <c r="D41" s="3113" t="s">
        <v>147</v>
      </c>
      <c r="E41" s="3114" t="s">
        <v>148</v>
      </c>
      <c r="F41" s="3112" t="s">
        <v>1055</v>
      </c>
      <c r="G41" s="3115"/>
      <c r="H41" s="3116"/>
      <c r="I41" s="2861" t="s">
        <v>4387</v>
      </c>
      <c r="J41" s="3118"/>
      <c r="K41" s="3124"/>
      <c r="L41" s="3142"/>
      <c r="M41" s="3143"/>
      <c r="N41" s="3143"/>
      <c r="O41" s="3124"/>
      <c r="P41" s="3116"/>
      <c r="Q41" s="3122"/>
      <c r="R41" s="3122"/>
      <c r="S41" s="3122"/>
      <c r="T41" s="3122"/>
      <c r="U41" s="3123"/>
      <c r="V41" s="3123"/>
      <c r="W41" s="3115" t="s">
        <v>3805</v>
      </c>
      <c r="X41" s="3124"/>
      <c r="Y41" s="3125"/>
      <c r="Z41" s="3126"/>
      <c r="AA41" s="3152">
        <v>10000</v>
      </c>
      <c r="AB41" s="3128"/>
      <c r="AC41" s="3129"/>
      <c r="AD41" s="3129"/>
      <c r="AE41" s="3129"/>
      <c r="AF41" s="2860" t="s">
        <v>4500</v>
      </c>
      <c r="AG41" s="3130" t="s">
        <v>3684</v>
      </c>
      <c r="AH41" s="3130" t="s">
        <v>4284</v>
      </c>
      <c r="AI41" s="3111"/>
      <c r="AJ41" s="3111"/>
      <c r="AK41" s="3111"/>
      <c r="AL41" s="3087">
        <v>0</v>
      </c>
      <c r="AM41" s="3087"/>
    </row>
    <row r="42" spans="1:39" s="3088" customFormat="1" ht="90" customHeight="1">
      <c r="A42" s="3131">
        <v>40</v>
      </c>
      <c r="B42" s="3132">
        <v>1715</v>
      </c>
      <c r="C42" s="3133" t="s">
        <v>145</v>
      </c>
      <c r="D42" s="3133" t="s">
        <v>145</v>
      </c>
      <c r="E42" s="3134" t="s">
        <v>146</v>
      </c>
      <c r="F42" s="3131" t="s">
        <v>1055</v>
      </c>
      <c r="G42" s="3115"/>
      <c r="H42" s="3135"/>
      <c r="I42" s="2861" t="s">
        <v>4387</v>
      </c>
      <c r="J42" s="2861"/>
      <c r="K42" s="3115"/>
      <c r="L42" s="3115"/>
      <c r="M42" s="3135"/>
      <c r="N42" s="3135"/>
      <c r="O42" s="3136"/>
      <c r="P42" s="3115"/>
      <c r="Q42" s="3137"/>
      <c r="R42" s="3137"/>
      <c r="S42" s="3137"/>
      <c r="T42" s="3137"/>
      <c r="U42" s="3115"/>
      <c r="V42" s="3138"/>
      <c r="W42" s="3115" t="s">
        <v>3805</v>
      </c>
      <c r="X42" s="3138"/>
      <c r="Y42" s="3115"/>
      <c r="Z42" s="3139"/>
      <c r="AA42" s="3152">
        <v>10000</v>
      </c>
      <c r="AB42" s="3140"/>
      <c r="AC42" s="2860"/>
      <c r="AD42" s="2860"/>
      <c r="AE42" s="2860"/>
      <c r="AF42" s="2860" t="s">
        <v>4500</v>
      </c>
      <c r="AG42" s="3130" t="s">
        <v>3684</v>
      </c>
      <c r="AH42" s="3130" t="s">
        <v>4284</v>
      </c>
      <c r="AI42" s="3146"/>
      <c r="AJ42" s="3146"/>
      <c r="AK42" s="3146"/>
      <c r="AL42" s="3087">
        <v>0</v>
      </c>
      <c r="AM42" s="3087"/>
    </row>
    <row r="43" spans="1:39" s="3088" customFormat="1" ht="90" customHeight="1">
      <c r="A43" s="3111">
        <v>41</v>
      </c>
      <c r="B43" s="3112">
        <v>1716</v>
      </c>
      <c r="C43" s="3113" t="s">
        <v>143</v>
      </c>
      <c r="D43" s="3113" t="s">
        <v>143</v>
      </c>
      <c r="E43" s="3114" t="s">
        <v>144</v>
      </c>
      <c r="F43" s="3112" t="s">
        <v>1055</v>
      </c>
      <c r="G43" s="3115"/>
      <c r="H43" s="3116"/>
      <c r="I43" s="2861" t="s">
        <v>4387</v>
      </c>
      <c r="J43" s="3118"/>
      <c r="K43" s="3124"/>
      <c r="L43" s="3142"/>
      <c r="M43" s="3143"/>
      <c r="N43" s="3143"/>
      <c r="O43" s="3124"/>
      <c r="P43" s="3116"/>
      <c r="Q43" s="3122"/>
      <c r="R43" s="3122"/>
      <c r="S43" s="3122"/>
      <c r="T43" s="3122"/>
      <c r="U43" s="3123"/>
      <c r="V43" s="3123"/>
      <c r="W43" s="3115" t="s">
        <v>3805</v>
      </c>
      <c r="X43" s="3124"/>
      <c r="Y43" s="3125"/>
      <c r="Z43" s="3126"/>
      <c r="AA43" s="3152">
        <v>10000</v>
      </c>
      <c r="AB43" s="3128"/>
      <c r="AC43" s="3129"/>
      <c r="AD43" s="3129"/>
      <c r="AE43" s="3129"/>
      <c r="AF43" s="2860" t="s">
        <v>4500</v>
      </c>
      <c r="AG43" s="3130" t="s">
        <v>3684</v>
      </c>
      <c r="AH43" s="3130" t="s">
        <v>4284</v>
      </c>
      <c r="AI43" s="3111"/>
      <c r="AJ43" s="3111"/>
      <c r="AK43" s="3111"/>
      <c r="AL43" s="3087">
        <v>0</v>
      </c>
      <c r="AM43" s="3087"/>
    </row>
    <row r="44" spans="1:39" s="3088" customFormat="1" ht="90" customHeight="1">
      <c r="A44" s="3131">
        <v>42</v>
      </c>
      <c r="B44" s="3132">
        <v>1717</v>
      </c>
      <c r="C44" s="3133" t="s">
        <v>141</v>
      </c>
      <c r="D44" s="3133" t="s">
        <v>141</v>
      </c>
      <c r="E44" s="3134" t="s">
        <v>142</v>
      </c>
      <c r="F44" s="3131" t="s">
        <v>1055</v>
      </c>
      <c r="G44" s="3115"/>
      <c r="H44" s="3135"/>
      <c r="I44" s="2861" t="s">
        <v>4387</v>
      </c>
      <c r="J44" s="2861"/>
      <c r="K44" s="3115"/>
      <c r="L44" s="3115"/>
      <c r="M44" s="3135"/>
      <c r="N44" s="3135"/>
      <c r="O44" s="3136"/>
      <c r="P44" s="3115"/>
      <c r="Q44" s="3137"/>
      <c r="R44" s="3137"/>
      <c r="S44" s="3137"/>
      <c r="T44" s="3137"/>
      <c r="U44" s="3115"/>
      <c r="V44" s="3138"/>
      <c r="W44" s="3115"/>
      <c r="X44" s="3138"/>
      <c r="Y44" s="3115"/>
      <c r="Z44" s="3139"/>
      <c r="AA44" s="3127">
        <v>2500</v>
      </c>
      <c r="AB44" s="3140"/>
      <c r="AC44" s="2860"/>
      <c r="AD44" s="2860"/>
      <c r="AE44" s="2860"/>
      <c r="AF44" s="2860" t="s">
        <v>4500</v>
      </c>
      <c r="AG44" s="3130" t="s">
        <v>3684</v>
      </c>
      <c r="AH44" s="3130" t="s">
        <v>4284</v>
      </c>
      <c r="AI44" s="3146"/>
      <c r="AJ44" s="3146"/>
      <c r="AK44" s="3146"/>
      <c r="AL44" s="3087">
        <v>0</v>
      </c>
      <c r="AM44" s="3087"/>
    </row>
    <row r="45" spans="1:39" s="3088" customFormat="1" ht="90" customHeight="1">
      <c r="A45" s="3111">
        <v>43</v>
      </c>
      <c r="B45" s="3112">
        <v>1718</v>
      </c>
      <c r="C45" s="3113" t="s">
        <v>139</v>
      </c>
      <c r="D45" s="3113" t="s">
        <v>139</v>
      </c>
      <c r="E45" s="3114" t="s">
        <v>140</v>
      </c>
      <c r="F45" s="3112" t="s">
        <v>1055</v>
      </c>
      <c r="G45" s="3115"/>
      <c r="H45" s="3116"/>
      <c r="I45" s="2861" t="s">
        <v>4387</v>
      </c>
      <c r="J45" s="3118"/>
      <c r="K45" s="3124"/>
      <c r="L45" s="3142"/>
      <c r="M45" s="3143"/>
      <c r="N45" s="3143"/>
      <c r="O45" s="3124"/>
      <c r="P45" s="3116"/>
      <c r="Q45" s="3147">
        <v>2.5</v>
      </c>
      <c r="R45" s="3147"/>
      <c r="S45" s="3147"/>
      <c r="T45" s="3147"/>
      <c r="U45" s="3123" t="s">
        <v>3821</v>
      </c>
      <c r="V45" s="3123">
        <v>0</v>
      </c>
      <c r="W45" s="3145" t="s">
        <v>3805</v>
      </c>
      <c r="X45" s="3124"/>
      <c r="Y45" s="3125"/>
      <c r="Z45" s="3150" t="s">
        <v>4421</v>
      </c>
      <c r="AA45" s="3153">
        <v>5000</v>
      </c>
      <c r="AB45" s="3128"/>
      <c r="AC45" s="3129"/>
      <c r="AD45" s="3129"/>
      <c r="AE45" s="3129"/>
      <c r="AF45" s="2860" t="s">
        <v>4500</v>
      </c>
      <c r="AG45" s="3130" t="s">
        <v>3684</v>
      </c>
      <c r="AH45" s="3130" t="s">
        <v>4284</v>
      </c>
      <c r="AI45" s="3111"/>
      <c r="AJ45" s="3111"/>
      <c r="AK45" s="3111"/>
      <c r="AL45" s="3087">
        <v>0</v>
      </c>
      <c r="AM45" s="3087"/>
    </row>
    <row r="46" spans="1:39" s="3088" customFormat="1" ht="90" customHeight="1">
      <c r="A46" s="3131">
        <v>44</v>
      </c>
      <c r="B46" s="3132">
        <v>1719</v>
      </c>
      <c r="C46" s="3133" t="s">
        <v>137</v>
      </c>
      <c r="D46" s="3133" t="s">
        <v>137</v>
      </c>
      <c r="E46" s="3134" t="s">
        <v>138</v>
      </c>
      <c r="F46" s="3131" t="s">
        <v>1055</v>
      </c>
      <c r="G46" s="3115"/>
      <c r="H46" s="3135"/>
      <c r="I46" s="2861" t="s">
        <v>4387</v>
      </c>
      <c r="J46" s="2861"/>
      <c r="K46" s="3115"/>
      <c r="L46" s="3115"/>
      <c r="M46" s="3135"/>
      <c r="N46" s="3135"/>
      <c r="O46" s="3136"/>
      <c r="P46" s="3115"/>
      <c r="Q46" s="3147">
        <v>2.5</v>
      </c>
      <c r="R46" s="3147"/>
      <c r="S46" s="3147"/>
      <c r="T46" s="3147"/>
      <c r="U46" s="3115" t="s">
        <v>3821</v>
      </c>
      <c r="V46" s="3138">
        <v>0</v>
      </c>
      <c r="W46" s="3149" t="s">
        <v>3805</v>
      </c>
      <c r="X46" s="3138"/>
      <c r="Y46" s="3115"/>
      <c r="Z46" s="3150" t="s">
        <v>4421</v>
      </c>
      <c r="AA46" s="3151">
        <v>5000</v>
      </c>
      <c r="AB46" s="3140"/>
      <c r="AC46" s="2860"/>
      <c r="AD46" s="2860"/>
      <c r="AE46" s="2860"/>
      <c r="AF46" s="2860" t="s">
        <v>4500</v>
      </c>
      <c r="AG46" s="3130" t="s">
        <v>3684</v>
      </c>
      <c r="AH46" s="3130" t="s">
        <v>4284</v>
      </c>
      <c r="AI46" s="3146"/>
      <c r="AJ46" s="3146"/>
      <c r="AK46" s="3146"/>
      <c r="AL46" s="3087">
        <v>0</v>
      </c>
      <c r="AM46" s="3087"/>
    </row>
    <row r="47" spans="1:39" s="3088" customFormat="1" ht="90" customHeight="1">
      <c r="A47" s="3111">
        <v>45</v>
      </c>
      <c r="B47" s="3112">
        <v>1720</v>
      </c>
      <c r="C47" s="3113" t="s">
        <v>135</v>
      </c>
      <c r="D47" s="3113" t="s">
        <v>135</v>
      </c>
      <c r="E47" s="3114" t="s">
        <v>136</v>
      </c>
      <c r="F47" s="3112" t="s">
        <v>1055</v>
      </c>
      <c r="G47" s="3115"/>
      <c r="H47" s="3116">
        <v>0.7</v>
      </c>
      <c r="I47" s="2861" t="s">
        <v>4387</v>
      </c>
      <c r="J47" s="3118"/>
      <c r="K47" s="3124"/>
      <c r="L47" s="3142"/>
      <c r="M47" s="3143">
        <v>0.3</v>
      </c>
      <c r="N47" s="3143">
        <v>0.3</v>
      </c>
      <c r="O47" s="3124">
        <v>0</v>
      </c>
      <c r="P47" s="3116"/>
      <c r="Q47" s="3147">
        <v>2.5</v>
      </c>
      <c r="R47" s="3147"/>
      <c r="S47" s="3147"/>
      <c r="T47" s="3147"/>
      <c r="U47" s="3123" t="s">
        <v>3821</v>
      </c>
      <c r="V47" s="3123">
        <v>0</v>
      </c>
      <c r="W47" s="3145" t="s">
        <v>3805</v>
      </c>
      <c r="X47" s="3124"/>
      <c r="Y47" s="3125" t="s">
        <v>1056</v>
      </c>
      <c r="Z47" s="3150" t="s">
        <v>4421</v>
      </c>
      <c r="AA47" s="3153">
        <v>5000</v>
      </c>
      <c r="AB47" s="3128">
        <v>2000000</v>
      </c>
      <c r="AC47" s="3129"/>
      <c r="AD47" s="3129"/>
      <c r="AE47" s="3129"/>
      <c r="AF47" s="2860" t="s">
        <v>4500</v>
      </c>
      <c r="AG47" s="3130" t="s">
        <v>3684</v>
      </c>
      <c r="AH47" s="3130" t="s">
        <v>4284</v>
      </c>
      <c r="AI47" s="3111"/>
      <c r="AJ47" s="3111"/>
      <c r="AK47" s="3111"/>
      <c r="AL47" s="3087">
        <v>0</v>
      </c>
      <c r="AM47" s="3087"/>
    </row>
    <row r="48" spans="1:39" s="3088" customFormat="1" ht="90" customHeight="1">
      <c r="A48" s="3131">
        <v>46</v>
      </c>
      <c r="B48" s="3132">
        <v>1731</v>
      </c>
      <c r="C48" s="3133" t="s">
        <v>133</v>
      </c>
      <c r="D48" s="3133" t="s">
        <v>133</v>
      </c>
      <c r="E48" s="3134" t="s">
        <v>134</v>
      </c>
      <c r="F48" s="3131" t="s">
        <v>1056</v>
      </c>
      <c r="G48" s="3115"/>
      <c r="H48" s="3116">
        <v>0.35</v>
      </c>
      <c r="I48" s="2913" t="s">
        <v>4180</v>
      </c>
      <c r="J48" s="2861" t="s">
        <v>4422</v>
      </c>
      <c r="K48" s="3115"/>
      <c r="L48" s="3115"/>
      <c r="M48" s="3154">
        <v>0.3</v>
      </c>
      <c r="N48" s="3154">
        <v>0.3</v>
      </c>
      <c r="O48" s="3136">
        <v>0</v>
      </c>
      <c r="P48" s="3115">
        <v>0.1</v>
      </c>
      <c r="Q48" s="3137">
        <v>0</v>
      </c>
      <c r="R48" s="3137"/>
      <c r="S48" s="3137"/>
      <c r="T48" s="3137"/>
      <c r="U48" s="3115" t="s">
        <v>3821</v>
      </c>
      <c r="V48" s="3138">
        <v>0</v>
      </c>
      <c r="W48" s="3115" t="s">
        <v>3821</v>
      </c>
      <c r="X48" s="3138"/>
      <c r="Y48" s="3115" t="s">
        <v>1056</v>
      </c>
      <c r="Z48" s="3139" t="s">
        <v>223</v>
      </c>
      <c r="AA48" s="3127">
        <v>2500</v>
      </c>
      <c r="AB48" s="3140">
        <v>2000000</v>
      </c>
      <c r="AC48" s="2860" t="s">
        <v>4236</v>
      </c>
      <c r="AD48" s="2860"/>
      <c r="AE48" s="2860"/>
      <c r="AF48" s="2860" t="s">
        <v>4500</v>
      </c>
      <c r="AG48" s="3130"/>
      <c r="AH48" s="3130" t="s">
        <v>4284</v>
      </c>
      <c r="AI48" s="3146" t="s">
        <v>3821</v>
      </c>
      <c r="AJ48" s="3146" t="s">
        <v>3821</v>
      </c>
      <c r="AK48" s="3146" t="s">
        <v>3805</v>
      </c>
      <c r="AL48" s="3087" t="s">
        <v>3805</v>
      </c>
      <c r="AM48" s="3087"/>
    </row>
    <row r="49" spans="1:39" s="3088" customFormat="1" ht="90" customHeight="1">
      <c r="A49" s="3111">
        <v>47</v>
      </c>
      <c r="B49" s="3112">
        <v>1732</v>
      </c>
      <c r="C49" s="3113" t="s">
        <v>131</v>
      </c>
      <c r="D49" s="3113" t="s">
        <v>131</v>
      </c>
      <c r="E49" s="3114" t="s">
        <v>132</v>
      </c>
      <c r="F49" s="3112" t="s">
        <v>1056</v>
      </c>
      <c r="G49" s="3115"/>
      <c r="H49" s="3116">
        <v>0.35</v>
      </c>
      <c r="I49" s="3117" t="s">
        <v>4330</v>
      </c>
      <c r="J49" s="3118" t="s">
        <v>4423</v>
      </c>
      <c r="K49" s="3124"/>
      <c r="L49" s="3142"/>
      <c r="M49" s="3143">
        <v>0.3</v>
      </c>
      <c r="N49" s="3143">
        <v>0.3</v>
      </c>
      <c r="O49" s="3124">
        <v>0</v>
      </c>
      <c r="P49" s="3116"/>
      <c r="Q49" s="3122">
        <v>0</v>
      </c>
      <c r="R49" s="3122"/>
      <c r="S49" s="3122"/>
      <c r="T49" s="3122"/>
      <c r="U49" s="3123" t="s">
        <v>3821</v>
      </c>
      <c r="V49" s="3123">
        <v>0</v>
      </c>
      <c r="W49" s="3123" t="s">
        <v>3821</v>
      </c>
      <c r="X49" s="3124"/>
      <c r="Y49" s="3125" t="s">
        <v>1056</v>
      </c>
      <c r="Z49" s="3126" t="s">
        <v>223</v>
      </c>
      <c r="AA49" s="3127">
        <v>2500</v>
      </c>
      <c r="AB49" s="3128">
        <v>2000000</v>
      </c>
      <c r="AC49" s="3129" t="s">
        <v>4236</v>
      </c>
      <c r="AD49" s="3129"/>
      <c r="AE49" s="3129"/>
      <c r="AF49" s="2860" t="s">
        <v>4500</v>
      </c>
      <c r="AG49" s="3130" t="s">
        <v>3684</v>
      </c>
      <c r="AH49" s="3130" t="s">
        <v>4284</v>
      </c>
      <c r="AI49" s="3146" t="s">
        <v>3821</v>
      </c>
      <c r="AJ49" s="3146" t="s">
        <v>3821</v>
      </c>
      <c r="AK49" s="3146" t="s">
        <v>3805</v>
      </c>
      <c r="AL49" s="3087" t="s">
        <v>3805</v>
      </c>
      <c r="AM49" s="3087"/>
    </row>
    <row r="50" spans="1:39" s="3088" customFormat="1" ht="90" customHeight="1">
      <c r="A50" s="3131">
        <v>48</v>
      </c>
      <c r="B50" s="3132">
        <v>1733</v>
      </c>
      <c r="C50" s="3133" t="s">
        <v>129</v>
      </c>
      <c r="D50" s="3133" t="s">
        <v>129</v>
      </c>
      <c r="E50" s="3134" t="s">
        <v>130</v>
      </c>
      <c r="F50" s="3131" t="s">
        <v>1056</v>
      </c>
      <c r="G50" s="3115"/>
      <c r="H50" s="3116">
        <v>0.35</v>
      </c>
      <c r="I50" s="2861" t="s">
        <v>4387</v>
      </c>
      <c r="J50" s="2861"/>
      <c r="K50" s="3115"/>
      <c r="L50" s="3115"/>
      <c r="M50" s="3135">
        <v>0.3</v>
      </c>
      <c r="N50" s="3135">
        <v>0.3</v>
      </c>
      <c r="O50" s="3136">
        <v>0</v>
      </c>
      <c r="P50" s="3115"/>
      <c r="Q50" s="3147">
        <v>2</v>
      </c>
      <c r="R50" s="3147"/>
      <c r="S50" s="3147"/>
      <c r="T50" s="3147"/>
      <c r="U50" s="3115" t="s">
        <v>3805</v>
      </c>
      <c r="V50" s="3145">
        <v>2500</v>
      </c>
      <c r="W50" s="3115" t="s">
        <v>3821</v>
      </c>
      <c r="X50" s="3138"/>
      <c r="Y50" s="3115" t="s">
        <v>1056</v>
      </c>
      <c r="Z50" s="3139" t="s">
        <v>223</v>
      </c>
      <c r="AA50" s="3127">
        <v>2500</v>
      </c>
      <c r="AB50" s="3140">
        <v>2000000</v>
      </c>
      <c r="AC50" s="3129" t="s">
        <v>3672</v>
      </c>
      <c r="AD50" s="2860"/>
      <c r="AE50" s="2860"/>
      <c r="AF50" s="2860" t="s">
        <v>4500</v>
      </c>
      <c r="AG50" s="3130" t="s">
        <v>3684</v>
      </c>
      <c r="AH50" s="3130" t="s">
        <v>4284</v>
      </c>
      <c r="AI50" s="3146" t="s">
        <v>3821</v>
      </c>
      <c r="AJ50" s="3146" t="s">
        <v>3821</v>
      </c>
      <c r="AK50" s="3146" t="s">
        <v>3805</v>
      </c>
      <c r="AL50" s="3087" t="s">
        <v>3805</v>
      </c>
      <c r="AM50" s="3087"/>
    </row>
    <row r="51" spans="1:39" s="3088" customFormat="1" ht="90" customHeight="1">
      <c r="A51" s="3111">
        <v>49</v>
      </c>
      <c r="B51" s="3112">
        <v>1734</v>
      </c>
      <c r="C51" s="3113" t="s">
        <v>127</v>
      </c>
      <c r="D51" s="3113" t="s">
        <v>127</v>
      </c>
      <c r="E51" s="3114" t="s">
        <v>128</v>
      </c>
      <c r="F51" s="3112" t="s">
        <v>1056</v>
      </c>
      <c r="G51" s="3115"/>
      <c r="H51" s="3116">
        <v>0.35</v>
      </c>
      <c r="I51" s="2861" t="s">
        <v>4387</v>
      </c>
      <c r="J51" s="3118"/>
      <c r="K51" s="3124"/>
      <c r="L51" s="3142"/>
      <c r="M51" s="3143">
        <v>0.3</v>
      </c>
      <c r="N51" s="3143">
        <v>0.3</v>
      </c>
      <c r="O51" s="3124">
        <v>0</v>
      </c>
      <c r="P51" s="3116"/>
      <c r="Q51" s="3122">
        <v>0</v>
      </c>
      <c r="R51" s="3122"/>
      <c r="S51" s="3122"/>
      <c r="T51" s="3122"/>
      <c r="U51" s="3123" t="s">
        <v>3821</v>
      </c>
      <c r="V51" s="3123">
        <v>0</v>
      </c>
      <c r="W51" s="3123" t="s">
        <v>3821</v>
      </c>
      <c r="X51" s="3124"/>
      <c r="Y51" s="3125" t="s">
        <v>1056</v>
      </c>
      <c r="Z51" s="3126" t="s">
        <v>223</v>
      </c>
      <c r="AA51" s="3127">
        <v>2500</v>
      </c>
      <c r="AB51" s="3128">
        <v>2000000</v>
      </c>
      <c r="AC51" s="3129"/>
      <c r="AD51" s="3129"/>
      <c r="AE51" s="3129"/>
      <c r="AF51" s="2860" t="s">
        <v>4500</v>
      </c>
      <c r="AG51" s="3130" t="s">
        <v>3684</v>
      </c>
      <c r="AH51" s="3130" t="s">
        <v>4284</v>
      </c>
      <c r="AI51" s="3146" t="s">
        <v>3821</v>
      </c>
      <c r="AJ51" s="3146" t="s">
        <v>3821</v>
      </c>
      <c r="AK51" s="3146" t="s">
        <v>3805</v>
      </c>
      <c r="AL51" s="3087" t="s">
        <v>3805</v>
      </c>
      <c r="AM51" s="3087"/>
    </row>
    <row r="52" spans="1:39" s="3088" customFormat="1" ht="90" customHeight="1">
      <c r="A52" s="3131">
        <v>50</v>
      </c>
      <c r="B52" s="3132">
        <v>1735</v>
      </c>
      <c r="C52" s="3133" t="s">
        <v>124</v>
      </c>
      <c r="D52" s="3133" t="s">
        <v>124</v>
      </c>
      <c r="E52" s="3134" t="s">
        <v>125</v>
      </c>
      <c r="F52" s="3141" t="s">
        <v>1055</v>
      </c>
      <c r="G52" s="3115"/>
      <c r="H52" s="3135"/>
      <c r="I52" s="3115"/>
      <c r="J52" s="2861"/>
      <c r="K52" s="3115"/>
      <c r="L52" s="3115"/>
      <c r="M52" s="3135"/>
      <c r="N52" s="3135"/>
      <c r="O52" s="3136"/>
      <c r="P52" s="3115"/>
      <c r="Q52" s="3137"/>
      <c r="R52" s="3137"/>
      <c r="S52" s="3137"/>
      <c r="T52" s="3137"/>
      <c r="U52" s="3115"/>
      <c r="V52" s="3138"/>
      <c r="W52" s="3115"/>
      <c r="X52" s="3138"/>
      <c r="Y52" s="3115"/>
      <c r="Z52" s="3139"/>
      <c r="AA52" s="3127">
        <v>2500</v>
      </c>
      <c r="AB52" s="3140"/>
      <c r="AC52" s="2860"/>
      <c r="AD52" s="2860"/>
      <c r="AE52" s="2860"/>
      <c r="AF52" s="2860" t="s">
        <v>4500</v>
      </c>
      <c r="AG52" s="3130"/>
      <c r="AH52" s="3130" t="s">
        <v>4284</v>
      </c>
      <c r="AI52" s="3146"/>
      <c r="AJ52" s="3146"/>
      <c r="AK52" s="3146"/>
      <c r="AL52" s="3087">
        <v>0</v>
      </c>
      <c r="AM52" s="3087"/>
    </row>
    <row r="53" spans="1:39" s="3088" customFormat="1" ht="90" customHeight="1">
      <c r="A53" s="3111">
        <v>51</v>
      </c>
      <c r="B53" s="3112">
        <v>1735</v>
      </c>
      <c r="C53" s="3113" t="s">
        <v>124</v>
      </c>
      <c r="D53" s="3113" t="s">
        <v>124</v>
      </c>
      <c r="E53" s="3114" t="s">
        <v>125</v>
      </c>
      <c r="F53" s="3141" t="s">
        <v>1055</v>
      </c>
      <c r="G53" s="3115"/>
      <c r="H53" s="3116"/>
      <c r="I53" s="3124"/>
      <c r="J53" s="3118"/>
      <c r="K53" s="3124"/>
      <c r="L53" s="3142"/>
      <c r="M53" s="3143"/>
      <c r="N53" s="3143"/>
      <c r="O53" s="3124"/>
      <c r="P53" s="3116"/>
      <c r="Q53" s="3122"/>
      <c r="R53" s="3122"/>
      <c r="S53" s="3122"/>
      <c r="T53" s="3122"/>
      <c r="U53" s="3123"/>
      <c r="V53" s="3123"/>
      <c r="W53" s="3123"/>
      <c r="X53" s="3124"/>
      <c r="Y53" s="3125"/>
      <c r="Z53" s="3126"/>
      <c r="AA53" s="3127">
        <v>2500</v>
      </c>
      <c r="AB53" s="3128"/>
      <c r="AC53" s="3129"/>
      <c r="AD53" s="3129"/>
      <c r="AE53" s="3129"/>
      <c r="AF53" s="2860" t="s">
        <v>4500</v>
      </c>
      <c r="AG53" s="3130"/>
      <c r="AH53" s="3130" t="s">
        <v>4284</v>
      </c>
      <c r="AI53" s="3111"/>
      <c r="AJ53" s="3111"/>
      <c r="AK53" s="3111"/>
      <c r="AL53" s="3087">
        <v>0</v>
      </c>
      <c r="AM53" s="3087"/>
    </row>
    <row r="54" spans="1:39" s="3088" customFormat="1" ht="90" customHeight="1">
      <c r="A54" s="3131">
        <v>52</v>
      </c>
      <c r="B54" s="3132">
        <v>1736</v>
      </c>
      <c r="C54" s="3133" t="s">
        <v>122</v>
      </c>
      <c r="D54" s="3133" t="s">
        <v>122</v>
      </c>
      <c r="E54" s="3134" t="s">
        <v>123</v>
      </c>
      <c r="F54" s="3131" t="s">
        <v>1056</v>
      </c>
      <c r="G54" s="3115"/>
      <c r="H54" s="3116">
        <v>0.35</v>
      </c>
      <c r="I54" s="2913" t="s">
        <v>4180</v>
      </c>
      <c r="J54" s="2861" t="s">
        <v>4423</v>
      </c>
      <c r="K54" s="3115"/>
      <c r="L54" s="3115"/>
      <c r="M54" s="3154">
        <v>0.3</v>
      </c>
      <c r="N54" s="3154">
        <v>0.3</v>
      </c>
      <c r="O54" s="3136">
        <v>0</v>
      </c>
      <c r="P54" s="3115"/>
      <c r="Q54" s="3137">
        <v>0</v>
      </c>
      <c r="R54" s="3137"/>
      <c r="S54" s="3137"/>
      <c r="T54" s="3137"/>
      <c r="U54" s="3115" t="s">
        <v>3821</v>
      </c>
      <c r="V54" s="3138">
        <v>0</v>
      </c>
      <c r="W54" s="3115" t="s">
        <v>3821</v>
      </c>
      <c r="X54" s="3138"/>
      <c r="Y54" s="3115" t="s">
        <v>1056</v>
      </c>
      <c r="Z54" s="3139" t="s">
        <v>223</v>
      </c>
      <c r="AA54" s="3127">
        <v>2500</v>
      </c>
      <c r="AB54" s="3140">
        <v>2000000</v>
      </c>
      <c r="AC54" s="2860" t="s">
        <v>4236</v>
      </c>
      <c r="AD54" s="2860"/>
      <c r="AE54" s="2860"/>
      <c r="AF54" s="2860" t="s">
        <v>4500</v>
      </c>
      <c r="AG54" s="3130"/>
      <c r="AH54" s="3130" t="s">
        <v>4284</v>
      </c>
      <c r="AI54" s="3146" t="s">
        <v>3821</v>
      </c>
      <c r="AJ54" s="3146" t="s">
        <v>3821</v>
      </c>
      <c r="AK54" s="3146" t="s">
        <v>3805</v>
      </c>
      <c r="AL54" s="3087" t="s">
        <v>3805</v>
      </c>
      <c r="AM54" s="3087"/>
    </row>
    <row r="55" spans="1:39" s="3088" customFormat="1" ht="90" customHeight="1">
      <c r="A55" s="3111">
        <v>53</v>
      </c>
      <c r="B55" s="3112">
        <v>1741</v>
      </c>
      <c r="C55" s="3113" t="s">
        <v>120</v>
      </c>
      <c r="D55" s="3113" t="s">
        <v>120</v>
      </c>
      <c r="E55" s="3114" t="s">
        <v>121</v>
      </c>
      <c r="F55" s="3112" t="s">
        <v>1056</v>
      </c>
      <c r="G55" s="3115"/>
      <c r="H55" s="3116">
        <v>0.35</v>
      </c>
      <c r="I55" s="2861" t="s">
        <v>4387</v>
      </c>
      <c r="J55" s="3118"/>
      <c r="K55" s="3124"/>
      <c r="L55" s="3142"/>
      <c r="M55" s="3143">
        <v>0.3</v>
      </c>
      <c r="N55" s="3143">
        <v>0.3</v>
      </c>
      <c r="O55" s="3124">
        <v>0</v>
      </c>
      <c r="P55" s="3116"/>
      <c r="Q55" s="3147">
        <v>0.3</v>
      </c>
      <c r="R55" s="3147"/>
      <c r="S55" s="3147"/>
      <c r="T55" s="3147"/>
      <c r="U55" s="3123" t="s">
        <v>3821</v>
      </c>
      <c r="V55" s="3123">
        <v>0</v>
      </c>
      <c r="W55" s="3145" t="s">
        <v>3805</v>
      </c>
      <c r="X55" s="3124"/>
      <c r="Y55" s="3125" t="s">
        <v>1056</v>
      </c>
      <c r="Z55" s="3150" t="s">
        <v>4421</v>
      </c>
      <c r="AA55" s="3153">
        <v>2500</v>
      </c>
      <c r="AB55" s="3128">
        <v>2000000</v>
      </c>
      <c r="AC55" s="3129" t="s">
        <v>4235</v>
      </c>
      <c r="AD55" s="3129" t="s">
        <v>4234</v>
      </c>
      <c r="AE55" s="3129"/>
      <c r="AF55" s="2860" t="s">
        <v>4500</v>
      </c>
      <c r="AG55" s="3130" t="s">
        <v>3684</v>
      </c>
      <c r="AH55" s="3130" t="s">
        <v>4284</v>
      </c>
      <c r="AI55" s="3111" t="s">
        <v>4424</v>
      </c>
      <c r="AJ55" s="3111" t="s">
        <v>4424</v>
      </c>
      <c r="AK55" s="3111" t="s">
        <v>3805</v>
      </c>
      <c r="AL55" s="3087" t="s">
        <v>3805</v>
      </c>
      <c r="AM55" s="3087"/>
    </row>
    <row r="56" spans="1:39" s="3088" customFormat="1" ht="90" customHeight="1">
      <c r="A56" s="3131">
        <v>54</v>
      </c>
      <c r="B56" s="3132">
        <v>1742</v>
      </c>
      <c r="C56" s="3133" t="s">
        <v>118</v>
      </c>
      <c r="D56" s="3133" t="s">
        <v>118</v>
      </c>
      <c r="E56" s="3134" t="s">
        <v>119</v>
      </c>
      <c r="F56" s="3131" t="s">
        <v>1056</v>
      </c>
      <c r="G56" s="3115"/>
      <c r="H56" s="3116">
        <v>0.35</v>
      </c>
      <c r="I56" s="2861" t="s">
        <v>4387</v>
      </c>
      <c r="J56" s="2861"/>
      <c r="K56" s="3115"/>
      <c r="L56" s="3115"/>
      <c r="M56" s="3135">
        <v>0.3</v>
      </c>
      <c r="N56" s="3135">
        <v>0.3</v>
      </c>
      <c r="O56" s="3136">
        <v>0</v>
      </c>
      <c r="P56" s="3115"/>
      <c r="Q56" s="3147">
        <v>0.5</v>
      </c>
      <c r="R56" s="3147"/>
      <c r="S56" s="3147"/>
      <c r="T56" s="3147"/>
      <c r="U56" s="3115" t="s">
        <v>3821</v>
      </c>
      <c r="V56" s="3138">
        <v>0</v>
      </c>
      <c r="W56" s="3115" t="s">
        <v>3821</v>
      </c>
      <c r="X56" s="3138"/>
      <c r="Y56" s="3115" t="s">
        <v>1056</v>
      </c>
      <c r="Z56" s="3139" t="s">
        <v>223</v>
      </c>
      <c r="AA56" s="3127">
        <v>2500</v>
      </c>
      <c r="AB56" s="3140">
        <v>2000000</v>
      </c>
      <c r="AC56" s="2860"/>
      <c r="AD56" s="2860"/>
      <c r="AE56" s="2860"/>
      <c r="AF56" s="2860" t="s">
        <v>4500</v>
      </c>
      <c r="AG56" s="3130" t="s">
        <v>3684</v>
      </c>
      <c r="AH56" s="3130" t="s">
        <v>4284</v>
      </c>
      <c r="AI56" s="3146" t="s">
        <v>3821</v>
      </c>
      <c r="AJ56" s="3146" t="s">
        <v>3821</v>
      </c>
      <c r="AK56" s="3146" t="s">
        <v>3805</v>
      </c>
      <c r="AL56" s="3087" t="s">
        <v>3805</v>
      </c>
      <c r="AM56" s="3087"/>
    </row>
    <row r="57" spans="1:39" s="3088" customFormat="1" ht="90" customHeight="1">
      <c r="A57" s="3111">
        <v>55</v>
      </c>
      <c r="B57" s="3112">
        <v>1743</v>
      </c>
      <c r="C57" s="3113" t="s">
        <v>116</v>
      </c>
      <c r="D57" s="3113" t="s">
        <v>116</v>
      </c>
      <c r="E57" s="3114" t="s">
        <v>117</v>
      </c>
      <c r="F57" s="3112" t="s">
        <v>1056</v>
      </c>
      <c r="G57" s="3115"/>
      <c r="H57" s="3116">
        <v>0.35</v>
      </c>
      <c r="I57" s="3117" t="s">
        <v>4330</v>
      </c>
      <c r="J57" s="3118"/>
      <c r="K57" s="3124"/>
      <c r="L57" s="3142"/>
      <c r="M57" s="3143">
        <v>0.3</v>
      </c>
      <c r="N57" s="3143">
        <v>0.3</v>
      </c>
      <c r="O57" s="3124">
        <v>0</v>
      </c>
      <c r="P57" s="3116"/>
      <c r="Q57" s="3137">
        <v>0.25</v>
      </c>
      <c r="R57" s="3122"/>
      <c r="S57" s="3122"/>
      <c r="T57" s="3122"/>
      <c r="U57" s="3123" t="s">
        <v>3821</v>
      </c>
      <c r="V57" s="3123">
        <v>0</v>
      </c>
      <c r="W57" s="3123" t="s">
        <v>3821</v>
      </c>
      <c r="X57" s="3124"/>
      <c r="Y57" s="3125" t="s">
        <v>1056</v>
      </c>
      <c r="Z57" s="3126" t="s">
        <v>223</v>
      </c>
      <c r="AA57" s="3127">
        <v>2500</v>
      </c>
      <c r="AB57" s="3128">
        <v>2000000</v>
      </c>
      <c r="AC57" s="3129"/>
      <c r="AD57" s="3129"/>
      <c r="AE57" s="3129"/>
      <c r="AF57" s="2860" t="s">
        <v>4500</v>
      </c>
      <c r="AG57" s="3130" t="s">
        <v>3684</v>
      </c>
      <c r="AH57" s="3130" t="s">
        <v>4284</v>
      </c>
      <c r="AI57" s="3111" t="s">
        <v>4424</v>
      </c>
      <c r="AJ57" s="3111" t="s">
        <v>4424</v>
      </c>
      <c r="AK57" s="3111" t="s">
        <v>3805</v>
      </c>
      <c r="AL57" s="3087" t="s">
        <v>3805</v>
      </c>
      <c r="AM57" s="3087"/>
    </row>
    <row r="58" spans="1:39" s="3088" customFormat="1" ht="90" customHeight="1">
      <c r="A58" s="3131">
        <v>56</v>
      </c>
      <c r="B58" s="3132">
        <v>1744</v>
      </c>
      <c r="C58" s="3133" t="s">
        <v>114</v>
      </c>
      <c r="D58" s="3133" t="s">
        <v>114</v>
      </c>
      <c r="E58" s="3134" t="s">
        <v>115</v>
      </c>
      <c r="F58" s="3131" t="s">
        <v>1056</v>
      </c>
      <c r="G58" s="3115"/>
      <c r="H58" s="3116">
        <v>0.35</v>
      </c>
      <c r="I58" s="3117" t="s">
        <v>4330</v>
      </c>
      <c r="J58" s="2861"/>
      <c r="K58" s="3115"/>
      <c r="L58" s="3115"/>
      <c r="M58" s="3135">
        <v>0.3</v>
      </c>
      <c r="N58" s="3135">
        <v>0.3</v>
      </c>
      <c r="O58" s="3136">
        <v>0</v>
      </c>
      <c r="P58" s="3115"/>
      <c r="Q58" s="3137">
        <v>0</v>
      </c>
      <c r="R58" s="3137"/>
      <c r="S58" s="3137"/>
      <c r="T58" s="3137"/>
      <c r="U58" s="3115" t="s">
        <v>3821</v>
      </c>
      <c r="V58" s="3138">
        <v>0</v>
      </c>
      <c r="W58" s="3115" t="s">
        <v>3821</v>
      </c>
      <c r="X58" s="3138"/>
      <c r="Y58" s="3115" t="s">
        <v>1056</v>
      </c>
      <c r="Z58" s="3139" t="s">
        <v>223</v>
      </c>
      <c r="AA58" s="3127">
        <v>2500</v>
      </c>
      <c r="AB58" s="3140">
        <v>2000000</v>
      </c>
      <c r="AC58" s="2860"/>
      <c r="AD58" s="2860"/>
      <c r="AE58" s="2860"/>
      <c r="AF58" s="2860" t="s">
        <v>4500</v>
      </c>
      <c r="AG58" s="3130" t="s">
        <v>3684</v>
      </c>
      <c r="AH58" s="3130" t="s">
        <v>4284</v>
      </c>
      <c r="AI58" s="3146" t="s">
        <v>3821</v>
      </c>
      <c r="AJ58" s="3146" t="s">
        <v>3821</v>
      </c>
      <c r="AK58" s="3146" t="s">
        <v>3805</v>
      </c>
      <c r="AL58" s="3087" t="s">
        <v>3805</v>
      </c>
      <c r="AM58" s="3087"/>
    </row>
    <row r="59" spans="1:39" s="3088" customFormat="1" ht="90" customHeight="1">
      <c r="A59" s="3111">
        <v>57</v>
      </c>
      <c r="B59" s="3112">
        <v>1745</v>
      </c>
      <c r="C59" s="3113" t="s">
        <v>112</v>
      </c>
      <c r="D59" s="3113" t="s">
        <v>112</v>
      </c>
      <c r="E59" s="3114" t="s">
        <v>113</v>
      </c>
      <c r="F59" s="3112" t="s">
        <v>1056</v>
      </c>
      <c r="G59" s="3115"/>
      <c r="H59" s="3116">
        <v>0.35</v>
      </c>
      <c r="I59" s="3117" t="s">
        <v>4330</v>
      </c>
      <c r="J59" s="3118"/>
      <c r="K59" s="3124"/>
      <c r="L59" s="3142"/>
      <c r="M59" s="3143">
        <v>0.3</v>
      </c>
      <c r="N59" s="3143">
        <v>0.3</v>
      </c>
      <c r="O59" s="3124">
        <v>0</v>
      </c>
      <c r="P59" s="3116"/>
      <c r="Q59" s="3122">
        <v>0</v>
      </c>
      <c r="R59" s="3122"/>
      <c r="S59" s="3122"/>
      <c r="T59" s="3122"/>
      <c r="U59" s="3123" t="s">
        <v>3821</v>
      </c>
      <c r="V59" s="3123">
        <v>0</v>
      </c>
      <c r="W59" s="3123" t="s">
        <v>3821</v>
      </c>
      <c r="X59" s="3124"/>
      <c r="Y59" s="3125" t="s">
        <v>1056</v>
      </c>
      <c r="Z59" s="3126" t="s">
        <v>223</v>
      </c>
      <c r="AA59" s="3127">
        <v>2500</v>
      </c>
      <c r="AB59" s="3128">
        <v>2000000</v>
      </c>
      <c r="AC59" s="3129"/>
      <c r="AD59" s="3129"/>
      <c r="AE59" s="3129"/>
      <c r="AF59" s="2860" t="s">
        <v>4500</v>
      </c>
      <c r="AG59" s="3130" t="s">
        <v>3684</v>
      </c>
      <c r="AH59" s="3130" t="s">
        <v>4284</v>
      </c>
      <c r="AI59" s="3146" t="s">
        <v>3821</v>
      </c>
      <c r="AJ59" s="3146" t="s">
        <v>3821</v>
      </c>
      <c r="AK59" s="3146" t="s">
        <v>3805</v>
      </c>
      <c r="AL59" s="3087" t="s">
        <v>3805</v>
      </c>
      <c r="AM59" s="3087"/>
    </row>
    <row r="60" spans="1:39" s="3088" customFormat="1" ht="90" customHeight="1">
      <c r="A60" s="3131">
        <v>58</v>
      </c>
      <c r="B60" s="3132">
        <v>1751</v>
      </c>
      <c r="C60" s="3133" t="s">
        <v>110</v>
      </c>
      <c r="D60" s="3133" t="s">
        <v>110</v>
      </c>
      <c r="E60" s="3134" t="s">
        <v>111</v>
      </c>
      <c r="F60" s="3131" t="s">
        <v>1056</v>
      </c>
      <c r="G60" s="3115"/>
      <c r="H60" s="3116">
        <v>0.35</v>
      </c>
      <c r="I60" s="2861" t="s">
        <v>4387</v>
      </c>
      <c r="J60" s="2861"/>
      <c r="K60" s="3115"/>
      <c r="L60" s="3115"/>
      <c r="M60" s="3135"/>
      <c r="N60" s="3135"/>
      <c r="O60" s="3136"/>
      <c r="P60" s="3115"/>
      <c r="Q60" s="3137">
        <v>0</v>
      </c>
      <c r="R60" s="3137"/>
      <c r="S60" s="3137"/>
      <c r="T60" s="3137"/>
      <c r="U60" s="3115" t="s">
        <v>3821</v>
      </c>
      <c r="V60" s="3138">
        <v>0</v>
      </c>
      <c r="W60" s="3115" t="s">
        <v>3821</v>
      </c>
      <c r="X60" s="3138"/>
      <c r="Y60" s="3115"/>
      <c r="Z60" s="3139"/>
      <c r="AA60" s="3127">
        <v>2500</v>
      </c>
      <c r="AB60" s="3140"/>
      <c r="AC60" s="2860"/>
      <c r="AD60" s="2860"/>
      <c r="AE60" s="2860"/>
      <c r="AF60" s="2860" t="s">
        <v>4500</v>
      </c>
      <c r="AG60" s="3130" t="s">
        <v>3684</v>
      </c>
      <c r="AH60" s="3130" t="s">
        <v>4284</v>
      </c>
      <c r="AI60" s="3146" t="s">
        <v>3821</v>
      </c>
      <c r="AJ60" s="3146" t="s">
        <v>3821</v>
      </c>
      <c r="AK60" s="3146" t="s">
        <v>3805</v>
      </c>
      <c r="AL60" s="3087" t="s">
        <v>3805</v>
      </c>
      <c r="AM60" s="3087"/>
    </row>
    <row r="61" spans="1:39" s="3088" customFormat="1" ht="90" customHeight="1">
      <c r="A61" s="3111">
        <v>59</v>
      </c>
      <c r="B61" s="3112">
        <v>1752</v>
      </c>
      <c r="C61" s="3113" t="s">
        <v>108</v>
      </c>
      <c r="D61" s="3113" t="s">
        <v>108</v>
      </c>
      <c r="E61" s="3114" t="s">
        <v>109</v>
      </c>
      <c r="F61" s="3112" t="s">
        <v>1056</v>
      </c>
      <c r="G61" s="3115"/>
      <c r="H61" s="3116">
        <v>0.35</v>
      </c>
      <c r="I61" s="3117" t="s">
        <v>4330</v>
      </c>
      <c r="J61" s="3118"/>
      <c r="K61" s="3124"/>
      <c r="L61" s="3142"/>
      <c r="M61" s="3143">
        <v>0.3</v>
      </c>
      <c r="N61" s="3143">
        <v>0.3</v>
      </c>
      <c r="O61" s="3124">
        <v>0</v>
      </c>
      <c r="P61" s="3116"/>
      <c r="Q61" s="3122">
        <v>0</v>
      </c>
      <c r="R61" s="3122"/>
      <c r="S61" s="3122"/>
      <c r="T61" s="3122"/>
      <c r="U61" s="3123" t="s">
        <v>3821</v>
      </c>
      <c r="V61" s="3123">
        <v>0</v>
      </c>
      <c r="W61" s="3123" t="s">
        <v>3821</v>
      </c>
      <c r="X61" s="3124"/>
      <c r="Y61" s="3125" t="s">
        <v>1056</v>
      </c>
      <c r="Z61" s="3126" t="s">
        <v>223</v>
      </c>
      <c r="AA61" s="3127">
        <v>2500</v>
      </c>
      <c r="AB61" s="3128">
        <v>2000000</v>
      </c>
      <c r="AC61" s="3129"/>
      <c r="AD61" s="3129"/>
      <c r="AE61" s="3129"/>
      <c r="AF61" s="2860" t="s">
        <v>4500</v>
      </c>
      <c r="AG61" s="3130" t="s">
        <v>3684</v>
      </c>
      <c r="AH61" s="3130" t="s">
        <v>4284</v>
      </c>
      <c r="AI61" s="3146" t="s">
        <v>3821</v>
      </c>
      <c r="AJ61" s="3146" t="s">
        <v>3821</v>
      </c>
      <c r="AK61" s="3146" t="s">
        <v>3805</v>
      </c>
      <c r="AL61" s="3087" t="s">
        <v>3805</v>
      </c>
      <c r="AM61" s="3087"/>
    </row>
    <row r="62" spans="1:39" s="3088" customFormat="1" ht="90" customHeight="1">
      <c r="A62" s="3131">
        <v>60</v>
      </c>
      <c r="B62" s="3132">
        <v>1753</v>
      </c>
      <c r="C62" s="3133" t="s">
        <v>106</v>
      </c>
      <c r="D62" s="3133" t="s">
        <v>106</v>
      </c>
      <c r="E62" s="3134" t="s">
        <v>107</v>
      </c>
      <c r="F62" s="3131" t="s">
        <v>1056</v>
      </c>
      <c r="G62" s="3115"/>
      <c r="H62" s="3116">
        <v>0.35</v>
      </c>
      <c r="I62" s="2861" t="s">
        <v>4387</v>
      </c>
      <c r="J62" s="2861"/>
      <c r="K62" s="3115"/>
      <c r="L62" s="3115"/>
      <c r="M62" s="3135">
        <v>0.3</v>
      </c>
      <c r="N62" s="3135">
        <v>0.3</v>
      </c>
      <c r="O62" s="3136">
        <v>0</v>
      </c>
      <c r="P62" s="3115"/>
      <c r="Q62" s="3147">
        <v>1</v>
      </c>
      <c r="R62" s="3147"/>
      <c r="S62" s="3147"/>
      <c r="T62" s="3147"/>
      <c r="U62" s="3115" t="s">
        <v>3821</v>
      </c>
      <c r="V62" s="3138">
        <v>0</v>
      </c>
      <c r="W62" s="3115" t="s">
        <v>3821</v>
      </c>
      <c r="X62" s="3138"/>
      <c r="Y62" s="3115" t="s">
        <v>1056</v>
      </c>
      <c r="Z62" s="3139" t="s">
        <v>223</v>
      </c>
      <c r="AA62" s="3127">
        <v>2500</v>
      </c>
      <c r="AB62" s="3140">
        <v>2000000</v>
      </c>
      <c r="AC62" s="2860" t="s">
        <v>4234</v>
      </c>
      <c r="AD62" s="2860"/>
      <c r="AE62" s="2860"/>
      <c r="AF62" s="2860" t="s">
        <v>4500</v>
      </c>
      <c r="AG62" s="3130" t="s">
        <v>3684</v>
      </c>
      <c r="AH62" s="3130" t="s">
        <v>4284</v>
      </c>
      <c r="AI62" s="3146" t="s">
        <v>3821</v>
      </c>
      <c r="AJ62" s="3146" t="s">
        <v>3821</v>
      </c>
      <c r="AK62" s="3146" t="s">
        <v>3805</v>
      </c>
      <c r="AL62" s="3087" t="s">
        <v>3805</v>
      </c>
      <c r="AM62" s="3087"/>
    </row>
    <row r="63" spans="1:39" s="3088" customFormat="1" ht="90" customHeight="1">
      <c r="A63" s="3111">
        <v>61</v>
      </c>
      <c r="B63" s="3112">
        <v>1754</v>
      </c>
      <c r="C63" s="3113" t="s">
        <v>104</v>
      </c>
      <c r="D63" s="3113" t="s">
        <v>104</v>
      </c>
      <c r="E63" s="3114" t="s">
        <v>105</v>
      </c>
      <c r="F63" s="3112" t="s">
        <v>1056</v>
      </c>
      <c r="G63" s="3115"/>
      <c r="H63" s="3116">
        <v>0.35</v>
      </c>
      <c r="I63" s="3117" t="s">
        <v>4330</v>
      </c>
      <c r="J63" s="3118"/>
      <c r="K63" s="3124"/>
      <c r="L63" s="3142"/>
      <c r="M63" s="3143">
        <v>0.3</v>
      </c>
      <c r="N63" s="3143">
        <v>0.3</v>
      </c>
      <c r="O63" s="3124">
        <v>0</v>
      </c>
      <c r="P63" s="3116"/>
      <c r="Q63" s="3122">
        <v>0</v>
      </c>
      <c r="R63" s="3122"/>
      <c r="S63" s="3122"/>
      <c r="T63" s="3122"/>
      <c r="U63" s="3123" t="s">
        <v>3821</v>
      </c>
      <c r="V63" s="3123">
        <v>0</v>
      </c>
      <c r="W63" s="3123" t="s">
        <v>3821</v>
      </c>
      <c r="X63" s="3124"/>
      <c r="Y63" s="3125" t="s">
        <v>1056</v>
      </c>
      <c r="Z63" s="3126" t="s">
        <v>223</v>
      </c>
      <c r="AA63" s="3127">
        <v>2500</v>
      </c>
      <c r="AB63" s="3128">
        <v>2000000</v>
      </c>
      <c r="AC63" s="3129"/>
      <c r="AD63" s="3129"/>
      <c r="AE63" s="3129"/>
      <c r="AF63" s="2860" t="s">
        <v>4500</v>
      </c>
      <c r="AG63" s="3130" t="s">
        <v>3684</v>
      </c>
      <c r="AH63" s="3130" t="s">
        <v>4284</v>
      </c>
      <c r="AI63" s="3111" t="s">
        <v>3805</v>
      </c>
      <c r="AJ63" s="3111" t="s">
        <v>3805</v>
      </c>
      <c r="AK63" s="3111" t="s">
        <v>3805</v>
      </c>
      <c r="AL63" s="3087" t="s">
        <v>3805</v>
      </c>
      <c r="AM63" s="3087"/>
    </row>
    <row r="64" spans="1:39" s="3088" customFormat="1" ht="90" customHeight="1">
      <c r="A64" s="3131">
        <v>62</v>
      </c>
      <c r="B64" s="3132">
        <v>1755</v>
      </c>
      <c r="C64" s="3133" t="s">
        <v>102</v>
      </c>
      <c r="D64" s="3133" t="s">
        <v>102</v>
      </c>
      <c r="E64" s="3134" t="s">
        <v>103</v>
      </c>
      <c r="F64" s="3131" t="s">
        <v>1056</v>
      </c>
      <c r="G64" s="3115"/>
      <c r="H64" s="3116">
        <v>0.35</v>
      </c>
      <c r="I64" s="3117" t="s">
        <v>4330</v>
      </c>
      <c r="J64" s="2861"/>
      <c r="K64" s="3115"/>
      <c r="L64" s="3115"/>
      <c r="M64" s="3135">
        <v>0.3</v>
      </c>
      <c r="N64" s="3135">
        <v>0.3</v>
      </c>
      <c r="O64" s="3136">
        <v>0</v>
      </c>
      <c r="P64" s="3115"/>
      <c r="Q64" s="3137">
        <v>0.35</v>
      </c>
      <c r="R64" s="3137"/>
      <c r="S64" s="3137"/>
      <c r="T64" s="3137"/>
      <c r="U64" s="3115" t="s">
        <v>3821</v>
      </c>
      <c r="V64" s="3138">
        <v>0</v>
      </c>
      <c r="W64" s="3115" t="s">
        <v>3821</v>
      </c>
      <c r="X64" s="3138"/>
      <c r="Y64" s="3115" t="s">
        <v>1056</v>
      </c>
      <c r="Z64" s="3139" t="s">
        <v>223</v>
      </c>
      <c r="AA64" s="3127">
        <v>2500</v>
      </c>
      <c r="AB64" s="3140">
        <v>2000000</v>
      </c>
      <c r="AC64" s="2860" t="s">
        <v>4026</v>
      </c>
      <c r="AD64" s="2860"/>
      <c r="AE64" s="2860"/>
      <c r="AF64" s="2860" t="s">
        <v>4500</v>
      </c>
      <c r="AG64" s="3130" t="s">
        <v>3684</v>
      </c>
      <c r="AH64" s="3130" t="s">
        <v>4284</v>
      </c>
      <c r="AI64" s="3146" t="s">
        <v>3821</v>
      </c>
      <c r="AJ64" s="3146" t="s">
        <v>3821</v>
      </c>
      <c r="AK64" s="3146" t="s">
        <v>3805</v>
      </c>
      <c r="AL64" s="3087" t="s">
        <v>3805</v>
      </c>
      <c r="AM64" s="3087"/>
    </row>
    <row r="65" spans="1:39" s="3088" customFormat="1" ht="90" customHeight="1">
      <c r="A65" s="3111">
        <v>63</v>
      </c>
      <c r="B65" s="3112">
        <v>1756</v>
      </c>
      <c r="C65" s="3113" t="s">
        <v>100</v>
      </c>
      <c r="D65" s="3113" t="s">
        <v>100</v>
      </c>
      <c r="E65" s="3114" t="s">
        <v>101</v>
      </c>
      <c r="F65" s="3112" t="s">
        <v>1056</v>
      </c>
      <c r="G65" s="3115"/>
      <c r="H65" s="3116">
        <v>0.35</v>
      </c>
      <c r="I65" s="3117" t="s">
        <v>4330</v>
      </c>
      <c r="J65" s="3118"/>
      <c r="K65" s="3124"/>
      <c r="L65" s="3142"/>
      <c r="M65" s="3143">
        <v>0.3</v>
      </c>
      <c r="N65" s="3143">
        <v>0.3</v>
      </c>
      <c r="O65" s="3124">
        <v>0</v>
      </c>
      <c r="P65" s="3116"/>
      <c r="Q65" s="3122">
        <v>0</v>
      </c>
      <c r="R65" s="3122"/>
      <c r="S65" s="3122"/>
      <c r="T65" s="3122"/>
      <c r="U65" s="3123" t="s">
        <v>3821</v>
      </c>
      <c r="V65" s="3123">
        <v>0</v>
      </c>
      <c r="W65" s="3123" t="s">
        <v>3821</v>
      </c>
      <c r="X65" s="3124"/>
      <c r="Y65" s="3125" t="s">
        <v>1056</v>
      </c>
      <c r="Z65" s="3126" t="s">
        <v>223</v>
      </c>
      <c r="AA65" s="3127">
        <v>2500</v>
      </c>
      <c r="AB65" s="3128">
        <v>2000000</v>
      </c>
      <c r="AC65" s="3129"/>
      <c r="AD65" s="3129"/>
      <c r="AE65" s="3129"/>
      <c r="AF65" s="2860" t="s">
        <v>4500</v>
      </c>
      <c r="AG65" s="3130" t="s">
        <v>3684</v>
      </c>
      <c r="AH65" s="3130" t="s">
        <v>4284</v>
      </c>
      <c r="AI65" s="3146" t="s">
        <v>3821</v>
      </c>
      <c r="AJ65" s="3146" t="s">
        <v>3821</v>
      </c>
      <c r="AK65" s="3146" t="s">
        <v>3805</v>
      </c>
      <c r="AL65" s="3087" t="s">
        <v>3805</v>
      </c>
      <c r="AM65" s="3087"/>
    </row>
    <row r="66" spans="1:39" s="3088" customFormat="1" ht="90" customHeight="1">
      <c r="A66" s="3131">
        <v>64</v>
      </c>
      <c r="B66" s="3132">
        <v>1757</v>
      </c>
      <c r="C66" s="3133" t="s">
        <v>98</v>
      </c>
      <c r="D66" s="3133" t="s">
        <v>98</v>
      </c>
      <c r="E66" s="3134" t="s">
        <v>99</v>
      </c>
      <c r="F66" s="3131" t="s">
        <v>1056</v>
      </c>
      <c r="G66" s="3115"/>
      <c r="H66" s="3116">
        <v>0.35</v>
      </c>
      <c r="I66" s="3117" t="s">
        <v>4330</v>
      </c>
      <c r="J66" s="2861"/>
      <c r="K66" s="3115"/>
      <c r="L66" s="3115"/>
      <c r="M66" s="3135">
        <v>0.3</v>
      </c>
      <c r="N66" s="3135">
        <v>0.3</v>
      </c>
      <c r="O66" s="3136">
        <v>0</v>
      </c>
      <c r="P66" s="3115"/>
      <c r="Q66" s="3137">
        <v>0</v>
      </c>
      <c r="R66" s="3137"/>
      <c r="S66" s="3137"/>
      <c r="T66" s="3137"/>
      <c r="U66" s="3115" t="s">
        <v>3821</v>
      </c>
      <c r="V66" s="3138">
        <v>0</v>
      </c>
      <c r="W66" s="3115" t="s">
        <v>3821</v>
      </c>
      <c r="X66" s="3138"/>
      <c r="Y66" s="3115" t="s">
        <v>1056</v>
      </c>
      <c r="Z66" s="3139" t="s">
        <v>223</v>
      </c>
      <c r="AA66" s="3127">
        <v>2500</v>
      </c>
      <c r="AB66" s="3140">
        <v>2000000</v>
      </c>
      <c r="AC66" s="2860"/>
      <c r="AD66" s="2860"/>
      <c r="AE66" s="2860"/>
      <c r="AF66" s="2860" t="s">
        <v>4500</v>
      </c>
      <c r="AG66" s="3130" t="s">
        <v>3684</v>
      </c>
      <c r="AH66" s="3130" t="s">
        <v>4284</v>
      </c>
      <c r="AI66" s="3146" t="s">
        <v>3805</v>
      </c>
      <c r="AJ66" s="3146" t="s">
        <v>3805</v>
      </c>
      <c r="AK66" s="3146" t="s">
        <v>3805</v>
      </c>
      <c r="AL66" s="3087" t="s">
        <v>3805</v>
      </c>
      <c r="AM66" s="3087"/>
    </row>
    <row r="67" spans="1:39" s="3088" customFormat="1" ht="90" customHeight="1">
      <c r="A67" s="3111">
        <v>65</v>
      </c>
      <c r="B67" s="3112">
        <v>1761</v>
      </c>
      <c r="C67" s="3113" t="s">
        <v>96</v>
      </c>
      <c r="D67" s="3113" t="s">
        <v>96</v>
      </c>
      <c r="E67" s="3114" t="s">
        <v>97</v>
      </c>
      <c r="F67" s="3112" t="s">
        <v>1056</v>
      </c>
      <c r="G67" s="3115"/>
      <c r="H67" s="3116">
        <v>0.35</v>
      </c>
      <c r="I67" s="3117" t="s">
        <v>4330</v>
      </c>
      <c r="J67" s="3118"/>
      <c r="K67" s="3124"/>
      <c r="L67" s="3142"/>
      <c r="M67" s="3143">
        <v>0.3</v>
      </c>
      <c r="N67" s="3143">
        <v>0.3</v>
      </c>
      <c r="O67" s="3124">
        <v>0</v>
      </c>
      <c r="P67" s="3116"/>
      <c r="Q67" s="3122">
        <v>0</v>
      </c>
      <c r="R67" s="3122"/>
      <c r="S67" s="3122"/>
      <c r="T67" s="3122"/>
      <c r="U67" s="3123" t="s">
        <v>3821</v>
      </c>
      <c r="V67" s="3123">
        <v>0</v>
      </c>
      <c r="W67" s="3123" t="s">
        <v>3821</v>
      </c>
      <c r="X67" s="3124"/>
      <c r="Y67" s="3125" t="s">
        <v>1056</v>
      </c>
      <c r="Z67" s="3126" t="s">
        <v>223</v>
      </c>
      <c r="AA67" s="3127">
        <v>2500</v>
      </c>
      <c r="AB67" s="3128">
        <v>2000000</v>
      </c>
      <c r="AC67" s="3129"/>
      <c r="AD67" s="3129"/>
      <c r="AE67" s="3129"/>
      <c r="AF67" s="2860" t="s">
        <v>4500</v>
      </c>
      <c r="AG67" s="3130" t="s">
        <v>3684</v>
      </c>
      <c r="AH67" s="3130" t="s">
        <v>4284</v>
      </c>
      <c r="AI67" s="3146" t="s">
        <v>3821</v>
      </c>
      <c r="AJ67" s="3146" t="s">
        <v>3821</v>
      </c>
      <c r="AK67" s="3146" t="s">
        <v>3805</v>
      </c>
      <c r="AL67" s="3087" t="s">
        <v>3805</v>
      </c>
      <c r="AM67" s="3087"/>
    </row>
    <row r="68" spans="1:39" s="3088" customFormat="1" ht="90" customHeight="1">
      <c r="A68" s="3131">
        <v>66</v>
      </c>
      <c r="B68" s="3132">
        <v>1762</v>
      </c>
      <c r="C68" s="3133" t="s">
        <v>94</v>
      </c>
      <c r="D68" s="3133" t="s">
        <v>94</v>
      </c>
      <c r="E68" s="3134" t="s">
        <v>95</v>
      </c>
      <c r="F68" s="3131" t="s">
        <v>1056</v>
      </c>
      <c r="G68" s="3115"/>
      <c r="H68" s="3116">
        <v>0.35</v>
      </c>
      <c r="I68" s="3117" t="s">
        <v>4330</v>
      </c>
      <c r="J68" s="2861"/>
      <c r="K68" s="3115"/>
      <c r="L68" s="3115"/>
      <c r="M68" s="3135">
        <v>0.3</v>
      </c>
      <c r="N68" s="3135">
        <v>0.3</v>
      </c>
      <c r="O68" s="3136">
        <v>0</v>
      </c>
      <c r="P68" s="3115"/>
      <c r="Q68" s="3137">
        <v>0</v>
      </c>
      <c r="R68" s="3137"/>
      <c r="S68" s="3137"/>
      <c r="T68" s="3137"/>
      <c r="U68" s="3115" t="s">
        <v>3821</v>
      </c>
      <c r="V68" s="3138">
        <v>0</v>
      </c>
      <c r="W68" s="3115" t="s">
        <v>3821</v>
      </c>
      <c r="X68" s="3138"/>
      <c r="Y68" s="3115" t="s">
        <v>1056</v>
      </c>
      <c r="Z68" s="3139" t="s">
        <v>223</v>
      </c>
      <c r="AA68" s="3127">
        <v>2500</v>
      </c>
      <c r="AB68" s="3140">
        <v>2000000</v>
      </c>
      <c r="AC68" s="2860"/>
      <c r="AD68" s="2860"/>
      <c r="AE68" s="2860"/>
      <c r="AF68" s="2860" t="s">
        <v>4500</v>
      </c>
      <c r="AG68" s="3130" t="s">
        <v>3684</v>
      </c>
      <c r="AH68" s="3130" t="s">
        <v>4284</v>
      </c>
      <c r="AI68" s="3146" t="s">
        <v>3821</v>
      </c>
      <c r="AJ68" s="3146" t="s">
        <v>3821</v>
      </c>
      <c r="AK68" s="3146" t="s">
        <v>3805</v>
      </c>
      <c r="AL68" s="3087" t="s">
        <v>3805</v>
      </c>
      <c r="AM68" s="3087"/>
    </row>
    <row r="69" spans="1:39" s="3088" customFormat="1" ht="90" customHeight="1">
      <c r="A69" s="3111">
        <v>67</v>
      </c>
      <c r="B69" s="3112">
        <v>1763</v>
      </c>
      <c r="C69" s="3113" t="s">
        <v>92</v>
      </c>
      <c r="D69" s="3113" t="s">
        <v>92</v>
      </c>
      <c r="E69" s="3114" t="s">
        <v>93</v>
      </c>
      <c r="F69" s="3112" t="s">
        <v>1056</v>
      </c>
      <c r="G69" s="3115"/>
      <c r="H69" s="3116">
        <v>0.35</v>
      </c>
      <c r="I69" s="3124" t="s">
        <v>1033</v>
      </c>
      <c r="J69" s="3118"/>
      <c r="K69" s="3124"/>
      <c r="L69" s="3142"/>
      <c r="M69" s="3143">
        <v>1</v>
      </c>
      <c r="N69" s="3143">
        <v>1</v>
      </c>
      <c r="O69" s="3124">
        <v>0</v>
      </c>
      <c r="P69" s="3116"/>
      <c r="Q69" s="3122">
        <v>0</v>
      </c>
      <c r="R69" s="3122"/>
      <c r="S69" s="3122"/>
      <c r="T69" s="3122"/>
      <c r="U69" s="3123" t="s">
        <v>3821</v>
      </c>
      <c r="V69" s="3123">
        <v>0</v>
      </c>
      <c r="W69" s="3123" t="s">
        <v>3821</v>
      </c>
      <c r="X69" s="3124"/>
      <c r="Y69" s="3125" t="s">
        <v>1056</v>
      </c>
      <c r="Z69" s="3126" t="s">
        <v>223</v>
      </c>
      <c r="AA69" s="3127">
        <v>2500</v>
      </c>
      <c r="AB69" s="3128">
        <v>400000</v>
      </c>
      <c r="AC69" s="3129" t="s">
        <v>3676</v>
      </c>
      <c r="AD69" s="3129" t="s">
        <v>4233</v>
      </c>
      <c r="AE69" s="3129" t="s">
        <v>4232</v>
      </c>
      <c r="AF69" s="2860"/>
      <c r="AG69" s="3130" t="s">
        <v>3684</v>
      </c>
      <c r="AH69" s="3130" t="s">
        <v>4284</v>
      </c>
      <c r="AI69" s="3146" t="s">
        <v>3821</v>
      </c>
      <c r="AJ69" s="3146" t="s">
        <v>3821</v>
      </c>
      <c r="AK69" s="3146" t="s">
        <v>3805</v>
      </c>
      <c r="AL69" s="3087" t="s">
        <v>3805</v>
      </c>
      <c r="AM69" s="3087"/>
    </row>
    <row r="70" spans="1:39" s="3088" customFormat="1" ht="90" customHeight="1">
      <c r="A70" s="3131">
        <v>68</v>
      </c>
      <c r="B70" s="3132">
        <v>1764</v>
      </c>
      <c r="C70" s="3133" t="s">
        <v>90</v>
      </c>
      <c r="D70" s="3133" t="s">
        <v>90</v>
      </c>
      <c r="E70" s="3134" t="s">
        <v>91</v>
      </c>
      <c r="F70" s="3131" t="s">
        <v>1055</v>
      </c>
      <c r="G70" s="3115"/>
      <c r="H70" s="3135">
        <v>0.7</v>
      </c>
      <c r="I70" s="2861" t="s">
        <v>4387</v>
      </c>
      <c r="J70" s="3155" t="s">
        <v>4425</v>
      </c>
      <c r="K70" s="3115"/>
      <c r="L70" s="3115"/>
      <c r="M70" s="3135">
        <v>0.3</v>
      </c>
      <c r="N70" s="3135">
        <v>0.3</v>
      </c>
      <c r="O70" s="3136">
        <v>0</v>
      </c>
      <c r="P70" s="3115"/>
      <c r="Q70" s="3147">
        <v>1</v>
      </c>
      <c r="R70" s="3147"/>
      <c r="S70" s="3147"/>
      <c r="T70" s="3147"/>
      <c r="U70" s="3115" t="s">
        <v>3805</v>
      </c>
      <c r="V70" s="3145">
        <v>2500</v>
      </c>
      <c r="W70" s="3115" t="s">
        <v>3821</v>
      </c>
      <c r="X70" s="3138"/>
      <c r="Y70" s="3115" t="s">
        <v>1056</v>
      </c>
      <c r="Z70" s="3139" t="s">
        <v>223</v>
      </c>
      <c r="AA70" s="3127">
        <v>2500</v>
      </c>
      <c r="AB70" s="3140">
        <v>2000000</v>
      </c>
      <c r="AC70" s="2860" t="s">
        <v>4231</v>
      </c>
      <c r="AD70" s="2860" t="s">
        <v>3676</v>
      </c>
      <c r="AE70" s="2860"/>
      <c r="AF70" s="2860" t="s">
        <v>4500</v>
      </c>
      <c r="AG70" s="3130" t="s">
        <v>3684</v>
      </c>
      <c r="AH70" s="3130" t="s">
        <v>4284</v>
      </c>
      <c r="AI70" s="3146"/>
      <c r="AJ70" s="3146"/>
      <c r="AK70" s="3146"/>
      <c r="AL70" s="3087">
        <v>0</v>
      </c>
      <c r="AM70" s="3087"/>
    </row>
    <row r="71" spans="1:39" s="3088" customFormat="1" ht="90" customHeight="1">
      <c r="A71" s="3111">
        <v>69</v>
      </c>
      <c r="B71" s="3112">
        <v>1765</v>
      </c>
      <c r="C71" s="3113" t="s">
        <v>88</v>
      </c>
      <c r="D71" s="3113" t="s">
        <v>88</v>
      </c>
      <c r="E71" s="3114" t="s">
        <v>89</v>
      </c>
      <c r="F71" s="3112" t="s">
        <v>1055</v>
      </c>
      <c r="G71" s="3115"/>
      <c r="H71" s="3116">
        <v>0.7</v>
      </c>
      <c r="I71" s="2861" t="s">
        <v>4387</v>
      </c>
      <c r="J71" s="3155" t="s">
        <v>4425</v>
      </c>
      <c r="K71" s="3124"/>
      <c r="L71" s="3142"/>
      <c r="M71" s="3143">
        <v>0.3</v>
      </c>
      <c r="N71" s="3143">
        <v>0.3</v>
      </c>
      <c r="O71" s="3124">
        <v>0</v>
      </c>
      <c r="P71" s="3116"/>
      <c r="Q71" s="3147">
        <v>1</v>
      </c>
      <c r="R71" s="3147"/>
      <c r="S71" s="3147"/>
      <c r="T71" s="3147"/>
      <c r="U71" s="3123" t="s">
        <v>3805</v>
      </c>
      <c r="V71" s="3145">
        <v>2500</v>
      </c>
      <c r="W71" s="3123" t="s">
        <v>3821</v>
      </c>
      <c r="X71" s="3124"/>
      <c r="Y71" s="3125" t="s">
        <v>1056</v>
      </c>
      <c r="Z71" s="3126" t="s">
        <v>223</v>
      </c>
      <c r="AA71" s="3127">
        <v>2500</v>
      </c>
      <c r="AB71" s="3128">
        <v>2000000</v>
      </c>
      <c r="AC71" s="3129" t="s">
        <v>4231</v>
      </c>
      <c r="AD71" s="3129" t="s">
        <v>3676</v>
      </c>
      <c r="AE71" s="3129"/>
      <c r="AF71" s="2860" t="s">
        <v>4500</v>
      </c>
      <c r="AG71" s="3130" t="s">
        <v>3684</v>
      </c>
      <c r="AH71" s="3130" t="s">
        <v>4284</v>
      </c>
      <c r="AI71" s="3111"/>
      <c r="AJ71" s="3111"/>
      <c r="AK71" s="3111"/>
      <c r="AL71" s="3087">
        <v>0</v>
      </c>
      <c r="AM71" s="3087"/>
    </row>
    <row r="72" spans="1:39" s="3088" customFormat="1" ht="90" customHeight="1">
      <c r="A72" s="3131">
        <v>70</v>
      </c>
      <c r="B72" s="3132">
        <v>1766</v>
      </c>
      <c r="C72" s="3133" t="s">
        <v>86</v>
      </c>
      <c r="D72" s="3133" t="s">
        <v>86</v>
      </c>
      <c r="E72" s="3134" t="s">
        <v>87</v>
      </c>
      <c r="F72" s="3131" t="s">
        <v>1056</v>
      </c>
      <c r="G72" s="3115"/>
      <c r="H72" s="3116">
        <v>0.35</v>
      </c>
      <c r="I72" s="3117" t="s">
        <v>4330</v>
      </c>
      <c r="J72" s="2861"/>
      <c r="K72" s="3115"/>
      <c r="L72" s="3115"/>
      <c r="M72" s="3135">
        <v>0.3</v>
      </c>
      <c r="N72" s="3135">
        <v>0.3</v>
      </c>
      <c r="O72" s="3136">
        <v>0</v>
      </c>
      <c r="P72" s="3115"/>
      <c r="Q72" s="3137">
        <v>0</v>
      </c>
      <c r="R72" s="3137"/>
      <c r="S72" s="3137"/>
      <c r="T72" s="3137"/>
      <c r="U72" s="3115" t="s">
        <v>3821</v>
      </c>
      <c r="V72" s="3138">
        <v>0</v>
      </c>
      <c r="W72" s="3115" t="s">
        <v>3821</v>
      </c>
      <c r="X72" s="3138"/>
      <c r="Y72" s="3115" t="s">
        <v>1056</v>
      </c>
      <c r="Z72" s="3139" t="s">
        <v>223</v>
      </c>
      <c r="AA72" s="3127">
        <v>2500</v>
      </c>
      <c r="AB72" s="3140">
        <v>2000000</v>
      </c>
      <c r="AC72" s="3129" t="s">
        <v>3676</v>
      </c>
      <c r="AD72" s="2860"/>
      <c r="AE72" s="2860"/>
      <c r="AF72" s="2860" t="s">
        <v>4500</v>
      </c>
      <c r="AG72" s="3130" t="s">
        <v>3684</v>
      </c>
      <c r="AH72" s="3130" t="s">
        <v>4284</v>
      </c>
      <c r="AI72" s="3146" t="s">
        <v>3821</v>
      </c>
      <c r="AJ72" s="3146" t="s">
        <v>3821</v>
      </c>
      <c r="AK72" s="3146" t="s">
        <v>3805</v>
      </c>
      <c r="AL72" s="3087" t="s">
        <v>3805</v>
      </c>
      <c r="AM72" s="3087"/>
    </row>
    <row r="73" spans="1:39" s="3088" customFormat="1" ht="90" customHeight="1">
      <c r="A73" s="3111">
        <v>71</v>
      </c>
      <c r="B73" s="3112">
        <v>1770</v>
      </c>
      <c r="C73" s="3113" t="s">
        <v>84</v>
      </c>
      <c r="D73" s="3113" t="s">
        <v>84</v>
      </c>
      <c r="E73" s="3114" t="s">
        <v>85</v>
      </c>
      <c r="F73" s="3112" t="s">
        <v>1056</v>
      </c>
      <c r="G73" s="3115"/>
      <c r="H73" s="3116">
        <v>0.35</v>
      </c>
      <c r="I73" s="2861" t="s">
        <v>4387</v>
      </c>
      <c r="J73" s="3155" t="s">
        <v>4425</v>
      </c>
      <c r="K73" s="3124"/>
      <c r="L73" s="3142"/>
      <c r="M73" s="3143">
        <v>0.3</v>
      </c>
      <c r="N73" s="3143">
        <v>0.3</v>
      </c>
      <c r="O73" s="3124">
        <v>0</v>
      </c>
      <c r="P73" s="3116"/>
      <c r="Q73" s="3147">
        <v>0.1</v>
      </c>
      <c r="R73" s="3147"/>
      <c r="S73" s="3147"/>
      <c r="T73" s="3147"/>
      <c r="U73" s="3123" t="s">
        <v>3805</v>
      </c>
      <c r="V73" s="3145">
        <v>2500</v>
      </c>
      <c r="W73" s="3123" t="s">
        <v>3821</v>
      </c>
      <c r="X73" s="3124"/>
      <c r="Y73" s="3125" t="s">
        <v>1056</v>
      </c>
      <c r="Z73" s="3126" t="s">
        <v>223</v>
      </c>
      <c r="AA73" s="3127">
        <v>2500</v>
      </c>
      <c r="AB73" s="3128">
        <v>2000000</v>
      </c>
      <c r="AC73" s="3129" t="s">
        <v>3671</v>
      </c>
      <c r="AD73" s="3129" t="s">
        <v>3672</v>
      </c>
      <c r="AE73" s="3129"/>
      <c r="AF73" s="2860" t="s">
        <v>4500</v>
      </c>
      <c r="AG73" s="3130" t="s">
        <v>3684</v>
      </c>
      <c r="AH73" s="3130" t="s">
        <v>4284</v>
      </c>
      <c r="AI73" s="3111"/>
      <c r="AJ73" s="3111"/>
      <c r="AK73" s="3111"/>
      <c r="AL73" s="3087" t="s">
        <v>3805</v>
      </c>
      <c r="AM73" s="3087"/>
    </row>
    <row r="74" spans="1:39" s="3088" customFormat="1" ht="90" customHeight="1">
      <c r="A74" s="3131">
        <v>72</v>
      </c>
      <c r="B74" s="3132">
        <v>1774</v>
      </c>
      <c r="C74" s="3133" t="s">
        <v>83</v>
      </c>
      <c r="D74" s="3133" t="s">
        <v>83</v>
      </c>
      <c r="E74" s="3134" t="s">
        <v>83</v>
      </c>
      <c r="F74" s="3131" t="s">
        <v>1056</v>
      </c>
      <c r="G74" s="3115"/>
      <c r="H74" s="3116">
        <v>0.35</v>
      </c>
      <c r="I74" s="2861" t="s">
        <v>4387</v>
      </c>
      <c r="J74" s="2861"/>
      <c r="K74" s="3115"/>
      <c r="L74" s="3115"/>
      <c r="M74" s="3135">
        <v>0</v>
      </c>
      <c r="N74" s="3135">
        <v>0</v>
      </c>
      <c r="O74" s="3136">
        <v>0</v>
      </c>
      <c r="P74" s="3115"/>
      <c r="Q74" s="3147">
        <v>0.4</v>
      </c>
      <c r="R74" s="3147"/>
      <c r="S74" s="3147"/>
      <c r="T74" s="3147"/>
      <c r="U74" s="3115" t="s">
        <v>3821</v>
      </c>
      <c r="V74" s="3138">
        <v>0</v>
      </c>
      <c r="W74" s="3115" t="s">
        <v>3821</v>
      </c>
      <c r="X74" s="3138"/>
      <c r="Y74" s="3115" t="s">
        <v>1056</v>
      </c>
      <c r="Z74" s="3139" t="s">
        <v>223</v>
      </c>
      <c r="AA74" s="3127">
        <v>2500</v>
      </c>
      <c r="AB74" s="3140">
        <v>2000000</v>
      </c>
      <c r="AC74" s="2860" t="s">
        <v>3671</v>
      </c>
      <c r="AD74" s="2860" t="s">
        <v>3672</v>
      </c>
      <c r="AE74" s="2860" t="s">
        <v>4021</v>
      </c>
      <c r="AF74" s="2860" t="s">
        <v>4500</v>
      </c>
      <c r="AG74" s="3130" t="s">
        <v>3684</v>
      </c>
      <c r="AH74" s="3130" t="s">
        <v>4284</v>
      </c>
      <c r="AI74" s="3146" t="s">
        <v>3805</v>
      </c>
      <c r="AJ74" s="3146" t="s">
        <v>3805</v>
      </c>
      <c r="AK74" s="3146" t="s">
        <v>3805</v>
      </c>
      <c r="AL74" s="3087" t="s">
        <v>3805</v>
      </c>
      <c r="AM74" s="3087"/>
    </row>
    <row r="75" spans="1:39" s="3088" customFormat="1" ht="90" customHeight="1">
      <c r="A75" s="3111">
        <v>73</v>
      </c>
      <c r="B75" s="3112">
        <v>1775</v>
      </c>
      <c r="C75" s="3113" t="s">
        <v>312</v>
      </c>
      <c r="D75" s="3113" t="s">
        <v>312</v>
      </c>
      <c r="E75" s="3114" t="s">
        <v>312</v>
      </c>
      <c r="F75" s="3141" t="s">
        <v>258</v>
      </c>
      <c r="G75" s="3115"/>
      <c r="H75" s="3116"/>
      <c r="I75" s="3124"/>
      <c r="J75" s="3118"/>
      <c r="K75" s="3124"/>
      <c r="L75" s="3142"/>
      <c r="M75" s="3143"/>
      <c r="N75" s="3143"/>
      <c r="O75" s="3124"/>
      <c r="P75" s="3116"/>
      <c r="Q75" s="3122"/>
      <c r="R75" s="3122"/>
      <c r="S75" s="3122"/>
      <c r="T75" s="3122"/>
      <c r="U75" s="3123"/>
      <c r="V75" s="3123"/>
      <c r="W75" s="3123"/>
      <c r="X75" s="3124"/>
      <c r="Y75" s="3125"/>
      <c r="Z75" s="3126"/>
      <c r="AA75" s="3127"/>
      <c r="AB75" s="3128"/>
      <c r="AC75" s="3129"/>
      <c r="AD75" s="3129"/>
      <c r="AE75" s="3129"/>
      <c r="AF75" s="2860" t="s">
        <v>4500</v>
      </c>
      <c r="AG75" s="3130"/>
      <c r="AH75" s="3130" t="s">
        <v>4284</v>
      </c>
      <c r="AI75" s="3111"/>
      <c r="AJ75" s="3111"/>
      <c r="AK75" s="3111"/>
      <c r="AL75" s="3087">
        <v>0</v>
      </c>
      <c r="AM75" s="3087"/>
    </row>
    <row r="76" spans="1:39" s="3088" customFormat="1" ht="90" customHeight="1">
      <c r="A76" s="3131">
        <v>74</v>
      </c>
      <c r="B76" s="3132">
        <v>1776</v>
      </c>
      <c r="C76" s="3133" t="s">
        <v>313</v>
      </c>
      <c r="D76" s="3133" t="s">
        <v>313</v>
      </c>
      <c r="E76" s="3134" t="s">
        <v>313</v>
      </c>
      <c r="F76" s="3141" t="s">
        <v>258</v>
      </c>
      <c r="G76" s="3115"/>
      <c r="H76" s="3135"/>
      <c r="I76" s="3115"/>
      <c r="J76" s="2861"/>
      <c r="K76" s="3115"/>
      <c r="L76" s="3115"/>
      <c r="M76" s="3135"/>
      <c r="N76" s="3135"/>
      <c r="O76" s="3136"/>
      <c r="P76" s="3115"/>
      <c r="Q76" s="3137"/>
      <c r="R76" s="3137"/>
      <c r="S76" s="3137"/>
      <c r="T76" s="3137"/>
      <c r="U76" s="3115"/>
      <c r="V76" s="3138"/>
      <c r="W76" s="3115"/>
      <c r="X76" s="3138"/>
      <c r="Y76" s="3115"/>
      <c r="Z76" s="3139"/>
      <c r="AA76" s="3148"/>
      <c r="AB76" s="3140"/>
      <c r="AC76" s="2860"/>
      <c r="AD76" s="2860"/>
      <c r="AE76" s="2860"/>
      <c r="AF76" s="2860" t="s">
        <v>4500</v>
      </c>
      <c r="AG76" s="3130"/>
      <c r="AH76" s="3130" t="s">
        <v>4284</v>
      </c>
      <c r="AI76" s="3146"/>
      <c r="AJ76" s="3146"/>
      <c r="AK76" s="3146"/>
      <c r="AL76" s="3087">
        <v>0</v>
      </c>
      <c r="AM76" s="3087"/>
    </row>
    <row r="77" spans="1:39" s="3088" customFormat="1" ht="90" customHeight="1">
      <c r="A77" s="3111">
        <v>75</v>
      </c>
      <c r="B77" s="3112">
        <v>1777</v>
      </c>
      <c r="C77" s="3113" t="s">
        <v>81</v>
      </c>
      <c r="D77" s="3113" t="s">
        <v>81</v>
      </c>
      <c r="E77" s="3114" t="s">
        <v>82</v>
      </c>
      <c r="F77" s="3112" t="s">
        <v>1056</v>
      </c>
      <c r="G77" s="3115"/>
      <c r="H77" s="3116">
        <v>0.35</v>
      </c>
      <c r="I77" s="2861" t="s">
        <v>4387</v>
      </c>
      <c r="J77" s="3118"/>
      <c r="K77" s="3124"/>
      <c r="L77" s="3142"/>
      <c r="M77" s="3143">
        <v>0.3</v>
      </c>
      <c r="N77" s="3143">
        <v>0.3</v>
      </c>
      <c r="O77" s="3124">
        <v>0</v>
      </c>
      <c r="P77" s="3116"/>
      <c r="Q77" s="3122">
        <v>0</v>
      </c>
      <c r="R77" s="3122"/>
      <c r="S77" s="3122"/>
      <c r="T77" s="3122"/>
      <c r="U77" s="3123" t="s">
        <v>3805</v>
      </c>
      <c r="V77" s="3145">
        <v>5000</v>
      </c>
      <c r="W77" s="3145" t="s">
        <v>3805</v>
      </c>
      <c r="X77" s="3124"/>
      <c r="Y77" s="3125" t="s">
        <v>1056</v>
      </c>
      <c r="Z77" s="3150" t="s">
        <v>4421</v>
      </c>
      <c r="AA77" s="3153">
        <v>5000</v>
      </c>
      <c r="AB77" s="3128">
        <v>2000000</v>
      </c>
      <c r="AC77" s="2860"/>
      <c r="AD77" s="3129"/>
      <c r="AE77" s="3129"/>
      <c r="AF77" s="2860" t="s">
        <v>4500</v>
      </c>
      <c r="AG77" s="3130" t="s">
        <v>3684</v>
      </c>
      <c r="AH77" s="3130" t="s">
        <v>4284</v>
      </c>
      <c r="AI77" s="3146" t="s">
        <v>3821</v>
      </c>
      <c r="AJ77" s="3146" t="s">
        <v>3821</v>
      </c>
      <c r="AK77" s="3146" t="s">
        <v>3821</v>
      </c>
      <c r="AL77" s="3087" t="s">
        <v>3805</v>
      </c>
      <c r="AM77" s="3087"/>
    </row>
    <row r="78" spans="1:39" s="3088" customFormat="1" ht="90" customHeight="1">
      <c r="A78" s="3131">
        <v>76</v>
      </c>
      <c r="B78" s="3132">
        <v>1778</v>
      </c>
      <c r="C78" s="3133" t="s">
        <v>79</v>
      </c>
      <c r="D78" s="3133" t="s">
        <v>79</v>
      </c>
      <c r="E78" s="3134" t="s">
        <v>80</v>
      </c>
      <c r="F78" s="3131" t="s">
        <v>1056</v>
      </c>
      <c r="G78" s="3115"/>
      <c r="H78" s="3116">
        <v>0.35</v>
      </c>
      <c r="I78" s="2861" t="s">
        <v>4387</v>
      </c>
      <c r="J78" s="2861"/>
      <c r="K78" s="3115"/>
      <c r="L78" s="3115"/>
      <c r="M78" s="3135">
        <v>0.3</v>
      </c>
      <c r="N78" s="3135">
        <v>0.3</v>
      </c>
      <c r="O78" s="3136">
        <v>0</v>
      </c>
      <c r="P78" s="3115"/>
      <c r="Q78" s="3137">
        <v>0</v>
      </c>
      <c r="R78" s="3137"/>
      <c r="S78" s="3137"/>
      <c r="T78" s="3137"/>
      <c r="U78" s="3115" t="s">
        <v>3805</v>
      </c>
      <c r="V78" s="3145">
        <v>5000</v>
      </c>
      <c r="W78" s="3149" t="s">
        <v>3805</v>
      </c>
      <c r="X78" s="3138"/>
      <c r="Y78" s="3115" t="s">
        <v>1056</v>
      </c>
      <c r="Z78" s="3150" t="s">
        <v>4421</v>
      </c>
      <c r="AA78" s="3151">
        <v>2500</v>
      </c>
      <c r="AB78" s="3140">
        <v>2000000</v>
      </c>
      <c r="AC78" s="2860" t="s">
        <v>3671</v>
      </c>
      <c r="AD78" s="2860" t="s">
        <v>3672</v>
      </c>
      <c r="AE78" s="2860" t="s">
        <v>4021</v>
      </c>
      <c r="AF78" s="2860" t="s">
        <v>4500</v>
      </c>
      <c r="AG78" s="3130" t="s">
        <v>3684</v>
      </c>
      <c r="AH78" s="3130" t="s">
        <v>4284</v>
      </c>
      <c r="AI78" s="3146" t="s">
        <v>3805</v>
      </c>
      <c r="AJ78" s="3146" t="s">
        <v>3805</v>
      </c>
      <c r="AK78" s="3146" t="s">
        <v>3821</v>
      </c>
      <c r="AL78" s="3087" t="s">
        <v>3805</v>
      </c>
      <c r="AM78" s="3087"/>
    </row>
    <row r="79" spans="1:39" s="3088" customFormat="1" ht="90" customHeight="1">
      <c r="A79" s="3111">
        <v>77</v>
      </c>
      <c r="B79" s="3112">
        <v>1779</v>
      </c>
      <c r="C79" s="3113" t="s">
        <v>77</v>
      </c>
      <c r="D79" s="3113" t="s">
        <v>77</v>
      </c>
      <c r="E79" s="3114" t="s">
        <v>78</v>
      </c>
      <c r="F79" s="3112" t="s">
        <v>1055</v>
      </c>
      <c r="G79" s="3115"/>
      <c r="H79" s="3116"/>
      <c r="I79" s="2861" t="s">
        <v>4387</v>
      </c>
      <c r="J79" s="3118"/>
      <c r="K79" s="3124"/>
      <c r="L79" s="3142"/>
      <c r="M79" s="3143"/>
      <c r="N79" s="3143"/>
      <c r="O79" s="3124"/>
      <c r="P79" s="3116"/>
      <c r="Q79" s="3122"/>
      <c r="R79" s="3122"/>
      <c r="S79" s="3122"/>
      <c r="T79" s="3122"/>
      <c r="U79" s="3123"/>
      <c r="V79" s="3123"/>
      <c r="W79" s="3123"/>
      <c r="X79" s="3124"/>
      <c r="Y79" s="3125"/>
      <c r="Z79" s="3126"/>
      <c r="AA79" s="3127">
        <v>2500</v>
      </c>
      <c r="AB79" s="3128"/>
      <c r="AC79" s="3129"/>
      <c r="AD79" s="3129"/>
      <c r="AE79" s="3129"/>
      <c r="AF79" s="2860" t="s">
        <v>4500</v>
      </c>
      <c r="AG79" s="3130" t="s">
        <v>3684</v>
      </c>
      <c r="AH79" s="3130" t="s">
        <v>4284</v>
      </c>
      <c r="AI79" s="3111"/>
      <c r="AJ79" s="3111"/>
      <c r="AK79" s="3111"/>
      <c r="AL79" s="3087">
        <v>0</v>
      </c>
      <c r="AM79" s="3087"/>
    </row>
    <row r="80" spans="1:39" s="3088" customFormat="1" ht="90" customHeight="1">
      <c r="A80" s="3131">
        <v>78</v>
      </c>
      <c r="B80" s="3132">
        <v>1780</v>
      </c>
      <c r="C80" s="3133" t="s">
        <v>75</v>
      </c>
      <c r="D80" s="3133" t="s">
        <v>75</v>
      </c>
      <c r="E80" s="3134" t="s">
        <v>76</v>
      </c>
      <c r="F80" s="3131" t="s">
        <v>1056</v>
      </c>
      <c r="G80" s="3115"/>
      <c r="H80" s="3116">
        <v>0.35</v>
      </c>
      <c r="I80" s="2861" t="s">
        <v>4387</v>
      </c>
      <c r="J80" s="2861"/>
      <c r="K80" s="3115"/>
      <c r="L80" s="3115"/>
      <c r="M80" s="3135">
        <v>0.3</v>
      </c>
      <c r="N80" s="3135">
        <v>0.3</v>
      </c>
      <c r="O80" s="3136">
        <v>0</v>
      </c>
      <c r="P80" s="3115"/>
      <c r="Q80" s="3147">
        <v>1</v>
      </c>
      <c r="R80" s="3147"/>
      <c r="S80" s="3147"/>
      <c r="T80" s="3147"/>
      <c r="U80" s="3115" t="s">
        <v>3805</v>
      </c>
      <c r="V80" s="3145">
        <v>2500</v>
      </c>
      <c r="W80" s="3115" t="s">
        <v>3821</v>
      </c>
      <c r="X80" s="3138"/>
      <c r="Y80" s="3115" t="s">
        <v>1056</v>
      </c>
      <c r="Z80" s="3139" t="s">
        <v>223</v>
      </c>
      <c r="AA80" s="3127">
        <v>2500</v>
      </c>
      <c r="AB80" s="3140">
        <v>2000000</v>
      </c>
      <c r="AC80" s="2860"/>
      <c r="AD80" s="2860"/>
      <c r="AE80" s="2860"/>
      <c r="AF80" s="2860" t="s">
        <v>4500</v>
      </c>
      <c r="AG80" s="3130" t="s">
        <v>3684</v>
      </c>
      <c r="AH80" s="3130" t="s">
        <v>4284</v>
      </c>
      <c r="AI80" s="3146" t="s">
        <v>3821</v>
      </c>
      <c r="AJ80" s="3146" t="s">
        <v>3821</v>
      </c>
      <c r="AK80" s="3146" t="s">
        <v>3805</v>
      </c>
      <c r="AL80" s="3087" t="s">
        <v>3805</v>
      </c>
      <c r="AM80" s="3087"/>
    </row>
    <row r="81" spans="1:39" s="3088" customFormat="1" ht="90" customHeight="1">
      <c r="A81" s="3111">
        <v>79</v>
      </c>
      <c r="B81" s="3112">
        <v>1781</v>
      </c>
      <c r="C81" s="3113" t="s">
        <v>73</v>
      </c>
      <c r="D81" s="3113" t="s">
        <v>73</v>
      </c>
      <c r="E81" s="3114" t="s">
        <v>74</v>
      </c>
      <c r="F81" s="3112" t="s">
        <v>3823</v>
      </c>
      <c r="G81" s="3115"/>
      <c r="H81" s="3116">
        <v>0.35</v>
      </c>
      <c r="I81" s="2861" t="s">
        <v>4387</v>
      </c>
      <c r="J81" s="3118"/>
      <c r="K81" s="3124"/>
      <c r="L81" s="3142"/>
      <c r="M81" s="3143"/>
      <c r="N81" s="3143"/>
      <c r="O81" s="3124"/>
      <c r="P81" s="3116"/>
      <c r="Q81" s="3122">
        <v>0</v>
      </c>
      <c r="R81" s="3122"/>
      <c r="S81" s="3122"/>
      <c r="T81" s="3122"/>
      <c r="U81" s="3123" t="s">
        <v>3821</v>
      </c>
      <c r="V81" s="3123">
        <v>0</v>
      </c>
      <c r="W81" s="3123" t="s">
        <v>3821</v>
      </c>
      <c r="X81" s="3124"/>
      <c r="Y81" s="3125"/>
      <c r="Z81" s="3126"/>
      <c r="AA81" s="3127">
        <v>2500</v>
      </c>
      <c r="AB81" s="3128"/>
      <c r="AC81" s="3129"/>
      <c r="AD81" s="3129"/>
      <c r="AE81" s="3129"/>
      <c r="AF81" s="2860" t="s">
        <v>4500</v>
      </c>
      <c r="AG81" s="3130" t="s">
        <v>3684</v>
      </c>
      <c r="AH81" s="3130" t="s">
        <v>4284</v>
      </c>
      <c r="AI81" s="3111"/>
      <c r="AJ81" s="3111"/>
      <c r="AK81" s="3111"/>
      <c r="AL81" s="3087" t="s">
        <v>3805</v>
      </c>
      <c r="AM81" s="3087"/>
    </row>
    <row r="82" spans="1:39" s="3088" customFormat="1" ht="90" customHeight="1">
      <c r="A82" s="3131">
        <v>80</v>
      </c>
      <c r="B82" s="3132">
        <v>1783</v>
      </c>
      <c r="C82" s="3133" t="s">
        <v>71</v>
      </c>
      <c r="D82" s="3133" t="s">
        <v>71</v>
      </c>
      <c r="E82" s="3134" t="s">
        <v>72</v>
      </c>
      <c r="F82" s="3131" t="s">
        <v>1055</v>
      </c>
      <c r="G82" s="3115"/>
      <c r="H82" s="3135">
        <v>0.35</v>
      </c>
      <c r="I82" s="3117" t="s">
        <v>4330</v>
      </c>
      <c r="J82" s="2861"/>
      <c r="K82" s="3115"/>
      <c r="L82" s="3115"/>
      <c r="M82" s="3135">
        <v>0.3</v>
      </c>
      <c r="N82" s="3135">
        <v>0.3</v>
      </c>
      <c r="O82" s="3136">
        <v>0.05</v>
      </c>
      <c r="P82" s="3115"/>
      <c r="Q82" s="3137">
        <v>0</v>
      </c>
      <c r="R82" s="3137"/>
      <c r="S82" s="3137"/>
      <c r="T82" s="3137"/>
      <c r="U82" s="3115" t="s">
        <v>3821</v>
      </c>
      <c r="V82" s="3138">
        <v>0</v>
      </c>
      <c r="W82" s="3115" t="s">
        <v>3821</v>
      </c>
      <c r="X82" s="3138"/>
      <c r="Y82" s="3115" t="s">
        <v>1056</v>
      </c>
      <c r="Z82" s="3139" t="s">
        <v>223</v>
      </c>
      <c r="AA82" s="3148" t="s">
        <v>223</v>
      </c>
      <c r="AB82" s="3140">
        <v>2000000</v>
      </c>
      <c r="AC82" s="2860"/>
      <c r="AD82" s="2860"/>
      <c r="AE82" s="2860"/>
      <c r="AF82" s="2860" t="s">
        <v>4500</v>
      </c>
      <c r="AG82" s="3130" t="s">
        <v>3684</v>
      </c>
      <c r="AH82" s="3130" t="s">
        <v>4284</v>
      </c>
      <c r="AI82" s="3146" t="s">
        <v>3821</v>
      </c>
      <c r="AJ82" s="3146" t="s">
        <v>3821</v>
      </c>
      <c r="AK82" s="3146" t="s">
        <v>3805</v>
      </c>
      <c r="AL82" s="3087">
        <v>0</v>
      </c>
      <c r="AM82" s="3087"/>
    </row>
    <row r="83" spans="1:39" s="3088" customFormat="1" ht="90" customHeight="1">
      <c r="A83" s="3111">
        <v>81</v>
      </c>
      <c r="B83" s="3112">
        <v>1811</v>
      </c>
      <c r="C83" s="3113" t="s">
        <v>69</v>
      </c>
      <c r="D83" s="3113" t="s">
        <v>69</v>
      </c>
      <c r="E83" s="3114" t="s">
        <v>70</v>
      </c>
      <c r="F83" s="3112" t="s">
        <v>1056</v>
      </c>
      <c r="G83" s="3115"/>
      <c r="H83" s="3116">
        <v>0.35</v>
      </c>
      <c r="I83" s="3035" t="s">
        <v>4380</v>
      </c>
      <c r="J83" s="3118"/>
      <c r="K83" s="3124"/>
      <c r="L83" s="3142"/>
      <c r="M83" s="3135">
        <v>0.3</v>
      </c>
      <c r="N83" s="3135">
        <v>0.3</v>
      </c>
      <c r="O83" s="3136">
        <v>0.05</v>
      </c>
      <c r="P83" s="3116"/>
      <c r="Q83" s="3122">
        <v>0</v>
      </c>
      <c r="R83" s="3122"/>
      <c r="S83" s="3122"/>
      <c r="T83" s="3122"/>
      <c r="U83" s="3123" t="s">
        <v>3821</v>
      </c>
      <c r="V83" s="3123">
        <v>0</v>
      </c>
      <c r="W83" s="3123" t="s">
        <v>3821</v>
      </c>
      <c r="X83" s="3124"/>
      <c r="Y83" s="3125"/>
      <c r="Z83" s="3126"/>
      <c r="AA83" s="3127">
        <v>2500</v>
      </c>
      <c r="AB83" s="3128"/>
      <c r="AC83" s="3129"/>
      <c r="AD83" s="3129"/>
      <c r="AE83" s="3129"/>
      <c r="AF83" s="2860" t="s">
        <v>4500</v>
      </c>
      <c r="AG83" s="3130" t="s">
        <v>3684</v>
      </c>
      <c r="AH83" s="3130" t="s">
        <v>4284</v>
      </c>
      <c r="AI83" s="3146" t="s">
        <v>3821</v>
      </c>
      <c r="AJ83" s="3146" t="s">
        <v>3821</v>
      </c>
      <c r="AK83" s="3146" t="s">
        <v>3805</v>
      </c>
      <c r="AL83" s="3087" t="s">
        <v>3805</v>
      </c>
      <c r="AM83" s="3087"/>
    </row>
    <row r="84" spans="1:39" s="3088" customFormat="1" ht="90" customHeight="1">
      <c r="A84" s="3131">
        <v>82</v>
      </c>
      <c r="B84" s="3132">
        <v>1812</v>
      </c>
      <c r="C84" s="3133" t="s">
        <v>68</v>
      </c>
      <c r="D84" s="3133" t="s">
        <v>68</v>
      </c>
      <c r="E84" s="3134" t="s">
        <v>952</v>
      </c>
      <c r="F84" s="3131" t="s">
        <v>1056</v>
      </c>
      <c r="G84" s="3115"/>
      <c r="H84" s="3135">
        <v>0.85</v>
      </c>
      <c r="I84" s="3035" t="s">
        <v>4380</v>
      </c>
      <c r="J84" s="2861"/>
      <c r="K84" s="3115"/>
      <c r="L84" s="3115"/>
      <c r="M84" s="3135">
        <v>0.3</v>
      </c>
      <c r="N84" s="3135">
        <v>0.3</v>
      </c>
      <c r="O84" s="3136">
        <v>0.05</v>
      </c>
      <c r="P84" s="3115"/>
      <c r="Q84" s="3137">
        <v>0</v>
      </c>
      <c r="R84" s="3137"/>
      <c r="S84" s="3137"/>
      <c r="T84" s="3137"/>
      <c r="U84" s="3115" t="s">
        <v>3821</v>
      </c>
      <c r="V84" s="3138">
        <v>0</v>
      </c>
      <c r="W84" s="3115" t="s">
        <v>3821</v>
      </c>
      <c r="X84" s="3138"/>
      <c r="Y84" s="3115" t="s">
        <v>1056</v>
      </c>
      <c r="Z84" s="3139" t="s">
        <v>223</v>
      </c>
      <c r="AA84" s="3127">
        <v>2500</v>
      </c>
      <c r="AB84" s="3140">
        <v>2000000</v>
      </c>
      <c r="AC84" s="2860" t="s">
        <v>4021</v>
      </c>
      <c r="AD84" s="2860" t="s">
        <v>3672</v>
      </c>
      <c r="AE84" s="2860"/>
      <c r="AF84" s="2860" t="s">
        <v>4500</v>
      </c>
      <c r="AG84" s="3130" t="s">
        <v>3684</v>
      </c>
      <c r="AH84" s="3130" t="s">
        <v>4284</v>
      </c>
      <c r="AI84" s="3146" t="s">
        <v>3821</v>
      </c>
      <c r="AJ84" s="3146" t="s">
        <v>3821</v>
      </c>
      <c r="AK84" s="3146" t="s">
        <v>3805</v>
      </c>
      <c r="AL84" s="3087" t="s">
        <v>3805</v>
      </c>
      <c r="AM84" s="3087"/>
    </row>
    <row r="85" spans="1:39" s="3088" customFormat="1" ht="90" customHeight="1">
      <c r="A85" s="3111">
        <v>83</v>
      </c>
      <c r="B85" s="3112">
        <v>1813</v>
      </c>
      <c r="C85" s="3113" t="s">
        <v>66</v>
      </c>
      <c r="D85" s="3113" t="s">
        <v>66</v>
      </c>
      <c r="E85" s="3114" t="s">
        <v>67</v>
      </c>
      <c r="F85" s="3112" t="s">
        <v>1056</v>
      </c>
      <c r="G85" s="3115"/>
      <c r="H85" s="3116">
        <v>0.35</v>
      </c>
      <c r="I85" s="3035" t="s">
        <v>4380</v>
      </c>
      <c r="J85" s="3118"/>
      <c r="K85" s="3124"/>
      <c r="L85" s="3142"/>
      <c r="M85" s="3143">
        <v>0</v>
      </c>
      <c r="N85" s="3143">
        <v>0</v>
      </c>
      <c r="O85" s="3124">
        <v>0</v>
      </c>
      <c r="P85" s="3116"/>
      <c r="Q85" s="3122">
        <v>0</v>
      </c>
      <c r="R85" s="3122"/>
      <c r="S85" s="3122"/>
      <c r="T85" s="3122"/>
      <c r="U85" s="3123" t="s">
        <v>3821</v>
      </c>
      <c r="V85" s="3123">
        <v>0</v>
      </c>
      <c r="W85" s="3123" t="s">
        <v>3821</v>
      </c>
      <c r="X85" s="3124"/>
      <c r="Y85" s="3125" t="s">
        <v>1056</v>
      </c>
      <c r="Z85" s="3126" t="s">
        <v>223</v>
      </c>
      <c r="AA85" s="3127">
        <v>2500</v>
      </c>
      <c r="AB85" s="3128">
        <v>2000000</v>
      </c>
      <c r="AC85" s="3129"/>
      <c r="AD85" s="3129"/>
      <c r="AE85" s="3129"/>
      <c r="AF85" s="2860" t="s">
        <v>4500</v>
      </c>
      <c r="AG85" s="3130" t="s">
        <v>3684</v>
      </c>
      <c r="AH85" s="3130" t="s">
        <v>4284</v>
      </c>
      <c r="AI85" s="3146" t="s">
        <v>3821</v>
      </c>
      <c r="AJ85" s="3146" t="s">
        <v>3821</v>
      </c>
      <c r="AK85" s="3146" t="s">
        <v>3805</v>
      </c>
      <c r="AL85" s="3087" t="s">
        <v>3805</v>
      </c>
      <c r="AM85" s="3087"/>
    </row>
    <row r="86" spans="1:39" s="3088" customFormat="1" ht="90" customHeight="1">
      <c r="A86" s="3131">
        <v>84</v>
      </c>
      <c r="B86" s="3112">
        <v>1814</v>
      </c>
      <c r="C86" s="3113" t="s">
        <v>64</v>
      </c>
      <c r="D86" s="3113" t="s">
        <v>64</v>
      </c>
      <c r="E86" s="3114" t="s">
        <v>65</v>
      </c>
      <c r="F86" s="3112" t="s">
        <v>1056</v>
      </c>
      <c r="G86" s="3115"/>
      <c r="H86" s="3116">
        <v>0.35</v>
      </c>
      <c r="I86" s="3035" t="s">
        <v>4380</v>
      </c>
      <c r="J86" s="3118"/>
      <c r="K86" s="3124"/>
      <c r="L86" s="3142"/>
      <c r="M86" s="3143">
        <v>0</v>
      </c>
      <c r="N86" s="3143">
        <v>0</v>
      </c>
      <c r="O86" s="3124">
        <v>0</v>
      </c>
      <c r="P86" s="3116"/>
      <c r="Q86" s="3122">
        <v>0</v>
      </c>
      <c r="R86" s="3122"/>
      <c r="S86" s="3122"/>
      <c r="T86" s="3122"/>
      <c r="U86" s="3123" t="s">
        <v>3821</v>
      </c>
      <c r="V86" s="3123">
        <v>0</v>
      </c>
      <c r="W86" s="3123" t="s">
        <v>3821</v>
      </c>
      <c r="X86" s="3124"/>
      <c r="Y86" s="3125" t="s">
        <v>1056</v>
      </c>
      <c r="Z86" s="3126" t="s">
        <v>223</v>
      </c>
      <c r="AA86" s="3127">
        <v>2500</v>
      </c>
      <c r="AB86" s="3128">
        <v>2000000</v>
      </c>
      <c r="AC86" s="3129"/>
      <c r="AD86" s="3129"/>
      <c r="AE86" s="3129"/>
      <c r="AF86" s="2860" t="s">
        <v>4500</v>
      </c>
      <c r="AG86" s="3130" t="s">
        <v>3684</v>
      </c>
      <c r="AH86" s="3130" t="s">
        <v>4284</v>
      </c>
      <c r="AI86" s="3146" t="s">
        <v>3821</v>
      </c>
      <c r="AJ86" s="3146" t="s">
        <v>3821</v>
      </c>
      <c r="AK86" s="3146" t="s">
        <v>3805</v>
      </c>
      <c r="AL86" s="3087" t="s">
        <v>3805</v>
      </c>
      <c r="AM86" s="3087"/>
    </row>
    <row r="87" spans="1:39" s="3088" customFormat="1" ht="90" customHeight="1">
      <c r="A87" s="3111">
        <v>85</v>
      </c>
      <c r="B87" s="3132">
        <v>1830</v>
      </c>
      <c r="C87" s="3133" t="s">
        <v>62</v>
      </c>
      <c r="D87" s="3133" t="s">
        <v>62</v>
      </c>
      <c r="E87" s="3134" t="s">
        <v>63</v>
      </c>
      <c r="F87" s="3131" t="s">
        <v>4252</v>
      </c>
      <c r="G87" s="3115"/>
      <c r="H87" s="3135"/>
      <c r="I87" s="2861" t="s">
        <v>4387</v>
      </c>
      <c r="J87" s="2861"/>
      <c r="K87" s="3115"/>
      <c r="L87" s="3115"/>
      <c r="M87" s="3135">
        <v>0.3</v>
      </c>
      <c r="N87" s="3135">
        <v>0.3</v>
      </c>
      <c r="O87" s="3136">
        <v>0.05</v>
      </c>
      <c r="P87" s="3115"/>
      <c r="Q87" s="3137">
        <v>0</v>
      </c>
      <c r="R87" s="3137"/>
      <c r="S87" s="3137"/>
      <c r="T87" s="3137"/>
      <c r="U87" s="3115" t="s">
        <v>3821</v>
      </c>
      <c r="V87" s="3138">
        <v>0</v>
      </c>
      <c r="W87" s="3115" t="s">
        <v>3821</v>
      </c>
      <c r="X87" s="3138"/>
      <c r="Y87" s="3115"/>
      <c r="Z87" s="3139"/>
      <c r="AA87" s="3127">
        <v>2500</v>
      </c>
      <c r="AB87" s="3140"/>
      <c r="AC87" s="2860"/>
      <c r="AD87" s="2860"/>
      <c r="AE87" s="2860"/>
      <c r="AF87" s="2860" t="s">
        <v>4500</v>
      </c>
      <c r="AG87" s="3130" t="s">
        <v>3684</v>
      </c>
      <c r="AH87" s="3130" t="s">
        <v>4284</v>
      </c>
      <c r="AI87" s="3146" t="s">
        <v>3821</v>
      </c>
      <c r="AJ87" s="3146" t="s">
        <v>3821</v>
      </c>
      <c r="AK87" s="3146" t="s">
        <v>3805</v>
      </c>
      <c r="AL87" s="3087" t="s">
        <v>3805</v>
      </c>
      <c r="AM87" s="3087"/>
    </row>
    <row r="88" spans="1:39" s="3088" customFormat="1" ht="90" customHeight="1">
      <c r="A88" s="3131">
        <v>86</v>
      </c>
      <c r="B88" s="3112">
        <v>1831</v>
      </c>
      <c r="C88" s="3113" t="s">
        <v>60</v>
      </c>
      <c r="D88" s="3113" t="s">
        <v>60</v>
      </c>
      <c r="E88" s="3114" t="s">
        <v>61</v>
      </c>
      <c r="F88" s="3112" t="s">
        <v>1056</v>
      </c>
      <c r="G88" s="3115"/>
      <c r="H88" s="3116">
        <v>0.35</v>
      </c>
      <c r="I88" s="3117" t="s">
        <v>4330</v>
      </c>
      <c r="J88" s="3118"/>
      <c r="K88" s="3124"/>
      <c r="L88" s="3142"/>
      <c r="M88" s="3143">
        <v>0</v>
      </c>
      <c r="N88" s="3143">
        <v>0</v>
      </c>
      <c r="O88" s="3124">
        <v>0</v>
      </c>
      <c r="P88" s="3116"/>
      <c r="Q88" s="3137">
        <v>0.25</v>
      </c>
      <c r="R88" s="3122"/>
      <c r="S88" s="3122"/>
      <c r="T88" s="3122"/>
      <c r="U88" s="3123" t="s">
        <v>3821</v>
      </c>
      <c r="V88" s="3123">
        <v>0</v>
      </c>
      <c r="W88" s="3123" t="s">
        <v>3821</v>
      </c>
      <c r="X88" s="3124"/>
      <c r="Y88" s="3125" t="s">
        <v>1056</v>
      </c>
      <c r="Z88" s="3126" t="s">
        <v>223</v>
      </c>
      <c r="AA88" s="3127">
        <v>2500</v>
      </c>
      <c r="AB88" s="3128">
        <v>2000000</v>
      </c>
      <c r="AC88" s="2860" t="s">
        <v>3672</v>
      </c>
      <c r="AD88" s="3129" t="s">
        <v>4235</v>
      </c>
      <c r="AE88" s="3129"/>
      <c r="AF88" s="2860" t="s">
        <v>4500</v>
      </c>
      <c r="AG88" s="3130" t="s">
        <v>3684</v>
      </c>
      <c r="AH88" s="3130" t="s">
        <v>4284</v>
      </c>
      <c r="AI88" s="3146" t="s">
        <v>3821</v>
      </c>
      <c r="AJ88" s="3146" t="s">
        <v>3821</v>
      </c>
      <c r="AK88" s="3146" t="s">
        <v>3805</v>
      </c>
      <c r="AL88" s="3087" t="s">
        <v>3821</v>
      </c>
      <c r="AM88" s="3087"/>
    </row>
    <row r="89" spans="1:39" s="3088" customFormat="1" ht="90" customHeight="1">
      <c r="A89" s="3111">
        <v>87</v>
      </c>
      <c r="B89" s="3132">
        <v>2353</v>
      </c>
      <c r="C89" s="3133" t="s">
        <v>58</v>
      </c>
      <c r="D89" s="3133" t="s">
        <v>58</v>
      </c>
      <c r="E89" s="3134" t="s">
        <v>59</v>
      </c>
      <c r="F89" s="3131" t="s">
        <v>1056</v>
      </c>
      <c r="G89" s="3115"/>
      <c r="H89" s="3116">
        <v>0.35</v>
      </c>
      <c r="I89" s="3117" t="s">
        <v>4330</v>
      </c>
      <c r="J89" s="2861"/>
      <c r="K89" s="3115"/>
      <c r="L89" s="3115"/>
      <c r="M89" s="3135">
        <v>0.3</v>
      </c>
      <c r="N89" s="3135">
        <v>0.3</v>
      </c>
      <c r="O89" s="3136">
        <v>0</v>
      </c>
      <c r="P89" s="3115"/>
      <c r="Q89" s="3137">
        <v>0</v>
      </c>
      <c r="R89" s="3137"/>
      <c r="S89" s="3137"/>
      <c r="T89" s="3137"/>
      <c r="U89" s="3115" t="s">
        <v>3821</v>
      </c>
      <c r="V89" s="3138">
        <v>0</v>
      </c>
      <c r="W89" s="3115" t="s">
        <v>3821</v>
      </c>
      <c r="X89" s="3138"/>
      <c r="Y89" s="3115" t="s">
        <v>1056</v>
      </c>
      <c r="Z89" s="3139" t="s">
        <v>223</v>
      </c>
      <c r="AA89" s="3127">
        <v>2500</v>
      </c>
      <c r="AB89" s="3140">
        <v>2000000</v>
      </c>
      <c r="AC89" s="2860"/>
      <c r="AD89" s="2860"/>
      <c r="AE89" s="2860"/>
      <c r="AF89" s="2860" t="s">
        <v>4500</v>
      </c>
      <c r="AG89" s="3130" t="s">
        <v>3684</v>
      </c>
      <c r="AH89" s="3130" t="s">
        <v>4284</v>
      </c>
      <c r="AI89" s="3146" t="s">
        <v>3805</v>
      </c>
      <c r="AJ89" s="3146" t="s">
        <v>3805</v>
      </c>
      <c r="AK89" s="3146" t="s">
        <v>3805</v>
      </c>
      <c r="AL89" s="3087" t="s">
        <v>3821</v>
      </c>
      <c r="AM89" s="3087"/>
    </row>
    <row r="90" spans="1:39" s="3088" customFormat="1" ht="90" customHeight="1">
      <c r="A90" s="3131">
        <v>88</v>
      </c>
      <c r="B90" s="3112">
        <v>7301</v>
      </c>
      <c r="C90" s="3113" t="s">
        <v>784</v>
      </c>
      <c r="D90" s="3113" t="s">
        <v>784</v>
      </c>
      <c r="E90" s="3114" t="s">
        <v>3380</v>
      </c>
      <c r="F90" s="3141" t="s">
        <v>258</v>
      </c>
      <c r="G90" s="3115"/>
      <c r="H90" s="3116"/>
      <c r="I90" s="3124"/>
      <c r="J90" s="3118"/>
      <c r="K90" s="3124"/>
      <c r="L90" s="3142"/>
      <c r="M90" s="3143"/>
      <c r="N90" s="3143"/>
      <c r="O90" s="3124"/>
      <c r="P90" s="3116"/>
      <c r="Q90" s="3122"/>
      <c r="R90" s="3122"/>
      <c r="S90" s="3122"/>
      <c r="T90" s="3122"/>
      <c r="U90" s="3123"/>
      <c r="V90" s="3123"/>
      <c r="W90" s="3123"/>
      <c r="X90" s="3124"/>
      <c r="Y90" s="3125"/>
      <c r="Z90" s="3126"/>
      <c r="AA90" s="3127"/>
      <c r="AB90" s="3128"/>
      <c r="AC90" s="3129"/>
      <c r="AD90" s="3129"/>
      <c r="AE90" s="3129"/>
      <c r="AF90" s="2860" t="s">
        <v>4500</v>
      </c>
      <c r="AG90" s="3130"/>
      <c r="AH90" s="3130" t="s">
        <v>4284</v>
      </c>
      <c r="AI90" s="3111"/>
      <c r="AJ90" s="3111"/>
      <c r="AK90" s="3111"/>
      <c r="AL90" s="3087">
        <v>0</v>
      </c>
      <c r="AM90" s="3087"/>
    </row>
    <row r="91" spans="1:39" s="3088" customFormat="1" ht="90" customHeight="1">
      <c r="A91" s="3111">
        <v>89</v>
      </c>
      <c r="B91" s="3132">
        <v>7321</v>
      </c>
      <c r="C91" s="3133" t="s">
        <v>789</v>
      </c>
      <c r="D91" s="3133" t="s">
        <v>789</v>
      </c>
      <c r="E91" s="3134" t="s">
        <v>3381</v>
      </c>
      <c r="F91" s="3141" t="s">
        <v>258</v>
      </c>
      <c r="G91" s="3115"/>
      <c r="H91" s="3135"/>
      <c r="I91" s="3115"/>
      <c r="J91" s="2861"/>
      <c r="K91" s="3115"/>
      <c r="L91" s="3115"/>
      <c r="M91" s="3135"/>
      <c r="N91" s="3135"/>
      <c r="O91" s="3136"/>
      <c r="P91" s="3115"/>
      <c r="Q91" s="3137"/>
      <c r="R91" s="3137"/>
      <c r="S91" s="3137"/>
      <c r="T91" s="3137"/>
      <c r="U91" s="3115"/>
      <c r="V91" s="3138"/>
      <c r="W91" s="3115"/>
      <c r="X91" s="3138"/>
      <c r="Y91" s="3115"/>
      <c r="Z91" s="3139"/>
      <c r="AA91" s="3148"/>
      <c r="AB91" s="3140"/>
      <c r="AC91" s="2860"/>
      <c r="AD91" s="2860"/>
      <c r="AE91" s="2860"/>
      <c r="AF91" s="2860" t="s">
        <v>4500</v>
      </c>
      <c r="AG91" s="3130"/>
      <c r="AH91" s="3130" t="s">
        <v>4284</v>
      </c>
      <c r="AI91" s="3146"/>
      <c r="AJ91" s="3146"/>
      <c r="AK91" s="3146"/>
      <c r="AL91" s="3087">
        <v>0</v>
      </c>
      <c r="AM91" s="3087"/>
    </row>
    <row r="92" spans="1:39" s="3088" customFormat="1" ht="90" customHeight="1">
      <c r="A92" s="3131">
        <v>90</v>
      </c>
      <c r="B92" s="3112">
        <v>7391</v>
      </c>
      <c r="C92" s="3113" t="s">
        <v>790</v>
      </c>
      <c r="D92" s="3113" t="s">
        <v>790</v>
      </c>
      <c r="E92" s="3114" t="s">
        <v>3382</v>
      </c>
      <c r="F92" s="3112" t="s">
        <v>1056</v>
      </c>
      <c r="G92" s="3115"/>
      <c r="H92" s="3116">
        <v>0.35</v>
      </c>
      <c r="I92" s="3117" t="s">
        <v>4330</v>
      </c>
      <c r="J92" s="3118"/>
      <c r="K92" s="3124"/>
      <c r="L92" s="3142"/>
      <c r="M92" s="3143">
        <v>0.3</v>
      </c>
      <c r="N92" s="3143">
        <v>0.3</v>
      </c>
      <c r="O92" s="3124">
        <v>0</v>
      </c>
      <c r="P92" s="3116"/>
      <c r="Q92" s="3122">
        <v>0.35</v>
      </c>
      <c r="R92" s="3122"/>
      <c r="S92" s="3122"/>
      <c r="T92" s="3122"/>
      <c r="U92" s="3123" t="s">
        <v>3821</v>
      </c>
      <c r="V92" s="3123">
        <v>0</v>
      </c>
      <c r="W92" s="3123" t="s">
        <v>3821</v>
      </c>
      <c r="X92" s="3124"/>
      <c r="Y92" s="3125" t="s">
        <v>1056</v>
      </c>
      <c r="Z92" s="3126" t="s">
        <v>223</v>
      </c>
      <c r="AA92" s="3127">
        <v>2500</v>
      </c>
      <c r="AB92" s="3128">
        <v>2000000</v>
      </c>
      <c r="AC92" s="3129" t="s">
        <v>4042</v>
      </c>
      <c r="AD92" s="3129"/>
      <c r="AE92" s="3129"/>
      <c r="AF92" s="2860" t="s">
        <v>4500</v>
      </c>
      <c r="AG92" s="3130" t="s">
        <v>3684</v>
      </c>
      <c r="AH92" s="3130" t="s">
        <v>4284</v>
      </c>
      <c r="AI92" s="3111" t="s">
        <v>3805</v>
      </c>
      <c r="AJ92" s="3111" t="s">
        <v>3805</v>
      </c>
      <c r="AK92" s="3111" t="s">
        <v>3805</v>
      </c>
      <c r="AL92" s="3087" t="s">
        <v>3805</v>
      </c>
      <c r="AM92" s="3087"/>
    </row>
    <row r="93" spans="1:39" s="3088" customFormat="1" ht="90" customHeight="1">
      <c r="A93" s="3111">
        <v>91</v>
      </c>
      <c r="B93" s="3132">
        <v>7392</v>
      </c>
      <c r="C93" s="3133" t="s">
        <v>3962</v>
      </c>
      <c r="D93" s="3133" t="s">
        <v>3962</v>
      </c>
      <c r="E93" s="3134" t="s">
        <v>3963</v>
      </c>
      <c r="F93" s="3131" t="s">
        <v>1056</v>
      </c>
      <c r="G93" s="3115"/>
      <c r="H93" s="3116">
        <v>0.35</v>
      </c>
      <c r="I93" s="2861" t="s">
        <v>4387</v>
      </c>
      <c r="J93" s="2861"/>
      <c r="K93" s="3115"/>
      <c r="L93" s="3115"/>
      <c r="M93" s="3135">
        <v>0.3</v>
      </c>
      <c r="N93" s="3135">
        <v>0.3</v>
      </c>
      <c r="O93" s="3136">
        <v>0</v>
      </c>
      <c r="P93" s="3115"/>
      <c r="Q93" s="3137">
        <v>0</v>
      </c>
      <c r="R93" s="3137"/>
      <c r="S93" s="3137"/>
      <c r="T93" s="3137"/>
      <c r="U93" s="3115" t="s">
        <v>3821</v>
      </c>
      <c r="V93" s="3138">
        <v>0</v>
      </c>
      <c r="W93" s="3115" t="s">
        <v>3821</v>
      </c>
      <c r="X93" s="3138"/>
      <c r="Y93" s="3115" t="s">
        <v>1056</v>
      </c>
      <c r="Z93" s="3139" t="s">
        <v>223</v>
      </c>
      <c r="AA93" s="3127">
        <v>2500</v>
      </c>
      <c r="AB93" s="3140">
        <v>2000000</v>
      </c>
      <c r="AC93" s="2860" t="s">
        <v>4230</v>
      </c>
      <c r="AD93" s="2860"/>
      <c r="AE93" s="2860"/>
      <c r="AF93" s="2860" t="s">
        <v>4500</v>
      </c>
      <c r="AG93" s="3130" t="s">
        <v>3684</v>
      </c>
      <c r="AH93" s="3130" t="s">
        <v>4284</v>
      </c>
      <c r="AI93" s="3111" t="s">
        <v>3805</v>
      </c>
      <c r="AJ93" s="3111" t="s">
        <v>3805</v>
      </c>
      <c r="AK93" s="3111" t="s">
        <v>3805</v>
      </c>
      <c r="AL93" s="3087" t="s">
        <v>3805</v>
      </c>
      <c r="AM93" s="3087"/>
    </row>
    <row r="94" spans="1:39" s="3088" customFormat="1" ht="90" customHeight="1">
      <c r="A94" s="3131">
        <v>92</v>
      </c>
      <c r="B94" s="3112">
        <v>7394</v>
      </c>
      <c r="C94" s="3113" t="s">
        <v>793</v>
      </c>
      <c r="D94" s="3113" t="s">
        <v>793</v>
      </c>
      <c r="E94" s="3114" t="s">
        <v>3383</v>
      </c>
      <c r="F94" s="3112" t="s">
        <v>1056</v>
      </c>
      <c r="G94" s="3115"/>
      <c r="H94" s="3116">
        <v>0.35</v>
      </c>
      <c r="I94" s="3117" t="s">
        <v>4330</v>
      </c>
      <c r="J94" s="3118"/>
      <c r="K94" s="3124"/>
      <c r="L94" s="3142"/>
      <c r="M94" s="3143">
        <v>0.3</v>
      </c>
      <c r="N94" s="3143">
        <v>0.3</v>
      </c>
      <c r="O94" s="3124">
        <v>0</v>
      </c>
      <c r="P94" s="3116"/>
      <c r="Q94" s="3122">
        <v>0</v>
      </c>
      <c r="R94" s="3122"/>
      <c r="S94" s="3122"/>
      <c r="T94" s="3122"/>
      <c r="U94" s="3123" t="s">
        <v>3821</v>
      </c>
      <c r="V94" s="3123">
        <v>0</v>
      </c>
      <c r="W94" s="3123" t="s">
        <v>3821</v>
      </c>
      <c r="X94" s="3124"/>
      <c r="Y94" s="3125" t="s">
        <v>1056</v>
      </c>
      <c r="Z94" s="3126" t="s">
        <v>223</v>
      </c>
      <c r="AA94" s="3127">
        <v>2500</v>
      </c>
      <c r="AB94" s="3128">
        <v>2000000</v>
      </c>
      <c r="AC94" s="3129"/>
      <c r="AD94" s="3129"/>
      <c r="AE94" s="3129"/>
      <c r="AF94" s="2860" t="s">
        <v>4500</v>
      </c>
      <c r="AG94" s="3130" t="s">
        <v>3684</v>
      </c>
      <c r="AH94" s="3130" t="s">
        <v>4284</v>
      </c>
      <c r="AI94" s="3111" t="s">
        <v>3821</v>
      </c>
      <c r="AJ94" s="3111" t="s">
        <v>3821</v>
      </c>
      <c r="AK94" s="3111" t="s">
        <v>3805</v>
      </c>
      <c r="AL94" s="3087" t="s">
        <v>3805</v>
      </c>
      <c r="AM94" s="3087"/>
    </row>
    <row r="95" spans="1:39" s="3088" customFormat="1" ht="90" customHeight="1">
      <c r="A95" s="3111">
        <v>93</v>
      </c>
      <c r="B95" s="3132">
        <v>7395</v>
      </c>
      <c r="C95" s="3133" t="s">
        <v>794</v>
      </c>
      <c r="D95" s="3133" t="s">
        <v>794</v>
      </c>
      <c r="E95" s="3134" t="s">
        <v>3384</v>
      </c>
      <c r="F95" s="3131" t="s">
        <v>1056</v>
      </c>
      <c r="G95" s="3115"/>
      <c r="H95" s="3116">
        <v>0.35</v>
      </c>
      <c r="I95" s="3117" t="s">
        <v>4330</v>
      </c>
      <c r="J95" s="2861"/>
      <c r="K95" s="3115"/>
      <c r="L95" s="3115"/>
      <c r="M95" s="3135">
        <v>0.3</v>
      </c>
      <c r="N95" s="3135">
        <v>0.3</v>
      </c>
      <c r="O95" s="3136">
        <v>0</v>
      </c>
      <c r="P95" s="3115"/>
      <c r="Q95" s="3137">
        <v>0</v>
      </c>
      <c r="R95" s="3137"/>
      <c r="S95" s="3137"/>
      <c r="T95" s="3137"/>
      <c r="U95" s="3115" t="s">
        <v>3821</v>
      </c>
      <c r="V95" s="3138">
        <v>0</v>
      </c>
      <c r="W95" s="3115" t="s">
        <v>3821</v>
      </c>
      <c r="X95" s="3138"/>
      <c r="Y95" s="3115" t="s">
        <v>1056</v>
      </c>
      <c r="Z95" s="3139" t="s">
        <v>223</v>
      </c>
      <c r="AA95" s="3127">
        <v>2500</v>
      </c>
      <c r="AB95" s="3140">
        <v>2000000</v>
      </c>
      <c r="AC95" s="2860"/>
      <c r="AD95" s="2860"/>
      <c r="AE95" s="2860"/>
      <c r="AF95" s="2860" t="s">
        <v>4500</v>
      </c>
      <c r="AG95" s="3130" t="s">
        <v>3684</v>
      </c>
      <c r="AH95" s="3130" t="s">
        <v>4284</v>
      </c>
      <c r="AI95" s="3146" t="s">
        <v>3805</v>
      </c>
      <c r="AJ95" s="3146" t="s">
        <v>3805</v>
      </c>
      <c r="AK95" s="3146" t="s">
        <v>3821</v>
      </c>
      <c r="AL95" s="3087" t="s">
        <v>3821</v>
      </c>
      <c r="AM95" s="3087"/>
    </row>
    <row r="96" spans="1:39" s="3088" customFormat="1" ht="90" customHeight="1">
      <c r="A96" s="3131">
        <v>94</v>
      </c>
      <c r="B96" s="3112">
        <v>7396</v>
      </c>
      <c r="C96" s="3113" t="s">
        <v>55</v>
      </c>
      <c r="D96" s="3113" t="s">
        <v>55</v>
      </c>
      <c r="E96" s="3114" t="s">
        <v>56</v>
      </c>
      <c r="F96" s="3131" t="s">
        <v>3823</v>
      </c>
      <c r="G96" s="3115"/>
      <c r="H96" s="3116">
        <v>0.35</v>
      </c>
      <c r="I96" s="3117" t="s">
        <v>4330</v>
      </c>
      <c r="J96" s="3118"/>
      <c r="K96" s="3124"/>
      <c r="L96" s="3142"/>
      <c r="M96" s="3143"/>
      <c r="N96" s="3143"/>
      <c r="O96" s="3124"/>
      <c r="P96" s="3116"/>
      <c r="Q96" s="3122">
        <v>0.35</v>
      </c>
      <c r="R96" s="3122"/>
      <c r="S96" s="3122"/>
      <c r="T96" s="3122"/>
      <c r="U96" s="3123" t="s">
        <v>3821</v>
      </c>
      <c r="V96" s="3123">
        <v>0</v>
      </c>
      <c r="W96" s="3123" t="s">
        <v>3821</v>
      </c>
      <c r="X96" s="3124"/>
      <c r="Y96" s="3125"/>
      <c r="Z96" s="3126"/>
      <c r="AA96" s="3127">
        <v>2500</v>
      </c>
      <c r="AB96" s="3128"/>
      <c r="AC96" s="3129"/>
      <c r="AD96" s="3129"/>
      <c r="AE96" s="3129"/>
      <c r="AF96" s="2860" t="s">
        <v>4500</v>
      </c>
      <c r="AG96" s="3130" t="s">
        <v>3684</v>
      </c>
      <c r="AH96" s="3130" t="s">
        <v>4284</v>
      </c>
      <c r="AI96" s="3111" t="s">
        <v>3821</v>
      </c>
      <c r="AJ96" s="3111" t="s">
        <v>3821</v>
      </c>
      <c r="AK96" s="3111" t="s">
        <v>3805</v>
      </c>
      <c r="AL96" s="3087" t="s">
        <v>3805</v>
      </c>
      <c r="AM96" s="3087"/>
    </row>
    <row r="97" spans="1:39" s="3088" customFormat="1" ht="90" customHeight="1">
      <c r="A97" s="3111">
        <v>95</v>
      </c>
      <c r="B97" s="3132">
        <v>7411</v>
      </c>
      <c r="C97" s="3133" t="s">
        <v>53</v>
      </c>
      <c r="D97" s="3133" t="s">
        <v>53</v>
      </c>
      <c r="E97" s="3134" t="s">
        <v>54</v>
      </c>
      <c r="F97" s="3131" t="s">
        <v>1055</v>
      </c>
      <c r="G97" s="3115"/>
      <c r="H97" s="3135"/>
      <c r="I97" s="2861" t="s">
        <v>4387</v>
      </c>
      <c r="J97" s="2861"/>
      <c r="K97" s="3115"/>
      <c r="L97" s="3115"/>
      <c r="M97" s="3135"/>
      <c r="N97" s="3135"/>
      <c r="O97" s="3136"/>
      <c r="P97" s="3115"/>
      <c r="Q97" s="3137">
        <v>0</v>
      </c>
      <c r="R97" s="3137"/>
      <c r="S97" s="3137"/>
      <c r="T97" s="3137"/>
      <c r="U97" s="3115" t="s">
        <v>3821</v>
      </c>
      <c r="V97" s="3138">
        <v>0</v>
      </c>
      <c r="W97" s="3115" t="s">
        <v>3821</v>
      </c>
      <c r="X97" s="3138"/>
      <c r="Y97" s="3115"/>
      <c r="Z97" s="3139"/>
      <c r="AA97" s="3127">
        <v>2500</v>
      </c>
      <c r="AB97" s="3140"/>
      <c r="AC97" s="2860"/>
      <c r="AD97" s="2860"/>
      <c r="AE97" s="2860"/>
      <c r="AF97" s="2860" t="s">
        <v>4500</v>
      </c>
      <c r="AG97" s="3130" t="s">
        <v>3684</v>
      </c>
      <c r="AH97" s="3130" t="s">
        <v>4284</v>
      </c>
      <c r="AI97" s="3146" t="s">
        <v>3805</v>
      </c>
      <c r="AJ97" s="3146" t="s">
        <v>3805</v>
      </c>
      <c r="AK97" s="3146" t="s">
        <v>3821</v>
      </c>
      <c r="AL97" s="3087">
        <v>0</v>
      </c>
      <c r="AM97" s="3087"/>
    </row>
    <row r="98" spans="1:39" s="3088" customFormat="1" ht="90" customHeight="1">
      <c r="A98" s="3131">
        <v>96</v>
      </c>
      <c r="B98" s="3112">
        <v>7412</v>
      </c>
      <c r="C98" s="3113" t="s">
        <v>51</v>
      </c>
      <c r="D98" s="3113" t="s">
        <v>51</v>
      </c>
      <c r="E98" s="3114" t="s">
        <v>52</v>
      </c>
      <c r="F98" s="3112" t="s">
        <v>3823</v>
      </c>
      <c r="G98" s="3115"/>
      <c r="H98" s="3116">
        <v>0.35</v>
      </c>
      <c r="I98" s="2861" t="s">
        <v>4387</v>
      </c>
      <c r="J98" s="3118"/>
      <c r="K98" s="3124"/>
      <c r="L98" s="3142"/>
      <c r="M98" s="3143"/>
      <c r="N98" s="3143"/>
      <c r="O98" s="3124"/>
      <c r="P98" s="3116"/>
      <c r="Q98" s="3122">
        <v>0</v>
      </c>
      <c r="R98" s="3122"/>
      <c r="S98" s="3122"/>
      <c r="T98" s="3122"/>
      <c r="U98" s="3123" t="s">
        <v>3821</v>
      </c>
      <c r="V98" s="3123">
        <v>0</v>
      </c>
      <c r="W98" s="3123" t="s">
        <v>3821</v>
      </c>
      <c r="X98" s="3124"/>
      <c r="Y98" s="3125"/>
      <c r="Z98" s="3126"/>
      <c r="AA98" s="3127">
        <v>2500</v>
      </c>
      <c r="AB98" s="3128"/>
      <c r="AC98" s="3129"/>
      <c r="AD98" s="3129"/>
      <c r="AE98" s="3129"/>
      <c r="AF98" s="2860" t="s">
        <v>4500</v>
      </c>
      <c r="AG98" s="3130" t="s">
        <v>3684</v>
      </c>
      <c r="AH98" s="3130" t="s">
        <v>4284</v>
      </c>
      <c r="AI98" s="3146" t="s">
        <v>3805</v>
      </c>
      <c r="AJ98" s="3146" t="s">
        <v>3805</v>
      </c>
      <c r="AK98" s="3146" t="s">
        <v>3821</v>
      </c>
      <c r="AL98" s="3087" t="s">
        <v>3805</v>
      </c>
      <c r="AM98" s="3087"/>
    </row>
    <row r="99" spans="1:39" s="3088" customFormat="1" ht="90" customHeight="1">
      <c r="A99" s="3111">
        <v>97</v>
      </c>
      <c r="B99" s="3132">
        <v>7413</v>
      </c>
      <c r="C99" s="3133" t="s">
        <v>49</v>
      </c>
      <c r="D99" s="3133" t="s">
        <v>49</v>
      </c>
      <c r="E99" s="3134" t="s">
        <v>50</v>
      </c>
      <c r="F99" s="3131" t="s">
        <v>1055</v>
      </c>
      <c r="G99" s="3115"/>
      <c r="H99" s="3135"/>
      <c r="I99" s="2861" t="s">
        <v>4387</v>
      </c>
      <c r="J99" s="2861"/>
      <c r="K99" s="3115"/>
      <c r="L99" s="3115"/>
      <c r="M99" s="3135"/>
      <c r="N99" s="3135"/>
      <c r="O99" s="3136"/>
      <c r="P99" s="3115"/>
      <c r="Q99" s="3137">
        <v>0</v>
      </c>
      <c r="R99" s="3137"/>
      <c r="S99" s="3137"/>
      <c r="T99" s="3137"/>
      <c r="U99" s="3115" t="s">
        <v>3821</v>
      </c>
      <c r="V99" s="3138">
        <v>0</v>
      </c>
      <c r="W99" s="3115" t="s">
        <v>3821</v>
      </c>
      <c r="X99" s="3138"/>
      <c r="Y99" s="3115"/>
      <c r="Z99" s="3139"/>
      <c r="AA99" s="3127">
        <v>2500</v>
      </c>
      <c r="AB99" s="3140"/>
      <c r="AC99" s="2860"/>
      <c r="AD99" s="2860"/>
      <c r="AE99" s="2860"/>
      <c r="AF99" s="2860" t="s">
        <v>4500</v>
      </c>
      <c r="AG99" s="3130" t="s">
        <v>3684</v>
      </c>
      <c r="AH99" s="3130" t="s">
        <v>4284</v>
      </c>
      <c r="AI99" s="3146" t="s">
        <v>3805</v>
      </c>
      <c r="AJ99" s="3146" t="s">
        <v>3805</v>
      </c>
      <c r="AK99" s="3146" t="s">
        <v>3821</v>
      </c>
      <c r="AL99" s="3087">
        <v>0</v>
      </c>
      <c r="AM99" s="3087"/>
    </row>
    <row r="100" spans="1:39" s="3088" customFormat="1" ht="90" customHeight="1">
      <c r="A100" s="3131">
        <v>98</v>
      </c>
      <c r="B100" s="3112">
        <v>7414</v>
      </c>
      <c r="C100" s="3113" t="s">
        <v>47</v>
      </c>
      <c r="D100" s="3113" t="s">
        <v>47</v>
      </c>
      <c r="E100" s="3114" t="s">
        <v>48</v>
      </c>
      <c r="F100" s="3112" t="s">
        <v>3823</v>
      </c>
      <c r="G100" s="3115"/>
      <c r="H100" s="3116">
        <v>0.35</v>
      </c>
      <c r="I100" s="2861" t="s">
        <v>4387</v>
      </c>
      <c r="J100" s="3118"/>
      <c r="K100" s="3124"/>
      <c r="L100" s="3142"/>
      <c r="M100" s="3143"/>
      <c r="N100" s="3143"/>
      <c r="O100" s="3124"/>
      <c r="P100" s="3116"/>
      <c r="Q100" s="3122">
        <v>0</v>
      </c>
      <c r="R100" s="3122"/>
      <c r="S100" s="3122"/>
      <c r="T100" s="3122"/>
      <c r="U100" s="3123" t="s">
        <v>3821</v>
      </c>
      <c r="V100" s="3123">
        <v>0</v>
      </c>
      <c r="W100" s="3123" t="s">
        <v>3821</v>
      </c>
      <c r="X100" s="3124"/>
      <c r="Y100" s="3125"/>
      <c r="Z100" s="3126"/>
      <c r="AA100" s="3127">
        <v>2500</v>
      </c>
      <c r="AB100" s="3128"/>
      <c r="AC100" s="3129"/>
      <c r="AD100" s="3129"/>
      <c r="AE100" s="3129"/>
      <c r="AF100" s="2860" t="s">
        <v>4500</v>
      </c>
      <c r="AG100" s="3130" t="s">
        <v>3684</v>
      </c>
      <c r="AH100" s="3130" t="s">
        <v>4284</v>
      </c>
      <c r="AI100" s="3146" t="s">
        <v>3805</v>
      </c>
      <c r="AJ100" s="3146" t="s">
        <v>3805</v>
      </c>
      <c r="AK100" s="3146" t="s">
        <v>3821</v>
      </c>
      <c r="AL100" s="3087" t="s">
        <v>3805</v>
      </c>
      <c r="AM100" s="3087"/>
    </row>
    <row r="101" spans="1:39" s="3088" customFormat="1" ht="90" customHeight="1">
      <c r="A101" s="3111">
        <v>99</v>
      </c>
      <c r="B101" s="3132">
        <v>7415</v>
      </c>
      <c r="C101" s="3133" t="s">
        <v>44</v>
      </c>
      <c r="D101" s="3133" t="s">
        <v>44</v>
      </c>
      <c r="E101" s="3134" t="s">
        <v>45</v>
      </c>
      <c r="F101" s="3131" t="s">
        <v>3823</v>
      </c>
      <c r="G101" s="3115"/>
      <c r="H101" s="3116">
        <v>0.35</v>
      </c>
      <c r="I101" s="2861" t="s">
        <v>4387</v>
      </c>
      <c r="J101" s="2861"/>
      <c r="K101" s="3115"/>
      <c r="L101" s="3115"/>
      <c r="M101" s="3135"/>
      <c r="N101" s="3135"/>
      <c r="O101" s="3136"/>
      <c r="P101" s="3115"/>
      <c r="Q101" s="3137">
        <v>0</v>
      </c>
      <c r="R101" s="3137"/>
      <c r="S101" s="3137"/>
      <c r="T101" s="3137"/>
      <c r="U101" s="3115" t="s">
        <v>3821</v>
      </c>
      <c r="V101" s="3138">
        <v>0</v>
      </c>
      <c r="W101" s="3115" t="s">
        <v>3821</v>
      </c>
      <c r="X101" s="3138"/>
      <c r="Y101" s="3115"/>
      <c r="Z101" s="3139"/>
      <c r="AA101" s="3127">
        <v>2500</v>
      </c>
      <c r="AB101" s="3140"/>
      <c r="AC101" s="2860"/>
      <c r="AD101" s="2860"/>
      <c r="AE101" s="2860"/>
      <c r="AF101" s="2860" t="s">
        <v>4500</v>
      </c>
      <c r="AG101" s="3130" t="s">
        <v>3684</v>
      </c>
      <c r="AH101" s="3130" t="s">
        <v>4284</v>
      </c>
      <c r="AI101" s="3146" t="s">
        <v>3805</v>
      </c>
      <c r="AJ101" s="3146" t="s">
        <v>3805</v>
      </c>
      <c r="AK101" s="3146" t="s">
        <v>3821</v>
      </c>
      <c r="AL101" s="3087" t="s">
        <v>3805</v>
      </c>
      <c r="AM101" s="3087"/>
    </row>
    <row r="102" spans="1:39" s="3088" customFormat="1" ht="90" customHeight="1">
      <c r="A102" s="3131">
        <v>100</v>
      </c>
      <c r="B102" s="3112">
        <v>7693</v>
      </c>
      <c r="C102" s="3113" t="s">
        <v>816</v>
      </c>
      <c r="D102" s="3113" t="s">
        <v>816</v>
      </c>
      <c r="E102" s="3114" t="s">
        <v>3385</v>
      </c>
      <c r="F102" s="3112" t="s">
        <v>1056</v>
      </c>
      <c r="G102" s="3115"/>
      <c r="H102" s="3116">
        <v>0.35</v>
      </c>
      <c r="I102" s="3117" t="s">
        <v>4330</v>
      </c>
      <c r="J102" s="3118"/>
      <c r="K102" s="3124"/>
      <c r="L102" s="3142"/>
      <c r="M102" s="3143">
        <v>0.3</v>
      </c>
      <c r="N102" s="3143">
        <v>0.3</v>
      </c>
      <c r="O102" s="3124">
        <v>0</v>
      </c>
      <c r="P102" s="3116"/>
      <c r="Q102" s="3122">
        <v>0</v>
      </c>
      <c r="R102" s="3122"/>
      <c r="S102" s="3122"/>
      <c r="T102" s="3122"/>
      <c r="U102" s="3123" t="s">
        <v>3821</v>
      </c>
      <c r="V102" s="3123">
        <v>0</v>
      </c>
      <c r="W102" s="3123" t="s">
        <v>3821</v>
      </c>
      <c r="X102" s="3124"/>
      <c r="Y102" s="3125" t="s">
        <v>1056</v>
      </c>
      <c r="Z102" s="3126" t="s">
        <v>223</v>
      </c>
      <c r="AA102" s="3127">
        <v>2500</v>
      </c>
      <c r="AB102" s="3128">
        <v>2000000</v>
      </c>
      <c r="AC102" s="3129"/>
      <c r="AD102" s="3129"/>
      <c r="AE102" s="3129"/>
      <c r="AF102" s="2860" t="s">
        <v>4500</v>
      </c>
      <c r="AG102" s="3130" t="s">
        <v>3684</v>
      </c>
      <c r="AH102" s="3130" t="s">
        <v>4284</v>
      </c>
      <c r="AI102" s="3146" t="s">
        <v>3805</v>
      </c>
      <c r="AJ102" s="3146" t="s">
        <v>3805</v>
      </c>
      <c r="AK102" s="3146" t="s">
        <v>3821</v>
      </c>
      <c r="AL102" s="3087" t="s">
        <v>3821</v>
      </c>
      <c r="AM102" s="3087"/>
    </row>
  </sheetData>
  <autoFilter ref="A2:BA102" xr:uid="{00000000-0009-0000-0000-000012000000}"/>
  <dataValidations count="1">
    <dataValidation allowBlank="1" showInputMessage="1" showErrorMessage="1" errorTitle="Chiffre d'affaires hors programm" error="Maximum 5,000,000$ de chiffre d’affaires" sqref="K2" xr:uid="{00000000-0002-0000-1200-000000000000}"/>
  </dataValidations>
  <printOptions horizontalCentered="1" verticalCentered="1"/>
  <pageMargins left="0" right="0" top="0" bottom="0" header="0.3" footer="0.3"/>
  <pageSetup paperSize="5" scale="38" fitToHeight="3" orientation="landscape" horizontalDpi="90" verticalDpi="90" r:id="rId1"/>
  <headerFooter>
    <oddHeader>&amp;L&amp;P&amp; out of &amp;N&amp;C&amp;D&amp;R&amp;Z&amp;F</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tabColor rgb="FF7030A0"/>
  </sheetPr>
  <dimension ref="A1:AG56"/>
  <sheetViews>
    <sheetView workbookViewId="0">
      <selection activeCell="D1" sqref="D1"/>
    </sheetView>
  </sheetViews>
  <sheetFormatPr defaultColWidth="9.140625" defaultRowHeight="15"/>
  <cols>
    <col min="1" max="1" width="21.7109375" customWidth="1"/>
    <col min="2" max="2" width="37.140625" customWidth="1"/>
    <col min="5" max="5" width="20.5703125" customWidth="1"/>
    <col min="7" max="7" width="3.7109375" customWidth="1"/>
    <col min="8" max="8" width="17.7109375" customWidth="1"/>
    <col min="10" max="10" width="2.28515625" customWidth="1"/>
    <col min="11" max="11" width="19.5703125" customWidth="1"/>
    <col min="13" max="13" width="1.28515625" customWidth="1"/>
    <col min="14" max="14" width="26.140625" customWidth="1"/>
    <col min="16" max="16" width="2.42578125" customWidth="1"/>
    <col min="17" max="17" width="21.140625" customWidth="1"/>
    <col min="20" max="20" width="20.5703125" customWidth="1"/>
    <col min="22" max="22" width="3.7109375" customWidth="1"/>
    <col min="23" max="23" width="17.7109375" customWidth="1"/>
    <col min="25" max="25" width="2.28515625" customWidth="1"/>
    <col min="26" max="26" width="19.5703125" customWidth="1"/>
    <col min="28" max="28" width="1.28515625" customWidth="1"/>
    <col min="29" max="29" width="26.140625" customWidth="1"/>
    <col min="31" max="31" width="2.42578125" customWidth="1"/>
    <col min="32" max="32" width="21.140625" customWidth="1"/>
  </cols>
  <sheetData>
    <row r="1" spans="2:33">
      <c r="C1" t="s">
        <v>1199</v>
      </c>
      <c r="D1" s="375">
        <f>0.064*(1+20%)</f>
        <v>7.6799999999999993E-2</v>
      </c>
      <c r="E1" s="395" t="s">
        <v>1245</v>
      </c>
      <c r="H1" s="395" t="s">
        <v>1246</v>
      </c>
      <c r="K1" s="395" t="s">
        <v>1247</v>
      </c>
      <c r="N1" s="395" t="s">
        <v>1248</v>
      </c>
      <c r="Q1" s="395" t="s">
        <v>1249</v>
      </c>
      <c r="T1" s="395" t="s">
        <v>3347</v>
      </c>
      <c r="W1" s="395" t="s">
        <v>3348</v>
      </c>
      <c r="Z1" s="395" t="s">
        <v>3349</v>
      </c>
      <c r="AC1" s="395" t="s">
        <v>3350</v>
      </c>
      <c r="AF1" s="395" t="s">
        <v>3351</v>
      </c>
    </row>
    <row r="2" spans="2:33">
      <c r="B2" s="361" t="s">
        <v>259</v>
      </c>
      <c r="E2" s="374">
        <f>'Quote template-1'!N24</f>
        <v>0</v>
      </c>
      <c r="F2" s="373" t="e">
        <f>VLOOKUP($E$2,$B$3:$C$9,2,FALSE)</f>
        <v>#N/A</v>
      </c>
      <c r="H2" s="374">
        <f>E2</f>
        <v>0</v>
      </c>
      <c r="I2" s="373" t="e">
        <f>F2</f>
        <v>#N/A</v>
      </c>
      <c r="K2" s="374">
        <f>H2</f>
        <v>0</v>
      </c>
      <c r="L2" s="373" t="e">
        <f>I2</f>
        <v>#N/A</v>
      </c>
      <c r="N2" s="374">
        <f>K2</f>
        <v>0</v>
      </c>
      <c r="O2" s="373" t="e">
        <f>L2</f>
        <v>#N/A</v>
      </c>
      <c r="Q2" s="374">
        <f>N2</f>
        <v>0</v>
      </c>
      <c r="R2" s="373" t="e">
        <f>O2</f>
        <v>#N/A</v>
      </c>
      <c r="T2" s="374">
        <f>Q2</f>
        <v>0</v>
      </c>
      <c r="U2" s="373" t="e">
        <f>VLOOKUP($E$2,$B$3:$C$9,2,FALSE)</f>
        <v>#N/A</v>
      </c>
      <c r="W2" s="374">
        <f>T2</f>
        <v>0</v>
      </c>
      <c r="X2" s="373" t="e">
        <f>U2</f>
        <v>#N/A</v>
      </c>
      <c r="Z2" s="374">
        <f>W2</f>
        <v>0</v>
      </c>
      <c r="AA2" s="373" t="e">
        <f>X2</f>
        <v>#N/A</v>
      </c>
      <c r="AC2" s="374">
        <f>Z2</f>
        <v>0</v>
      </c>
      <c r="AD2" s="373" t="e">
        <f>AA2</f>
        <v>#N/A</v>
      </c>
      <c r="AF2" s="374">
        <f>AC2</f>
        <v>0</v>
      </c>
      <c r="AG2" s="373" t="e">
        <f>AD2</f>
        <v>#N/A</v>
      </c>
    </row>
    <row r="3" spans="2:33" ht="15.75">
      <c r="B3" s="20" t="s">
        <v>954</v>
      </c>
      <c r="C3" s="363">
        <v>0.7</v>
      </c>
    </row>
    <row r="4" spans="2:33" ht="15.75">
      <c r="B4" s="20" t="s">
        <v>955</v>
      </c>
      <c r="C4" s="363">
        <v>0.75</v>
      </c>
    </row>
    <row r="5" spans="2:33" ht="15.75">
      <c r="B5" s="20" t="s">
        <v>957</v>
      </c>
      <c r="C5" s="363">
        <v>0.9</v>
      </c>
    </row>
    <row r="6" spans="2:33" ht="15.75">
      <c r="B6" s="20" t="s">
        <v>956</v>
      </c>
      <c r="C6" s="363">
        <v>0.9</v>
      </c>
    </row>
    <row r="7" spans="2:33" ht="15.75">
      <c r="B7" s="20" t="s">
        <v>244</v>
      </c>
      <c r="C7" s="363">
        <v>0.85</v>
      </c>
    </row>
    <row r="8" spans="2:33" ht="15.75">
      <c r="B8" s="20" t="s">
        <v>246</v>
      </c>
      <c r="C8" s="363">
        <v>1</v>
      </c>
    </row>
    <row r="9" spans="2:33">
      <c r="B9" s="362" t="s">
        <v>248</v>
      </c>
      <c r="C9" s="363">
        <v>0.75</v>
      </c>
    </row>
    <row r="11" spans="2:33">
      <c r="B11" s="361" t="s">
        <v>1193</v>
      </c>
      <c r="C11" t="str">
        <f>'Input '!G37</f>
        <v/>
      </c>
      <c r="E11" s="374" t="e">
        <f>VLOOKUP(C11,'Hazards updated Dec 2018'!A:H,8,FALSE)</f>
        <v>#N/A</v>
      </c>
      <c r="F11" s="373" t="e">
        <f>VLOOKUP($E$11,$B$12:$C$16,2,FALSE)</f>
        <v>#N/A</v>
      </c>
      <c r="H11" s="374" t="e">
        <f>$E$11</f>
        <v>#N/A</v>
      </c>
      <c r="I11" s="373" t="e">
        <f>$F$11</f>
        <v>#N/A</v>
      </c>
      <c r="K11" s="374" t="e">
        <f>$E$11</f>
        <v>#N/A</v>
      </c>
      <c r="L11" s="373" t="e">
        <f>$F$11</f>
        <v>#N/A</v>
      </c>
      <c r="N11" s="374" t="e">
        <f>$E$11</f>
        <v>#N/A</v>
      </c>
      <c r="O11" s="373" t="e">
        <f>$F$11</f>
        <v>#N/A</v>
      </c>
      <c r="Q11" s="374" t="e">
        <f>$E$11</f>
        <v>#N/A</v>
      </c>
      <c r="R11" s="373" t="e">
        <f>$F$11</f>
        <v>#N/A</v>
      </c>
      <c r="T11" s="374" t="e">
        <f>Q11</f>
        <v>#N/A</v>
      </c>
      <c r="U11" s="373" t="e">
        <f>VLOOKUP($E$11,$B$12:$C$16,2,FALSE)</f>
        <v>#N/A</v>
      </c>
      <c r="W11" s="374" t="e">
        <f>$E$11</f>
        <v>#N/A</v>
      </c>
      <c r="X11" s="373" t="e">
        <f>$F$11</f>
        <v>#N/A</v>
      </c>
      <c r="Z11" s="374" t="e">
        <f>$E$11</f>
        <v>#N/A</v>
      </c>
      <c r="AA11" s="373" t="e">
        <f>$F$11</f>
        <v>#N/A</v>
      </c>
      <c r="AC11" s="374" t="e">
        <f>$E$11</f>
        <v>#N/A</v>
      </c>
      <c r="AD11" s="373" t="e">
        <f>$F$11</f>
        <v>#N/A</v>
      </c>
      <c r="AF11" s="374" t="e">
        <f>$E$11</f>
        <v>#N/A</v>
      </c>
      <c r="AG11" s="373" t="e">
        <f>$F$11</f>
        <v>#N/A</v>
      </c>
    </row>
    <row r="12" spans="2:33">
      <c r="B12" s="364" t="s">
        <v>234</v>
      </c>
      <c r="C12" s="363">
        <v>1</v>
      </c>
    </row>
    <row r="13" spans="2:33">
      <c r="B13" s="362" t="s">
        <v>235</v>
      </c>
      <c r="C13" s="363">
        <v>2.1040000000000001</v>
      </c>
    </row>
    <row r="14" spans="2:33">
      <c r="B14" s="366" t="s">
        <v>236</v>
      </c>
      <c r="C14" s="363">
        <v>3.25</v>
      </c>
    </row>
    <row r="15" spans="2:33">
      <c r="B15" s="362" t="s">
        <v>237</v>
      </c>
      <c r="C15" s="363">
        <v>4.75</v>
      </c>
    </row>
    <row r="16" spans="2:33">
      <c r="B16" s="362" t="s">
        <v>1192</v>
      </c>
      <c r="C16" s="363">
        <v>1</v>
      </c>
    </row>
    <row r="19" spans="2:33">
      <c r="B19" s="361" t="s">
        <v>1151</v>
      </c>
    </row>
    <row r="20" spans="2:33">
      <c r="B20" s="368" t="s">
        <v>1154</v>
      </c>
      <c r="C20" s="363">
        <v>1</v>
      </c>
    </row>
    <row r="21" spans="2:33">
      <c r="B21" s="369" t="s">
        <v>1156</v>
      </c>
      <c r="C21" s="363">
        <v>1.0629999999999999</v>
      </c>
    </row>
    <row r="22" spans="2:33">
      <c r="B22" s="369" t="s">
        <v>1158</v>
      </c>
      <c r="C22" s="363">
        <v>1.1879999999999999</v>
      </c>
    </row>
    <row r="23" spans="2:33" ht="30">
      <c r="B23" s="370" t="s">
        <v>1160</v>
      </c>
      <c r="C23" s="363">
        <v>1.25</v>
      </c>
      <c r="E23" s="396" t="str">
        <f>'Input '!$G$74</f>
        <v>Sprinklered and Alarmed</v>
      </c>
      <c r="F23" s="373">
        <f>VLOOKUP(E$23,$B$20:$C$23,2,FALSE)</f>
        <v>1</v>
      </c>
      <c r="H23" s="396" t="str">
        <f>'Input Property info '!$V$11</f>
        <v>Non Sprinklered and Non Alarmed</v>
      </c>
      <c r="I23" s="373">
        <f>VLOOKUP(H$23,$B$20:$C$23,2,FALSE)</f>
        <v>1.25</v>
      </c>
      <c r="K23" s="396" t="str">
        <f>'Input Property info '!$V$12</f>
        <v>Non Sprinklered and Non Alarmed</v>
      </c>
      <c r="L23" s="373">
        <f>VLOOKUP(K$23,$B$20:$C$23,2,FALSE)</f>
        <v>1.25</v>
      </c>
      <c r="N23" s="376" t="str">
        <f>'Input Property info '!$V$13</f>
        <v>Non Sprinklered and Non Alarmed</v>
      </c>
      <c r="O23" s="373">
        <f>VLOOKUP(N$23,$B$20:$C$23,2,FALSE)</f>
        <v>1.25</v>
      </c>
      <c r="Q23" s="376" t="str">
        <f>'Input Property info '!$V$14</f>
        <v>Non Sprinklered and Non Alarmed</v>
      </c>
      <c r="R23" s="373">
        <f>VLOOKUP(Q$23,$B$20:$C$23,2,FALSE)</f>
        <v>1.25</v>
      </c>
      <c r="T23" s="396" t="e">
        <f>'Input Property info '!#REF!</f>
        <v>#REF!</v>
      </c>
      <c r="U23" s="373" t="e">
        <f>VLOOKUP(T$23,$B$20:$C$23,2,FALSE)</f>
        <v>#REF!</v>
      </c>
      <c r="W23" s="396" t="e">
        <f>'Input Property info '!#REF!</f>
        <v>#REF!</v>
      </c>
      <c r="X23" s="373" t="e">
        <f>VLOOKUP(W$23,$B$20:$C$23,2,FALSE)</f>
        <v>#REF!</v>
      </c>
      <c r="Z23" s="396" t="e">
        <f>'Input Property info '!#REF!</f>
        <v>#REF!</v>
      </c>
      <c r="AA23" s="373" t="e">
        <f>VLOOKUP(Z$23,$B$20:$C$23,2,FALSE)</f>
        <v>#REF!</v>
      </c>
      <c r="AC23" s="376" t="e">
        <f>'Input Property info '!#REF!</f>
        <v>#REF!</v>
      </c>
      <c r="AD23" s="373" t="e">
        <f>VLOOKUP(AC$23,$B$20:$C$23,2,FALSE)</f>
        <v>#REF!</v>
      </c>
      <c r="AF23" s="376" t="e">
        <f>'Input Property info '!#REF!</f>
        <v>#REF!</v>
      </c>
      <c r="AG23" s="373" t="e">
        <f>VLOOKUP(AF$23,$B$20:$C$23,2,FALSE)</f>
        <v>#REF!</v>
      </c>
    </row>
    <row r="26" spans="2:33">
      <c r="B26" s="361" t="s">
        <v>1153</v>
      </c>
    </row>
    <row r="27" spans="2:33">
      <c r="B27" s="1827" t="s">
        <v>3948</v>
      </c>
      <c r="C27" s="363">
        <v>1</v>
      </c>
      <c r="E27" s="396" t="str">
        <f>'Input '!$G$73</f>
        <v>1</v>
      </c>
      <c r="F27" s="373">
        <f>VLOOKUP(E$27,$B$27:$C$36,2,FALSE)</f>
        <v>1</v>
      </c>
      <c r="H27" s="396" t="str">
        <f>'Input Property info '!$U$11</f>
        <v>10</v>
      </c>
      <c r="I27" s="373">
        <f>VLOOKUP(H$27,$B$27:$C$36,2,FALSE)</f>
        <v>1.25</v>
      </c>
      <c r="K27" s="396" t="str">
        <f>'Input Property info '!$U$12</f>
        <v>10</v>
      </c>
      <c r="L27" s="373">
        <f>VLOOKUP(K$27,$B$27:$C$36,2,FALSE)</f>
        <v>1.25</v>
      </c>
      <c r="N27" s="396" t="str">
        <f>'Input Property info '!$U$13</f>
        <v>10</v>
      </c>
      <c r="O27" s="373">
        <f>VLOOKUP(N$27,$B$27:$C$36,2,FALSE)</f>
        <v>1.25</v>
      </c>
      <c r="Q27" s="396" t="str">
        <f>'Input Property info '!$U$14</f>
        <v>10</v>
      </c>
      <c r="R27" s="373">
        <f>VLOOKUP(Q$27,$B$27:$C$36,2,FALSE)</f>
        <v>1.25</v>
      </c>
      <c r="T27" s="396" t="str">
        <f>'Input '!$G$73</f>
        <v>1</v>
      </c>
      <c r="U27" s="373">
        <f>VLOOKUP(T$27,$B$27:$C$36,2,FALSE)</f>
        <v>1</v>
      </c>
      <c r="W27" s="396" t="str">
        <f>'Input Property info '!$U$11</f>
        <v>10</v>
      </c>
      <c r="X27" s="373">
        <f>VLOOKUP(W$27,$B$27:$C$36,2,FALSE)</f>
        <v>1.25</v>
      </c>
      <c r="Z27" s="396" t="str">
        <f>'Input Property info '!$U$12</f>
        <v>10</v>
      </c>
      <c r="AA27" s="373">
        <f>VLOOKUP(Z$27,$B$27:$C$36,2,FALSE)</f>
        <v>1.25</v>
      </c>
      <c r="AC27" s="396" t="str">
        <f>'Input Property info '!$U$13</f>
        <v>10</v>
      </c>
      <c r="AD27" s="373">
        <f>VLOOKUP(AC$27,$B$27:$C$36,2,FALSE)</f>
        <v>1.25</v>
      </c>
      <c r="AF27" s="396" t="str">
        <f>'Input Property info '!$U$14</f>
        <v>10</v>
      </c>
      <c r="AG27" s="373">
        <f>VLOOKUP(AF$27,$B$27:$C$36,2,FALSE)</f>
        <v>1.25</v>
      </c>
    </row>
    <row r="28" spans="2:33">
      <c r="B28" s="30" t="s">
        <v>3949</v>
      </c>
      <c r="C28" s="363">
        <v>1</v>
      </c>
    </row>
    <row r="29" spans="2:33">
      <c r="B29" s="1828" t="s">
        <v>3946</v>
      </c>
      <c r="C29" s="363">
        <v>1</v>
      </c>
    </row>
    <row r="30" spans="2:33">
      <c r="B30" s="30" t="s">
        <v>3950</v>
      </c>
      <c r="C30" s="363">
        <v>1.0629999999999999</v>
      </c>
    </row>
    <row r="31" spans="2:33">
      <c r="B31" s="30" t="s">
        <v>3947</v>
      </c>
      <c r="C31" s="363">
        <v>1.0629999999999999</v>
      </c>
    </row>
    <row r="32" spans="2:33">
      <c r="B32" s="30" t="s">
        <v>3951</v>
      </c>
      <c r="C32" s="363">
        <v>1.0629999999999999</v>
      </c>
    </row>
    <row r="33" spans="2:33">
      <c r="B33" s="30" t="s">
        <v>3952</v>
      </c>
      <c r="C33" s="363">
        <v>1.1879999999999999</v>
      </c>
    </row>
    <row r="34" spans="2:33">
      <c r="B34" s="30" t="s">
        <v>3953</v>
      </c>
      <c r="C34" s="363">
        <v>1.1879999999999999</v>
      </c>
    </row>
    <row r="35" spans="2:33">
      <c r="B35" s="30" t="s">
        <v>3954</v>
      </c>
      <c r="C35" s="363">
        <v>1.25</v>
      </c>
    </row>
    <row r="36" spans="2:33">
      <c r="B36" s="30" t="s">
        <v>3955</v>
      </c>
      <c r="C36" s="363">
        <v>1.25</v>
      </c>
    </row>
    <row r="38" spans="2:33">
      <c r="B38" s="361" t="s">
        <v>1152</v>
      </c>
      <c r="E38" s="396" t="str">
        <f>'Input '!$G$72</f>
        <v>Fire Resistive</v>
      </c>
      <c r="F38" s="373">
        <f>VLOOKUP(E$38,$B$39:$C$45,2,FALSE)</f>
        <v>1</v>
      </c>
      <c r="H38" s="396" t="str">
        <f>'Input Property info '!$T$11</f>
        <v>Frame</v>
      </c>
      <c r="I38" s="373">
        <f>VLOOKUP(H$38,$B$39:$C$45,2,FALSE)</f>
        <v>3.25</v>
      </c>
      <c r="K38" s="396" t="str">
        <f>'Input Property info '!$T$12</f>
        <v>Frame</v>
      </c>
      <c r="L38" s="373">
        <f>VLOOKUP(K$38,$B$39:$C$45,2,FALSE)</f>
        <v>3.25</v>
      </c>
      <c r="N38" s="396" t="str">
        <f>'Input Property info '!$T$13</f>
        <v>Frame</v>
      </c>
      <c r="O38" s="373">
        <f>VLOOKUP(N$38,$B$39:$C$45,2,FALSE)</f>
        <v>3.25</v>
      </c>
      <c r="Q38" s="396" t="str">
        <f>'Input Property info '!$T$14</f>
        <v>Frame</v>
      </c>
      <c r="R38" s="373">
        <f>VLOOKUP(Q$38,$B$39:$C$45,2,FALSE)</f>
        <v>3.25</v>
      </c>
      <c r="T38" s="396" t="e">
        <f>'Input Property info '!#REF!</f>
        <v>#REF!</v>
      </c>
      <c r="U38" s="373" t="e">
        <f>VLOOKUP(T$38,$B$39:$C$45,2,FALSE)</f>
        <v>#REF!</v>
      </c>
      <c r="W38" s="396" t="e">
        <f>'Input Property info '!#REF!</f>
        <v>#REF!</v>
      </c>
      <c r="X38" s="373" t="e">
        <f>VLOOKUP(W$38,$B$39:$C$45,2,FALSE)</f>
        <v>#REF!</v>
      </c>
      <c r="Z38" s="396" t="e">
        <f>'Input Property info '!#REF!</f>
        <v>#REF!</v>
      </c>
      <c r="AA38" s="373" t="e">
        <f>VLOOKUP(Z$38,$B$39:$C$45,2,FALSE)</f>
        <v>#REF!</v>
      </c>
      <c r="AC38" s="396" t="e">
        <f>'Input Property info '!#REF!</f>
        <v>#REF!</v>
      </c>
      <c r="AD38" s="373" t="e">
        <f>VLOOKUP(AC$38,$B$39:$C$45,2,FALSE)</f>
        <v>#REF!</v>
      </c>
      <c r="AF38" s="396" t="e">
        <f>'Input Property info '!#REF!</f>
        <v>#REF!</v>
      </c>
      <c r="AG38" s="373" t="e">
        <f>VLOOKUP(AF$38,$B$39:$C$45,2,FALSE)</f>
        <v>#REF!</v>
      </c>
    </row>
    <row r="39" spans="2:33">
      <c r="B39" s="364" t="s">
        <v>1155</v>
      </c>
      <c r="C39" s="363">
        <v>1</v>
      </c>
    </row>
    <row r="40" spans="2:33">
      <c r="B40" s="370" t="s">
        <v>1194</v>
      </c>
      <c r="C40" s="363">
        <v>1.1599999999999999</v>
      </c>
    </row>
    <row r="41" spans="2:33">
      <c r="B41" s="370" t="s">
        <v>1195</v>
      </c>
      <c r="C41" s="363">
        <v>1.35</v>
      </c>
    </row>
    <row r="42" spans="2:33">
      <c r="B42" s="362" t="s">
        <v>1161</v>
      </c>
      <c r="C42" s="363">
        <v>1.55</v>
      </c>
    </row>
    <row r="43" spans="2:33">
      <c r="B43" s="365" t="s">
        <v>1162</v>
      </c>
      <c r="C43" s="363">
        <v>2.25</v>
      </c>
    </row>
    <row r="44" spans="2:33">
      <c r="B44" s="362" t="s">
        <v>1150</v>
      </c>
      <c r="C44" s="363">
        <v>3.25</v>
      </c>
    </row>
    <row r="45" spans="2:33">
      <c r="B45" s="362" t="s">
        <v>1192</v>
      </c>
      <c r="C45" s="363">
        <v>1</v>
      </c>
    </row>
    <row r="48" spans="2:33">
      <c r="B48" s="371" t="s">
        <v>1196</v>
      </c>
    </row>
    <row r="49" spans="1:33">
      <c r="A49">
        <v>1</v>
      </c>
      <c r="B49" s="372" t="s">
        <v>1197</v>
      </c>
      <c r="C49" s="363">
        <v>1</v>
      </c>
    </row>
    <row r="50" spans="1:33">
      <c r="A50">
        <v>2</v>
      </c>
      <c r="B50" s="342" t="s">
        <v>1198</v>
      </c>
      <c r="C50" s="363">
        <v>0.8</v>
      </c>
      <c r="E50" s="396">
        <f ca="1">'Input Property info '!Q10</f>
        <v>1</v>
      </c>
      <c r="F50" s="373">
        <f ca="1">VLOOKUP(E$50,$A$49:$C$50,3,FALSE)</f>
        <v>1</v>
      </c>
      <c r="H50" s="396">
        <f ca="1">'Input Property info '!Q11</f>
        <v>1</v>
      </c>
      <c r="I50" s="373">
        <f ca="1">VLOOKUP(H$50,$A$49:$C$50,3,FALSE)</f>
        <v>1</v>
      </c>
      <c r="K50" s="396">
        <f ca="1">'Input Property info '!Q12</f>
        <v>1</v>
      </c>
      <c r="L50" s="373">
        <f ca="1">VLOOKUP(K$50,$A$49:$C$50,3,FALSE)</f>
        <v>1</v>
      </c>
      <c r="N50" s="396">
        <f ca="1">'Input Property info '!Q13</f>
        <v>1</v>
      </c>
      <c r="O50" s="373">
        <f ca="1">VLOOKUP(N$50,$A$49:$C$50,3,FALSE)</f>
        <v>1</v>
      </c>
      <c r="Q50" s="396">
        <f ca="1">'Input Property info '!$Q$14</f>
        <v>1</v>
      </c>
      <c r="R50" s="373">
        <f ca="1">VLOOKUP(Q$50,$A$49:$C$50,3,FALSE)</f>
        <v>1</v>
      </c>
      <c r="T50" s="396" t="e">
        <f>'Input Property info '!#REF!</f>
        <v>#REF!</v>
      </c>
      <c r="U50" s="373" t="e">
        <f>VLOOKUP(T$50,$A$49:$C$50,3,FALSE)</f>
        <v>#REF!</v>
      </c>
      <c r="W50" s="396" t="e">
        <f>'Input Property info '!#REF!</f>
        <v>#REF!</v>
      </c>
      <c r="X50" s="373" t="e">
        <f>VLOOKUP(W$50,$A$49:$C$50,3,FALSE)</f>
        <v>#REF!</v>
      </c>
      <c r="Z50" s="396" t="e">
        <f>'Input Property info '!#REF!</f>
        <v>#REF!</v>
      </c>
      <c r="AA50" s="373" t="e">
        <f>VLOOKUP(Z$50,$A$49:$C$50,3,FALSE)</f>
        <v>#REF!</v>
      </c>
      <c r="AC50" s="396" t="e">
        <f>'Input Property info '!#REF!</f>
        <v>#REF!</v>
      </c>
      <c r="AD50" s="373" t="e">
        <f>VLOOKUP(AC$50,$A$49:$C$50,3,FALSE)</f>
        <v>#REF!</v>
      </c>
      <c r="AF50" s="396" t="e">
        <f>'Input Property info '!#REF!</f>
        <v>#REF!</v>
      </c>
      <c r="AG50" s="373" t="e">
        <f>VLOOKUP(AF$50,$A$49:$C$50,3,FALSE)</f>
        <v>#REF!</v>
      </c>
    </row>
    <row r="51" spans="1:33">
      <c r="B51" s="362" t="s">
        <v>1192</v>
      </c>
      <c r="C51" s="363">
        <v>1</v>
      </c>
    </row>
    <row r="52" spans="1:33">
      <c r="E52" s="377" t="s">
        <v>1200</v>
      </c>
      <c r="F52" s="377">
        <f ca="1">IFERROR($D$1*F2*F11*F23*F27*F38*F50,0)</f>
        <v>0</v>
      </c>
      <c r="H52" s="377"/>
      <c r="I52" s="377">
        <f ca="1">IFERROR($D$1*I2*I11*I23*I27*I38*I50,0)</f>
        <v>0</v>
      </c>
      <c r="K52" s="377"/>
      <c r="L52" s="377">
        <f ca="1">IFERROR($D$1*L2*L11*L23*L27*L38*L50,0)</f>
        <v>0</v>
      </c>
      <c r="N52" s="377"/>
      <c r="O52" s="377">
        <f ca="1">IFERROR($D$1*O2*O11*O23*O27*O38*O50,0)</f>
        <v>0</v>
      </c>
      <c r="Q52" s="377"/>
      <c r="R52" s="377">
        <f ca="1">IFERROR($D$1*R2*R11*R23*R27*R38*R50,0)</f>
        <v>0</v>
      </c>
      <c r="T52" s="377" t="s">
        <v>1200</v>
      </c>
      <c r="U52" s="377">
        <f>IFERROR($D$1*U2*U11*U23*U27*U38*U50,0)</f>
        <v>0</v>
      </c>
      <c r="W52" s="377"/>
      <c r="X52" s="377">
        <f>IFERROR($D$1*X2*X11*X23*X27*X38*X50,0)</f>
        <v>0</v>
      </c>
      <c r="Z52" s="377"/>
      <c r="AA52" s="377">
        <f>IFERROR($D$1*AA2*AA11*AA23*AA27*AA38*AA50,0)</f>
        <v>0</v>
      </c>
      <c r="AC52" s="377"/>
      <c r="AD52" s="377">
        <f>IFERROR($D$1*AD2*AD11*AD23*AD27*AD38*AD50,0)</f>
        <v>0</v>
      </c>
      <c r="AF52" s="377"/>
      <c r="AG52" s="377">
        <f>IFERROR($D$1*AG2*AG11*AG23*AG27*AG38*AG50,0)</f>
        <v>0</v>
      </c>
    </row>
    <row r="53" spans="1:33">
      <c r="E53" s="377" t="s">
        <v>1252</v>
      </c>
      <c r="F53" s="397">
        <f>('Quote template-1'!N26-'Quote template-1'!G26)/365</f>
        <v>1</v>
      </c>
      <c r="H53" s="377"/>
      <c r="I53" s="397">
        <f>F53</f>
        <v>1</v>
      </c>
      <c r="K53" s="377"/>
      <c r="L53" s="397">
        <f>I53</f>
        <v>1</v>
      </c>
      <c r="N53" s="377"/>
      <c r="O53" s="397">
        <f>L53</f>
        <v>1</v>
      </c>
      <c r="Q53" s="377"/>
      <c r="R53" s="397">
        <f>O53</f>
        <v>1</v>
      </c>
      <c r="T53" s="377" t="s">
        <v>1252</v>
      </c>
      <c r="U53" s="397">
        <f>$R$53</f>
        <v>1</v>
      </c>
      <c r="W53" s="377"/>
      <c r="X53" s="397">
        <f>U53</f>
        <v>1</v>
      </c>
      <c r="Z53" s="377"/>
      <c r="AA53" s="397">
        <f>X53</f>
        <v>1</v>
      </c>
      <c r="AC53" s="377"/>
      <c r="AD53" s="397">
        <f>AA53</f>
        <v>1</v>
      </c>
      <c r="AF53" s="377"/>
      <c r="AG53" s="397">
        <f>AD53</f>
        <v>1</v>
      </c>
    </row>
    <row r="54" spans="1:33">
      <c r="E54" s="377" t="s">
        <v>1200</v>
      </c>
      <c r="F54" s="377">
        <f ca="1">F52*F53</f>
        <v>0</v>
      </c>
      <c r="H54" s="377" t="s">
        <v>1200</v>
      </c>
      <c r="I54" s="377">
        <f ca="1">I52*I53</f>
        <v>0</v>
      </c>
      <c r="K54" s="377" t="s">
        <v>1200</v>
      </c>
      <c r="L54" s="377">
        <f ca="1">L52*L53</f>
        <v>0</v>
      </c>
      <c r="N54" s="377" t="s">
        <v>1200</v>
      </c>
      <c r="O54" s="377">
        <f ca="1">O52*O53</f>
        <v>0</v>
      </c>
      <c r="Q54" s="377" t="s">
        <v>1200</v>
      </c>
      <c r="R54" s="377">
        <f ca="1">R52*R53</f>
        <v>0</v>
      </c>
      <c r="T54" s="377" t="s">
        <v>1200</v>
      </c>
      <c r="U54" s="377">
        <f>U52*U53</f>
        <v>0</v>
      </c>
      <c r="W54" s="377" t="s">
        <v>1200</v>
      </c>
      <c r="X54" s="377">
        <f>X52*X53</f>
        <v>0</v>
      </c>
      <c r="Z54" s="377" t="s">
        <v>1200</v>
      </c>
      <c r="AA54" s="377">
        <f>AA52*AA53</f>
        <v>0</v>
      </c>
      <c r="AC54" s="377" t="s">
        <v>1200</v>
      </c>
      <c r="AD54" s="377">
        <f>AD52*AD53</f>
        <v>0</v>
      </c>
      <c r="AF54" s="377" t="s">
        <v>1200</v>
      </c>
      <c r="AG54" s="377">
        <f>AG52*AG53</f>
        <v>0</v>
      </c>
    </row>
    <row r="55" spans="1:33">
      <c r="E55" s="375" t="s">
        <v>1201</v>
      </c>
      <c r="F55" s="375">
        <f ca="1">IFERROR(F54*1.25,0)</f>
        <v>0</v>
      </c>
      <c r="H55" s="375" t="s">
        <v>1201</v>
      </c>
      <c r="I55" s="375">
        <f ca="1">IFERROR(I54*1.25,0)</f>
        <v>0</v>
      </c>
      <c r="K55" s="375" t="s">
        <v>1201</v>
      </c>
      <c r="L55" s="375">
        <f ca="1">IFERROR(L54*1.25,0)</f>
        <v>0</v>
      </c>
      <c r="N55" s="375" t="s">
        <v>1201</v>
      </c>
      <c r="O55" s="375">
        <f ca="1">IFERROR(O54*1.25,0)</f>
        <v>0</v>
      </c>
      <c r="Q55" s="375" t="s">
        <v>1201</v>
      </c>
      <c r="R55" s="375">
        <f ca="1">IFERROR(R54*1.25,0)</f>
        <v>0</v>
      </c>
      <c r="T55" s="375" t="s">
        <v>1201</v>
      </c>
      <c r="U55" s="375">
        <f>IFERROR(U54*1.25,0)</f>
        <v>0</v>
      </c>
      <c r="W55" s="375" t="s">
        <v>1201</v>
      </c>
      <c r="X55" s="375">
        <f>IFERROR(X54*1.25,0)</f>
        <v>0</v>
      </c>
      <c r="Z55" s="375" t="s">
        <v>1201</v>
      </c>
      <c r="AA55" s="375">
        <f>IFERROR(AA54*1.25,0)</f>
        <v>0</v>
      </c>
      <c r="AC55" s="375" t="s">
        <v>1201</v>
      </c>
      <c r="AD55" s="375">
        <f>IFERROR(AD54*1.25,0)</f>
        <v>0</v>
      </c>
      <c r="AF55" s="375" t="s">
        <v>1201</v>
      </c>
      <c r="AG55" s="375">
        <f>IFERROR(AG54*1.25,0)</f>
        <v>0</v>
      </c>
    </row>
    <row r="56" spans="1:33" ht="16.5" customHeight="1">
      <c r="E56" s="395" t="s">
        <v>1245</v>
      </c>
      <c r="H56" s="395" t="s">
        <v>1246</v>
      </c>
      <c r="K56" s="395" t="s">
        <v>1247</v>
      </c>
      <c r="N56" s="395" t="s">
        <v>1248</v>
      </c>
      <c r="Q56" s="395" t="s">
        <v>1249</v>
      </c>
      <c r="T56" s="395" t="s">
        <v>3347</v>
      </c>
      <c r="W56" s="395" t="s">
        <v>3348</v>
      </c>
      <c r="Z56" s="395" t="s">
        <v>3349</v>
      </c>
      <c r="AC56" s="395" t="s">
        <v>3350</v>
      </c>
      <c r="AF56" s="395" t="s">
        <v>3351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3">
    <tabColor rgb="FFFFC000"/>
  </sheetPr>
  <dimension ref="A1:R114"/>
  <sheetViews>
    <sheetView showGridLines="0" topLeftCell="C1" zoomScaleNormal="100" workbookViewId="0">
      <selection activeCell="F69" sqref="F69"/>
    </sheetView>
  </sheetViews>
  <sheetFormatPr defaultColWidth="9.140625" defaultRowHeight="17.25" outlineLevelRow="2" outlineLevelCol="1"/>
  <cols>
    <col min="1" max="2" width="54.28515625" style="1561" hidden="1" customWidth="1" outlineLevel="1"/>
    <col min="3" max="3" width="47.140625" style="1561" customWidth="1" collapsed="1"/>
    <col min="4" max="4" width="28.28515625" style="1561" customWidth="1"/>
    <col min="5" max="5" width="31.7109375" style="1561" customWidth="1"/>
    <col min="6" max="6" width="13.28515625" style="1561" customWidth="1"/>
    <col min="7" max="7" width="23.5703125" style="1561" customWidth="1"/>
    <col min="8" max="8" width="21.7109375" style="1561" customWidth="1"/>
    <col min="9" max="9" width="19.7109375" style="1590" customWidth="1"/>
    <col min="10" max="10" width="16.28515625" style="1590" customWidth="1"/>
    <col min="11" max="12" width="16.28515625" style="1561" customWidth="1"/>
    <col min="13" max="18" width="9.140625" style="445"/>
    <col min="19" max="16384" width="9.140625" style="1561"/>
  </cols>
  <sheetData>
    <row r="1" spans="1:18" s="1556" customFormat="1" ht="27.75" customHeight="1" outlineLevel="1">
      <c r="A1" s="1556" t="s">
        <v>3817</v>
      </c>
      <c r="B1" s="1556" t="s">
        <v>3817</v>
      </c>
      <c r="C1" s="1556" t="s">
        <v>3817</v>
      </c>
      <c r="I1" s="1556" t="s">
        <v>3853</v>
      </c>
      <c r="J1" s="1557"/>
    </row>
    <row r="2" spans="1:18" outlineLevel="1">
      <c r="A2" s="1558" t="s">
        <v>3914</v>
      </c>
      <c r="B2" s="1558" t="s">
        <v>3915</v>
      </c>
      <c r="C2" s="1558" t="str">
        <f>IF('Input '!$E$1="FR",'April Property risk grading'!A2,'April Property risk grading'!B2)</f>
        <v>1. Type of building</v>
      </c>
      <c r="D2" s="1559" t="s">
        <v>3826</v>
      </c>
      <c r="E2" s="1559" t="s">
        <v>1101</v>
      </c>
      <c r="F2" s="1559"/>
      <c r="G2" s="1559" t="s">
        <v>1237</v>
      </c>
      <c r="H2" s="1556"/>
      <c r="I2" s="1559" t="s">
        <v>3943</v>
      </c>
      <c r="J2" s="1560" t="s">
        <v>3819</v>
      </c>
      <c r="M2" s="1561"/>
      <c r="N2" s="1561"/>
      <c r="O2" s="1561"/>
      <c r="P2" s="1561"/>
      <c r="Q2" s="1561"/>
      <c r="R2" s="1561"/>
    </row>
    <row r="3" spans="1:18" outlineLevel="1">
      <c r="A3" s="1562" t="s">
        <v>4008</v>
      </c>
      <c r="B3" s="1562" t="s">
        <v>4009</v>
      </c>
      <c r="C3" s="1562" t="str">
        <f>IF('Input '!$E$1="FR",'April Property risk grading'!A3,'April Property risk grading'!B3)</f>
        <v>Garage / Storage / Shop</v>
      </c>
      <c r="D3" s="1562"/>
      <c r="E3" s="1562"/>
      <c r="F3" s="1562"/>
      <c r="G3" s="1563" t="s">
        <v>3805</v>
      </c>
      <c r="H3" s="1556"/>
      <c r="I3" s="1679">
        <v>2500</v>
      </c>
      <c r="J3" s="1563"/>
      <c r="M3" s="1561"/>
      <c r="N3" s="1561"/>
      <c r="O3" s="1561"/>
      <c r="P3" s="1561"/>
      <c r="Q3" s="1561"/>
      <c r="R3" s="1561"/>
    </row>
    <row r="4" spans="1:18" outlineLevel="1">
      <c r="A4" s="1562" t="s">
        <v>4010</v>
      </c>
      <c r="B4" s="1562" t="s">
        <v>4010</v>
      </c>
      <c r="C4" s="1562" t="str">
        <f>IF('Input '!$E$1="FR",'April Property risk grading'!A4,'April Property risk grading'!B4)</f>
        <v>Office</v>
      </c>
      <c r="D4" s="1562"/>
      <c r="E4" s="1562"/>
      <c r="F4" s="1562"/>
      <c r="G4" s="1563" t="s">
        <v>3805</v>
      </c>
      <c r="H4" s="1556"/>
      <c r="I4" s="1679">
        <v>2500</v>
      </c>
      <c r="J4" s="1563"/>
      <c r="M4" s="1561"/>
      <c r="N4" s="1561"/>
      <c r="O4" s="1561"/>
      <c r="P4" s="1561"/>
      <c r="Q4" s="1561"/>
      <c r="R4" s="1561"/>
    </row>
    <row r="5" spans="1:18" outlineLevel="1">
      <c r="A5" s="1562" t="s">
        <v>3916</v>
      </c>
      <c r="B5" s="1562" t="s">
        <v>3917</v>
      </c>
      <c r="C5" s="1562" t="str">
        <f>IF('Input '!$E$1="FR",'April Property risk grading'!A5,'April Property risk grading'!B5)</f>
        <v>Rented storage</v>
      </c>
      <c r="D5" s="1562"/>
      <c r="E5" s="1562"/>
      <c r="F5" s="1562"/>
      <c r="G5" s="1563" t="s">
        <v>3805</v>
      </c>
      <c r="H5" s="1556"/>
      <c r="I5" s="1679">
        <v>2500</v>
      </c>
      <c r="J5" s="1563"/>
      <c r="M5" s="1561"/>
      <c r="N5" s="1561"/>
      <c r="O5" s="1561"/>
      <c r="P5" s="1561"/>
      <c r="Q5" s="1561"/>
      <c r="R5" s="1561"/>
    </row>
    <row r="6" spans="1:18" outlineLevel="1">
      <c r="A6" s="1558" t="s">
        <v>3835</v>
      </c>
      <c r="B6" s="1558" t="s">
        <v>3820</v>
      </c>
      <c r="C6" s="1558" t="str">
        <f>IF('Input '!$E$1="FR",'April Property risk grading'!A6,'April Property risk grading'!B6)</f>
        <v>2. Claims history</v>
      </c>
      <c r="D6" s="1559"/>
      <c r="E6" s="1559" t="s">
        <v>1101</v>
      </c>
      <c r="F6" s="1559"/>
      <c r="G6" s="1559" t="s">
        <v>1237</v>
      </c>
      <c r="H6" s="1556"/>
      <c r="I6" s="1559" t="s">
        <v>3943</v>
      </c>
      <c r="J6" s="1560" t="s">
        <v>3819</v>
      </c>
      <c r="M6" s="1561"/>
      <c r="N6" s="1561"/>
      <c r="O6" s="1561"/>
      <c r="P6" s="1561"/>
      <c r="Q6" s="1561"/>
      <c r="R6" s="1561"/>
    </row>
    <row r="7" spans="1:18" outlineLevel="1">
      <c r="A7" s="1562" t="s">
        <v>3902</v>
      </c>
      <c r="B7" s="1562" t="s">
        <v>4011</v>
      </c>
      <c r="C7" s="1562" t="str">
        <f>IF('Input '!$E$1="FR",'April Property risk grading'!A7,'April Property risk grading'!B7)</f>
        <v>No Claims up to 5 Years</v>
      </c>
      <c r="D7" s="1562"/>
      <c r="E7" s="1562"/>
      <c r="F7" s="1562"/>
      <c r="G7" s="1563" t="s">
        <v>3805</v>
      </c>
      <c r="H7" s="1556"/>
      <c r="I7" s="1563"/>
      <c r="J7" s="1563"/>
      <c r="M7" s="1561"/>
      <c r="N7" s="1561"/>
      <c r="O7" s="1561"/>
      <c r="P7" s="1561"/>
      <c r="Q7" s="1561"/>
      <c r="R7" s="1561"/>
    </row>
    <row r="8" spans="1:18" outlineLevel="1">
      <c r="A8" s="1562" t="s">
        <v>3836</v>
      </c>
      <c r="B8" s="1562" t="s">
        <v>3806</v>
      </c>
      <c r="C8" s="1562" t="str">
        <f>IF('Input '!$E$1="FR",'April Property risk grading'!A8,'April Property risk grading'!B8)</f>
        <v xml:space="preserve">New </v>
      </c>
      <c r="D8" s="1562"/>
      <c r="E8" s="1562"/>
      <c r="F8" s="1562"/>
      <c r="G8" s="1563" t="s">
        <v>3805</v>
      </c>
      <c r="H8" s="1556"/>
      <c r="I8" s="1564"/>
      <c r="J8" s="1566">
        <v>0.1</v>
      </c>
      <c r="M8" s="1561"/>
      <c r="N8" s="1561"/>
      <c r="O8" s="1561"/>
      <c r="P8" s="1561"/>
      <c r="Q8" s="1561"/>
      <c r="R8" s="1561"/>
    </row>
    <row r="9" spans="1:18" outlineLevel="1">
      <c r="A9" s="1562" t="s">
        <v>3857</v>
      </c>
      <c r="B9" s="1562" t="s">
        <v>3856</v>
      </c>
      <c r="C9" s="1562" t="str">
        <f>IF('Input '!$E$1="FR",'April Property risk grading'!A9,'April Property risk grading'!B9)</f>
        <v>1 Claim in 5 years  less than 50 K$</v>
      </c>
      <c r="D9" s="1562"/>
      <c r="E9" s="1562"/>
      <c r="F9" s="1562"/>
      <c r="G9" s="1563" t="s">
        <v>3805</v>
      </c>
      <c r="H9" s="1556"/>
      <c r="I9" s="1564"/>
      <c r="J9" s="1567">
        <v>0.1</v>
      </c>
      <c r="M9" s="1561"/>
      <c r="N9" s="1561"/>
      <c r="O9" s="1561"/>
      <c r="P9" s="1561"/>
      <c r="Q9" s="1561"/>
      <c r="R9" s="1561"/>
    </row>
    <row r="10" spans="1:18" outlineLevel="1">
      <c r="A10" s="1562" t="s">
        <v>3859</v>
      </c>
      <c r="B10" s="1562" t="s">
        <v>3858</v>
      </c>
      <c r="C10" s="1562" t="str">
        <f>IF('Input '!$E$1="FR",'April Property risk grading'!A10,'April Property risk grading'!B10)</f>
        <v>2 Or more Claims in 5 years /Or any one claim max $50K</v>
      </c>
      <c r="D10" s="1562"/>
      <c r="E10" s="1568"/>
      <c r="F10" s="1568"/>
      <c r="G10" s="1565" t="s">
        <v>3823</v>
      </c>
      <c r="H10" s="1556"/>
      <c r="I10" s="1569"/>
      <c r="J10" s="1593">
        <v>0.2</v>
      </c>
      <c r="M10" s="1561"/>
      <c r="N10" s="1561"/>
      <c r="O10" s="1561"/>
      <c r="P10" s="1561"/>
      <c r="Q10" s="1561"/>
      <c r="R10" s="1561"/>
    </row>
    <row r="11" spans="1:18" outlineLevel="1">
      <c r="A11" s="1562" t="s">
        <v>3860</v>
      </c>
      <c r="B11" s="1562" t="s">
        <v>3861</v>
      </c>
      <c r="C11" s="1562" t="str">
        <f>IF('Input '!$E$1="FR",'April Property risk grading'!A11,'April Property risk grading'!B11)</f>
        <v>Claim over 50K$</v>
      </c>
      <c r="D11" s="1562"/>
      <c r="E11" s="1568"/>
      <c r="F11" s="1568"/>
      <c r="G11" s="1565" t="s">
        <v>3823</v>
      </c>
      <c r="H11" s="1556"/>
      <c r="I11" s="1569"/>
      <c r="J11" s="1593">
        <v>0.25</v>
      </c>
      <c r="M11" s="1561"/>
      <c r="N11" s="1561"/>
      <c r="O11" s="1561"/>
      <c r="P11" s="1561"/>
      <c r="Q11" s="1561"/>
      <c r="R11" s="1561"/>
    </row>
    <row r="12" spans="1:18" outlineLevel="1">
      <c r="A12" s="1558" t="s">
        <v>3890</v>
      </c>
      <c r="B12" s="1558" t="s">
        <v>3891</v>
      </c>
      <c r="C12" s="1558" t="str">
        <f>IF('Input '!$E$1="FR",'April Property risk grading'!A12,'April Property risk grading'!B12)</f>
        <v xml:space="preserve">3. Year Built :  </v>
      </c>
      <c r="D12" s="1559"/>
      <c r="E12" s="1559" t="s">
        <v>1101</v>
      </c>
      <c r="F12" s="1559"/>
      <c r="G12" s="1559" t="s">
        <v>1237</v>
      </c>
      <c r="H12" s="1559" t="s">
        <v>3456</v>
      </c>
      <c r="I12" s="1559" t="s">
        <v>3943</v>
      </c>
      <c r="J12" s="1560" t="s">
        <v>3819</v>
      </c>
      <c r="M12" s="1561"/>
      <c r="N12" s="1561"/>
      <c r="O12" s="1561"/>
      <c r="P12" s="1561"/>
      <c r="Q12" s="1561"/>
      <c r="R12" s="1561"/>
    </row>
    <row r="13" spans="1:18" outlineLevel="1">
      <c r="A13" s="1562"/>
      <c r="B13" s="1562">
        <v>0</v>
      </c>
      <c r="C13" s="1562" t="s">
        <v>3926</v>
      </c>
      <c r="D13" s="1562"/>
      <c r="E13" s="1562"/>
      <c r="F13" s="1562"/>
      <c r="G13" s="1563" t="s">
        <v>3805</v>
      </c>
      <c r="H13" s="1563" t="str">
        <f>IF('Input '!$E$1="FR","VAN","RC")</f>
        <v>RC</v>
      </c>
      <c r="I13" s="1679">
        <v>2500</v>
      </c>
      <c r="J13" s="1563"/>
      <c r="M13" s="1561"/>
      <c r="N13" s="1561"/>
      <c r="O13" s="1561"/>
      <c r="P13" s="1561"/>
      <c r="Q13" s="1561"/>
      <c r="R13" s="1561"/>
    </row>
    <row r="14" spans="1:18" outlineLevel="1">
      <c r="A14" s="1562"/>
      <c r="B14" s="1562">
        <v>26</v>
      </c>
      <c r="C14" s="1562" t="s">
        <v>3942</v>
      </c>
      <c r="D14" s="1562"/>
      <c r="E14" s="1562"/>
      <c r="F14" s="1562"/>
      <c r="G14" s="1563" t="s">
        <v>3805</v>
      </c>
      <c r="H14" s="1563" t="str">
        <f ca="1">IF('Input '!M87="P",IF('Input '!$E$1="FR","VJS"," ACV"),IF('Input '!$E$1="FR","VAN","RC"))</f>
        <v>RC</v>
      </c>
      <c r="I14" s="1679">
        <f ca="1">IF('Input '!M87="P",5000,2500)</f>
        <v>2500</v>
      </c>
      <c r="J14" s="1563"/>
      <c r="M14" s="1561"/>
      <c r="N14" s="1561"/>
      <c r="O14" s="1561"/>
      <c r="P14" s="1561"/>
      <c r="Q14" s="1561"/>
      <c r="R14" s="1561"/>
    </row>
    <row r="15" spans="1:18" outlineLevel="1">
      <c r="A15" s="1562"/>
      <c r="B15" s="1562">
        <v>41</v>
      </c>
      <c r="C15" s="1562" t="s">
        <v>3927</v>
      </c>
      <c r="D15" s="1562"/>
      <c r="E15" s="1562"/>
      <c r="F15" s="1562"/>
      <c r="G15" s="1563" t="s">
        <v>3805</v>
      </c>
      <c r="H15" s="1563" t="str">
        <f ca="1">IF('Input '!M87="P",IF('Input '!$E$1="FR","VJS","ACV"),IF('Input '!$E$1="FR","VAN","RC"))</f>
        <v>RC</v>
      </c>
      <c r="I15" s="1564"/>
      <c r="J15" s="1566"/>
      <c r="M15" s="1561"/>
      <c r="N15" s="1561"/>
      <c r="O15" s="1561"/>
      <c r="P15" s="1561"/>
      <c r="Q15" s="1561"/>
      <c r="R15" s="1561"/>
    </row>
    <row r="16" spans="1:18" outlineLevel="1">
      <c r="A16" s="1562"/>
      <c r="B16" s="1562">
        <v>55</v>
      </c>
      <c r="C16" s="1562" t="s">
        <v>3875</v>
      </c>
      <c r="D16" s="1562"/>
      <c r="E16" s="1562"/>
      <c r="F16" s="1562"/>
      <c r="G16" s="1563" t="s">
        <v>3805</v>
      </c>
      <c r="H16" s="1563" t="str">
        <f>IF('Input '!$E$1="FR","VJS"," ACV")</f>
        <v xml:space="preserve"> ACV</v>
      </c>
      <c r="I16" s="1563"/>
      <c r="J16" s="1566"/>
      <c r="M16" s="1561"/>
      <c r="N16" s="1561"/>
      <c r="O16" s="1561"/>
      <c r="P16" s="1561"/>
      <c r="Q16" s="1561"/>
      <c r="R16" s="1561"/>
    </row>
    <row r="17" spans="1:18" outlineLevel="1">
      <c r="A17" s="1642" t="s">
        <v>3893</v>
      </c>
      <c r="B17" s="1642" t="s">
        <v>3892</v>
      </c>
      <c r="C17" s="1642" t="str">
        <f>IF('Input '!$E$1="FR",'April Property risk grading'!A17,'April Property risk grading'!B17)</f>
        <v>4. The main heating system is :</v>
      </c>
      <c r="D17" s="1643"/>
      <c r="E17" s="1643" t="s">
        <v>1101</v>
      </c>
      <c r="F17" s="1643"/>
      <c r="G17" s="1643" t="s">
        <v>1237</v>
      </c>
      <c r="H17" s="1583"/>
      <c r="I17" s="1559" t="s">
        <v>3943</v>
      </c>
      <c r="J17" s="1644" t="s">
        <v>3819</v>
      </c>
      <c r="M17" s="1561"/>
      <c r="N17" s="1561"/>
      <c r="O17" s="1561"/>
      <c r="P17" s="1561"/>
      <c r="Q17" s="1561"/>
      <c r="R17" s="1561"/>
    </row>
    <row r="18" spans="1:18" ht="16.5" customHeight="1" outlineLevel="1">
      <c r="A18" s="1562" t="s">
        <v>3849</v>
      </c>
      <c r="B18" s="1562" t="s">
        <v>3822</v>
      </c>
      <c r="C18" s="1562" t="str">
        <f>IF('Input '!$E$1="FR",'April Property risk grading'!A18,'April Property risk grading'!B18)</f>
        <v>Central / Electric</v>
      </c>
      <c r="D18" s="1562"/>
      <c r="E18" s="1562"/>
      <c r="F18" s="1562"/>
      <c r="G18" s="1563" t="s">
        <v>3805</v>
      </c>
      <c r="H18" s="1556"/>
      <c r="I18" s="1563"/>
      <c r="J18" s="1563"/>
      <c r="M18" s="1561"/>
      <c r="N18" s="1561"/>
      <c r="O18" s="1561"/>
      <c r="P18" s="1561"/>
      <c r="Q18" s="1561"/>
      <c r="R18" s="1561"/>
    </row>
    <row r="19" spans="1:18" ht="16.5" customHeight="1" outlineLevel="1">
      <c r="A19" s="1562" t="s">
        <v>3852</v>
      </c>
      <c r="B19" s="1562" t="s">
        <v>3827</v>
      </c>
      <c r="C19" s="1562" t="str">
        <f>IF('Input '!$E$1="FR",'April Property risk grading'!A19,'April Property risk grading'!B19)</f>
        <v>Gas</v>
      </c>
      <c r="D19" s="1562"/>
      <c r="E19" s="1562"/>
      <c r="F19" s="1562"/>
      <c r="G19" s="1563" t="s">
        <v>3805</v>
      </c>
      <c r="H19" s="1556"/>
      <c r="I19" s="1563"/>
      <c r="J19" s="1563"/>
      <c r="M19" s="1561"/>
      <c r="N19" s="1561"/>
      <c r="O19" s="1561"/>
      <c r="P19" s="1561"/>
      <c r="Q19" s="1561"/>
      <c r="R19" s="1561"/>
    </row>
    <row r="20" spans="1:18" ht="16.5" customHeight="1" outlineLevel="1">
      <c r="A20" s="1562" t="s">
        <v>3904</v>
      </c>
      <c r="B20" s="1562" t="s">
        <v>3905</v>
      </c>
      <c r="C20" s="1562" t="str">
        <f>IF('Input '!$E$1="FR",'April Property risk grading'!A20,'April Property risk grading'!B20)</f>
        <v>Main wood heating*</v>
      </c>
      <c r="D20" s="1562"/>
      <c r="E20" s="1562"/>
      <c r="F20" s="1562"/>
      <c r="G20" s="1565" t="s">
        <v>3823</v>
      </c>
      <c r="H20" s="1556"/>
      <c r="I20" s="1563"/>
      <c r="J20" s="1566">
        <v>0.35</v>
      </c>
      <c r="M20" s="1561"/>
      <c r="N20" s="1561"/>
      <c r="O20" s="1561"/>
      <c r="P20" s="1561"/>
      <c r="Q20" s="1561"/>
      <c r="R20" s="1561"/>
    </row>
    <row r="21" spans="1:18" ht="16.5" customHeight="1" outlineLevel="1">
      <c r="A21" s="1562" t="s">
        <v>3907</v>
      </c>
      <c r="B21" s="1562" t="s">
        <v>3906</v>
      </c>
      <c r="C21" s="1562" t="str">
        <f>IF('Input '!$E$1="FR",'April Property risk grading'!A21,'April Property risk grading'!B21)</f>
        <v>Main Electric  and wood auxiliary</v>
      </c>
      <c r="D21" s="1562"/>
      <c r="E21" s="1562"/>
      <c r="F21" s="1562"/>
      <c r="G21" s="1563" t="s">
        <v>3805</v>
      </c>
      <c r="H21" s="1556"/>
      <c r="I21" s="1563"/>
      <c r="J21" s="1566">
        <v>0.1</v>
      </c>
      <c r="M21" s="1561"/>
      <c r="N21" s="1561"/>
      <c r="O21" s="1561"/>
      <c r="P21" s="1561"/>
      <c r="Q21" s="1561"/>
      <c r="R21" s="1561"/>
    </row>
    <row r="22" spans="1:18" ht="16.5" customHeight="1" outlineLevel="1">
      <c r="A22" s="1562" t="s">
        <v>3908</v>
      </c>
      <c r="B22" s="1562" t="s">
        <v>3909</v>
      </c>
      <c r="C22" s="1562" t="str">
        <f>IF('Input '!$E$1="FR",'April Property risk grading'!A22,'April Property risk grading'!B22)</f>
        <v>main Gaz and  Wood Auxiliary</v>
      </c>
      <c r="D22" s="1562"/>
      <c r="E22" s="1562"/>
      <c r="F22" s="1570"/>
      <c r="G22" s="1563" t="s">
        <v>3805</v>
      </c>
      <c r="H22" s="1556"/>
      <c r="I22" s="1571"/>
      <c r="J22" s="1574">
        <v>0.1</v>
      </c>
      <c r="M22" s="1561"/>
      <c r="N22" s="1561"/>
      <c r="O22" s="1561"/>
      <c r="P22" s="1561"/>
      <c r="Q22" s="1561"/>
      <c r="R22" s="1561"/>
    </row>
    <row r="23" spans="1:18" outlineLevel="1">
      <c r="A23" s="1558" t="s">
        <v>3895</v>
      </c>
      <c r="B23" s="1558" t="s">
        <v>3894</v>
      </c>
      <c r="C23" s="1558" t="str">
        <f>IF('Input '!$E$1="FR",'April Property risk grading'!A23,'April Property risk grading'!B23)</f>
        <v>5. Updates / Renovations : all property except tools</v>
      </c>
      <c r="D23" s="1559"/>
      <c r="E23" s="1559" t="s">
        <v>1101</v>
      </c>
      <c r="F23" s="1559"/>
      <c r="G23" s="1559" t="s">
        <v>1237</v>
      </c>
      <c r="H23" s="1556"/>
      <c r="I23" s="1559" t="s">
        <v>3943</v>
      </c>
      <c r="J23" s="1560" t="s">
        <v>3819</v>
      </c>
      <c r="M23" s="1561"/>
      <c r="N23" s="1561"/>
      <c r="O23" s="1561"/>
      <c r="P23" s="1561"/>
      <c r="Q23" s="1561"/>
      <c r="R23" s="1561"/>
    </row>
    <row r="24" spans="1:18" outlineLevel="1">
      <c r="A24" s="1562" t="s">
        <v>3886</v>
      </c>
      <c r="B24" s="1562" t="s">
        <v>3885</v>
      </c>
      <c r="C24" s="1562" t="str">
        <f>IF('Input '!$E$1="FR",'April Property risk grading'!A24,'April Property risk grading'!B24)</f>
        <v>New Building</v>
      </c>
      <c r="D24" s="1562"/>
      <c r="E24" s="1562"/>
      <c r="F24" s="1562"/>
      <c r="G24" s="1563" t="s">
        <v>3805</v>
      </c>
      <c r="H24" s="1556"/>
      <c r="I24" s="1563"/>
      <c r="J24" s="1571"/>
      <c r="M24" s="1561"/>
      <c r="N24" s="1561"/>
      <c r="O24" s="1561"/>
      <c r="P24" s="1561"/>
      <c r="Q24" s="1561"/>
      <c r="R24" s="1561"/>
    </row>
    <row r="25" spans="1:18" outlineLevel="1">
      <c r="A25" s="1562" t="s">
        <v>3912</v>
      </c>
      <c r="B25" s="1562" t="s">
        <v>3911</v>
      </c>
      <c r="C25" s="1562" t="str">
        <f>IF('Input '!$E$1="FR",'April Property risk grading'!A25,'April Property risk grading'!B25)</f>
        <v>Fully updated in last 25 years</v>
      </c>
      <c r="D25" s="1562"/>
      <c r="E25" s="1562"/>
      <c r="F25" s="1562"/>
      <c r="G25" s="1563" t="s">
        <v>3805</v>
      </c>
      <c r="H25" s="1556"/>
      <c r="I25" s="1563"/>
      <c r="J25" s="1571"/>
      <c r="M25" s="1561"/>
      <c r="N25" s="1561"/>
      <c r="O25" s="1561"/>
      <c r="P25" s="1561"/>
      <c r="Q25" s="1561"/>
      <c r="R25" s="1561"/>
    </row>
    <row r="26" spans="1:18" outlineLevel="1">
      <c r="A26" s="1562" t="s">
        <v>3837</v>
      </c>
      <c r="B26" s="1562" t="s">
        <v>3811</v>
      </c>
      <c r="C26" s="1562" t="str">
        <f>IF('Input '!$E$1="FR",'April Property risk grading'!A26,'April Property risk grading'!B26)</f>
        <v>Partial Updates</v>
      </c>
      <c r="D26" s="1562"/>
      <c r="E26" s="1562"/>
      <c r="F26" s="1562"/>
      <c r="G26" s="1563" t="s">
        <v>3805</v>
      </c>
      <c r="H26" s="1556"/>
      <c r="I26" s="1596"/>
      <c r="J26" s="1574"/>
      <c r="M26" s="1561"/>
      <c r="N26" s="1561"/>
      <c r="O26" s="1561"/>
      <c r="P26" s="1561"/>
      <c r="Q26" s="1561"/>
      <c r="R26" s="1561"/>
    </row>
    <row r="27" spans="1:18" outlineLevel="1">
      <c r="A27" s="1562" t="s">
        <v>3838</v>
      </c>
      <c r="B27" s="1562" t="s">
        <v>3812</v>
      </c>
      <c r="C27" s="1562" t="str">
        <f>IF('Input '!$E$1="FR",'April Property risk grading'!A27,'April Property risk grading'!B27)</f>
        <v>No Updates</v>
      </c>
      <c r="D27" s="1562"/>
      <c r="E27" s="1562"/>
      <c r="F27" s="1562"/>
      <c r="G27" s="1563" t="s">
        <v>258</v>
      </c>
      <c r="H27" s="1556"/>
      <c r="I27" s="1597"/>
      <c r="J27" s="1571"/>
      <c r="M27" s="1561"/>
      <c r="N27" s="1561"/>
      <c r="O27" s="1561"/>
      <c r="P27" s="1561"/>
      <c r="Q27" s="1561"/>
      <c r="R27" s="1561"/>
    </row>
    <row r="28" spans="1:18" outlineLevel="1">
      <c r="A28" s="1558" t="s">
        <v>3897</v>
      </c>
      <c r="B28" s="1558" t="s">
        <v>3896</v>
      </c>
      <c r="C28" s="1558" t="str">
        <f>IF('Input '!$E$1="FR",'April Property risk grading'!A28,'April Property risk grading'!B28)</f>
        <v>6. Location</v>
      </c>
      <c r="D28" s="1559"/>
      <c r="E28" s="1559" t="s">
        <v>1101</v>
      </c>
      <c r="F28" s="1559"/>
      <c r="G28" s="1559" t="s">
        <v>1237</v>
      </c>
      <c r="H28" s="1556"/>
      <c r="I28" s="1559" t="s">
        <v>3943</v>
      </c>
      <c r="J28" s="1560" t="s">
        <v>3819</v>
      </c>
      <c r="M28" s="1561"/>
      <c r="N28" s="1561"/>
      <c r="O28" s="1561"/>
      <c r="P28" s="1561"/>
      <c r="Q28" s="1561"/>
      <c r="R28" s="1561"/>
    </row>
    <row r="29" spans="1:18" outlineLevel="1">
      <c r="A29" s="1562" t="s">
        <v>3935</v>
      </c>
      <c r="B29" s="1562" t="s">
        <v>3930</v>
      </c>
      <c r="C29" s="1562" t="str">
        <f>IF('Input '!$E$1="FR",'April Property risk grading'!A29,'April Property risk grading'!B29)</f>
        <v>Clear area min 50 '</v>
      </c>
      <c r="D29" s="1562"/>
      <c r="E29" s="1562"/>
      <c r="F29" s="1562"/>
      <c r="G29" s="1563" t="s">
        <v>3805</v>
      </c>
      <c r="H29" s="1556"/>
      <c r="I29" s="1563"/>
      <c r="J29" s="1563"/>
      <c r="L29" s="1562"/>
      <c r="M29" s="1561"/>
      <c r="N29" s="1561"/>
      <c r="O29" s="1561"/>
      <c r="P29" s="1561"/>
      <c r="Q29" s="1561"/>
      <c r="R29" s="1561"/>
    </row>
    <row r="30" spans="1:18" ht="18" customHeight="1" outlineLevel="1">
      <c r="A30" s="1562" t="s">
        <v>3937</v>
      </c>
      <c r="B30" s="1562" t="s">
        <v>3932</v>
      </c>
      <c r="C30" s="1562" t="str">
        <f>IF('Input '!$E$1="FR",'April Property risk grading'!A30,'April Property risk grading'!B30)</f>
        <v>Location with a nearby risk lower than the insured risk</v>
      </c>
      <c r="D30" s="1562"/>
      <c r="E30" s="1562"/>
      <c r="F30" s="1562"/>
      <c r="G30" s="1563" t="s">
        <v>3805</v>
      </c>
      <c r="H30" s="1556"/>
      <c r="I30" s="1563"/>
      <c r="J30" s="1566">
        <v>0.1</v>
      </c>
      <c r="L30" s="1562"/>
      <c r="M30" s="1561"/>
      <c r="N30" s="1561"/>
      <c r="O30" s="1561"/>
      <c r="P30" s="1561"/>
      <c r="Q30" s="1561"/>
      <c r="R30" s="1561"/>
    </row>
    <row r="31" spans="1:18" ht="18" customHeight="1" outlineLevel="1">
      <c r="A31" s="1562" t="s">
        <v>3938</v>
      </c>
      <c r="B31" s="1562" t="s">
        <v>3933</v>
      </c>
      <c r="C31" s="1562" t="str">
        <f>IF('Input '!$E$1="FR",'April Property risk grading'!A31,'April Property risk grading'!B31)</f>
        <v>Location with nearby risk  higher than the insured risk (ex: cabinetmaking, restaurant)</v>
      </c>
      <c r="D31" s="1562"/>
      <c r="E31" s="1562"/>
      <c r="F31" s="1562"/>
      <c r="G31" s="1563" t="s">
        <v>3805</v>
      </c>
      <c r="H31" s="1556"/>
      <c r="I31" s="1563"/>
      <c r="J31" s="1566">
        <v>0.35</v>
      </c>
      <c r="L31" s="1562"/>
      <c r="M31" s="1561"/>
      <c r="N31" s="1561"/>
      <c r="O31" s="1561"/>
      <c r="P31" s="1561"/>
      <c r="Q31" s="1561"/>
      <c r="R31" s="1561"/>
    </row>
    <row r="32" spans="1:18" ht="18" customHeight="1" outlineLevel="1">
      <c r="A32" s="1562" t="s">
        <v>3936</v>
      </c>
      <c r="B32" s="1562" t="s">
        <v>3931</v>
      </c>
      <c r="C32" s="1562" t="str">
        <f>IF('Input '!$E$1="FR",'April Property risk grading'!A32,'April Property risk grading'!B32)</f>
        <v>Location in congested area, low risk nearby</v>
      </c>
      <c r="D32" s="1562"/>
      <c r="E32" s="1562"/>
      <c r="F32" s="1562"/>
      <c r="G32" s="1563" t="s">
        <v>3805</v>
      </c>
      <c r="H32" s="1556"/>
      <c r="I32" s="1563"/>
      <c r="J32" s="1566">
        <v>0.25</v>
      </c>
      <c r="L32" s="1562"/>
      <c r="M32" s="1561"/>
      <c r="N32" s="1561"/>
      <c r="O32" s="1561"/>
      <c r="P32" s="1561"/>
      <c r="Q32" s="1561"/>
      <c r="R32" s="1561"/>
    </row>
    <row r="33" spans="1:18" outlineLevel="1">
      <c r="A33" s="1562" t="s">
        <v>3939</v>
      </c>
      <c r="B33" s="1562" t="s">
        <v>3934</v>
      </c>
      <c r="C33" s="1562" t="str">
        <f>IF('Input '!$E$1="FR",'April Property risk grading'!A33,'April Property risk grading'!B33)</f>
        <v xml:space="preserve">Location in  congested area with nearby risk higher that the main risk (ex: cabinetmaking, restaurant) </v>
      </c>
      <c r="D33" s="1562"/>
      <c r="E33" s="1562"/>
      <c r="F33" s="1562"/>
      <c r="G33" s="1563" t="s">
        <v>258</v>
      </c>
      <c r="H33" s="1556"/>
      <c r="I33" s="1563"/>
      <c r="J33" s="1563"/>
      <c r="L33" s="1562"/>
      <c r="M33" s="1561"/>
      <c r="N33" s="1561"/>
      <c r="O33" s="1561"/>
      <c r="P33" s="1561"/>
      <c r="Q33" s="1561"/>
      <c r="R33" s="1561"/>
    </row>
    <row r="34" spans="1:18" outlineLevel="1">
      <c r="A34" s="1558" t="s">
        <v>3898</v>
      </c>
      <c r="B34" s="1558" t="s">
        <v>3898</v>
      </c>
      <c r="C34" s="1558" t="str">
        <f>IF('Input '!$E$1="FR",'April Property risk grading'!A34,'April Property risk grading'!B34)</f>
        <v xml:space="preserve">7. Inspection </v>
      </c>
      <c r="D34" s="1559"/>
      <c r="E34" s="1559" t="s">
        <v>1101</v>
      </c>
      <c r="F34" s="1559" t="s">
        <v>3818</v>
      </c>
      <c r="G34" s="1559" t="s">
        <v>1237</v>
      </c>
      <c r="H34" s="1556"/>
      <c r="I34" s="1559" t="s">
        <v>3943</v>
      </c>
      <c r="J34" s="1560" t="s">
        <v>3819</v>
      </c>
      <c r="M34" s="1561"/>
      <c r="N34" s="1561"/>
      <c r="O34" s="1561"/>
      <c r="P34" s="1561"/>
      <c r="Q34" s="1561"/>
      <c r="R34" s="1561"/>
    </row>
    <row r="35" spans="1:18" outlineLevel="1">
      <c r="A35" s="1562" t="s">
        <v>3850</v>
      </c>
      <c r="B35" s="1562" t="s">
        <v>3824</v>
      </c>
      <c r="C35" s="1562" t="str">
        <f>IF('Input '!$E$1="FR",'April Property risk grading'!A35,'April Property risk grading'!B35)</f>
        <v>Inspection not received yet</v>
      </c>
      <c r="D35" s="1562"/>
      <c r="E35" s="1562"/>
      <c r="F35" s="1562"/>
      <c r="G35" s="1563" t="s">
        <v>3805</v>
      </c>
      <c r="H35" s="1556"/>
      <c r="I35" s="1563"/>
      <c r="J35" s="1563"/>
      <c r="M35" s="1561"/>
      <c r="N35" s="1561"/>
      <c r="O35" s="1561"/>
      <c r="P35" s="1561"/>
      <c r="Q35" s="1561"/>
      <c r="R35" s="1561"/>
    </row>
    <row r="36" spans="1:18" outlineLevel="1">
      <c r="A36" s="1562" t="s">
        <v>3842</v>
      </c>
      <c r="B36" s="1562" t="s">
        <v>3825</v>
      </c>
      <c r="C36" s="1562" t="str">
        <f>IF('Input '!$E$1="FR",'April Property risk grading'!A36,'April Property risk grading'!B36)</f>
        <v>Inspection not necessary (TIV under 100K)</v>
      </c>
      <c r="D36" s="1562"/>
      <c r="E36" s="1562"/>
      <c r="F36" s="1562"/>
      <c r="G36" s="1563" t="s">
        <v>3805</v>
      </c>
      <c r="H36" s="1556"/>
      <c r="I36" s="1563"/>
      <c r="J36" s="1563"/>
      <c r="M36" s="1561"/>
      <c r="N36" s="1561"/>
      <c r="O36" s="1561"/>
      <c r="P36" s="1561"/>
      <c r="Q36" s="1561"/>
      <c r="R36" s="1561"/>
    </row>
    <row r="37" spans="1:18" outlineLevel="1">
      <c r="A37" s="1562" t="s">
        <v>3840</v>
      </c>
      <c r="B37" s="1562" t="s">
        <v>3807</v>
      </c>
      <c r="C37" s="1562" t="str">
        <f>IF('Input '!$E$1="FR",'April Property risk grading'!A37,'April Property risk grading'!B37)</f>
        <v>Excellent</v>
      </c>
      <c r="D37" s="1562"/>
      <c r="E37" s="1562"/>
      <c r="F37" s="1562"/>
      <c r="G37" s="1563" t="s">
        <v>3805</v>
      </c>
      <c r="H37" s="1556"/>
      <c r="I37" s="1563"/>
      <c r="J37" s="1563"/>
      <c r="M37" s="1561"/>
      <c r="N37" s="1561"/>
      <c r="O37" s="1561"/>
      <c r="P37" s="1561"/>
      <c r="Q37" s="1561"/>
      <c r="R37" s="1561"/>
    </row>
    <row r="38" spans="1:18" outlineLevel="1">
      <c r="A38" s="1562" t="s">
        <v>3841</v>
      </c>
      <c r="B38" s="1562" t="s">
        <v>3808</v>
      </c>
      <c r="C38" s="1562" t="str">
        <f>IF('Input '!$E$1="FR",'April Property risk grading'!A38,'April Property risk grading'!B38)</f>
        <v>Good</v>
      </c>
      <c r="D38" s="1562"/>
      <c r="E38" s="1562"/>
      <c r="F38" s="1562"/>
      <c r="G38" s="1563" t="s">
        <v>3805</v>
      </c>
      <c r="H38" s="1556"/>
      <c r="I38" s="1563"/>
      <c r="J38" s="1563"/>
      <c r="M38" s="1561"/>
      <c r="N38" s="1561"/>
      <c r="O38" s="1561"/>
      <c r="P38" s="1561"/>
      <c r="Q38" s="1561"/>
      <c r="R38" s="1561"/>
    </row>
    <row r="39" spans="1:18" outlineLevel="1">
      <c r="A39" s="1562" t="s">
        <v>3839</v>
      </c>
      <c r="B39" s="1562" t="s">
        <v>3809</v>
      </c>
      <c r="C39" s="1562" t="str">
        <f>IF('Input '!$E$1="FR",'April Property risk grading'!A39,'April Property risk grading'!B39)</f>
        <v>Average</v>
      </c>
      <c r="D39" s="1562"/>
      <c r="E39" s="1562"/>
      <c r="F39" s="1562"/>
      <c r="G39" s="1563" t="s">
        <v>3805</v>
      </c>
      <c r="H39" s="1556"/>
      <c r="I39" s="1564">
        <v>2500</v>
      </c>
      <c r="J39" s="1573">
        <v>0.1</v>
      </c>
      <c r="M39" s="1561"/>
      <c r="N39" s="1561"/>
      <c r="O39" s="1561"/>
      <c r="P39" s="1561"/>
      <c r="Q39" s="1561"/>
      <c r="R39" s="1561"/>
    </row>
    <row r="40" spans="1:18" outlineLevel="1">
      <c r="A40" s="1562" t="s">
        <v>3843</v>
      </c>
      <c r="B40" s="1562" t="s">
        <v>3810</v>
      </c>
      <c r="C40" s="1562" t="str">
        <f>IF('Input '!$E$1="FR",'April Property risk grading'!A40,'April Property risk grading'!B40)</f>
        <v>Below Average</v>
      </c>
      <c r="D40" s="1562"/>
      <c r="E40" s="1562"/>
      <c r="F40" s="1562"/>
      <c r="G40" s="1563" t="s">
        <v>258</v>
      </c>
      <c r="H40" s="1556"/>
      <c r="I40" s="1563"/>
      <c r="J40" s="1563"/>
      <c r="M40" s="1561"/>
      <c r="N40" s="1561"/>
      <c r="O40" s="1561"/>
      <c r="P40" s="1561"/>
      <c r="Q40" s="1561"/>
      <c r="R40" s="1561"/>
    </row>
    <row r="41" spans="1:18" outlineLevel="1">
      <c r="A41" s="1562" t="s">
        <v>3851</v>
      </c>
      <c r="B41" s="1562" t="s">
        <v>3828</v>
      </c>
      <c r="C41" s="1562" t="str">
        <f>IF('Input '!$E$1="FR",'April Property risk grading'!A41,'April Property risk grading'!B41)</f>
        <v>Poor / Recommendations not followed</v>
      </c>
      <c r="D41" s="1562"/>
      <c r="E41" s="1562"/>
      <c r="F41" s="1562"/>
      <c r="G41" s="1563" t="s">
        <v>258</v>
      </c>
      <c r="H41" s="1556"/>
      <c r="I41" s="1563"/>
      <c r="J41" s="1563"/>
      <c r="M41" s="1561"/>
      <c r="N41" s="1561"/>
      <c r="O41" s="1561"/>
      <c r="P41" s="1561"/>
      <c r="Q41" s="1561"/>
      <c r="R41" s="1561"/>
    </row>
    <row r="42" spans="1:18" outlineLevel="1">
      <c r="A42" s="1558" t="s">
        <v>3940</v>
      </c>
      <c r="B42" s="1558" t="s">
        <v>3899</v>
      </c>
      <c r="C42" s="1558" t="str">
        <f>IF('Input '!$E$1="FR",'April Property risk grading'!A42,'April Property risk grading'!B42)</f>
        <v>8. Bankruptcy / Criminal record</v>
      </c>
      <c r="D42" s="1559"/>
      <c r="E42" s="1559" t="s">
        <v>1101</v>
      </c>
      <c r="F42" s="1559"/>
      <c r="G42" s="1559" t="s">
        <v>1237</v>
      </c>
      <c r="H42" s="1556"/>
      <c r="I42" s="1559" t="s">
        <v>3943</v>
      </c>
      <c r="J42" s="1560" t="s">
        <v>3819</v>
      </c>
      <c r="M42" s="1561"/>
      <c r="N42" s="1561"/>
      <c r="O42" s="1561"/>
      <c r="P42" s="1561"/>
      <c r="Q42" s="1561"/>
      <c r="R42" s="1561"/>
    </row>
    <row r="43" spans="1:18" outlineLevel="1">
      <c r="A43" s="1562" t="s">
        <v>3821</v>
      </c>
      <c r="B43" s="1562" t="s">
        <v>3821</v>
      </c>
      <c r="C43" s="1562" t="str">
        <f>IF('Input '!$E$1="FR",'April Property risk grading'!A43,'April Property risk grading'!B43)</f>
        <v>No</v>
      </c>
      <c r="D43" s="1562"/>
      <c r="E43" s="1562"/>
      <c r="F43" s="1562"/>
      <c r="G43" s="1563" t="s">
        <v>3805</v>
      </c>
      <c r="H43" s="1556"/>
      <c r="I43" s="1563"/>
      <c r="J43" s="1563"/>
      <c r="M43" s="1561"/>
      <c r="N43" s="1561"/>
      <c r="O43" s="1561"/>
      <c r="P43" s="1561"/>
      <c r="Q43" s="1561"/>
      <c r="R43" s="1561"/>
    </row>
    <row r="44" spans="1:18" outlineLevel="1">
      <c r="A44" s="1562" t="s">
        <v>3737</v>
      </c>
      <c r="B44" s="1562" t="s">
        <v>3739</v>
      </c>
      <c r="C44" s="1562" t="str">
        <f>IF('Input '!$E$1="FR",'April Property risk grading'!A44,'April Property risk grading'!B44)</f>
        <v>Criminal Record</v>
      </c>
      <c r="D44" s="1562"/>
      <c r="E44" s="1562"/>
      <c r="F44" s="1562"/>
      <c r="G44" s="1565" t="s">
        <v>3823</v>
      </c>
      <c r="H44" s="1556"/>
      <c r="I44" s="1564"/>
      <c r="J44" s="1574">
        <v>0.1</v>
      </c>
      <c r="M44" s="1561"/>
      <c r="N44" s="1561"/>
      <c r="O44" s="1561"/>
      <c r="P44" s="1561"/>
      <c r="Q44" s="1561"/>
      <c r="R44" s="1561"/>
    </row>
    <row r="45" spans="1:18" outlineLevel="1">
      <c r="A45" s="1562" t="s">
        <v>3738</v>
      </c>
      <c r="B45" s="1562" t="s">
        <v>3740</v>
      </c>
      <c r="C45" s="1562" t="str">
        <f>IF('Input '!$E$1="FR",'April Property risk grading'!A45,'April Property risk grading'!B45)</f>
        <v>Bankruptcy</v>
      </c>
      <c r="D45" s="1562"/>
      <c r="E45" s="1562"/>
      <c r="F45" s="1562"/>
      <c r="G45" s="1565" t="s">
        <v>3823</v>
      </c>
      <c r="H45" s="1556"/>
      <c r="I45" s="1564"/>
      <c r="J45" s="1574">
        <v>0.1</v>
      </c>
      <c r="M45" s="1561"/>
      <c r="N45" s="1561"/>
      <c r="O45" s="1561"/>
      <c r="P45" s="1561"/>
      <c r="Q45" s="1561"/>
      <c r="R45" s="1561"/>
    </row>
    <row r="46" spans="1:18" outlineLevel="1">
      <c r="A46" s="1562" t="s">
        <v>3928</v>
      </c>
      <c r="B46" s="1562" t="s">
        <v>3929</v>
      </c>
      <c r="C46" s="1562" t="str">
        <f>IF('Input '!$E$1="FR",'April Property risk grading'!A46,'April Property risk grading'!B46)</f>
        <v>cancelled by previous Insurer for non- payment</v>
      </c>
      <c r="D46" s="1562"/>
      <c r="E46" s="1562"/>
      <c r="F46" s="1562"/>
      <c r="G46" s="1565" t="s">
        <v>3823</v>
      </c>
      <c r="H46" s="1556"/>
      <c r="I46" s="1564"/>
      <c r="J46" s="1574">
        <v>0.15</v>
      </c>
      <c r="M46" s="1561"/>
      <c r="N46" s="1561"/>
      <c r="O46" s="1561"/>
      <c r="P46" s="1561"/>
      <c r="Q46" s="1561"/>
      <c r="R46" s="1561"/>
    </row>
    <row r="47" spans="1:18" outlineLevel="1">
      <c r="A47" s="1558" t="s">
        <v>3901</v>
      </c>
      <c r="B47" s="1558" t="s">
        <v>3900</v>
      </c>
      <c r="C47" s="1558" t="str">
        <f>IF('Input '!$E$1="FR",'April Property risk grading'!A47,'April Property risk grading'!B47)</f>
        <v>9. Alarm</v>
      </c>
      <c r="D47" s="1559"/>
      <c r="E47" s="1559" t="s">
        <v>1101</v>
      </c>
      <c r="F47" s="1559"/>
      <c r="G47" s="1559" t="s">
        <v>1237</v>
      </c>
      <c r="H47" s="1556"/>
      <c r="I47" s="1559" t="s">
        <v>3943</v>
      </c>
      <c r="J47" s="1560" t="s">
        <v>3819</v>
      </c>
      <c r="M47" s="1561"/>
      <c r="N47" s="1561"/>
      <c r="O47" s="1561"/>
      <c r="P47" s="1561"/>
      <c r="Q47" s="1561"/>
      <c r="R47" s="1561"/>
    </row>
    <row r="48" spans="1:18" outlineLevel="1">
      <c r="A48" s="1562" t="s">
        <v>3844</v>
      </c>
      <c r="B48" s="1562" t="s">
        <v>3834</v>
      </c>
      <c r="C48" s="1562" t="str">
        <f>IF('Input '!$E$1="FR",'April Property risk grading'!A48,'April Property risk grading'!B48)</f>
        <v>Fire and Burglar</v>
      </c>
      <c r="D48" s="1562"/>
      <c r="E48" s="1562"/>
      <c r="F48" s="1562"/>
      <c r="G48" s="1563" t="s">
        <v>3805</v>
      </c>
      <c r="H48" s="1556"/>
      <c r="I48" s="1563"/>
      <c r="J48" s="1566">
        <v>-0.1</v>
      </c>
      <c r="M48" s="1561"/>
      <c r="N48" s="1561"/>
      <c r="O48" s="1561"/>
      <c r="P48" s="1561"/>
      <c r="Q48" s="1561"/>
      <c r="R48" s="1561"/>
    </row>
    <row r="49" spans="1:18" outlineLevel="1">
      <c r="A49" s="1562" t="s">
        <v>3845</v>
      </c>
      <c r="B49" s="1562" t="s">
        <v>3833</v>
      </c>
      <c r="C49" s="1562" t="str">
        <f>IF('Input '!$E$1="FR",'April Property risk grading'!A49,'April Property risk grading'!B49)</f>
        <v>Burglar Only</v>
      </c>
      <c r="D49" s="1562"/>
      <c r="E49" s="1562"/>
      <c r="F49" s="1562"/>
      <c r="G49" s="1563" t="s">
        <v>3805</v>
      </c>
      <c r="H49" s="1556"/>
      <c r="I49" s="1563"/>
      <c r="J49" s="1566">
        <v>-0.05</v>
      </c>
      <c r="M49" s="1561"/>
      <c r="N49" s="1561"/>
      <c r="O49" s="1561"/>
      <c r="P49" s="1561"/>
      <c r="Q49" s="1561"/>
      <c r="R49" s="1561"/>
    </row>
    <row r="50" spans="1:18" outlineLevel="1">
      <c r="A50" s="1562" t="s">
        <v>3846</v>
      </c>
      <c r="B50" s="1562" t="s">
        <v>3832</v>
      </c>
      <c r="C50" s="1562" t="str">
        <f>IF('Input '!$E$1="FR",'April Property risk grading'!A50,'April Property risk grading'!B50)</f>
        <v>Fire Only</v>
      </c>
      <c r="D50" s="1562"/>
      <c r="E50" s="1562"/>
      <c r="F50" s="1562"/>
      <c r="G50" s="1563" t="s">
        <v>3805</v>
      </c>
      <c r="H50" s="1556"/>
      <c r="I50" s="1563"/>
      <c r="J50" s="1566">
        <v>-0.05</v>
      </c>
      <c r="M50" s="1561"/>
      <c r="N50" s="1561"/>
      <c r="O50" s="1561"/>
      <c r="P50" s="1561"/>
      <c r="Q50" s="1561"/>
      <c r="R50" s="1561"/>
    </row>
    <row r="51" spans="1:18" outlineLevel="1">
      <c r="A51" s="1562" t="s">
        <v>1032</v>
      </c>
      <c r="B51" s="1562" t="s">
        <v>1032</v>
      </c>
      <c r="C51" s="1562" t="str">
        <f>IF('Input '!$E$1="FR",'April Property risk grading'!A51,'April Property risk grading'!B51)</f>
        <v>N</v>
      </c>
      <c r="D51" s="1562"/>
      <c r="E51" s="1562"/>
      <c r="F51" s="1562"/>
      <c r="G51" s="1563" t="s">
        <v>3805</v>
      </c>
      <c r="H51" s="1556"/>
      <c r="I51" s="1572"/>
      <c r="J51" s="1572"/>
      <c r="M51" s="1561"/>
      <c r="N51" s="1561"/>
      <c r="O51" s="1561"/>
      <c r="P51" s="1561"/>
      <c r="Q51" s="1561"/>
      <c r="R51" s="1561"/>
    </row>
    <row r="52" spans="1:18" outlineLevel="1">
      <c r="A52" s="1558" t="s">
        <v>1219</v>
      </c>
      <c r="B52" s="1558" t="s">
        <v>3132</v>
      </c>
      <c r="C52" s="1558" t="str">
        <f>IF('Input '!$E$1="FR",'April Property risk grading'!A52,'April Property risk grading'!B52)</f>
        <v>Nb of storeys</v>
      </c>
      <c r="D52" s="1559"/>
      <c r="E52" s="1559"/>
      <c r="F52" s="1559"/>
      <c r="G52" s="1559" t="s">
        <v>1237</v>
      </c>
      <c r="H52" s="1556"/>
      <c r="I52" s="1559" t="s">
        <v>3943</v>
      </c>
      <c r="J52" s="1560" t="s">
        <v>3819</v>
      </c>
      <c r="M52" s="1561"/>
      <c r="N52" s="1561"/>
      <c r="O52" s="1561"/>
      <c r="P52" s="1561"/>
      <c r="Q52" s="1561"/>
      <c r="R52" s="1561"/>
    </row>
    <row r="53" spans="1:18" outlineLevel="1">
      <c r="A53" s="1558"/>
      <c r="B53" s="1558"/>
      <c r="C53" s="1677" t="s">
        <v>3941</v>
      </c>
      <c r="D53" s="1559"/>
      <c r="E53" s="1559"/>
      <c r="F53" s="1559"/>
      <c r="G53" s="1559" t="s">
        <v>3805</v>
      </c>
      <c r="H53" s="1556"/>
      <c r="I53" s="1559"/>
      <c r="J53" s="1676">
        <v>0.1</v>
      </c>
      <c r="M53" s="1561"/>
      <c r="N53" s="1561"/>
      <c r="O53" s="1561"/>
      <c r="P53" s="1561"/>
      <c r="Q53" s="1561"/>
      <c r="R53" s="1561"/>
    </row>
    <row r="54" spans="1:18" outlineLevel="1">
      <c r="A54" s="1558" t="s">
        <v>3944</v>
      </c>
      <c r="B54" s="1558" t="s">
        <v>3945</v>
      </c>
      <c r="C54" s="1558" t="str">
        <f>IF('Input '!$E$1="FR",'April Property risk grading'!A54,'April Property risk grading'!B54)</f>
        <v>Are there more than 2 mortgagees or Non-standard morgagee</v>
      </c>
      <c r="D54" s="1559"/>
      <c r="E54" s="1559"/>
      <c r="F54" s="1559"/>
      <c r="G54" s="1559" t="s">
        <v>1237</v>
      </c>
      <c r="H54" s="1556"/>
      <c r="I54" s="1559" t="s">
        <v>3943</v>
      </c>
      <c r="J54" s="1560" t="s">
        <v>3819</v>
      </c>
      <c r="M54" s="1561"/>
      <c r="N54" s="1561"/>
      <c r="O54" s="1561"/>
      <c r="P54" s="1561"/>
      <c r="Q54" s="1561"/>
      <c r="R54" s="1561"/>
    </row>
    <row r="55" spans="1:18" outlineLevel="1">
      <c r="A55" s="1562" t="s">
        <v>3847</v>
      </c>
      <c r="B55" s="1562" t="s">
        <v>3805</v>
      </c>
      <c r="C55" s="1562" t="str">
        <f>IF('Input '!$E$1="FR",'April Property risk grading'!A55,'April Property risk grading'!B55)</f>
        <v>Yes</v>
      </c>
      <c r="D55" s="1559"/>
      <c r="E55" s="1559"/>
      <c r="F55" s="1559"/>
      <c r="G55" s="1565" t="s">
        <v>3823</v>
      </c>
      <c r="H55" s="1556"/>
      <c r="I55" s="1559"/>
      <c r="J55" s="1560"/>
      <c r="M55" s="1561"/>
      <c r="N55" s="1561"/>
      <c r="O55" s="1561"/>
      <c r="P55" s="1561"/>
      <c r="Q55" s="1561"/>
      <c r="R55" s="1561"/>
    </row>
    <row r="56" spans="1:18" outlineLevel="1">
      <c r="A56" s="1562" t="s">
        <v>1032</v>
      </c>
      <c r="B56" s="1562" t="s">
        <v>1032</v>
      </c>
      <c r="C56" s="1562" t="str">
        <f>IF('Input '!$E$1="FR",'April Property risk grading'!A56,'April Property risk grading'!B56)</f>
        <v>N</v>
      </c>
      <c r="D56" s="1559"/>
      <c r="E56" s="1559"/>
      <c r="F56" s="1559"/>
      <c r="G56" s="1565" t="s">
        <v>3805</v>
      </c>
      <c r="H56" s="1556"/>
      <c r="I56" s="1559"/>
      <c r="J56" s="1676"/>
      <c r="M56" s="1561"/>
      <c r="N56" s="1561"/>
      <c r="O56" s="1561"/>
      <c r="P56" s="1561"/>
      <c r="Q56" s="1561"/>
      <c r="R56" s="1561"/>
    </row>
    <row r="57" spans="1:18">
      <c r="A57" s="1562"/>
      <c r="B57" s="1562"/>
      <c r="C57" s="1562"/>
      <c r="D57" s="1562"/>
      <c r="E57" s="1562"/>
      <c r="F57" s="1562"/>
      <c r="G57" s="1565"/>
      <c r="H57" s="1562"/>
      <c r="I57" s="1563"/>
      <c r="J57" s="1563"/>
      <c r="M57" s="1561"/>
      <c r="N57" s="1561"/>
      <c r="O57" s="1561"/>
      <c r="P57" s="1561"/>
      <c r="Q57" s="1561"/>
      <c r="R57" s="1561"/>
    </row>
    <row r="58" spans="1:18">
      <c r="A58" s="1575" t="s">
        <v>3829</v>
      </c>
      <c r="B58" s="1575" t="s">
        <v>3829</v>
      </c>
      <c r="C58" s="1575" t="s">
        <v>3829</v>
      </c>
      <c r="D58" s="1575" t="s">
        <v>3813</v>
      </c>
      <c r="E58" s="1575"/>
      <c r="F58" s="1575" t="s">
        <v>1237</v>
      </c>
      <c r="G58" s="1575" t="s">
        <v>1237</v>
      </c>
      <c r="H58" s="1575" t="s">
        <v>3456</v>
      </c>
      <c r="I58" s="1559" t="s">
        <v>3943</v>
      </c>
      <c r="J58" s="1575" t="s">
        <v>3819</v>
      </c>
      <c r="K58" s="1575" t="s">
        <v>3831</v>
      </c>
      <c r="M58" s="1561"/>
      <c r="N58" s="1561"/>
      <c r="O58" s="1561"/>
      <c r="P58" s="1561"/>
      <c r="Q58" s="1561"/>
      <c r="R58" s="1561"/>
    </row>
    <row r="59" spans="1:18" s="1582" customFormat="1">
      <c r="A59" s="1576" t="s">
        <v>3919</v>
      </c>
      <c r="B59" s="1576" t="s">
        <v>3918</v>
      </c>
      <c r="C59" s="1601" t="str">
        <f>IF('Input '!$E$1="FR",'April Property risk grading'!A59,'April Property risk grading'!B59)</f>
        <v>Type of Building</v>
      </c>
      <c r="D59" s="1690" t="str">
        <f>'Input '!G77</f>
        <v/>
      </c>
      <c r="E59" s="1689"/>
      <c r="F59" s="1639" t="e">
        <f>VLOOKUP(G59,$D$78:$E$80,2,FALSE)</f>
        <v>#N/A</v>
      </c>
      <c r="G59" s="1579" t="str">
        <f>IFERROR(VLOOKUP($D59,$C$3:$J$5,5,FALSE),"")</f>
        <v/>
      </c>
      <c r="H59" s="1609"/>
      <c r="I59" s="1580" t="str">
        <f>IFERROR(VLOOKUP($D59,$C$3:$J$5,7,FALSE),"")</f>
        <v/>
      </c>
      <c r="J59" s="1578" t="str">
        <f>IFERROR(VLOOKUP($D59,$C$3:$J$5,8,FALSE),"")</f>
        <v/>
      </c>
      <c r="K59" s="1581"/>
    </row>
    <row r="60" spans="1:18">
      <c r="A60" s="1576" t="s">
        <v>3996</v>
      </c>
      <c r="B60" s="1576" t="s">
        <v>3995</v>
      </c>
      <c r="C60" s="1602" t="str">
        <f>IF('Input '!$E$1="FR",'April Property risk grading'!A60,'April Property risk grading'!B60)</f>
        <v>Property Claims history</v>
      </c>
      <c r="D60" s="1690" t="str">
        <f>'Input '!G78</f>
        <v/>
      </c>
      <c r="E60" s="1689"/>
      <c r="F60" s="1639" t="e">
        <f t="shared" ref="F60:F69" si="0">VLOOKUP(G60,$D$78:$E$80,2,FALSE)</f>
        <v>#N/A</v>
      </c>
      <c r="G60" s="1579" t="str">
        <f>IFERROR(VLOOKUP($D60,$C$7:$J$11,5,FALSE),"")</f>
        <v/>
      </c>
      <c r="H60" s="1609"/>
      <c r="I60" s="1580" t="str">
        <f>IFERROR(VLOOKUP($D60,$C$7:$J$11,7,FALSE),"")</f>
        <v/>
      </c>
      <c r="J60" s="1578" t="str">
        <f>IFERROR(VLOOKUP($D60,$C$7:$J$11,8,FALSE),"")</f>
        <v/>
      </c>
      <c r="K60" s="1581"/>
      <c r="M60" s="1561"/>
      <c r="N60" s="1561"/>
      <c r="O60" s="1561"/>
      <c r="P60" s="1561"/>
      <c r="Q60" s="1561"/>
      <c r="R60" s="1561"/>
    </row>
    <row r="61" spans="1:18">
      <c r="A61" s="1576" t="s">
        <v>3874</v>
      </c>
      <c r="B61" s="1576" t="s">
        <v>1300</v>
      </c>
      <c r="C61" s="1602" t="str">
        <f>IF('Input '!$E$1="FR",'April Property risk grading'!A61,'April Property risk grading'!B61)</f>
        <v>Year Built</v>
      </c>
      <c r="D61" s="1690" t="str">
        <f ca="1">'Input '!$L79</f>
        <v>&lt;=input year</v>
      </c>
      <c r="E61" s="1689"/>
      <c r="F61" s="1639" t="e">
        <f t="shared" ca="1" si="0"/>
        <v>#N/A</v>
      </c>
      <c r="G61" s="1579" t="str">
        <f ca="1">IFERROR(VLOOKUP($D61,$C$13:$J$16,5,FALSE),"")</f>
        <v/>
      </c>
      <c r="H61" s="1641" t="str">
        <f ca="1">IFERROR(VLOOKUP($D61,$C$13:$J$16,6,FALSE),"")</f>
        <v/>
      </c>
      <c r="I61" s="1580" t="str">
        <f ca="1">IFERROR(VLOOKUP($D61,$C$13:$J$16,7,FALSE),"")</f>
        <v/>
      </c>
      <c r="J61" s="1578"/>
      <c r="K61" s="1581"/>
      <c r="M61" s="1561"/>
      <c r="N61" s="1561"/>
      <c r="O61" s="1561"/>
      <c r="P61" s="1561"/>
      <c r="Q61" s="1561"/>
      <c r="R61" s="1561"/>
    </row>
    <row r="62" spans="1:18">
      <c r="A62" s="1576" t="s">
        <v>3864</v>
      </c>
      <c r="B62" s="1576" t="s">
        <v>3863</v>
      </c>
      <c r="C62" s="1602" t="str">
        <f>IF('Input '!$E$1="FR",'April Property risk grading'!A62,'April Property risk grading'!B62)</f>
        <v>The main heating system is :</v>
      </c>
      <c r="D62" s="1690" t="str">
        <f>'Input '!$G80</f>
        <v/>
      </c>
      <c r="E62" s="1689"/>
      <c r="F62" s="1639" t="e">
        <f t="shared" si="0"/>
        <v>#N/A</v>
      </c>
      <c r="G62" s="1579" t="str">
        <f>IFERROR(VLOOKUP($D62,$C$17:$J$24,5,FALSE),"")</f>
        <v/>
      </c>
      <c r="H62" s="1609"/>
      <c r="I62" s="1580" t="str">
        <f>IFERROR(VLOOKUP($D62,$C$17:$J$24,7,FALSE),"")</f>
        <v/>
      </c>
      <c r="J62" s="1578" t="str">
        <f>IFERROR(VLOOKUP($D62,$C$17:$J$24,8,FALSE),"")</f>
        <v/>
      </c>
      <c r="K62" s="1581"/>
      <c r="M62" s="1561"/>
      <c r="N62" s="1561"/>
      <c r="O62" s="1561"/>
      <c r="P62" s="1561"/>
      <c r="Q62" s="1561"/>
      <c r="R62" s="1561"/>
    </row>
    <row r="63" spans="1:18" s="1704" customFormat="1">
      <c r="A63" s="1698" t="s">
        <v>3866</v>
      </c>
      <c r="B63" s="1698" t="s">
        <v>3865</v>
      </c>
      <c r="C63" s="1699" t="str">
        <f>IF('Input '!$E$1="FR",'April Property risk grading'!A63,'April Property risk grading'!B63)</f>
        <v>Updates / Renovations</v>
      </c>
      <c r="D63" s="1705" t="str">
        <f ca="1">IF('Input '!$E$1="FR",VLOOKUP('Input '!AC80,'Input '!AB81:AD85,3,FALSE),VLOOKUP('Input '!AC80,'Input '!AB81:AE85,4,FALSE))</f>
        <v>No year input considered Not Renovated=NR</v>
      </c>
      <c r="E63" s="1700"/>
      <c r="F63" s="1701">
        <f>VLOOKUP(G63,$D$78:$E$80,2,FALSE)</f>
        <v>1</v>
      </c>
      <c r="G63" s="1702" t="str">
        <f>IF(H63="Decline","Decline","Yes")</f>
        <v>Yes</v>
      </c>
      <c r="H63" s="1706" t="str">
        <f>IF('Input '!$G$76="No","",IF('Input '!G79=0,"",INDEX('April Property risk grading'!$C$92:$G$96,MATCH('April Property risk grading'!$D$63,'April Property risk grading'!$C$92:$C$96,0),MATCH('Input '!$L$79,'April Property risk grading'!$C$92:$G$92,0))))</f>
        <v/>
      </c>
      <c r="I63" s="1707"/>
      <c r="J63" s="1708" t="str">
        <f>IF('Input '!$G$76="No","",IF('Input '!H79=0,"",INDEX('April Property risk grading'!$C$84:$G$88,MATCH('April Property risk grading'!$D$63,'April Property risk grading'!$C$84:$C$88,0),MATCH('Input '!$L$79,'April Property risk grading'!$C$84:$G$84,0))))</f>
        <v/>
      </c>
      <c r="K63" s="1703"/>
    </row>
    <row r="64" spans="1:18">
      <c r="A64" s="1576" t="s">
        <v>3868</v>
      </c>
      <c r="B64" s="1576" t="s">
        <v>3867</v>
      </c>
      <c r="C64" s="1602" t="str">
        <f>IF('Input '!$E$1="FR",'April Property risk grading'!A64,'April Property risk grading'!B64)</f>
        <v>Location</v>
      </c>
      <c r="D64" s="1690" t="str">
        <f>'Input '!$G90</f>
        <v/>
      </c>
      <c r="E64" s="1689"/>
      <c r="F64" s="1639" t="e">
        <f t="shared" si="0"/>
        <v>#N/A</v>
      </c>
      <c r="G64" s="1579" t="str">
        <f>IFERROR(VLOOKUP($D64,$C$29:$J$33,5,FALSE),"")</f>
        <v/>
      </c>
      <c r="H64" s="1609"/>
      <c r="I64" s="1580" t="str">
        <f>IFERROR(VLOOKUP($D64,$C$29:$J$33,7,FALSE),"")</f>
        <v/>
      </c>
      <c r="J64" s="1578" t="str">
        <f>IFERROR(VLOOKUP($D64,$C$29:$J$33,8,FALSE),"")</f>
        <v/>
      </c>
      <c r="K64" s="1577"/>
      <c r="M64" s="1561"/>
      <c r="N64" s="1561"/>
      <c r="O64" s="1561"/>
      <c r="P64" s="1561"/>
      <c r="Q64" s="1561"/>
      <c r="R64" s="1561"/>
    </row>
    <row r="65" spans="1:18" s="1583" customFormat="1" ht="45" customHeight="1">
      <c r="A65" s="1576" t="s">
        <v>3869</v>
      </c>
      <c r="B65" s="1576" t="s">
        <v>3869</v>
      </c>
      <c r="C65" s="1602" t="str">
        <f>IF('Input '!$E$1="FR",'April Property risk grading'!A65,'April Property risk grading'!B65)</f>
        <v xml:space="preserve">Inspection </v>
      </c>
      <c r="D65" s="1690" t="str">
        <f>'Input '!$G91</f>
        <v/>
      </c>
      <c r="E65" s="1689"/>
      <c r="F65" s="1639" t="e">
        <f t="shared" si="0"/>
        <v>#N/A</v>
      </c>
      <c r="G65" s="1579" t="str">
        <f>IFERROR(VLOOKUP($D65,$C$35:$J$41,5,FALSE),"")</f>
        <v/>
      </c>
      <c r="H65" s="1609"/>
      <c r="I65" s="1580" t="str">
        <f>IFERROR(VLOOKUP($D65,$C$35:$J$41,7,FALSE),"")</f>
        <v/>
      </c>
      <c r="J65" s="1578" t="str">
        <f>IFERROR(VLOOKUP($D65,$C$35:$J$41,8,FALSE),"")</f>
        <v/>
      </c>
      <c r="K65" s="1577"/>
    </row>
    <row r="66" spans="1:18" ht="23.25" customHeight="1">
      <c r="A66" s="1576" t="s">
        <v>3870</v>
      </c>
      <c r="B66" s="1576" t="s">
        <v>3871</v>
      </c>
      <c r="C66" s="1602" t="str">
        <f>IF('Input '!$E$1="FR",'April Property risk grading'!A66,'April Property risk grading'!B66)</f>
        <v>Bankruptcy / Criminal record</v>
      </c>
      <c r="D66" s="1691" t="str">
        <f>'Input '!G28</f>
        <v>No</v>
      </c>
      <c r="E66" s="1689"/>
      <c r="F66" s="1639">
        <f t="shared" si="0"/>
        <v>1</v>
      </c>
      <c r="G66" s="1579" t="str">
        <f>IFERROR(VLOOKUP($D66,$C$43:$J$46,5,FALSE),"")</f>
        <v>Yes</v>
      </c>
      <c r="H66" s="1609"/>
      <c r="I66" s="1580">
        <f>IFERROR(VLOOKUP($D66,$C$43:$J$46,7,FALSE),"")</f>
        <v>0</v>
      </c>
      <c r="J66" s="1578">
        <f>IFERROR(VLOOKUP($D66,$C$43:$J$46,8,FALSE),"")</f>
        <v>0</v>
      </c>
      <c r="K66" s="1577"/>
      <c r="M66" s="1561"/>
      <c r="N66" s="1561"/>
      <c r="O66" s="1561"/>
      <c r="P66" s="1561"/>
      <c r="Q66" s="1561"/>
      <c r="R66" s="1561"/>
    </row>
    <row r="67" spans="1:18">
      <c r="A67" s="1576" t="s">
        <v>3873</v>
      </c>
      <c r="B67" s="1576" t="s">
        <v>3872</v>
      </c>
      <c r="C67" s="1602" t="str">
        <f>IF('Input '!$E$1="FR",'April Property risk grading'!A67,'April Property risk grading'!B67)</f>
        <v>Alarm</v>
      </c>
      <c r="D67" s="1690" t="str">
        <f>'Input '!$G92</f>
        <v/>
      </c>
      <c r="E67" s="1689"/>
      <c r="F67" s="1639" t="e">
        <f t="shared" si="0"/>
        <v>#N/A</v>
      </c>
      <c r="G67" s="1579" t="str">
        <f>IFERROR(VLOOKUP($D67,$C$46:$J$51,5,FALSE),"")</f>
        <v/>
      </c>
      <c r="H67" s="1609"/>
      <c r="I67" s="1580" t="str">
        <f>IFERROR(VLOOKUP($D67,$C$46:$J$51,7,FALSE),"")</f>
        <v/>
      </c>
      <c r="J67" s="1578" t="str">
        <f>IFERROR(VLOOKUP($D67,$C$46:$J$51,8,FALSE),"")</f>
        <v/>
      </c>
      <c r="K67" s="1577"/>
      <c r="M67" s="1561"/>
      <c r="N67" s="1561"/>
      <c r="O67" s="1561"/>
      <c r="P67" s="1561"/>
      <c r="Q67" s="1561"/>
      <c r="R67" s="1561"/>
    </row>
    <row r="68" spans="1:18">
      <c r="A68" s="1576"/>
      <c r="B68" s="1576"/>
      <c r="C68" s="1602" t="str">
        <f>C52</f>
        <v>Nb of storeys</v>
      </c>
      <c r="D68" s="1690">
        <f>'Input '!$G$88</f>
        <v>0</v>
      </c>
      <c r="E68" s="1689"/>
      <c r="F68" s="1639">
        <f t="shared" si="0"/>
        <v>1</v>
      </c>
      <c r="G68" s="1579" t="str">
        <f>G53</f>
        <v>Yes</v>
      </c>
      <c r="H68" s="1609"/>
      <c r="I68" s="1580"/>
      <c r="J68" s="1578">
        <f>IF($D$68&gt;1,$J$53,0)</f>
        <v>0</v>
      </c>
      <c r="K68" s="1678"/>
      <c r="M68" s="1561"/>
      <c r="N68" s="1561"/>
      <c r="O68" s="1561"/>
      <c r="P68" s="1561"/>
      <c r="Q68" s="1561"/>
      <c r="R68" s="1561"/>
    </row>
    <row r="69" spans="1:18">
      <c r="A69" s="1576"/>
      <c r="B69" s="1576"/>
      <c r="C69" s="1602" t="str">
        <f>C54</f>
        <v>Are there more than 2 mortgagees or Non-standard morgagee</v>
      </c>
      <c r="D69" s="1690" t="str">
        <f>'Input '!$G$93</f>
        <v>N</v>
      </c>
      <c r="E69" s="1689"/>
      <c r="F69" s="1639">
        <f t="shared" si="0"/>
        <v>1</v>
      </c>
      <c r="G69" s="1579" t="str">
        <f>IFERROR(VLOOKUP($D69,$C$55:$J$56,5,FALSE),"")</f>
        <v>Yes</v>
      </c>
      <c r="H69" s="1609"/>
      <c r="I69" s="1580"/>
      <c r="J69" s="1578"/>
      <c r="K69" s="1678"/>
      <c r="M69" s="1561"/>
      <c r="N69" s="1561"/>
      <c r="O69" s="1561"/>
      <c r="P69" s="1561"/>
      <c r="Q69" s="1561"/>
      <c r="R69" s="1561"/>
    </row>
    <row r="70" spans="1:18">
      <c r="A70" s="1667"/>
      <c r="B70" s="1667"/>
      <c r="C70" s="1668"/>
      <c r="D70" s="1669"/>
      <c r="E70" s="1667"/>
      <c r="F70" s="1670"/>
      <c r="G70" s="1671"/>
      <c r="H70" s="1672"/>
      <c r="I70" s="1673"/>
      <c r="J70" s="1674"/>
      <c r="K70" s="1675"/>
      <c r="M70" s="1561"/>
      <c r="N70" s="1561"/>
      <c r="O70" s="1561"/>
      <c r="P70" s="1561"/>
      <c r="Q70" s="1561"/>
      <c r="R70" s="1561"/>
    </row>
    <row r="71" spans="1:18">
      <c r="I71" s="1584"/>
      <c r="J71" s="1585"/>
      <c r="M71" s="1561"/>
      <c r="N71" s="1561"/>
      <c r="O71" s="1561"/>
      <c r="P71" s="1561"/>
      <c r="Q71" s="1561"/>
      <c r="R71" s="1561"/>
    </row>
    <row r="72" spans="1:18" s="1589" customFormat="1" ht="15">
      <c r="A72" s="1586" t="s">
        <v>3848</v>
      </c>
      <c r="B72" s="1586" t="s">
        <v>3830</v>
      </c>
      <c r="C72" s="1586" t="str">
        <f>IF('Input '!$E$1="FR",'April Property risk grading'!A72,'April Property risk grading'!B72)</f>
        <v>Final decision :</v>
      </c>
      <c r="D72" s="1692"/>
      <c r="E72" s="1693"/>
      <c r="F72" s="1640" t="e">
        <f>MAX(F59:F69)</f>
        <v>#N/A</v>
      </c>
      <c r="G72" s="1587" t="e">
        <f>VLOOKUP($F$72,$E$78:$F$80,2,FALSE)</f>
        <v>#N/A</v>
      </c>
      <c r="H72" s="1587" t="str">
        <f>H63</f>
        <v/>
      </c>
      <c r="I72" s="1680">
        <f ca="1">MAX(I59:I69)</f>
        <v>0</v>
      </c>
      <c r="J72" s="1588">
        <f>SUM(J59:J69)</f>
        <v>0</v>
      </c>
      <c r="K72" s="1586"/>
    </row>
    <row r="73" spans="1:18">
      <c r="H73" s="1590"/>
      <c r="M73" s="1561"/>
      <c r="N73" s="1561"/>
      <c r="O73" s="1561"/>
      <c r="P73" s="1561"/>
      <c r="Q73" s="1561"/>
      <c r="R73" s="1561"/>
    </row>
    <row r="74" spans="1:18">
      <c r="M74" s="1561"/>
      <c r="N74" s="1561"/>
      <c r="O74" s="1561"/>
      <c r="P74" s="1561"/>
      <c r="Q74" s="1561"/>
      <c r="R74" s="1561"/>
    </row>
    <row r="75" spans="1:18">
      <c r="M75" s="1561"/>
      <c r="N75" s="1561"/>
      <c r="O75" s="1561"/>
      <c r="P75" s="1561"/>
      <c r="Q75" s="1561"/>
      <c r="R75" s="1561"/>
    </row>
    <row r="76" spans="1:18" outlineLevel="1"/>
    <row r="77" spans="1:18" outlineLevel="2"/>
    <row r="78" spans="1:18" outlineLevel="2">
      <c r="C78" s="1561" t="s">
        <v>1237</v>
      </c>
      <c r="D78" s="1579" t="s">
        <v>3805</v>
      </c>
      <c r="E78" s="1638">
        <v>1</v>
      </c>
      <c r="F78" s="1579" t="s">
        <v>3805</v>
      </c>
    </row>
    <row r="79" spans="1:18" outlineLevel="2">
      <c r="D79" s="1579" t="s">
        <v>3823</v>
      </c>
      <c r="E79" s="1638">
        <v>2</v>
      </c>
      <c r="F79" s="1579" t="s">
        <v>3823</v>
      </c>
    </row>
    <row r="80" spans="1:18" outlineLevel="2">
      <c r="D80" s="1579" t="s">
        <v>258</v>
      </c>
      <c r="E80" s="1638">
        <v>3</v>
      </c>
      <c r="F80" s="1579" t="s">
        <v>258</v>
      </c>
    </row>
    <row r="81" spans="1:18" ht="18" outlineLevel="1" thickBot="1"/>
    <row r="82" spans="1:18" outlineLevel="1">
      <c r="C82" s="1645" t="s">
        <v>3819</v>
      </c>
      <c r="D82" s="1646"/>
      <c r="E82" s="1646"/>
      <c r="F82" s="1646"/>
      <c r="G82" s="1646"/>
      <c r="H82" s="1647"/>
      <c r="I82" s="1561"/>
      <c r="J82" s="1561"/>
    </row>
    <row r="83" spans="1:18" outlineLevel="1">
      <c r="C83" s="1648" t="s">
        <v>3910</v>
      </c>
      <c r="D83" s="1649" t="s">
        <v>3862</v>
      </c>
      <c r="E83" s="1649"/>
      <c r="F83" s="1649"/>
      <c r="G83" s="1649"/>
      <c r="H83" s="1650"/>
    </row>
    <row r="84" spans="1:18">
      <c r="A84" s="1614" t="s">
        <v>3882</v>
      </c>
      <c r="B84" s="1614"/>
      <c r="C84" s="1614"/>
      <c r="D84" s="1615" t="str">
        <f>$C$13</f>
        <v>0-25</v>
      </c>
      <c r="E84" s="1615" t="str">
        <f>$C$14</f>
        <v>26-40</v>
      </c>
      <c r="F84" s="1615" t="str">
        <f>$C$15</f>
        <v>41-54</v>
      </c>
      <c r="G84" s="1615" t="str">
        <f>$C$16</f>
        <v xml:space="preserve">55+ </v>
      </c>
      <c r="H84" s="1592"/>
      <c r="I84" s="1591"/>
    </row>
    <row r="85" spans="1:18" outlineLevel="1">
      <c r="C85" s="1616" t="str">
        <f>$C24</f>
        <v>New Building</v>
      </c>
      <c r="D85" s="1617">
        <v>0</v>
      </c>
      <c r="E85" s="1618"/>
      <c r="F85" s="1618"/>
      <c r="G85" s="1618"/>
      <c r="H85" s="1613"/>
    </row>
    <row r="86" spans="1:18" ht="69" customHeight="1" outlineLevel="1">
      <c r="C86" s="1616" t="str">
        <f>$C25</f>
        <v>Fully updated in last 25 years</v>
      </c>
      <c r="D86" s="1619"/>
      <c r="E86" s="1620">
        <v>0</v>
      </c>
      <c r="F86" s="1620">
        <v>0.1</v>
      </c>
      <c r="G86" s="1620">
        <v>0.25</v>
      </c>
      <c r="H86" s="1613"/>
    </row>
    <row r="87" spans="1:18" outlineLevel="1">
      <c r="C87" s="1616" t="str">
        <f>$C26</f>
        <v>Partial Updates</v>
      </c>
      <c r="D87" s="1621"/>
      <c r="E87" s="1622">
        <v>0.2</v>
      </c>
      <c r="F87" s="1622">
        <v>0.3</v>
      </c>
      <c r="G87" s="1621" t="s">
        <v>1129</v>
      </c>
      <c r="H87" s="1613"/>
    </row>
    <row r="88" spans="1:18" outlineLevel="1">
      <c r="C88" s="1616" t="str">
        <f>$C27</f>
        <v>No Updates</v>
      </c>
      <c r="D88" s="1618"/>
      <c r="E88" s="1618" t="s">
        <v>1129</v>
      </c>
      <c r="F88" s="1618" t="s">
        <v>1129</v>
      </c>
      <c r="G88" s="1618" t="s">
        <v>1129</v>
      </c>
      <c r="H88" s="1613"/>
    </row>
    <row r="89" spans="1:18" ht="18" outlineLevel="1" thickBot="1">
      <c r="C89" s="1612"/>
      <c r="D89" s="1592"/>
      <c r="E89" s="1592"/>
      <c r="F89" s="1592"/>
      <c r="G89" s="1592"/>
      <c r="H89" s="1613"/>
    </row>
    <row r="90" spans="1:18" outlineLevel="1">
      <c r="C90" s="1610" t="s">
        <v>3456</v>
      </c>
      <c r="D90" s="1611"/>
      <c r="E90" s="1611"/>
      <c r="F90" s="1611"/>
      <c r="G90" s="1611"/>
      <c r="H90" s="1637"/>
    </row>
    <row r="91" spans="1:18" outlineLevel="1">
      <c r="C91" s="1612" t="s">
        <v>3855</v>
      </c>
      <c r="D91" s="1592" t="s">
        <v>3854</v>
      </c>
      <c r="E91" s="1592"/>
      <c r="F91" s="1592"/>
      <c r="G91" s="1592"/>
      <c r="H91" s="1613"/>
    </row>
    <row r="92" spans="1:18" outlineLevel="1">
      <c r="C92" s="1614"/>
      <c r="D92" s="1615" t="str">
        <f>$C$13</f>
        <v>0-25</v>
      </c>
      <c r="E92" s="1615" t="str">
        <f>$C$14</f>
        <v>26-40</v>
      </c>
      <c r="F92" s="1615" t="str">
        <f>$C$15</f>
        <v>41-54</v>
      </c>
      <c r="G92" s="1615" t="str">
        <f>$C$16</f>
        <v xml:space="preserve">55+ </v>
      </c>
      <c r="H92" s="1613"/>
    </row>
    <row r="93" spans="1:18" ht="24.75" customHeight="1" outlineLevel="1">
      <c r="C93" s="1616" t="str">
        <f>$C24</f>
        <v>New Building</v>
      </c>
      <c r="D93" s="1623" t="str">
        <f>IF('Input '!$E$1="FR","Formule Etendue","All Risks")</f>
        <v>All Risks</v>
      </c>
      <c r="E93" s="1621"/>
      <c r="F93" s="1621"/>
      <c r="G93" s="1621"/>
      <c r="H93" s="1613"/>
    </row>
    <row r="94" spans="1:18" s="1583" customFormat="1" outlineLevel="1">
      <c r="C94" s="1616" t="str">
        <f>$C25</f>
        <v>Fully updated in last 25 years</v>
      </c>
      <c r="D94" s="1623" t="str">
        <f>IF('Input '!$E$1="FR","Formule Etendue","All Risks")</f>
        <v>All Risks</v>
      </c>
      <c r="E94" s="1623" t="str">
        <f>IF('Input '!$E$1="FR","Formule Etendue","All Risks")</f>
        <v>All Risks</v>
      </c>
      <c r="F94" s="1623" t="str">
        <f>IF('Input '!$E$1="FR","Formule Etendue","All Risks")</f>
        <v>All Risks</v>
      </c>
      <c r="G94" s="1624" t="str">
        <f>IF('Input '!$E$1="FR","Risque Désigné","Named Peril")</f>
        <v>Named Peril</v>
      </c>
      <c r="H94" s="1625"/>
      <c r="I94" s="1594"/>
      <c r="J94" s="1594"/>
      <c r="M94" s="1595"/>
      <c r="N94" s="1595"/>
      <c r="O94" s="1595"/>
      <c r="P94" s="1595"/>
      <c r="Q94" s="1595"/>
      <c r="R94" s="1595"/>
    </row>
    <row r="95" spans="1:18" s="1583" customFormat="1" ht="33" customHeight="1" outlineLevel="1">
      <c r="C95" s="1616" t="str">
        <f>$C26</f>
        <v>Partial Updates</v>
      </c>
      <c r="D95" s="1623" t="str">
        <f>IF('Input '!$E$1="FR","Formule Etendue","All Risks")</f>
        <v>All Risks</v>
      </c>
      <c r="E95" s="1623" t="str">
        <f>IF('Input '!$E$1="FR","Formule Etendue","All Risks")</f>
        <v>All Risks</v>
      </c>
      <c r="F95" s="1623" t="str">
        <f>IF('Input '!$E$1="FR","Formule Etendue","All Risks")</f>
        <v>All Risks</v>
      </c>
      <c r="G95" s="1626" t="s">
        <v>258</v>
      </c>
      <c r="H95" s="1625"/>
      <c r="I95" s="1594"/>
      <c r="J95" s="1594"/>
      <c r="M95" s="1595"/>
      <c r="N95" s="1595"/>
      <c r="O95" s="1595"/>
      <c r="P95" s="1595"/>
      <c r="Q95" s="1595"/>
      <c r="R95" s="1595"/>
    </row>
    <row r="96" spans="1:18" ht="36.75" customHeight="1" outlineLevel="1">
      <c r="C96" s="1616" t="str">
        <f>$C27</f>
        <v>No Updates</v>
      </c>
      <c r="D96" s="1623" t="str">
        <f>IF('Input '!$E$1="FR","Formule Etendue","All Risks")</f>
        <v>All Risks</v>
      </c>
      <c r="E96" s="1626" t="s">
        <v>258</v>
      </c>
      <c r="F96" s="1626" t="s">
        <v>258</v>
      </c>
      <c r="G96" s="1626" t="s">
        <v>258</v>
      </c>
      <c r="H96" s="1613"/>
    </row>
    <row r="97" spans="3:9" ht="18" outlineLevel="1" thickBot="1">
      <c r="C97" s="1612"/>
      <c r="D97" s="1592"/>
      <c r="E97" s="1592"/>
      <c r="F97" s="1592"/>
      <c r="G97" s="1592"/>
      <c r="H97" s="1613"/>
    </row>
    <row r="98" spans="3:9" outlineLevel="1">
      <c r="C98" s="1610" t="s">
        <v>3888</v>
      </c>
      <c r="D98" s="1611"/>
      <c r="E98" s="1611"/>
      <c r="F98" s="1611"/>
      <c r="G98" s="1611"/>
      <c r="H98" s="1637"/>
    </row>
    <row r="99" spans="3:9" outlineLevel="1">
      <c r="C99" s="1612"/>
      <c r="D99" s="1615" t="str">
        <f>$C$13</f>
        <v>0-25</v>
      </c>
      <c r="E99" s="1615" t="str">
        <f>$C$14</f>
        <v>26-40</v>
      </c>
      <c r="F99" s="1615" t="str">
        <f>$C$15</f>
        <v>41-54</v>
      </c>
      <c r="G99" s="1615" t="str">
        <f>$C$16</f>
        <v xml:space="preserve">55+ </v>
      </c>
      <c r="H99" s="1613"/>
    </row>
    <row r="100" spans="3:9" ht="63" customHeight="1" outlineLevel="1">
      <c r="C100" s="1627" t="str">
        <f>'Input '!F82</f>
        <v>Roof</v>
      </c>
      <c r="D100" s="1628"/>
      <c r="E100" s="1623" t="s">
        <v>1056</v>
      </c>
      <c r="F100" s="1623" t="s">
        <v>1056</v>
      </c>
      <c r="G100" s="1623"/>
      <c r="H100" s="3600" t="str">
        <f>$C25</f>
        <v>Fully updated in last 25 years</v>
      </c>
      <c r="I100" s="1561"/>
    </row>
    <row r="101" spans="3:9" ht="25.5" customHeight="1" outlineLevel="1">
      <c r="C101" s="1627" t="str">
        <f>'Input '!F83</f>
        <v>Electricity</v>
      </c>
      <c r="D101" s="1628"/>
      <c r="E101" s="1623" t="s">
        <v>1056</v>
      </c>
      <c r="F101" s="1623" t="s">
        <v>1056</v>
      </c>
      <c r="G101" s="1623" t="s">
        <v>1056</v>
      </c>
      <c r="H101" s="3601"/>
    </row>
    <row r="102" spans="3:9" outlineLevel="1">
      <c r="C102" s="1627" t="str">
        <f>'Input '!F84</f>
        <v>Boiler</v>
      </c>
      <c r="D102" s="1657"/>
      <c r="E102" s="1658"/>
      <c r="F102" s="1658"/>
      <c r="G102" s="1658"/>
      <c r="H102" s="3601"/>
    </row>
    <row r="103" spans="3:9" outlineLevel="1">
      <c r="C103" s="1627" t="str">
        <f>'Input '!F85</f>
        <v>Confirmation curcuit breaker</v>
      </c>
      <c r="D103" s="1628"/>
      <c r="E103" s="1623" t="s">
        <v>1056</v>
      </c>
      <c r="F103" s="1623" t="s">
        <v>1056</v>
      </c>
      <c r="G103" s="1623" t="s">
        <v>1056</v>
      </c>
      <c r="H103" s="3601"/>
    </row>
    <row r="104" spans="3:9" outlineLevel="1">
      <c r="C104" s="1627" t="str">
        <f>'Input '!F86</f>
        <v>Heating</v>
      </c>
      <c r="D104" s="1628"/>
      <c r="E104" s="1623" t="s">
        <v>1056</v>
      </c>
      <c r="F104" s="1623" t="s">
        <v>1056</v>
      </c>
      <c r="G104" s="1623"/>
      <c r="H104" s="3601"/>
    </row>
    <row r="105" spans="3:9" outlineLevel="1">
      <c r="C105" s="1627" t="str">
        <f>'Input '!F87</f>
        <v>Plumbing</v>
      </c>
      <c r="D105" s="1629"/>
      <c r="E105" s="1623" t="s">
        <v>1056</v>
      </c>
      <c r="F105" s="1623" t="s">
        <v>1056</v>
      </c>
      <c r="G105" s="1623"/>
      <c r="H105" s="3602"/>
    </row>
    <row r="106" spans="3:9" outlineLevel="1">
      <c r="C106" s="1627"/>
      <c r="D106" s="1615" t="str">
        <f>$C$13</f>
        <v>0-25</v>
      </c>
      <c r="E106" s="1615" t="str">
        <f>$C$14</f>
        <v>26-40</v>
      </c>
      <c r="F106" s="1615" t="str">
        <f>$C$15</f>
        <v>41-54</v>
      </c>
      <c r="G106" s="1615" t="str">
        <f>$C$16</f>
        <v xml:space="preserve">55+ </v>
      </c>
      <c r="H106" s="1630"/>
    </row>
    <row r="107" spans="3:9" outlineLevel="1">
      <c r="C107" s="1631" t="str">
        <f>C100</f>
        <v>Roof</v>
      </c>
      <c r="D107" s="1628"/>
      <c r="E107" s="1632" t="s">
        <v>1056</v>
      </c>
      <c r="F107" s="1632" t="s">
        <v>1056</v>
      </c>
      <c r="G107" s="1632" t="s">
        <v>258</v>
      </c>
      <c r="H107" s="3597" t="str">
        <f t="shared" ref="H107" si="1">$C$26</f>
        <v>Partial Updates</v>
      </c>
    </row>
    <row r="108" spans="3:9" outlineLevel="1">
      <c r="C108" s="1631" t="str">
        <f t="shared" ref="C108:C112" si="2">C101</f>
        <v>Electricity</v>
      </c>
      <c r="D108" s="1628"/>
      <c r="E108" s="1632" t="s">
        <v>1056</v>
      </c>
      <c r="F108" s="1632" t="s">
        <v>1056</v>
      </c>
      <c r="G108" s="1632" t="s">
        <v>258</v>
      </c>
      <c r="H108" s="3598"/>
    </row>
    <row r="109" spans="3:9" ht="47.25" customHeight="1" outlineLevel="1">
      <c r="C109" s="1631" t="str">
        <f t="shared" si="2"/>
        <v>Boiler</v>
      </c>
      <c r="D109" s="1653"/>
      <c r="E109" s="1654"/>
      <c r="F109" s="1655"/>
      <c r="G109" s="1656" t="s">
        <v>258</v>
      </c>
      <c r="H109" s="3598"/>
    </row>
    <row r="110" spans="3:9" outlineLevel="1">
      <c r="C110" s="1631" t="str">
        <f t="shared" si="2"/>
        <v>Confirmation curcuit breaker</v>
      </c>
      <c r="D110" s="1628"/>
      <c r="E110" s="1632" t="s">
        <v>1056</v>
      </c>
      <c r="F110" s="1632" t="s">
        <v>1056</v>
      </c>
      <c r="G110" s="1632" t="s">
        <v>258</v>
      </c>
      <c r="H110" s="3598"/>
    </row>
    <row r="111" spans="3:9" outlineLevel="1">
      <c r="C111" s="1631" t="str">
        <f t="shared" si="2"/>
        <v>Heating</v>
      </c>
      <c r="D111" s="1628"/>
      <c r="E111" s="1632" t="s">
        <v>1056</v>
      </c>
      <c r="F111" s="1632" t="s">
        <v>1056</v>
      </c>
      <c r="G111" s="1632" t="s">
        <v>258</v>
      </c>
      <c r="H111" s="3598"/>
    </row>
    <row r="112" spans="3:9" outlineLevel="1">
      <c r="C112" s="1631" t="str">
        <f t="shared" si="2"/>
        <v>Plumbing</v>
      </c>
      <c r="D112" s="1628"/>
      <c r="E112" s="1632" t="s">
        <v>1056</v>
      </c>
      <c r="F112" s="1632" t="s">
        <v>1056</v>
      </c>
      <c r="G112" s="1632" t="s">
        <v>258</v>
      </c>
      <c r="H112" s="3599"/>
    </row>
    <row r="113" spans="3:8" ht="18" outlineLevel="1" thickBot="1">
      <c r="C113" s="1633" t="str">
        <f>C96</f>
        <v>No Updates</v>
      </c>
      <c r="D113" s="1634"/>
      <c r="E113" s="1635" t="s">
        <v>258</v>
      </c>
      <c r="F113" s="1635" t="s">
        <v>258</v>
      </c>
      <c r="G113" s="1635" t="s">
        <v>258</v>
      </c>
      <c r="H113" s="1636" t="str">
        <f>$C27</f>
        <v>No Updates</v>
      </c>
    </row>
    <row r="114" spans="3:8" outlineLevel="1"/>
  </sheetData>
  <mergeCells count="2">
    <mergeCell ref="H107:H112"/>
    <mergeCell ref="H100:H105"/>
  </mergeCells>
  <conditionalFormatting sqref="J107:L107 J100:L100 I101:I1048576 L99 J99:J1048576 F95:G95 L82 H89:J99 G90:H90 G98:H98 H114:H1048576 E72 G71 H71:J82 K64:K72 K58 F58 G57:J58 H52:H56 G54:J55 I2:J56 H12:H16 G73:G1048576 E100:E105 E107:E113 F100:F113 E107:F108 E109:G112 G2:G56">
    <cfRule type="containsText" dxfId="27" priority="74" operator="containsText" text="Decline">
      <formula>NOT(ISERROR(SEARCH("Decline",E2)))</formula>
    </cfRule>
    <cfRule type="containsText" dxfId="26" priority="75" operator="containsText" text="Yes">
      <formula>NOT(ISERROR(SEARCH("Yes",E2)))</formula>
    </cfRule>
  </conditionalFormatting>
  <conditionalFormatting sqref="D78:F80 J64:J70 J59:J62 I59:I70 H64:H70 H59:H60 H62 F59:G70">
    <cfRule type="cellIs" dxfId="25" priority="63" operator="equal">
      <formula>0</formula>
    </cfRule>
  </conditionalFormatting>
  <conditionalFormatting sqref="E72">
    <cfRule type="cellIs" dxfId="24" priority="55" operator="equal">
      <formula>1</formula>
    </cfRule>
    <cfRule type="cellIs" dxfId="23" priority="56" operator="equal">
      <formula>2</formula>
    </cfRule>
    <cfRule type="cellIs" dxfId="22" priority="57" operator="equal">
      <formula>3</formula>
    </cfRule>
    <cfRule type="cellIs" dxfId="21" priority="58" operator="equal">
      <formula>4</formula>
    </cfRule>
    <cfRule type="cellIs" dxfId="20" priority="59" operator="equal">
      <formula>5</formula>
    </cfRule>
  </conditionalFormatting>
  <pageMargins left="0.7" right="0.7" top="0.75" bottom="0.75" header="0.3" footer="0.3"/>
  <pageSetup scale="54" orientation="portrait" horizontalDpi="90" verticalDpi="9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
  <dimension ref="A1:O289"/>
  <sheetViews>
    <sheetView showGridLines="0" workbookViewId="0">
      <selection activeCell="C30" sqref="C30"/>
    </sheetView>
  </sheetViews>
  <sheetFormatPr defaultColWidth="9.140625" defaultRowHeight="15"/>
  <cols>
    <col min="1" max="1" width="8.140625" customWidth="1"/>
    <col min="2" max="2" width="48.42578125" customWidth="1"/>
    <col min="3" max="3" width="16.140625" customWidth="1"/>
    <col min="4" max="4" width="17.28515625" style="1711" customWidth="1"/>
    <col min="5" max="5" width="10.5703125" bestFit="1" customWidth="1"/>
    <col min="6" max="6" width="11.7109375" style="1711" customWidth="1"/>
    <col min="7" max="7" width="12" customWidth="1"/>
    <col min="8" max="8" width="11.85546875" customWidth="1"/>
    <col min="9" max="9" width="21.42578125" style="1711" customWidth="1"/>
    <col min="10" max="10" width="15.42578125" style="1711" customWidth="1"/>
    <col min="11" max="11" width="15.42578125" customWidth="1"/>
    <col min="12" max="12" width="13.42578125" style="1711" customWidth="1"/>
    <col min="13" max="13" width="14.28515625" bestFit="1" customWidth="1"/>
  </cols>
  <sheetData>
    <row r="1" spans="1:12" s="1744" customFormat="1">
      <c r="A1" s="1744" t="s">
        <v>3967</v>
      </c>
      <c r="C1" s="1744" t="s">
        <v>3976</v>
      </c>
    </row>
    <row r="2" spans="1:12" s="1741" customFormat="1">
      <c r="A2" s="1741" t="s">
        <v>3968</v>
      </c>
    </row>
    <row r="3" spans="1:12" s="361" customFormat="1">
      <c r="A3" s="361" t="s">
        <v>3958</v>
      </c>
    </row>
    <row r="4" spans="1:12" s="361" customFormat="1">
      <c r="A4" s="1751">
        <v>1</v>
      </c>
      <c r="B4" s="1752">
        <v>2</v>
      </c>
      <c r="C4" s="1752">
        <v>3</v>
      </c>
      <c r="D4" s="1752">
        <v>4</v>
      </c>
      <c r="E4" s="1752">
        <v>5</v>
      </c>
      <c r="F4" s="1752">
        <v>6</v>
      </c>
      <c r="G4" s="1752">
        <v>7</v>
      </c>
      <c r="H4" s="1752">
        <v>8</v>
      </c>
      <c r="I4" s="1752">
        <v>9</v>
      </c>
      <c r="J4" s="1752">
        <v>10</v>
      </c>
      <c r="K4" s="1752">
        <v>11</v>
      </c>
      <c r="L4" s="1753">
        <v>12</v>
      </c>
    </row>
    <row r="5" spans="1:12" s="1757" customFormat="1" ht="45.75" customHeight="1">
      <c r="A5" s="1754" t="s">
        <v>3330</v>
      </c>
      <c r="B5" s="1755" t="s">
        <v>3957</v>
      </c>
      <c r="C5" s="1755" t="s">
        <v>3965</v>
      </c>
      <c r="D5" s="1755" t="s">
        <v>3966</v>
      </c>
      <c r="E5" s="1755" t="s">
        <v>3961</v>
      </c>
      <c r="F5" s="1755" t="s">
        <v>3975</v>
      </c>
      <c r="G5" s="1755" t="s">
        <v>1083</v>
      </c>
      <c r="H5" s="1755" t="s">
        <v>3974</v>
      </c>
      <c r="I5" s="1755" t="s">
        <v>3450</v>
      </c>
      <c r="J5" s="1755" t="s">
        <v>3964</v>
      </c>
      <c r="K5" s="1755" t="s">
        <v>1237</v>
      </c>
      <c r="L5" s="1756" t="s">
        <v>3973</v>
      </c>
    </row>
    <row r="6" spans="1:12">
      <c r="A6">
        <v>1752</v>
      </c>
      <c r="B6" t="s">
        <v>108</v>
      </c>
      <c r="C6" s="1711" t="s">
        <v>3960</v>
      </c>
      <c r="D6" s="1843">
        <v>500000</v>
      </c>
      <c r="F6" s="30" t="str">
        <f>IF(G6=0,"No","Yes")</f>
        <v>No</v>
      </c>
      <c r="H6" s="30" t="str">
        <f>IF(I6=0,"No","Yes")</f>
        <v>No</v>
      </c>
      <c r="J6" s="569" t="str">
        <f>IF('Input '!$G$28='April Property risk grading'!$A$43,"Yes","No")</f>
        <v>Yes</v>
      </c>
      <c r="K6" s="30" t="s">
        <v>1056</v>
      </c>
      <c r="L6" s="30"/>
    </row>
    <row r="7" spans="1:12">
      <c r="A7">
        <v>1754</v>
      </c>
      <c r="B7" s="1711" t="s">
        <v>104</v>
      </c>
      <c r="C7" s="1711" t="s">
        <v>3960</v>
      </c>
      <c r="D7" s="1736">
        <f>$D$6</f>
        <v>500000</v>
      </c>
      <c r="F7" s="30" t="str">
        <f t="shared" ref="F7:F38" si="0">IF(G7=0,"No","Yes")</f>
        <v>No</v>
      </c>
      <c r="H7" s="30" t="str">
        <f t="shared" ref="H7:H38" si="1">IF(I7=0,"No","Yes")</f>
        <v>No</v>
      </c>
      <c r="J7" s="569" t="str">
        <f>IF('Input '!$G$28='April Property risk grading'!$A$43,"Yes","No")</f>
        <v>Yes</v>
      </c>
      <c r="K7" s="30" t="s">
        <v>1056</v>
      </c>
      <c r="L7" s="30"/>
    </row>
    <row r="8" spans="1:12">
      <c r="A8">
        <v>1755</v>
      </c>
      <c r="B8" s="1711" t="s">
        <v>102</v>
      </c>
      <c r="C8" s="1711" t="s">
        <v>3960</v>
      </c>
      <c r="D8" s="1736">
        <f t="shared" ref="D8:D38" si="2">$D$6</f>
        <v>500000</v>
      </c>
      <c r="F8" s="30" t="str">
        <f t="shared" si="0"/>
        <v>No</v>
      </c>
      <c r="H8" s="30" t="str">
        <f t="shared" si="1"/>
        <v>No</v>
      </c>
      <c r="J8" s="569" t="str">
        <f>IF('Input '!$G$28='April Property risk grading'!$A$43,"Yes","No")</f>
        <v>Yes</v>
      </c>
      <c r="K8" s="30" t="s">
        <v>1056</v>
      </c>
      <c r="L8" s="30"/>
    </row>
    <row r="9" spans="1:12">
      <c r="A9">
        <v>1757</v>
      </c>
      <c r="B9" s="1711" t="s">
        <v>98</v>
      </c>
      <c r="C9" s="1711" t="s">
        <v>3960</v>
      </c>
      <c r="D9" s="1736">
        <f t="shared" si="2"/>
        <v>500000</v>
      </c>
      <c r="F9" s="30" t="str">
        <f t="shared" si="0"/>
        <v>No</v>
      </c>
      <c r="H9" s="30" t="str">
        <f t="shared" si="1"/>
        <v>No</v>
      </c>
      <c r="J9" s="569" t="str">
        <f>IF('Input '!$G$28='April Property risk grading'!$A$43,"Yes","No")</f>
        <v>Yes</v>
      </c>
      <c r="K9" s="30" t="s">
        <v>1056</v>
      </c>
      <c r="L9" s="30"/>
    </row>
    <row r="10" spans="1:12">
      <c r="A10">
        <v>1766</v>
      </c>
      <c r="B10" s="1711" t="s">
        <v>86</v>
      </c>
      <c r="C10" s="1711" t="s">
        <v>3960</v>
      </c>
      <c r="D10" s="1736">
        <f t="shared" si="2"/>
        <v>500000</v>
      </c>
      <c r="F10" s="30" t="str">
        <f t="shared" si="0"/>
        <v>No</v>
      </c>
      <c r="H10" s="30" t="str">
        <f t="shared" si="1"/>
        <v>No</v>
      </c>
      <c r="J10" s="569" t="str">
        <f>IF('Input '!$G$28='April Property risk grading'!$A$43,"Yes","No")</f>
        <v>Yes</v>
      </c>
      <c r="K10" s="30" t="s">
        <v>1056</v>
      </c>
      <c r="L10" s="30"/>
    </row>
    <row r="11" spans="1:12">
      <c r="A11">
        <v>1811</v>
      </c>
      <c r="B11" s="1711" t="s">
        <v>69</v>
      </c>
      <c r="C11" s="1711" t="s">
        <v>3960</v>
      </c>
      <c r="D11" s="1736">
        <f t="shared" si="2"/>
        <v>500000</v>
      </c>
      <c r="F11" s="30" t="str">
        <f t="shared" si="0"/>
        <v>No</v>
      </c>
      <c r="H11" s="30" t="str">
        <f t="shared" si="1"/>
        <v>No</v>
      </c>
      <c r="J11" s="569" t="str">
        <f>IF('Input '!$G$28='April Property risk grading'!$A$43,"Yes","No")</f>
        <v>Yes</v>
      </c>
      <c r="K11" s="30" t="s">
        <v>1056</v>
      </c>
      <c r="L11" s="30"/>
    </row>
    <row r="12" spans="1:12">
      <c r="A12">
        <v>1812</v>
      </c>
      <c r="B12" s="1711" t="s">
        <v>68</v>
      </c>
      <c r="C12" s="1711" t="s">
        <v>3960</v>
      </c>
      <c r="D12" s="1736">
        <f t="shared" si="2"/>
        <v>500000</v>
      </c>
      <c r="F12" s="30" t="str">
        <f t="shared" si="0"/>
        <v>No</v>
      </c>
      <c r="H12" s="30" t="str">
        <f t="shared" si="1"/>
        <v>No</v>
      </c>
      <c r="J12" s="569" t="str">
        <f>IF('Input '!$G$28='April Property risk grading'!$A$43,"Yes","No")</f>
        <v>Yes</v>
      </c>
      <c r="K12" s="30" t="s">
        <v>1056</v>
      </c>
      <c r="L12" s="30"/>
    </row>
    <row r="13" spans="1:12">
      <c r="A13">
        <v>1831</v>
      </c>
      <c r="B13" s="1711" t="s">
        <v>60</v>
      </c>
      <c r="C13" s="1711" t="s">
        <v>3960</v>
      </c>
      <c r="D13" s="1736">
        <f t="shared" si="2"/>
        <v>500000</v>
      </c>
      <c r="F13" s="30" t="str">
        <f t="shared" si="0"/>
        <v>No</v>
      </c>
      <c r="H13" s="30" t="str">
        <f t="shared" si="1"/>
        <v>No</v>
      </c>
      <c r="J13" s="569" t="str">
        <f>IF('Input '!$G$28='April Property risk grading'!$A$43,"Yes","No")</f>
        <v>Yes</v>
      </c>
      <c r="K13" s="30" t="s">
        <v>1056</v>
      </c>
      <c r="L13" s="30"/>
    </row>
    <row r="14" spans="1:12" s="1711" customFormat="1">
      <c r="A14" s="608">
        <v>1532</v>
      </c>
      <c r="B14" s="608" t="s">
        <v>190</v>
      </c>
      <c r="C14" s="608" t="s">
        <v>3960</v>
      </c>
      <c r="D14" s="1841">
        <f t="shared" si="2"/>
        <v>500000</v>
      </c>
      <c r="E14" s="608"/>
      <c r="F14" s="1842" t="str">
        <f t="shared" ref="F14:F27" si="3">IF(G14=0,"No","Yes")</f>
        <v>No</v>
      </c>
      <c r="G14" s="608"/>
      <c r="H14" s="1842" t="str">
        <f t="shared" ref="H14:H28" si="4">IF(I14=0,"No","Yes")</f>
        <v>No</v>
      </c>
      <c r="I14" s="608"/>
      <c r="J14" s="569" t="str">
        <f>IF('Input '!$G$28='April Property risk grading'!$A$43,"Yes","No")</f>
        <v>Yes</v>
      </c>
      <c r="K14" s="1842" t="s">
        <v>1056</v>
      </c>
      <c r="L14" s="30"/>
    </row>
    <row r="15" spans="1:12" s="1711" customFormat="1">
      <c r="A15" s="608">
        <v>1534</v>
      </c>
      <c r="B15" s="608" t="s">
        <v>186</v>
      </c>
      <c r="C15" s="608" t="s">
        <v>3960</v>
      </c>
      <c r="D15" s="1841">
        <f t="shared" si="2"/>
        <v>500000</v>
      </c>
      <c r="E15" s="608"/>
      <c r="F15" s="1842" t="str">
        <f t="shared" si="3"/>
        <v>No</v>
      </c>
      <c r="G15" s="608"/>
      <c r="H15" s="1842" t="str">
        <f t="shared" si="4"/>
        <v>No</v>
      </c>
      <c r="I15" s="608"/>
      <c r="J15" s="569" t="str">
        <f>IF('Input '!$G$28='April Property risk grading'!$A$43,"Yes","No")</f>
        <v>Yes</v>
      </c>
      <c r="K15" s="1842" t="s">
        <v>1056</v>
      </c>
      <c r="L15" s="30"/>
    </row>
    <row r="16" spans="1:12" s="1711" customFormat="1">
      <c r="A16" s="608">
        <v>1732</v>
      </c>
      <c r="B16" s="608" t="s">
        <v>131</v>
      </c>
      <c r="C16" s="608" t="s">
        <v>3960</v>
      </c>
      <c r="D16" s="1841">
        <f t="shared" si="2"/>
        <v>500000</v>
      </c>
      <c r="E16" s="608"/>
      <c r="F16" s="1842" t="str">
        <f t="shared" si="3"/>
        <v>No</v>
      </c>
      <c r="G16" s="608"/>
      <c r="H16" s="1842" t="str">
        <f t="shared" si="4"/>
        <v>No</v>
      </c>
      <c r="I16" s="608"/>
      <c r="J16" s="569" t="str">
        <f>IF('Input '!$G$28='April Property risk grading'!$A$43,"Yes","No")</f>
        <v>Yes</v>
      </c>
      <c r="K16" s="1842" t="s">
        <v>1056</v>
      </c>
      <c r="L16" s="30"/>
    </row>
    <row r="17" spans="1:12" s="1711" customFormat="1">
      <c r="A17" s="608">
        <v>1751</v>
      </c>
      <c r="B17" s="608" t="s">
        <v>110</v>
      </c>
      <c r="C17" s="608" t="s">
        <v>3960</v>
      </c>
      <c r="D17" s="1841">
        <f t="shared" si="2"/>
        <v>500000</v>
      </c>
      <c r="E17" s="608"/>
      <c r="F17" s="1842" t="str">
        <f t="shared" si="3"/>
        <v>No</v>
      </c>
      <c r="G17" s="608"/>
      <c r="H17" s="1842" t="str">
        <f t="shared" si="4"/>
        <v>No</v>
      </c>
      <c r="I17" s="608"/>
      <c r="J17" s="569" t="str">
        <f>IF('Input '!$G$28='April Property risk grading'!$A$43,"Yes","No")</f>
        <v>Yes</v>
      </c>
      <c r="K17" s="1842" t="s">
        <v>1056</v>
      </c>
      <c r="L17" s="30"/>
    </row>
    <row r="18" spans="1:12" s="1711" customFormat="1">
      <c r="A18" s="608">
        <v>1756</v>
      </c>
      <c r="B18" s="608" t="s">
        <v>100</v>
      </c>
      <c r="C18" s="608" t="s">
        <v>3960</v>
      </c>
      <c r="D18" s="1841">
        <f t="shared" si="2"/>
        <v>500000</v>
      </c>
      <c r="E18" s="608"/>
      <c r="F18" s="1842" t="str">
        <f t="shared" si="3"/>
        <v>No</v>
      </c>
      <c r="G18" s="608"/>
      <c r="H18" s="1842" t="str">
        <f t="shared" si="4"/>
        <v>No</v>
      </c>
      <c r="I18" s="608"/>
      <c r="J18" s="569" t="str">
        <f>IF('Input '!$G$28='April Property risk grading'!$A$43,"Yes","No")</f>
        <v>Yes</v>
      </c>
      <c r="K18" s="1842" t="s">
        <v>1056</v>
      </c>
      <c r="L18" s="30"/>
    </row>
    <row r="19" spans="1:12" s="1711" customFormat="1">
      <c r="A19" s="608">
        <v>1761</v>
      </c>
      <c r="B19" s="608" t="s">
        <v>96</v>
      </c>
      <c r="C19" s="608" t="s">
        <v>3960</v>
      </c>
      <c r="D19" s="1841">
        <f t="shared" si="2"/>
        <v>500000</v>
      </c>
      <c r="E19" s="608"/>
      <c r="F19" s="1842" t="str">
        <f t="shared" si="3"/>
        <v>No</v>
      </c>
      <c r="G19" s="608"/>
      <c r="H19" s="1842" t="str">
        <f t="shared" si="4"/>
        <v>No</v>
      </c>
      <c r="I19" s="608"/>
      <c r="J19" s="569" t="str">
        <f>IF('Input '!$G$28='April Property risk grading'!$A$43,"Yes","No")</f>
        <v>Yes</v>
      </c>
      <c r="K19" s="1842" t="s">
        <v>1056</v>
      </c>
      <c r="L19" s="30"/>
    </row>
    <row r="20" spans="1:12" s="1711" customFormat="1">
      <c r="A20" s="608">
        <v>1762</v>
      </c>
      <c r="B20" s="608" t="s">
        <v>94</v>
      </c>
      <c r="C20" s="608" t="s">
        <v>3960</v>
      </c>
      <c r="D20" s="1841">
        <f t="shared" si="2"/>
        <v>500000</v>
      </c>
      <c r="E20" s="608"/>
      <c r="F20" s="1842" t="str">
        <f t="shared" si="3"/>
        <v>No</v>
      </c>
      <c r="G20" s="608"/>
      <c r="H20" s="1842" t="str">
        <f t="shared" si="4"/>
        <v>No</v>
      </c>
      <c r="I20" s="608"/>
      <c r="J20" s="569" t="str">
        <f>IF('Input '!$G$28='April Property risk grading'!$A$43,"Yes","No")</f>
        <v>Yes</v>
      </c>
      <c r="K20" s="1842" t="s">
        <v>1056</v>
      </c>
      <c r="L20" s="30"/>
    </row>
    <row r="21" spans="1:12" s="1711" customFormat="1">
      <c r="A21" s="608">
        <v>1783</v>
      </c>
      <c r="B21" s="608" t="s">
        <v>71</v>
      </c>
      <c r="C21" s="608" t="s">
        <v>3960</v>
      </c>
      <c r="D21" s="1841">
        <f t="shared" si="2"/>
        <v>500000</v>
      </c>
      <c r="E21" s="608"/>
      <c r="F21" s="1842" t="str">
        <f t="shared" si="3"/>
        <v>No</v>
      </c>
      <c r="G21" s="608"/>
      <c r="H21" s="1842" t="str">
        <f t="shared" si="4"/>
        <v>No</v>
      </c>
      <c r="I21" s="608"/>
      <c r="J21" s="569" t="str">
        <f>IF('Input '!$G$28='April Property risk grading'!$A$43,"Yes","No")</f>
        <v>Yes</v>
      </c>
      <c r="K21" s="1842" t="s">
        <v>1056</v>
      </c>
      <c r="L21" s="30"/>
    </row>
    <row r="22" spans="1:12" s="1711" customFormat="1">
      <c r="A22" s="608">
        <v>1813</v>
      </c>
      <c r="B22" s="608" t="s">
        <v>66</v>
      </c>
      <c r="C22" s="608" t="s">
        <v>3960</v>
      </c>
      <c r="D22" s="1841">
        <f t="shared" si="2"/>
        <v>500000</v>
      </c>
      <c r="E22" s="608"/>
      <c r="F22" s="1842" t="str">
        <f t="shared" si="3"/>
        <v>No</v>
      </c>
      <c r="G22" s="608"/>
      <c r="H22" s="1842" t="str">
        <f t="shared" si="4"/>
        <v>No</v>
      </c>
      <c r="I22" s="608"/>
      <c r="J22" s="569" t="str">
        <f>IF('Input '!$G$28='April Property risk grading'!$A$43,"Yes","No")</f>
        <v>Yes</v>
      </c>
      <c r="K22" s="1842" t="s">
        <v>1056</v>
      </c>
      <c r="L22" s="30"/>
    </row>
    <row r="23" spans="1:12" s="1711" customFormat="1">
      <c r="A23" s="608">
        <v>1814</v>
      </c>
      <c r="B23" s="608" t="s">
        <v>64</v>
      </c>
      <c r="C23" s="608" t="s">
        <v>3960</v>
      </c>
      <c r="D23" s="1841">
        <f t="shared" si="2"/>
        <v>500000</v>
      </c>
      <c r="E23" s="608"/>
      <c r="F23" s="1842" t="str">
        <f t="shared" si="3"/>
        <v>No</v>
      </c>
      <c r="G23" s="608"/>
      <c r="H23" s="1842" t="str">
        <f t="shared" si="4"/>
        <v>No</v>
      </c>
      <c r="I23" s="608"/>
      <c r="J23" s="569" t="str">
        <f>IF('Input '!$G$28='April Property risk grading'!$A$43,"Yes","No")</f>
        <v>Yes</v>
      </c>
      <c r="K23" s="1842" t="s">
        <v>1056</v>
      </c>
      <c r="L23" s="30"/>
    </row>
    <row r="24" spans="1:12" s="1711" customFormat="1">
      <c r="A24" s="608">
        <v>1830</v>
      </c>
      <c r="B24" s="608" t="s">
        <v>62</v>
      </c>
      <c r="C24" s="608" t="s">
        <v>3960</v>
      </c>
      <c r="D24" s="1841">
        <f t="shared" si="2"/>
        <v>500000</v>
      </c>
      <c r="E24" s="608"/>
      <c r="F24" s="1842" t="str">
        <f t="shared" si="3"/>
        <v>No</v>
      </c>
      <c r="G24" s="608"/>
      <c r="H24" s="1842" t="str">
        <f t="shared" si="4"/>
        <v>No</v>
      </c>
      <c r="I24" s="608"/>
      <c r="J24" s="569" t="str">
        <f>IF('Input '!$G$28='April Property risk grading'!$A$43,"Yes","No")</f>
        <v>Yes</v>
      </c>
      <c r="K24" s="1842" t="s">
        <v>1056</v>
      </c>
      <c r="L24" s="30"/>
    </row>
    <row r="25" spans="1:12" s="1711" customFormat="1">
      <c r="A25" s="608">
        <v>2353</v>
      </c>
      <c r="B25" s="608" t="s">
        <v>58</v>
      </c>
      <c r="C25" s="608" t="s">
        <v>3960</v>
      </c>
      <c r="D25" s="1841">
        <f t="shared" si="2"/>
        <v>500000</v>
      </c>
      <c r="E25" s="608"/>
      <c r="F25" s="1842" t="str">
        <f t="shared" si="3"/>
        <v>No</v>
      </c>
      <c r="G25" s="608"/>
      <c r="H25" s="1842" t="str">
        <f t="shared" si="4"/>
        <v>No</v>
      </c>
      <c r="I25" s="608"/>
      <c r="J25" s="569" t="str">
        <f>IF('Input '!$G$28='April Property risk grading'!$A$43,"Yes","No")</f>
        <v>Yes</v>
      </c>
      <c r="K25" s="1842" t="s">
        <v>1056</v>
      </c>
      <c r="L25" s="30"/>
    </row>
    <row r="26" spans="1:12" s="1711" customFormat="1">
      <c r="A26" s="608">
        <v>7391</v>
      </c>
      <c r="B26" s="608" t="s">
        <v>790</v>
      </c>
      <c r="C26" s="608" t="s">
        <v>3960</v>
      </c>
      <c r="D26" s="1841">
        <f t="shared" si="2"/>
        <v>500000</v>
      </c>
      <c r="E26" s="608"/>
      <c r="F26" s="1842" t="str">
        <f t="shared" si="3"/>
        <v>No</v>
      </c>
      <c r="G26" s="608"/>
      <c r="H26" s="1842" t="str">
        <f t="shared" si="4"/>
        <v>No</v>
      </c>
      <c r="I26" s="608"/>
      <c r="J26" s="569" t="str">
        <f>IF('Input '!$G$28='April Property risk grading'!$A$43,"Yes","No")</f>
        <v>Yes</v>
      </c>
      <c r="K26" s="1842" t="s">
        <v>1056</v>
      </c>
      <c r="L26" s="30"/>
    </row>
    <row r="27" spans="1:12" s="1711" customFormat="1">
      <c r="A27" s="608">
        <v>7396</v>
      </c>
      <c r="B27" s="608" t="s">
        <v>55</v>
      </c>
      <c r="C27" s="608" t="s">
        <v>3960</v>
      </c>
      <c r="D27" s="1841">
        <f t="shared" si="2"/>
        <v>500000</v>
      </c>
      <c r="E27" s="608"/>
      <c r="F27" s="1842" t="str">
        <f t="shared" si="3"/>
        <v>No</v>
      </c>
      <c r="G27" s="608"/>
      <c r="H27" s="1842" t="str">
        <f t="shared" si="4"/>
        <v>No</v>
      </c>
      <c r="I27" s="608"/>
      <c r="J27" s="569" t="str">
        <f>IF('Input '!$G$28='April Property risk grading'!$A$43,"Yes","No")</f>
        <v>Yes</v>
      </c>
      <c r="K27" s="1842" t="s">
        <v>1056</v>
      </c>
      <c r="L27" s="30"/>
    </row>
    <row r="28" spans="1:12" s="1711" customFormat="1">
      <c r="A28" s="608">
        <v>7693</v>
      </c>
      <c r="B28" s="608" t="s">
        <v>816</v>
      </c>
      <c r="C28" s="608" t="s">
        <v>3960</v>
      </c>
      <c r="D28" s="1841">
        <f t="shared" si="2"/>
        <v>500000</v>
      </c>
      <c r="E28" s="608"/>
      <c r="F28" s="1842" t="str">
        <f>IF(G28=0,"No","Yes")</f>
        <v>No</v>
      </c>
      <c r="G28" s="608"/>
      <c r="H28" s="1842" t="str">
        <f t="shared" si="4"/>
        <v>No</v>
      </c>
      <c r="I28" s="608"/>
      <c r="J28" s="569" t="str">
        <f>IF('Input '!$G$28='April Property risk grading'!$A$43,"Yes","No")</f>
        <v>Yes</v>
      </c>
      <c r="K28" s="1842" t="s">
        <v>1056</v>
      </c>
      <c r="L28" s="30"/>
    </row>
    <row r="29" spans="1:12">
      <c r="A29">
        <v>7394</v>
      </c>
      <c r="B29" s="1711" t="s">
        <v>793</v>
      </c>
      <c r="C29" s="1711" t="s">
        <v>3960</v>
      </c>
      <c r="D29" s="1736">
        <f t="shared" si="2"/>
        <v>500000</v>
      </c>
      <c r="F29" s="30" t="str">
        <f t="shared" si="0"/>
        <v>No</v>
      </c>
      <c r="H29" s="30" t="str">
        <f t="shared" si="1"/>
        <v>No</v>
      </c>
      <c r="J29" s="569" t="str">
        <f>IF('Input '!$G$28='April Property risk grading'!$A$43,"Yes","No")</f>
        <v>Yes</v>
      </c>
      <c r="K29" s="30" t="s">
        <v>1056</v>
      </c>
      <c r="L29" s="30"/>
    </row>
    <row r="30" spans="1:12">
      <c r="A30">
        <v>7395</v>
      </c>
      <c r="B30" s="1711" t="s">
        <v>794</v>
      </c>
      <c r="C30" s="1711" t="s">
        <v>3960</v>
      </c>
      <c r="D30" s="1736">
        <f t="shared" si="2"/>
        <v>500000</v>
      </c>
      <c r="F30" s="30" t="str">
        <f t="shared" si="0"/>
        <v>No</v>
      </c>
      <c r="H30" s="30" t="str">
        <f t="shared" si="1"/>
        <v>No</v>
      </c>
      <c r="J30" s="569" t="str">
        <f>IF('Input '!$G$28='April Property risk grading'!$A$43,"Yes","No")</f>
        <v>Yes</v>
      </c>
      <c r="K30" s="30" t="s">
        <v>1056</v>
      </c>
      <c r="L30" s="30"/>
    </row>
    <row r="31" spans="1:12">
      <c r="A31">
        <v>735</v>
      </c>
      <c r="B31" s="1711" t="s">
        <v>220</v>
      </c>
      <c r="C31" s="1711" t="s">
        <v>3960</v>
      </c>
      <c r="D31" s="1736">
        <f t="shared" si="2"/>
        <v>500000</v>
      </c>
      <c r="F31" s="30" t="str">
        <f t="shared" si="0"/>
        <v>No</v>
      </c>
      <c r="H31" s="30" t="str">
        <f t="shared" si="1"/>
        <v>No</v>
      </c>
      <c r="J31" s="569" t="str">
        <f>IF('Input '!$G$28='April Property risk grading'!$A$43,"Yes","No")</f>
        <v>Yes</v>
      </c>
      <c r="K31" s="30" t="s">
        <v>1056</v>
      </c>
      <c r="L31" s="30"/>
    </row>
    <row r="32" spans="1:12">
      <c r="A32">
        <v>736</v>
      </c>
      <c r="B32" s="1711" t="s">
        <v>218</v>
      </c>
      <c r="C32" s="1711" t="s">
        <v>3960</v>
      </c>
      <c r="D32" s="1736">
        <f t="shared" si="2"/>
        <v>500000</v>
      </c>
      <c r="F32" s="30" t="str">
        <f t="shared" si="0"/>
        <v>No</v>
      </c>
      <c r="H32" s="30" t="str">
        <f t="shared" si="1"/>
        <v>No</v>
      </c>
      <c r="J32" s="569" t="str">
        <f>IF('Input '!$G$28='April Property risk grading'!$A$43,"Yes","No")</f>
        <v>Yes</v>
      </c>
      <c r="K32" s="30" t="s">
        <v>1056</v>
      </c>
      <c r="L32" s="30"/>
    </row>
    <row r="33" spans="1:15" s="1711" customFormat="1">
      <c r="A33" s="1711">
        <v>1731</v>
      </c>
      <c r="B33" s="608" t="s">
        <v>133</v>
      </c>
      <c r="C33" s="1711" t="s">
        <v>3960</v>
      </c>
      <c r="D33" s="1736">
        <f t="shared" si="2"/>
        <v>500000</v>
      </c>
      <c r="F33" s="30" t="str">
        <f t="shared" ref="F33:F34" si="5">IF(G33=0,"No","Yes")</f>
        <v>No</v>
      </c>
      <c r="H33" s="30" t="str">
        <f t="shared" ref="H33:H34" si="6">IF(I33=0,"No","Yes")</f>
        <v>No</v>
      </c>
      <c r="J33" s="576" t="e">
        <f>IF('CGL coverage'!$I$3="Quebec","No",IF(K33="OK",IF('Input '!$G$28='April Property risk grading'!$A$43,"Yes","No"),"No"))</f>
        <v>#DIV/0!</v>
      </c>
      <c r="K33" s="1743" t="e">
        <f>IF(O33&lt;=10%,"OK","")</f>
        <v>#DIV/0!</v>
      </c>
      <c r="L33" s="30"/>
      <c r="M33" s="748" t="s">
        <v>4020</v>
      </c>
      <c r="N33" s="748"/>
      <c r="O33" s="1742" t="e">
        <f>SUM('Input '!$I$24:$K$24)</f>
        <v>#DIV/0!</v>
      </c>
    </row>
    <row r="34" spans="1:15" s="1711" customFormat="1">
      <c r="A34" s="1711">
        <v>1736</v>
      </c>
      <c r="B34" s="608" t="s">
        <v>122</v>
      </c>
      <c r="C34" s="1711" t="s">
        <v>3960</v>
      </c>
      <c r="D34" s="1736">
        <f t="shared" si="2"/>
        <v>500000</v>
      </c>
      <c r="F34" s="30" t="str">
        <f t="shared" si="5"/>
        <v>No</v>
      </c>
      <c r="H34" s="30" t="str">
        <f t="shared" si="6"/>
        <v>No</v>
      </c>
      <c r="J34" s="576" t="e">
        <f>IF('CGL coverage'!$I$3="Quebec","No",IF(K34="OK",IF('Input '!$G$28='April Property risk grading'!$A$43,"Yes","No"),"No"))</f>
        <v>#DIV/0!</v>
      </c>
      <c r="K34" s="1743" t="e">
        <f>IF(O34&lt;=10%,"OK","")</f>
        <v>#DIV/0!</v>
      </c>
      <c r="L34" s="30"/>
      <c r="M34" s="748" t="s">
        <v>4020</v>
      </c>
      <c r="N34" s="748"/>
      <c r="O34" s="1742" t="e">
        <f>SUM('Input '!$I$24:$K$24)</f>
        <v>#DIV/0!</v>
      </c>
    </row>
    <row r="35" spans="1:15">
      <c r="A35">
        <v>1522</v>
      </c>
      <c r="B35" s="1711" t="s">
        <v>204</v>
      </c>
      <c r="C35" s="1711" t="s">
        <v>3960</v>
      </c>
      <c r="D35" s="1736">
        <f t="shared" si="2"/>
        <v>500000</v>
      </c>
      <c r="F35" s="30" t="str">
        <f t="shared" si="0"/>
        <v>No</v>
      </c>
      <c r="H35" s="30" t="str">
        <f t="shared" si="1"/>
        <v>No</v>
      </c>
      <c r="J35" s="569" t="str">
        <f>IF('Input '!$G$28='April Property risk grading'!$A$43,"Yes","No")</f>
        <v>Yes</v>
      </c>
      <c r="K35" s="30" t="s">
        <v>1056</v>
      </c>
      <c r="L35" s="30"/>
    </row>
    <row r="36" spans="1:15">
      <c r="A36">
        <v>1743</v>
      </c>
      <c r="B36" s="1711" t="s">
        <v>116</v>
      </c>
      <c r="C36" s="1711" t="s">
        <v>3960</v>
      </c>
      <c r="D36" s="1736">
        <f t="shared" si="2"/>
        <v>500000</v>
      </c>
      <c r="F36" s="30" t="str">
        <f t="shared" si="0"/>
        <v>No</v>
      </c>
      <c r="H36" s="30" t="str">
        <f t="shared" si="1"/>
        <v>No</v>
      </c>
      <c r="J36" s="569" t="str">
        <f>IF('Input '!$G$28='April Property risk grading'!$A$43,"Yes","No")</f>
        <v>Yes</v>
      </c>
      <c r="K36" s="30" t="s">
        <v>1056</v>
      </c>
      <c r="L36" s="30"/>
    </row>
    <row r="37" spans="1:15">
      <c r="A37">
        <v>1744</v>
      </c>
      <c r="B37" s="1711" t="s">
        <v>114</v>
      </c>
      <c r="C37" s="1711" t="s">
        <v>3960</v>
      </c>
      <c r="D37" s="1736">
        <f t="shared" si="2"/>
        <v>500000</v>
      </c>
      <c r="F37" s="30" t="str">
        <f t="shared" si="0"/>
        <v>No</v>
      </c>
      <c r="H37" s="30" t="str">
        <f t="shared" si="1"/>
        <v>No</v>
      </c>
      <c r="J37" s="569" t="str">
        <f>IF('Input '!$G$28='April Property risk grading'!$A$43,"Yes","No")</f>
        <v>Yes</v>
      </c>
      <c r="K37" s="30" t="s">
        <v>1056</v>
      </c>
      <c r="L37" s="30"/>
    </row>
    <row r="38" spans="1:15">
      <c r="A38">
        <v>1745</v>
      </c>
      <c r="B38" s="1711" t="s">
        <v>112</v>
      </c>
      <c r="C38" s="1711" t="s">
        <v>3960</v>
      </c>
      <c r="D38" s="1736">
        <f t="shared" si="2"/>
        <v>500000</v>
      </c>
      <c r="F38" s="30" t="str">
        <f t="shared" si="0"/>
        <v>No</v>
      </c>
      <c r="H38" s="30" t="str">
        <f t="shared" si="1"/>
        <v>No</v>
      </c>
      <c r="J38" s="569" t="str">
        <f>IF('Input '!$G$28='April Property risk grading'!$A$43,"Yes","No")</f>
        <v>Yes</v>
      </c>
      <c r="K38" s="30" t="s">
        <v>1056</v>
      </c>
      <c r="L38" s="30"/>
    </row>
    <row r="39" spans="1:15" s="361" customFormat="1">
      <c r="A39" s="1751"/>
      <c r="B39" s="1752"/>
      <c r="C39" s="1752"/>
      <c r="D39" s="1752"/>
      <c r="E39" s="1752"/>
      <c r="F39" s="1752"/>
      <c r="G39" s="1752"/>
      <c r="H39" s="1752"/>
      <c r="I39" s="1752"/>
      <c r="J39" s="1752"/>
      <c r="K39" s="1752"/>
      <c r="L39" s="1753"/>
    </row>
    <row r="40" spans="1:15" s="1757" customFormat="1" ht="40.5" customHeight="1">
      <c r="A40" s="1754" t="s">
        <v>3330</v>
      </c>
      <c r="B40" s="1755" t="s">
        <v>3957</v>
      </c>
      <c r="C40" s="1755" t="s">
        <v>3965</v>
      </c>
      <c r="D40" s="1755" t="s">
        <v>3966</v>
      </c>
      <c r="E40" s="1755" t="s">
        <v>3961</v>
      </c>
      <c r="F40" s="1755" t="s">
        <v>3975</v>
      </c>
      <c r="G40" s="1755" t="s">
        <v>1083</v>
      </c>
      <c r="H40" s="1755" t="s">
        <v>3974</v>
      </c>
      <c r="I40" s="1755" t="s">
        <v>3450</v>
      </c>
      <c r="J40" s="1755" t="s">
        <v>3964</v>
      </c>
      <c r="K40" s="1755" t="s">
        <v>1237</v>
      </c>
      <c r="L40" s="1756" t="s">
        <v>4005</v>
      </c>
      <c r="M40" s="1756" t="s">
        <v>4004</v>
      </c>
    </row>
    <row r="41" spans="1:15">
      <c r="A41">
        <v>1512</v>
      </c>
      <c r="B41" t="s">
        <v>214</v>
      </c>
      <c r="C41" s="748" t="s">
        <v>3959</v>
      </c>
      <c r="D41" s="748">
        <v>1</v>
      </c>
      <c r="E41" s="748">
        <v>0</v>
      </c>
      <c r="F41" s="30" t="str">
        <f t="shared" ref="F41:F89" si="7">IF(G41=0,"No","Yes")</f>
        <v>Yes</v>
      </c>
      <c r="G41" s="1746">
        <v>2500</v>
      </c>
      <c r="H41" s="30" t="str">
        <f>IF(I41=0,"No","Yes")</f>
        <v>No</v>
      </c>
      <c r="K41" s="1743" t="e">
        <f>IF('Input '!G24=100%,"Senior UW","Decline")</f>
        <v>#DIV/0!</v>
      </c>
      <c r="L41" s="1743"/>
    </row>
    <row r="42" spans="1:15">
      <c r="F42" s="30"/>
      <c r="H42" s="30" t="str">
        <f t="shared" ref="H42:H74" si="8">IF(I42=0,"No","Yes")</f>
        <v>No</v>
      </c>
    </row>
    <row r="43" spans="1:15">
      <c r="A43">
        <v>1521</v>
      </c>
      <c r="B43" s="1711" t="s">
        <v>206</v>
      </c>
      <c r="E43" s="748">
        <v>0.5</v>
      </c>
      <c r="F43" s="30" t="str">
        <f t="shared" si="7"/>
        <v>No</v>
      </c>
      <c r="H43" s="30" t="str">
        <f t="shared" si="8"/>
        <v>No</v>
      </c>
      <c r="K43" s="30" t="s">
        <v>1056</v>
      </c>
      <c r="L43" s="30"/>
    </row>
    <row r="44" spans="1:15">
      <c r="A44" s="1711">
        <v>1523</v>
      </c>
      <c r="B44" s="1711" t="s">
        <v>202</v>
      </c>
      <c r="E44" s="748">
        <v>0.5</v>
      </c>
      <c r="F44" s="30" t="str">
        <f t="shared" si="7"/>
        <v>No</v>
      </c>
      <c r="H44" s="30" t="str">
        <f t="shared" si="8"/>
        <v>No</v>
      </c>
      <c r="K44" s="30" t="s">
        <v>1056</v>
      </c>
      <c r="L44" s="30"/>
    </row>
    <row r="45" spans="1:15">
      <c r="A45">
        <v>1524</v>
      </c>
      <c r="B45" s="1711" t="s">
        <v>200</v>
      </c>
      <c r="E45" s="748">
        <v>0.5</v>
      </c>
      <c r="F45" s="30" t="str">
        <f t="shared" si="7"/>
        <v>No</v>
      </c>
      <c r="H45" s="30" t="str">
        <f t="shared" si="8"/>
        <v>No</v>
      </c>
      <c r="K45" s="30" t="s">
        <v>1056</v>
      </c>
      <c r="L45" s="30"/>
    </row>
    <row r="46" spans="1:15">
      <c r="A46">
        <v>1526</v>
      </c>
      <c r="B46" s="1711" t="s">
        <v>198</v>
      </c>
      <c r="E46" s="748">
        <v>0.5</v>
      </c>
      <c r="F46" s="30" t="str">
        <f t="shared" si="7"/>
        <v>No</v>
      </c>
      <c r="H46" s="30" t="str">
        <f t="shared" si="8"/>
        <v>No</v>
      </c>
      <c r="K46" s="30" t="s">
        <v>1056</v>
      </c>
      <c r="L46" s="30"/>
    </row>
    <row r="47" spans="1:15">
      <c r="A47">
        <v>1527</v>
      </c>
      <c r="B47" s="1711" t="s">
        <v>196</v>
      </c>
      <c r="E47" s="748">
        <v>0.5</v>
      </c>
      <c r="F47" s="30" t="str">
        <f t="shared" si="7"/>
        <v>No</v>
      </c>
      <c r="H47" s="30" t="str">
        <f t="shared" si="8"/>
        <v>No</v>
      </c>
      <c r="K47" s="30" t="s">
        <v>1056</v>
      </c>
      <c r="L47" s="30"/>
    </row>
    <row r="48" spans="1:15">
      <c r="A48">
        <v>1528</v>
      </c>
      <c r="B48" s="1711" t="s">
        <v>194</v>
      </c>
      <c r="E48" s="748">
        <v>0.5</v>
      </c>
      <c r="F48" s="30" t="str">
        <f t="shared" si="7"/>
        <v>No</v>
      </c>
      <c r="H48" s="30" t="str">
        <f t="shared" si="8"/>
        <v>No</v>
      </c>
      <c r="K48" s="30" t="s">
        <v>1056</v>
      </c>
      <c r="L48" s="30"/>
    </row>
    <row r="49" spans="1:13">
      <c r="A49" s="1711">
        <v>1532</v>
      </c>
      <c r="B49" s="1711" t="s">
        <v>190</v>
      </c>
      <c r="E49" s="748">
        <v>0.5</v>
      </c>
      <c r="F49" s="30" t="str">
        <f t="shared" si="7"/>
        <v>No</v>
      </c>
      <c r="H49" s="30" t="str">
        <f t="shared" si="8"/>
        <v>No</v>
      </c>
      <c r="K49" s="30" t="s">
        <v>1056</v>
      </c>
      <c r="L49" s="30"/>
    </row>
    <row r="50" spans="1:13">
      <c r="A50" s="1711">
        <v>1533</v>
      </c>
      <c r="B50" s="1711" t="s">
        <v>188</v>
      </c>
      <c r="E50" s="748">
        <v>0.5</v>
      </c>
      <c r="F50" s="30" t="str">
        <f t="shared" si="7"/>
        <v>No</v>
      </c>
      <c r="H50" s="30" t="str">
        <f t="shared" si="8"/>
        <v>No</v>
      </c>
      <c r="K50" s="30" t="s">
        <v>1056</v>
      </c>
      <c r="L50" s="30"/>
    </row>
    <row r="51" spans="1:13">
      <c r="A51" s="1711">
        <v>1631</v>
      </c>
      <c r="B51" s="1711" t="s">
        <v>168</v>
      </c>
      <c r="E51" s="748">
        <v>0.5</v>
      </c>
      <c r="F51" s="30" t="str">
        <f t="shared" si="7"/>
        <v>No</v>
      </c>
      <c r="H51" s="30" t="str">
        <f t="shared" si="8"/>
        <v>No</v>
      </c>
      <c r="K51" s="30" t="s">
        <v>1056</v>
      </c>
      <c r="L51" s="30"/>
    </row>
    <row r="52" spans="1:13">
      <c r="A52">
        <v>1632</v>
      </c>
      <c r="B52" s="1711" t="s">
        <v>166</v>
      </c>
      <c r="E52" s="748">
        <v>0.5</v>
      </c>
      <c r="F52" s="30" t="str">
        <f t="shared" si="7"/>
        <v>No</v>
      </c>
      <c r="H52" s="30" t="str">
        <f t="shared" si="8"/>
        <v>No</v>
      </c>
      <c r="K52" s="30" t="s">
        <v>1056</v>
      </c>
      <c r="L52" s="30"/>
    </row>
    <row r="53" spans="1:13">
      <c r="A53">
        <v>1637</v>
      </c>
      <c r="B53" s="1711" t="s">
        <v>157</v>
      </c>
      <c r="E53" s="748">
        <v>0.5</v>
      </c>
      <c r="F53" s="30" t="str">
        <f t="shared" si="7"/>
        <v>No</v>
      </c>
      <c r="H53" s="30" t="str">
        <f t="shared" si="8"/>
        <v>No</v>
      </c>
      <c r="K53" s="30" t="s">
        <v>1056</v>
      </c>
      <c r="L53" s="30"/>
    </row>
    <row r="54" spans="1:13">
      <c r="A54">
        <v>1638</v>
      </c>
      <c r="B54" s="1711" t="s">
        <v>155</v>
      </c>
      <c r="E54" s="748">
        <v>0.5</v>
      </c>
      <c r="F54" s="30" t="str">
        <f t="shared" si="7"/>
        <v>No</v>
      </c>
      <c r="H54" s="30" t="str">
        <f t="shared" si="8"/>
        <v>No</v>
      </c>
      <c r="K54" s="30" t="s">
        <v>1056</v>
      </c>
      <c r="L54" s="30"/>
    </row>
    <row r="55" spans="1:13">
      <c r="A55">
        <v>1713</v>
      </c>
      <c r="B55" s="1711" t="s">
        <v>149</v>
      </c>
      <c r="E55" s="748">
        <v>0.5</v>
      </c>
      <c r="F55" s="30" t="str">
        <f t="shared" si="7"/>
        <v>No</v>
      </c>
      <c r="H55" s="30" t="str">
        <f t="shared" si="8"/>
        <v>No</v>
      </c>
      <c r="K55" s="30" t="s">
        <v>1056</v>
      </c>
      <c r="L55" s="30"/>
    </row>
    <row r="56" spans="1:13">
      <c r="A56">
        <v>1741</v>
      </c>
      <c r="B56" s="1711" t="s">
        <v>120</v>
      </c>
      <c r="E56" s="748">
        <v>0.5</v>
      </c>
      <c r="F56" s="30" t="str">
        <f t="shared" si="7"/>
        <v>No</v>
      </c>
      <c r="H56" s="30" t="str">
        <f t="shared" si="8"/>
        <v>No</v>
      </c>
      <c r="K56" s="30" t="s">
        <v>1056</v>
      </c>
      <c r="L56" s="30"/>
    </row>
    <row r="57" spans="1:13">
      <c r="A57">
        <v>1742</v>
      </c>
      <c r="B57" s="1711" t="s">
        <v>118</v>
      </c>
      <c r="E57" s="748">
        <v>0.5</v>
      </c>
      <c r="F57" s="30" t="str">
        <f t="shared" si="7"/>
        <v>No</v>
      </c>
      <c r="H57" s="30" t="str">
        <f t="shared" si="8"/>
        <v>No</v>
      </c>
      <c r="K57" s="30" t="s">
        <v>1056</v>
      </c>
      <c r="L57" s="30"/>
    </row>
    <row r="58" spans="1:13">
      <c r="F58" s="30"/>
      <c r="H58" s="30"/>
      <c r="K58" s="30"/>
      <c r="L58" s="30"/>
    </row>
    <row r="59" spans="1:13">
      <c r="A59">
        <v>1531</v>
      </c>
      <c r="B59" s="1711" t="s">
        <v>192</v>
      </c>
      <c r="C59" s="1807" t="s">
        <v>3969</v>
      </c>
      <c r="D59" s="1746">
        <f>IF($M59&gt;400000,INDEX(Settings!$B$59:$G$63,MATCH('CGL coverage'!$I$5,Settings!$B$59:$B$63,0),6)*$M59/100*75%,INDEX(Settings!$B$59:$C$63,MATCH('CGL coverage'!$I$5,Settings!$B$59:$B$63,0),2)*75%)</f>
        <v>1650</v>
      </c>
      <c r="E59" s="1747" t="e">
        <f ca="1">D59/L59-1</f>
        <v>#N/A</v>
      </c>
      <c r="F59" s="30" t="str">
        <f t="shared" si="7"/>
        <v>Yes</v>
      </c>
      <c r="G59" s="1746">
        <v>2500</v>
      </c>
      <c r="H59" s="30" t="str">
        <f t="shared" si="8"/>
        <v>No</v>
      </c>
      <c r="K59" s="30" t="s">
        <v>1056</v>
      </c>
      <c r="L59" s="1748" t="e">
        <f ca="1">IF($M59&gt;500000,INDEX(Settings!$B$26:$H$33,MATCH('CGL coverage'!$I$5,Settings!$B$26:$B$33,0),MATCH('CGL coverage'!$AY$22,Settings!$B$26:$H$26,0))*$M59/1000,INDEX(Settings!$B$26:$H$33,MATCH('CGL coverage'!$I$5,Settings!$B$26:$B$33,0),MATCH('CGL coverage'!$AY$22,Settings!$B$26:$H$26,0)))</f>
        <v>#N/A</v>
      </c>
      <c r="M59" s="1736">
        <f>'Input '!$G$39</f>
        <v>0</v>
      </c>
    </row>
    <row r="60" spans="1:13">
      <c r="A60">
        <v>1536</v>
      </c>
      <c r="B60" s="1711" t="s">
        <v>182</v>
      </c>
      <c r="C60" s="1807" t="s">
        <v>3969</v>
      </c>
      <c r="D60" s="1746">
        <f>IF($M60&gt;400000,INDEX(Settings!$B$59:$G$63,MATCH('CGL coverage'!$I$5,Settings!$B$59:$B$63,0),6)*$M60/100*75%,INDEX(Settings!$B$59:$C$63,MATCH('CGL coverage'!$I$5,Settings!$B$59:$B$63,0),2)*75%)</f>
        <v>1650</v>
      </c>
      <c r="E60" s="1747" t="e">
        <f ca="1">D60/L60-1</f>
        <v>#N/A</v>
      </c>
      <c r="F60" s="30" t="str">
        <f t="shared" si="7"/>
        <v>Yes</v>
      </c>
      <c r="G60" s="1746">
        <v>2500</v>
      </c>
      <c r="H60" s="30" t="str">
        <f t="shared" si="8"/>
        <v>No</v>
      </c>
      <c r="K60" s="30" t="s">
        <v>1056</v>
      </c>
      <c r="L60" s="1748" t="e">
        <f ca="1">IF($M60&gt;500000,INDEX(Settings!$B$26:$H$33,MATCH('CGL coverage'!$I$5,Settings!$B$26:$B$33,0),MATCH('CGL coverage'!$AY$22,Settings!$B$26:$H$26,0))*$M60/1000,INDEX(Settings!$B$26:$H$33,MATCH('CGL coverage'!$I$5,Settings!$B$26:$B$33,0),MATCH('CGL coverage'!$AY$22,Settings!$B$26:$H$26,0)))</f>
        <v>#N/A</v>
      </c>
      <c r="M60" s="1736">
        <f>'Input '!$G$39</f>
        <v>0</v>
      </c>
    </row>
    <row r="61" spans="1:13">
      <c r="A61">
        <v>1537</v>
      </c>
      <c r="B61" s="1711" t="s">
        <v>180</v>
      </c>
      <c r="C61" s="1807" t="s">
        <v>3969</v>
      </c>
      <c r="D61" s="1746">
        <f>IF($M61&gt;400000,INDEX(Settings!$B$59:$G$63,MATCH('CGL coverage'!$I$5,Settings!$B$59:$B$63,0),6)*$M61/100*75%,INDEX(Settings!$B$59:$C$63,MATCH('CGL coverage'!$I$5,Settings!$B$59:$B$63,0),2)*75%)</f>
        <v>1650</v>
      </c>
      <c r="E61" s="1747" t="e">
        <f ca="1">D61/L61-1</f>
        <v>#N/A</v>
      </c>
      <c r="F61" s="30" t="str">
        <f t="shared" si="7"/>
        <v>Yes</v>
      </c>
      <c r="G61" s="1746">
        <v>2500</v>
      </c>
      <c r="H61" s="30" t="str">
        <f t="shared" si="8"/>
        <v>No</v>
      </c>
      <c r="K61" s="30" t="s">
        <v>1056</v>
      </c>
      <c r="L61" s="1748" t="e">
        <f ca="1">IF($M61&gt;500000,INDEX(Settings!$B$26:$H$33,MATCH('CGL coverage'!$I$5,Settings!$B$26:$B$33,0),MATCH('CGL coverage'!$AY$22,Settings!$B$26:$H$26,0))*$M61/1000,INDEX(Settings!$B$26:$H$33,MATCH('CGL coverage'!$I$5,Settings!$B$26:$B$33,0),MATCH('CGL coverage'!$AY$22,Settings!$B$26:$H$26,0)))</f>
        <v>#N/A</v>
      </c>
      <c r="M61" s="1736">
        <f>'Input '!$G$39</f>
        <v>0</v>
      </c>
    </row>
    <row r="62" spans="1:13">
      <c r="F62" s="30"/>
      <c r="H62" s="30"/>
      <c r="M62" s="1736"/>
    </row>
    <row r="63" spans="1:13">
      <c r="A63">
        <v>1718</v>
      </c>
      <c r="B63" s="1711" t="s">
        <v>139</v>
      </c>
      <c r="E63" s="748">
        <v>2.5</v>
      </c>
      <c r="F63" s="30" t="str">
        <f t="shared" si="7"/>
        <v>No</v>
      </c>
      <c r="H63" s="30" t="str">
        <f t="shared" si="8"/>
        <v>Yes</v>
      </c>
      <c r="I63" s="1746">
        <v>5000</v>
      </c>
      <c r="J63" s="1736"/>
      <c r="K63" s="30" t="s">
        <v>1056</v>
      </c>
      <c r="L63" s="30"/>
    </row>
    <row r="64" spans="1:13">
      <c r="A64">
        <v>1719</v>
      </c>
      <c r="B64" s="1711" t="s">
        <v>137</v>
      </c>
      <c r="E64" s="748">
        <v>2.5</v>
      </c>
      <c r="F64" s="30" t="str">
        <f t="shared" si="7"/>
        <v>No</v>
      </c>
      <c r="H64" s="30" t="str">
        <f t="shared" si="8"/>
        <v>Yes</v>
      </c>
      <c r="I64" s="1746">
        <v>5000</v>
      </c>
      <c r="J64" s="1736"/>
      <c r="K64" s="30" t="s">
        <v>1056</v>
      </c>
      <c r="L64" s="30"/>
    </row>
    <row r="65" spans="1:12">
      <c r="A65">
        <v>1720</v>
      </c>
      <c r="B65" s="1711" t="s">
        <v>135</v>
      </c>
      <c r="E65" s="748">
        <v>2.5</v>
      </c>
      <c r="F65" s="30" t="str">
        <f t="shared" si="7"/>
        <v>No</v>
      </c>
      <c r="H65" s="30" t="str">
        <f t="shared" si="8"/>
        <v>Yes</v>
      </c>
      <c r="I65" s="1746">
        <v>5000</v>
      </c>
      <c r="J65" s="1736"/>
      <c r="K65" s="30" t="s">
        <v>1056</v>
      </c>
      <c r="L65" s="30"/>
    </row>
    <row r="66" spans="1:12">
      <c r="F66" s="30"/>
      <c r="H66" s="30"/>
    </row>
    <row r="67" spans="1:12">
      <c r="A67">
        <v>1733</v>
      </c>
      <c r="B67" s="1711" t="s">
        <v>129</v>
      </c>
      <c r="E67" s="748">
        <v>2</v>
      </c>
      <c r="F67" s="30" t="str">
        <f t="shared" si="7"/>
        <v>Yes</v>
      </c>
      <c r="G67" s="1746">
        <v>2500</v>
      </c>
      <c r="H67" s="30" t="str">
        <f t="shared" si="8"/>
        <v>No</v>
      </c>
      <c r="I67" s="1736"/>
      <c r="J67" s="1736"/>
      <c r="K67" s="30" t="s">
        <v>1056</v>
      </c>
      <c r="L67" s="30"/>
    </row>
    <row r="68" spans="1:12">
      <c r="A68">
        <v>1780</v>
      </c>
      <c r="B68" s="1711" t="s">
        <v>75</v>
      </c>
      <c r="E68" s="748">
        <v>2</v>
      </c>
      <c r="F68" s="30" t="str">
        <f t="shared" si="7"/>
        <v>Yes</v>
      </c>
      <c r="G68" s="1746">
        <v>2500</v>
      </c>
      <c r="H68" s="30" t="str">
        <f t="shared" si="8"/>
        <v>No</v>
      </c>
      <c r="I68" s="1736"/>
      <c r="J68" s="1736"/>
      <c r="K68" s="30" t="s">
        <v>1056</v>
      </c>
      <c r="L68" s="30"/>
    </row>
    <row r="69" spans="1:12">
      <c r="B69" s="1711"/>
      <c r="F69" s="30"/>
      <c r="H69" s="30"/>
    </row>
    <row r="70" spans="1:12">
      <c r="A70">
        <v>1753</v>
      </c>
      <c r="B70" s="1711" t="s">
        <v>106</v>
      </c>
      <c r="E70" s="748">
        <v>2</v>
      </c>
      <c r="F70" s="30" t="str">
        <f t="shared" si="7"/>
        <v>No</v>
      </c>
      <c r="H70" s="30" t="str">
        <f t="shared" si="8"/>
        <v>No</v>
      </c>
      <c r="K70" s="569" t="s">
        <v>1056</v>
      </c>
      <c r="L70" s="569"/>
    </row>
    <row r="71" spans="1:12">
      <c r="A71">
        <v>1774</v>
      </c>
      <c r="B71" s="1711" t="s">
        <v>83</v>
      </c>
      <c r="E71" s="748">
        <v>0</v>
      </c>
      <c r="F71" s="30" t="str">
        <f t="shared" si="7"/>
        <v>No</v>
      </c>
      <c r="H71" s="30" t="str">
        <f t="shared" si="8"/>
        <v>No</v>
      </c>
      <c r="K71" s="569" t="s">
        <v>1056</v>
      </c>
      <c r="L71" s="569"/>
    </row>
    <row r="72" spans="1:12">
      <c r="F72" s="30"/>
      <c r="H72" s="30"/>
      <c r="K72" s="569"/>
      <c r="L72" s="569"/>
    </row>
    <row r="73" spans="1:12">
      <c r="A73">
        <v>7301</v>
      </c>
      <c r="B73" s="1711" t="s">
        <v>784</v>
      </c>
      <c r="F73" s="30" t="str">
        <f t="shared" si="7"/>
        <v>No</v>
      </c>
      <c r="H73" s="30" t="str">
        <f t="shared" si="8"/>
        <v>No</v>
      </c>
      <c r="K73" s="569" t="s">
        <v>258</v>
      </c>
      <c r="L73" s="569"/>
    </row>
    <row r="74" spans="1:12">
      <c r="A74">
        <v>7321</v>
      </c>
      <c r="B74" s="1711" t="s">
        <v>789</v>
      </c>
      <c r="F74" s="30" t="str">
        <f t="shared" si="7"/>
        <v>No</v>
      </c>
      <c r="H74" s="30" t="str">
        <f t="shared" si="8"/>
        <v>No</v>
      </c>
      <c r="K74" s="569" t="s">
        <v>258</v>
      </c>
      <c r="L74" s="569"/>
    </row>
    <row r="75" spans="1:12">
      <c r="F75" s="30"/>
      <c r="H75" s="30"/>
    </row>
    <row r="76" spans="1:12">
      <c r="A76">
        <v>1764</v>
      </c>
      <c r="B76" s="1711" t="s">
        <v>90</v>
      </c>
      <c r="E76" s="748">
        <v>1.5</v>
      </c>
      <c r="F76" s="30" t="str">
        <f t="shared" si="7"/>
        <v>Yes</v>
      </c>
      <c r="G76" s="1746">
        <v>2500</v>
      </c>
      <c r="H76" s="30" t="str">
        <f t="shared" ref="H76:H77" si="9">IF(I76=0,"No","Yes")</f>
        <v>No</v>
      </c>
      <c r="K76" s="341" t="s">
        <v>3823</v>
      </c>
      <c r="L76" s="341"/>
    </row>
    <row r="77" spans="1:12">
      <c r="A77">
        <v>1765</v>
      </c>
      <c r="B77" s="1711" t="s">
        <v>88</v>
      </c>
      <c r="E77" s="748">
        <v>1.5</v>
      </c>
      <c r="F77" s="30" t="str">
        <f t="shared" si="7"/>
        <v>Yes</v>
      </c>
      <c r="G77" s="1746">
        <v>2500</v>
      </c>
      <c r="H77" s="30" t="str">
        <f t="shared" si="9"/>
        <v>No</v>
      </c>
      <c r="K77" s="341" t="s">
        <v>3823</v>
      </c>
      <c r="L77" s="341"/>
    </row>
    <row r="78" spans="1:12">
      <c r="F78" s="30"/>
      <c r="H78" s="30"/>
    </row>
    <row r="79" spans="1:12">
      <c r="A79">
        <v>1770</v>
      </c>
      <c r="B79" s="1711" t="s">
        <v>84</v>
      </c>
      <c r="F79" s="30" t="str">
        <f t="shared" si="7"/>
        <v>Yes</v>
      </c>
      <c r="G79" s="1746">
        <v>2500</v>
      </c>
      <c r="H79" s="30" t="str">
        <f t="shared" ref="H79" si="10">IF(I79=0,"No","Yes")</f>
        <v>No</v>
      </c>
      <c r="I79" s="1736"/>
    </row>
    <row r="80" spans="1:12">
      <c r="A80">
        <v>1778</v>
      </c>
      <c r="B80" s="1711" t="s">
        <v>79</v>
      </c>
      <c r="F80" s="30" t="str">
        <f t="shared" si="7"/>
        <v>Yes</v>
      </c>
      <c r="G80" s="1746">
        <v>5000</v>
      </c>
      <c r="H80" s="30" t="str">
        <f t="shared" ref="H80:H81" si="11">IF(I80=0,"No","Yes")</f>
        <v>Yes</v>
      </c>
      <c r="I80" s="1746">
        <v>5000</v>
      </c>
    </row>
    <row r="81" spans="1:12">
      <c r="A81">
        <v>1777</v>
      </c>
      <c r="B81" s="1711" t="s">
        <v>81</v>
      </c>
      <c r="F81" s="30" t="str">
        <f t="shared" si="7"/>
        <v>Yes</v>
      </c>
      <c r="G81" s="1746">
        <v>5000</v>
      </c>
      <c r="H81" s="30" t="str">
        <f t="shared" si="11"/>
        <v>Yes</v>
      </c>
      <c r="I81" s="1746">
        <v>5000</v>
      </c>
    </row>
    <row r="82" spans="1:12">
      <c r="F82" s="30"/>
      <c r="H82" s="30"/>
      <c r="I82" s="1736"/>
    </row>
    <row r="83" spans="1:12">
      <c r="A83">
        <v>7391</v>
      </c>
      <c r="B83" s="1711" t="s">
        <v>790</v>
      </c>
      <c r="F83" s="30" t="str">
        <f t="shared" si="7"/>
        <v>No</v>
      </c>
      <c r="H83" s="30" t="str">
        <f t="shared" ref="H83:H89" si="12">IF(I83=0,"No","Yes")</f>
        <v>No</v>
      </c>
      <c r="K83" s="341" t="s">
        <v>3823</v>
      </c>
      <c r="L83" s="341"/>
    </row>
    <row r="84" spans="1:12">
      <c r="A84">
        <v>7411</v>
      </c>
      <c r="B84" s="1711" t="s">
        <v>53</v>
      </c>
      <c r="F84" s="30" t="str">
        <f t="shared" si="7"/>
        <v>No</v>
      </c>
      <c r="H84" s="30" t="str">
        <f t="shared" si="12"/>
        <v>No</v>
      </c>
      <c r="K84" s="341" t="s">
        <v>3823</v>
      </c>
      <c r="L84" s="341"/>
    </row>
    <row r="85" spans="1:12">
      <c r="A85">
        <v>7412</v>
      </c>
      <c r="B85" s="1711" t="s">
        <v>51</v>
      </c>
      <c r="F85" s="30" t="str">
        <f t="shared" si="7"/>
        <v>No</v>
      </c>
      <c r="H85" s="30" t="str">
        <f t="shared" si="12"/>
        <v>No</v>
      </c>
      <c r="K85" s="341" t="s">
        <v>3823</v>
      </c>
      <c r="L85" s="341"/>
    </row>
    <row r="86" spans="1:12">
      <c r="A86">
        <v>7413</v>
      </c>
      <c r="B86" s="1711" t="s">
        <v>49</v>
      </c>
      <c r="F86" s="30" t="str">
        <f t="shared" si="7"/>
        <v>No</v>
      </c>
      <c r="H86" s="30" t="str">
        <f t="shared" si="12"/>
        <v>No</v>
      </c>
      <c r="K86" s="341" t="s">
        <v>3823</v>
      </c>
      <c r="L86" s="341"/>
    </row>
    <row r="87" spans="1:12">
      <c r="A87">
        <v>7414</v>
      </c>
      <c r="B87" s="1711" t="s">
        <v>47</v>
      </c>
      <c r="F87" s="30" t="str">
        <f t="shared" si="7"/>
        <v>No</v>
      </c>
      <c r="H87" s="30" t="str">
        <f t="shared" si="12"/>
        <v>No</v>
      </c>
      <c r="K87" s="341" t="s">
        <v>3823</v>
      </c>
      <c r="L87" s="341"/>
    </row>
    <row r="88" spans="1:12">
      <c r="A88">
        <v>7415</v>
      </c>
      <c r="B88" s="1711" t="s">
        <v>44</v>
      </c>
      <c r="F88" s="30" t="str">
        <f t="shared" si="7"/>
        <v>No</v>
      </c>
      <c r="H88" s="30" t="str">
        <f t="shared" si="12"/>
        <v>No</v>
      </c>
      <c r="K88" s="341" t="s">
        <v>3823</v>
      </c>
      <c r="L88" s="341"/>
    </row>
    <row r="89" spans="1:12">
      <c r="A89">
        <v>1781</v>
      </c>
      <c r="B89" s="1711" t="s">
        <v>73</v>
      </c>
      <c r="F89" s="30" t="str">
        <f t="shared" si="7"/>
        <v>No</v>
      </c>
      <c r="H89" s="30" t="str">
        <f t="shared" si="12"/>
        <v>No</v>
      </c>
      <c r="K89" s="341" t="s">
        <v>3823</v>
      </c>
      <c r="L89" s="341"/>
    </row>
    <row r="90" spans="1:12">
      <c r="F90" s="30"/>
      <c r="H90" s="30"/>
    </row>
    <row r="91" spans="1:12">
      <c r="B91" s="1711"/>
      <c r="F91" s="30"/>
      <c r="H91" s="30"/>
      <c r="K91" s="576"/>
      <c r="L91" s="576"/>
    </row>
    <row r="92" spans="1:12">
      <c r="B92" s="1711"/>
      <c r="F92" s="30"/>
      <c r="H92" s="30"/>
      <c r="K92" s="576"/>
      <c r="L92" s="576"/>
    </row>
    <row r="95" spans="1:12">
      <c r="E95" s="581" t="s">
        <v>4182</v>
      </c>
      <c r="F95" s="581"/>
    </row>
    <row r="96" spans="1:12" ht="30">
      <c r="C96" s="1711" t="s">
        <v>3530</v>
      </c>
      <c r="D96" s="1711" t="s">
        <v>4173</v>
      </c>
      <c r="E96" s="2735" t="s">
        <v>4176</v>
      </c>
      <c r="F96" s="2735" t="s">
        <v>4177</v>
      </c>
    </row>
    <row r="97" spans="2:12">
      <c r="C97">
        <v>0</v>
      </c>
      <c r="D97" s="1736">
        <v>850</v>
      </c>
      <c r="E97" s="249">
        <f>D97/1.2</f>
        <v>708.33333333333337</v>
      </c>
      <c r="F97" s="249">
        <f>E97*1.15</f>
        <v>814.58333333333326</v>
      </c>
      <c r="I97" s="100" t="s">
        <v>968</v>
      </c>
      <c r="J97" s="100" t="s">
        <v>4174</v>
      </c>
      <c r="K97" s="100" t="s">
        <v>222</v>
      </c>
    </row>
    <row r="98" spans="2:12">
      <c r="B98" t="s">
        <v>4165</v>
      </c>
      <c r="C98" s="1736">
        <v>300001</v>
      </c>
      <c r="D98" s="1736">
        <v>1000</v>
      </c>
      <c r="E98" s="249">
        <f t="shared" ref="E98:E145" si="13">D98/1.2</f>
        <v>833.33333333333337</v>
      </c>
      <c r="F98" s="249">
        <f t="shared" ref="F98:F145" si="14">E98*1.15</f>
        <v>958.33333333333326</v>
      </c>
      <c r="I98" s="2739">
        <v>1000000</v>
      </c>
      <c r="J98" s="2740">
        <f>J99/1.2</f>
        <v>708.33333333333337</v>
      </c>
      <c r="K98" s="100">
        <v>1</v>
      </c>
    </row>
    <row r="99" spans="2:12">
      <c r="B99" t="s">
        <v>4166</v>
      </c>
      <c r="C99" s="249">
        <f>C98+100000</f>
        <v>400001</v>
      </c>
      <c r="D99" s="1736">
        <v>1125</v>
      </c>
      <c r="E99" s="249">
        <f t="shared" si="13"/>
        <v>937.5</v>
      </c>
      <c r="F99" s="249">
        <f t="shared" si="14"/>
        <v>1078.125</v>
      </c>
      <c r="I99" s="2739">
        <v>2000000</v>
      </c>
      <c r="J99" s="100">
        <v>850</v>
      </c>
      <c r="K99" s="100">
        <v>1.2</v>
      </c>
    </row>
    <row r="100" spans="2:12">
      <c r="B100" t="s">
        <v>4167</v>
      </c>
      <c r="C100" s="249">
        <f t="shared" ref="C100:C105" si="15">C99+100000</f>
        <v>500001</v>
      </c>
      <c r="D100" s="1736">
        <v>1250</v>
      </c>
      <c r="E100" s="249">
        <f t="shared" si="13"/>
        <v>1041.6666666666667</v>
      </c>
      <c r="F100" s="249">
        <f t="shared" si="14"/>
        <v>1197.9166666666667</v>
      </c>
      <c r="I100" s="2739">
        <v>3000000</v>
      </c>
      <c r="J100" s="2740">
        <f>$J$98*K100</f>
        <v>920.83333333333337</v>
      </c>
      <c r="K100" s="100">
        <v>1.3</v>
      </c>
    </row>
    <row r="101" spans="2:12">
      <c r="B101" t="s">
        <v>4168</v>
      </c>
      <c r="C101" s="249">
        <f t="shared" si="15"/>
        <v>600001</v>
      </c>
      <c r="D101" s="1736">
        <v>1375</v>
      </c>
      <c r="E101" s="249">
        <f t="shared" si="13"/>
        <v>1145.8333333333335</v>
      </c>
      <c r="F101" s="249">
        <f t="shared" si="14"/>
        <v>1317.7083333333335</v>
      </c>
      <c r="I101" s="2739">
        <v>4000000</v>
      </c>
      <c r="J101" s="2740">
        <f t="shared" ref="J101:J102" si="16">$J$98*K101</f>
        <v>991.66666666666663</v>
      </c>
      <c r="K101" s="100">
        <v>1.4</v>
      </c>
    </row>
    <row r="102" spans="2:12">
      <c r="B102" t="s">
        <v>4169</v>
      </c>
      <c r="C102" s="249">
        <f t="shared" si="15"/>
        <v>700001</v>
      </c>
      <c r="D102" s="1736">
        <v>1500</v>
      </c>
      <c r="E102" s="249">
        <f t="shared" si="13"/>
        <v>1250</v>
      </c>
      <c r="F102" s="249">
        <f t="shared" si="14"/>
        <v>1437.5</v>
      </c>
      <c r="I102" s="2739">
        <v>5000000</v>
      </c>
      <c r="J102" s="2740">
        <f t="shared" si="16"/>
        <v>1062.5</v>
      </c>
      <c r="K102" s="100">
        <v>1.5</v>
      </c>
    </row>
    <row r="103" spans="2:12">
      <c r="B103" t="s">
        <v>4170</v>
      </c>
      <c r="C103" s="249">
        <f t="shared" si="15"/>
        <v>800001</v>
      </c>
      <c r="D103" s="1736">
        <v>1750</v>
      </c>
      <c r="E103" s="249">
        <f t="shared" si="13"/>
        <v>1458.3333333333335</v>
      </c>
      <c r="F103" s="249">
        <f t="shared" si="14"/>
        <v>1677.0833333333335</v>
      </c>
    </row>
    <row r="104" spans="2:12">
      <c r="B104" t="s">
        <v>4171</v>
      </c>
      <c r="C104" s="249">
        <f t="shared" si="15"/>
        <v>900001</v>
      </c>
      <c r="D104" s="1736">
        <v>2000</v>
      </c>
      <c r="E104" s="249">
        <f t="shared" si="13"/>
        <v>1666.6666666666667</v>
      </c>
      <c r="F104" s="249">
        <f t="shared" si="14"/>
        <v>1916.6666666666665</v>
      </c>
    </row>
    <row r="105" spans="2:12">
      <c r="B105" t="s">
        <v>4172</v>
      </c>
      <c r="C105" s="249">
        <f t="shared" si="15"/>
        <v>1000001</v>
      </c>
      <c r="D105" s="1736">
        <f t="shared" ref="D105" si="17">D104+150</f>
        <v>2150</v>
      </c>
      <c r="E105" s="249">
        <f t="shared" si="13"/>
        <v>1791.6666666666667</v>
      </c>
      <c r="F105" s="249">
        <f t="shared" si="14"/>
        <v>2060.4166666666665</v>
      </c>
      <c r="I105" s="1711" t="s">
        <v>4180</v>
      </c>
      <c r="J105" s="581" t="str">
        <f>IF(OR('Input '!$G$37=1736,'Input '!$G$37=1731),"Y","N")</f>
        <v>N</v>
      </c>
    </row>
    <row r="106" spans="2:12">
      <c r="C106" s="249">
        <f>C105+100000</f>
        <v>1100001</v>
      </c>
      <c r="D106" s="1736">
        <f>D105+100</f>
        <v>2250</v>
      </c>
      <c r="E106" s="249">
        <f t="shared" si="13"/>
        <v>1875</v>
      </c>
      <c r="F106" s="249">
        <f t="shared" si="14"/>
        <v>2156.25</v>
      </c>
      <c r="I106" s="1711" t="s">
        <v>4181</v>
      </c>
      <c r="J106" s="1711" t="str">
        <f ca="1">IF('Input '!G29&gt;=3,'Additional condition CGL Amlin'!$E$96,'Additional condition CGL Amlin'!$F$96)</f>
        <v>3 ans en affaires</v>
      </c>
    </row>
    <row r="107" spans="2:12">
      <c r="C107" s="249">
        <f t="shared" ref="C107:C145" si="18">C106+100000</f>
        <v>1200001</v>
      </c>
      <c r="D107" s="1736">
        <f>D106+100</f>
        <v>2350</v>
      </c>
      <c r="E107" s="249">
        <f t="shared" si="13"/>
        <v>1958.3333333333335</v>
      </c>
      <c r="F107" s="249">
        <f t="shared" si="14"/>
        <v>2252.0833333333335</v>
      </c>
      <c r="I107" s="2736" t="s">
        <v>3530</v>
      </c>
      <c r="J107" s="2737">
        <f>'Input '!$G$39</f>
        <v>0</v>
      </c>
    </row>
    <row r="108" spans="2:12">
      <c r="C108" s="249">
        <f t="shared" si="18"/>
        <v>1300001</v>
      </c>
      <c r="D108" s="1736">
        <f t="shared" ref="D108:D145" si="19">D107+100</f>
        <v>2450</v>
      </c>
      <c r="E108" s="249">
        <f t="shared" si="13"/>
        <v>2041.6666666666667</v>
      </c>
      <c r="F108" s="249">
        <f t="shared" si="14"/>
        <v>2347.9166666666665</v>
      </c>
      <c r="I108" s="2736" t="s">
        <v>4183</v>
      </c>
      <c r="J108" s="2737">
        <f>VLOOKUP(J107,$C$97:$C$145,1,TRUE)</f>
        <v>0</v>
      </c>
    </row>
    <row r="109" spans="2:12">
      <c r="C109" s="249">
        <f t="shared" si="18"/>
        <v>1400001</v>
      </c>
      <c r="D109" s="1736">
        <f t="shared" si="19"/>
        <v>2550</v>
      </c>
      <c r="E109" s="249">
        <f t="shared" si="13"/>
        <v>2125</v>
      </c>
      <c r="F109" s="249">
        <f t="shared" si="14"/>
        <v>2443.75</v>
      </c>
      <c r="I109" s="2741" t="s">
        <v>4178</v>
      </c>
      <c r="J109" s="2742" t="e">
        <f>'Input '!I24+'Input '!J24</f>
        <v>#DIV/0!</v>
      </c>
    </row>
    <row r="110" spans="2:12">
      <c r="C110" s="249">
        <f t="shared" si="18"/>
        <v>1500001</v>
      </c>
      <c r="D110" s="1736">
        <f t="shared" si="19"/>
        <v>2650</v>
      </c>
      <c r="E110" s="249">
        <f t="shared" si="13"/>
        <v>2208.3333333333335</v>
      </c>
      <c r="F110" s="249">
        <f t="shared" si="14"/>
        <v>2539.5833333333335</v>
      </c>
      <c r="I110" s="100" t="s">
        <v>231</v>
      </c>
      <c r="J110" s="2739">
        <f>'CGL coverage'!$I$5</f>
        <v>1000000</v>
      </c>
      <c r="K110" s="100">
        <f>VLOOKUP($J$110,I98:K102,3,FALSE)</f>
        <v>1</v>
      </c>
      <c r="L110" s="100" t="s">
        <v>222</v>
      </c>
    </row>
    <row r="111" spans="2:12">
      <c r="C111" s="249">
        <f t="shared" si="18"/>
        <v>1600001</v>
      </c>
      <c r="D111" s="1736">
        <f t="shared" si="19"/>
        <v>2750</v>
      </c>
      <c r="E111" s="249">
        <f t="shared" si="13"/>
        <v>2291.666666666667</v>
      </c>
      <c r="F111" s="249">
        <f t="shared" si="14"/>
        <v>2635.416666666667</v>
      </c>
      <c r="I111" s="1711" t="s">
        <v>3696</v>
      </c>
      <c r="J111" s="1736">
        <f ca="1">INDEX($C$96:$F$145,MATCH($J$108,$C$96:$C$145,0),MATCH($J$106,$C$96:$F$96,0))</f>
        <v>708.33333333333337</v>
      </c>
      <c r="K111" s="249">
        <f ca="1">J111*K110</f>
        <v>708.33333333333337</v>
      </c>
    </row>
    <row r="112" spans="2:12">
      <c r="C112" s="249">
        <f t="shared" si="18"/>
        <v>1700001</v>
      </c>
      <c r="D112" s="1736">
        <f t="shared" si="19"/>
        <v>2850</v>
      </c>
      <c r="E112" s="249">
        <f t="shared" si="13"/>
        <v>2375</v>
      </c>
      <c r="F112" s="249">
        <f t="shared" si="14"/>
        <v>2731.25</v>
      </c>
      <c r="I112" s="2727" t="s">
        <v>4179</v>
      </c>
      <c r="J112" s="2728" t="e">
        <f>VLOOKUP(J109,$I$114:$J$118,2,TRUE)</f>
        <v>#DIV/0!</v>
      </c>
    </row>
    <row r="113" spans="3:10">
      <c r="C113" s="249">
        <f t="shared" si="18"/>
        <v>1800001</v>
      </c>
      <c r="D113" s="1736">
        <f t="shared" si="19"/>
        <v>2950</v>
      </c>
      <c r="E113" s="249">
        <f t="shared" si="13"/>
        <v>2458.3333333333335</v>
      </c>
      <c r="F113" s="249">
        <f t="shared" si="14"/>
        <v>2827.0833333333335</v>
      </c>
      <c r="I113" s="893" t="s">
        <v>4184</v>
      </c>
      <c r="J113" s="1736">
        <f>IF(J105="Y",J111*(1+J112)*$K$110,0)</f>
        <v>0</v>
      </c>
    </row>
    <row r="114" spans="3:10">
      <c r="C114" s="249">
        <f t="shared" si="18"/>
        <v>1900001</v>
      </c>
      <c r="D114" s="1736">
        <f t="shared" si="19"/>
        <v>3050</v>
      </c>
      <c r="E114" s="249">
        <f t="shared" si="13"/>
        <v>2541.666666666667</v>
      </c>
      <c r="F114" s="249">
        <f t="shared" si="14"/>
        <v>2922.916666666667</v>
      </c>
      <c r="I114" s="2725" t="s">
        <v>4175</v>
      </c>
      <c r="J114" s="2725"/>
    </row>
    <row r="115" spans="3:10">
      <c r="C115" s="249">
        <f t="shared" si="18"/>
        <v>2000001</v>
      </c>
      <c r="D115" s="1736">
        <f t="shared" si="19"/>
        <v>3150</v>
      </c>
      <c r="E115" s="249">
        <f t="shared" si="13"/>
        <v>2625</v>
      </c>
      <c r="F115" s="249">
        <f t="shared" si="14"/>
        <v>3018.7499999999995</v>
      </c>
      <c r="I115" s="2726">
        <v>0</v>
      </c>
      <c r="J115" s="2726">
        <v>0</v>
      </c>
    </row>
    <row r="116" spans="3:10">
      <c r="C116" s="249">
        <f t="shared" si="18"/>
        <v>2100001</v>
      </c>
      <c r="D116" s="1736">
        <f t="shared" si="19"/>
        <v>3250</v>
      </c>
      <c r="E116" s="249">
        <f t="shared" si="13"/>
        <v>2708.3333333333335</v>
      </c>
      <c r="F116" s="249">
        <f t="shared" si="14"/>
        <v>3114.5833333333335</v>
      </c>
      <c r="I116" s="2726">
        <v>0.06</v>
      </c>
      <c r="J116" s="2726">
        <v>0.2</v>
      </c>
    </row>
    <row r="117" spans="3:10">
      <c r="C117" s="249">
        <f t="shared" si="18"/>
        <v>2200001</v>
      </c>
      <c r="D117" s="1736">
        <f t="shared" si="19"/>
        <v>3350</v>
      </c>
      <c r="E117" s="249">
        <f t="shared" si="13"/>
        <v>2791.666666666667</v>
      </c>
      <c r="F117" s="249">
        <f t="shared" si="14"/>
        <v>3210.416666666667</v>
      </c>
      <c r="I117" s="2726">
        <v>0.26</v>
      </c>
      <c r="J117" s="2726">
        <v>0.35</v>
      </c>
    </row>
    <row r="118" spans="3:10">
      <c r="C118" s="249">
        <f t="shared" si="18"/>
        <v>2300001</v>
      </c>
      <c r="D118" s="1736">
        <f t="shared" si="19"/>
        <v>3450</v>
      </c>
      <c r="E118" s="249">
        <f t="shared" si="13"/>
        <v>2875</v>
      </c>
      <c r="F118" s="249">
        <f t="shared" si="14"/>
        <v>3306.2499999999995</v>
      </c>
      <c r="I118" s="2726">
        <v>0.41</v>
      </c>
      <c r="J118" s="2726">
        <v>0.5</v>
      </c>
    </row>
    <row r="119" spans="3:10">
      <c r="C119" s="249">
        <f t="shared" si="18"/>
        <v>2400001</v>
      </c>
      <c r="D119" s="1736">
        <f t="shared" si="19"/>
        <v>3550</v>
      </c>
      <c r="E119" s="249">
        <f t="shared" si="13"/>
        <v>2958.3333333333335</v>
      </c>
      <c r="F119" s="249">
        <f t="shared" si="14"/>
        <v>3402.083333333333</v>
      </c>
    </row>
    <row r="120" spans="3:10">
      <c r="C120" s="249">
        <f t="shared" si="18"/>
        <v>2500001</v>
      </c>
      <c r="D120" s="1736">
        <f t="shared" si="19"/>
        <v>3650</v>
      </c>
      <c r="E120" s="249">
        <f t="shared" si="13"/>
        <v>3041.666666666667</v>
      </c>
      <c r="F120" s="249">
        <f t="shared" si="14"/>
        <v>3497.916666666667</v>
      </c>
    </row>
    <row r="121" spans="3:10">
      <c r="C121" s="249">
        <f t="shared" si="18"/>
        <v>2600001</v>
      </c>
      <c r="D121" s="1736">
        <f t="shared" si="19"/>
        <v>3750</v>
      </c>
      <c r="E121" s="249">
        <f t="shared" si="13"/>
        <v>3125</v>
      </c>
      <c r="F121" s="249">
        <f t="shared" si="14"/>
        <v>3593.7499999999995</v>
      </c>
    </row>
    <row r="122" spans="3:10">
      <c r="C122" s="249">
        <f t="shared" si="18"/>
        <v>2700001</v>
      </c>
      <c r="D122" s="1736">
        <f t="shared" si="19"/>
        <v>3850</v>
      </c>
      <c r="E122" s="249">
        <f t="shared" si="13"/>
        <v>3208.3333333333335</v>
      </c>
      <c r="F122" s="249">
        <f t="shared" si="14"/>
        <v>3689.583333333333</v>
      </c>
    </row>
    <row r="123" spans="3:10">
      <c r="C123" s="249">
        <f t="shared" si="18"/>
        <v>2800001</v>
      </c>
      <c r="D123" s="1736">
        <f t="shared" si="19"/>
        <v>3950</v>
      </c>
      <c r="E123" s="249">
        <f t="shared" si="13"/>
        <v>3291.666666666667</v>
      </c>
      <c r="F123" s="249">
        <f t="shared" si="14"/>
        <v>3785.4166666666665</v>
      </c>
    </row>
    <row r="124" spans="3:10">
      <c r="C124" s="249">
        <f t="shared" si="18"/>
        <v>2900001</v>
      </c>
      <c r="D124" s="1736">
        <f t="shared" si="19"/>
        <v>4050</v>
      </c>
      <c r="E124" s="249">
        <f t="shared" si="13"/>
        <v>3375</v>
      </c>
      <c r="F124" s="249">
        <f t="shared" si="14"/>
        <v>3881.2499999999995</v>
      </c>
    </row>
    <row r="125" spans="3:10">
      <c r="C125" s="249">
        <f t="shared" si="18"/>
        <v>3000001</v>
      </c>
      <c r="D125" s="1736">
        <f t="shared" si="19"/>
        <v>4150</v>
      </c>
      <c r="E125" s="249">
        <f t="shared" si="13"/>
        <v>3458.3333333333335</v>
      </c>
      <c r="F125" s="249">
        <f t="shared" si="14"/>
        <v>3977.083333333333</v>
      </c>
    </row>
    <row r="126" spans="3:10">
      <c r="C126" s="249">
        <f t="shared" si="18"/>
        <v>3100001</v>
      </c>
      <c r="D126" s="1736">
        <f t="shared" si="19"/>
        <v>4250</v>
      </c>
      <c r="E126" s="249">
        <f t="shared" si="13"/>
        <v>3541.666666666667</v>
      </c>
      <c r="F126" s="249">
        <f t="shared" si="14"/>
        <v>4072.9166666666665</v>
      </c>
    </row>
    <row r="127" spans="3:10">
      <c r="C127" s="249">
        <f t="shared" si="18"/>
        <v>3200001</v>
      </c>
      <c r="D127" s="1736">
        <f t="shared" si="19"/>
        <v>4350</v>
      </c>
      <c r="E127" s="249">
        <f t="shared" si="13"/>
        <v>3625</v>
      </c>
      <c r="F127" s="249">
        <f t="shared" si="14"/>
        <v>4168.75</v>
      </c>
    </row>
    <row r="128" spans="3:10">
      <c r="C128" s="249">
        <f t="shared" si="18"/>
        <v>3300001</v>
      </c>
      <c r="D128" s="1736">
        <f t="shared" si="19"/>
        <v>4450</v>
      </c>
      <c r="E128" s="249">
        <f t="shared" si="13"/>
        <v>3708.3333333333335</v>
      </c>
      <c r="F128" s="249">
        <f t="shared" si="14"/>
        <v>4264.583333333333</v>
      </c>
    </row>
    <row r="129" spans="3:6">
      <c r="C129" s="249">
        <f t="shared" si="18"/>
        <v>3400001</v>
      </c>
      <c r="D129" s="1736">
        <f t="shared" si="19"/>
        <v>4550</v>
      </c>
      <c r="E129" s="249">
        <f t="shared" si="13"/>
        <v>3791.666666666667</v>
      </c>
      <c r="F129" s="249">
        <f t="shared" si="14"/>
        <v>4360.416666666667</v>
      </c>
    </row>
    <row r="130" spans="3:6">
      <c r="C130" s="249">
        <f t="shared" si="18"/>
        <v>3500001</v>
      </c>
      <c r="D130" s="1736">
        <f t="shared" si="19"/>
        <v>4650</v>
      </c>
      <c r="E130" s="249">
        <f t="shared" si="13"/>
        <v>3875</v>
      </c>
      <c r="F130" s="249">
        <f t="shared" si="14"/>
        <v>4456.25</v>
      </c>
    </row>
    <row r="131" spans="3:6">
      <c r="C131" s="249">
        <f t="shared" si="18"/>
        <v>3600001</v>
      </c>
      <c r="D131" s="1736">
        <f t="shared" si="19"/>
        <v>4750</v>
      </c>
      <c r="E131" s="249">
        <f t="shared" si="13"/>
        <v>3958.3333333333335</v>
      </c>
      <c r="F131" s="249">
        <f t="shared" si="14"/>
        <v>4552.083333333333</v>
      </c>
    </row>
    <row r="132" spans="3:6">
      <c r="C132" s="249">
        <f t="shared" si="18"/>
        <v>3700001</v>
      </c>
      <c r="D132" s="1736">
        <f t="shared" si="19"/>
        <v>4850</v>
      </c>
      <c r="E132" s="249">
        <f t="shared" si="13"/>
        <v>4041.666666666667</v>
      </c>
      <c r="F132" s="249">
        <f t="shared" si="14"/>
        <v>4647.916666666667</v>
      </c>
    </row>
    <row r="133" spans="3:6">
      <c r="C133" s="249">
        <f t="shared" si="18"/>
        <v>3800001</v>
      </c>
      <c r="D133" s="1736">
        <f t="shared" si="19"/>
        <v>4950</v>
      </c>
      <c r="E133" s="249">
        <f t="shared" si="13"/>
        <v>4125</v>
      </c>
      <c r="F133" s="249">
        <f t="shared" si="14"/>
        <v>4743.75</v>
      </c>
    </row>
    <row r="134" spans="3:6">
      <c r="C134" s="249">
        <f t="shared" si="18"/>
        <v>3900001</v>
      </c>
      <c r="D134" s="1736">
        <f t="shared" si="19"/>
        <v>5050</v>
      </c>
      <c r="E134" s="249">
        <f t="shared" si="13"/>
        <v>4208.3333333333339</v>
      </c>
      <c r="F134" s="249">
        <f t="shared" si="14"/>
        <v>4839.5833333333339</v>
      </c>
    </row>
    <row r="135" spans="3:6">
      <c r="C135" s="249">
        <f t="shared" si="18"/>
        <v>4000001</v>
      </c>
      <c r="D135" s="1736">
        <f t="shared" si="19"/>
        <v>5150</v>
      </c>
      <c r="E135" s="249">
        <f t="shared" si="13"/>
        <v>4291.666666666667</v>
      </c>
      <c r="F135" s="249">
        <f t="shared" si="14"/>
        <v>4935.416666666667</v>
      </c>
    </row>
    <row r="136" spans="3:6">
      <c r="C136" s="249">
        <f t="shared" si="18"/>
        <v>4100001</v>
      </c>
      <c r="D136" s="1736">
        <f t="shared" si="19"/>
        <v>5250</v>
      </c>
      <c r="E136" s="249">
        <f t="shared" si="13"/>
        <v>4375</v>
      </c>
      <c r="F136" s="249">
        <f t="shared" si="14"/>
        <v>5031.25</v>
      </c>
    </row>
    <row r="137" spans="3:6">
      <c r="C137" s="249">
        <f t="shared" si="18"/>
        <v>4200001</v>
      </c>
      <c r="D137" s="1736">
        <f t="shared" si="19"/>
        <v>5350</v>
      </c>
      <c r="E137" s="249">
        <f t="shared" si="13"/>
        <v>4458.3333333333339</v>
      </c>
      <c r="F137" s="249">
        <f t="shared" si="14"/>
        <v>5127.0833333333339</v>
      </c>
    </row>
    <row r="138" spans="3:6">
      <c r="C138" s="249">
        <f t="shared" si="18"/>
        <v>4300001</v>
      </c>
      <c r="D138" s="1736">
        <f t="shared" si="19"/>
        <v>5450</v>
      </c>
      <c r="E138" s="249">
        <f t="shared" si="13"/>
        <v>4541.666666666667</v>
      </c>
      <c r="F138" s="249">
        <f t="shared" si="14"/>
        <v>5222.916666666667</v>
      </c>
    </row>
    <row r="139" spans="3:6">
      <c r="C139" s="249">
        <f t="shared" si="18"/>
        <v>4400001</v>
      </c>
      <c r="D139" s="1736">
        <f t="shared" si="19"/>
        <v>5550</v>
      </c>
      <c r="E139" s="249">
        <f t="shared" si="13"/>
        <v>4625</v>
      </c>
      <c r="F139" s="249">
        <f t="shared" si="14"/>
        <v>5318.75</v>
      </c>
    </row>
    <row r="140" spans="3:6">
      <c r="C140" s="249">
        <f t="shared" si="18"/>
        <v>4500001</v>
      </c>
      <c r="D140" s="1736">
        <f t="shared" si="19"/>
        <v>5650</v>
      </c>
      <c r="E140" s="249">
        <f t="shared" si="13"/>
        <v>4708.3333333333339</v>
      </c>
      <c r="F140" s="249">
        <f t="shared" si="14"/>
        <v>5414.5833333333339</v>
      </c>
    </row>
    <row r="141" spans="3:6">
      <c r="C141" s="249">
        <f t="shared" si="18"/>
        <v>4600001</v>
      </c>
      <c r="D141" s="1736">
        <f t="shared" si="19"/>
        <v>5750</v>
      </c>
      <c r="E141" s="249">
        <f t="shared" si="13"/>
        <v>4791.666666666667</v>
      </c>
      <c r="F141" s="249">
        <f t="shared" si="14"/>
        <v>5510.416666666667</v>
      </c>
    </row>
    <row r="142" spans="3:6">
      <c r="C142" s="249">
        <f t="shared" si="18"/>
        <v>4700001</v>
      </c>
      <c r="D142" s="1736">
        <f t="shared" si="19"/>
        <v>5850</v>
      </c>
      <c r="E142" s="249">
        <f t="shared" si="13"/>
        <v>4875</v>
      </c>
      <c r="F142" s="249">
        <f t="shared" si="14"/>
        <v>5606.25</v>
      </c>
    </row>
    <row r="143" spans="3:6">
      <c r="C143" s="249">
        <f t="shared" si="18"/>
        <v>4800001</v>
      </c>
      <c r="D143" s="1736">
        <f t="shared" si="19"/>
        <v>5950</v>
      </c>
      <c r="E143" s="249">
        <f t="shared" si="13"/>
        <v>4958.3333333333339</v>
      </c>
      <c r="F143" s="249">
        <f t="shared" si="14"/>
        <v>5702.0833333333339</v>
      </c>
    </row>
    <row r="144" spans="3:6">
      <c r="C144" s="249">
        <f t="shared" si="18"/>
        <v>4900001</v>
      </c>
      <c r="D144" s="1736">
        <f t="shared" si="19"/>
        <v>6050</v>
      </c>
      <c r="E144" s="249">
        <f t="shared" si="13"/>
        <v>5041.666666666667</v>
      </c>
      <c r="F144" s="249">
        <f t="shared" si="14"/>
        <v>5797.916666666667</v>
      </c>
    </row>
    <row r="145" spans="3:6">
      <c r="C145" s="249">
        <f t="shared" si="18"/>
        <v>5000001</v>
      </c>
      <c r="D145" s="1736">
        <f t="shared" si="19"/>
        <v>6150</v>
      </c>
      <c r="E145" s="249">
        <f t="shared" si="13"/>
        <v>5125</v>
      </c>
      <c r="F145" s="249">
        <f t="shared" si="14"/>
        <v>5893.7499999999991</v>
      </c>
    </row>
    <row r="146" spans="3:6">
      <c r="C146" s="249"/>
    </row>
    <row r="147" spans="3:6">
      <c r="C147" s="249"/>
    </row>
    <row r="148" spans="3:6">
      <c r="C148" s="249"/>
    </row>
    <row r="149" spans="3:6">
      <c r="C149" s="249"/>
    </row>
    <row r="150" spans="3:6">
      <c r="C150" s="249"/>
    </row>
    <row r="151" spans="3:6">
      <c r="C151" s="249"/>
    </row>
    <row r="152" spans="3:6">
      <c r="C152" s="249"/>
    </row>
    <row r="153" spans="3:6">
      <c r="C153" s="249"/>
    </row>
    <row r="154" spans="3:6">
      <c r="C154" s="249"/>
    </row>
    <row r="155" spans="3:6">
      <c r="C155" s="249"/>
    </row>
    <row r="156" spans="3:6">
      <c r="C156" s="249"/>
    </row>
    <row r="157" spans="3:6">
      <c r="C157" s="249"/>
    </row>
    <row r="158" spans="3:6">
      <c r="C158" s="249"/>
    </row>
    <row r="159" spans="3:6">
      <c r="C159" s="249"/>
    </row>
    <row r="160" spans="3:6">
      <c r="C160" s="249"/>
    </row>
    <row r="161" spans="3:3">
      <c r="C161" s="249"/>
    </row>
    <row r="162" spans="3:3">
      <c r="C162" s="249"/>
    </row>
    <row r="163" spans="3:3">
      <c r="C163" s="249"/>
    </row>
    <row r="164" spans="3:3">
      <c r="C164" s="249"/>
    </row>
    <row r="165" spans="3:3">
      <c r="C165" s="249"/>
    </row>
    <row r="166" spans="3:3">
      <c r="C166" s="249"/>
    </row>
    <row r="167" spans="3:3">
      <c r="C167" s="249"/>
    </row>
    <row r="168" spans="3:3">
      <c r="C168" s="249"/>
    </row>
    <row r="169" spans="3:3">
      <c r="C169" s="249"/>
    </row>
    <row r="170" spans="3:3">
      <c r="C170" s="249"/>
    </row>
    <row r="171" spans="3:3">
      <c r="C171" s="249"/>
    </row>
    <row r="172" spans="3:3">
      <c r="C172" s="249"/>
    </row>
    <row r="173" spans="3:3">
      <c r="C173" s="249"/>
    </row>
    <row r="174" spans="3:3">
      <c r="C174" s="249"/>
    </row>
    <row r="175" spans="3:3">
      <c r="C175" s="249"/>
    </row>
    <row r="176" spans="3:3">
      <c r="C176" s="249"/>
    </row>
    <row r="177" spans="3:3">
      <c r="C177" s="249"/>
    </row>
    <row r="178" spans="3:3">
      <c r="C178" s="249"/>
    </row>
    <row r="179" spans="3:3">
      <c r="C179" s="249"/>
    </row>
    <row r="180" spans="3:3">
      <c r="C180" s="249"/>
    </row>
    <row r="181" spans="3:3">
      <c r="C181" s="249"/>
    </row>
    <row r="182" spans="3:3">
      <c r="C182" s="249"/>
    </row>
    <row r="183" spans="3:3">
      <c r="C183" s="249"/>
    </row>
    <row r="184" spans="3:3">
      <c r="C184" s="249"/>
    </row>
    <row r="185" spans="3:3">
      <c r="C185" s="249"/>
    </row>
    <row r="186" spans="3:3">
      <c r="C186" s="249"/>
    </row>
    <row r="187" spans="3:3">
      <c r="C187" s="249"/>
    </row>
    <row r="188" spans="3:3">
      <c r="C188" s="249"/>
    </row>
    <row r="189" spans="3:3">
      <c r="C189" s="249"/>
    </row>
    <row r="190" spans="3:3">
      <c r="C190" s="249"/>
    </row>
    <row r="191" spans="3:3">
      <c r="C191" s="249"/>
    </row>
    <row r="192" spans="3:3">
      <c r="C192" s="249"/>
    </row>
    <row r="193" spans="3:3">
      <c r="C193" s="249"/>
    </row>
    <row r="194" spans="3:3">
      <c r="C194" s="249"/>
    </row>
    <row r="195" spans="3:3">
      <c r="C195" s="249"/>
    </row>
    <row r="196" spans="3:3">
      <c r="C196" s="249"/>
    </row>
    <row r="197" spans="3:3">
      <c r="C197" s="249"/>
    </row>
    <row r="198" spans="3:3">
      <c r="C198" s="249"/>
    </row>
    <row r="199" spans="3:3">
      <c r="C199" s="249"/>
    </row>
    <row r="200" spans="3:3">
      <c r="C200" s="249"/>
    </row>
    <row r="201" spans="3:3">
      <c r="C201" s="249"/>
    </row>
    <row r="202" spans="3:3">
      <c r="C202" s="249"/>
    </row>
    <row r="203" spans="3:3">
      <c r="C203" s="249"/>
    </row>
    <row r="204" spans="3:3">
      <c r="C204" s="249"/>
    </row>
    <row r="205" spans="3:3">
      <c r="C205" s="249"/>
    </row>
    <row r="206" spans="3:3">
      <c r="C206" s="249"/>
    </row>
    <row r="207" spans="3:3">
      <c r="C207" s="249"/>
    </row>
    <row r="208" spans="3:3">
      <c r="C208" s="249"/>
    </row>
    <row r="209" spans="3:3">
      <c r="C209" s="249"/>
    </row>
    <row r="210" spans="3:3">
      <c r="C210" s="249"/>
    </row>
    <row r="211" spans="3:3">
      <c r="C211" s="249"/>
    </row>
    <row r="212" spans="3:3">
      <c r="C212" s="249"/>
    </row>
    <row r="213" spans="3:3">
      <c r="C213" s="249"/>
    </row>
    <row r="214" spans="3:3">
      <c r="C214" s="249"/>
    </row>
    <row r="215" spans="3:3">
      <c r="C215" s="249"/>
    </row>
    <row r="216" spans="3:3">
      <c r="C216" s="249"/>
    </row>
    <row r="217" spans="3:3">
      <c r="C217" s="249"/>
    </row>
    <row r="218" spans="3:3">
      <c r="C218" s="249"/>
    </row>
    <row r="219" spans="3:3">
      <c r="C219" s="249"/>
    </row>
    <row r="220" spans="3:3">
      <c r="C220" s="249"/>
    </row>
    <row r="221" spans="3:3">
      <c r="C221" s="249"/>
    </row>
    <row r="222" spans="3:3">
      <c r="C222" s="249"/>
    </row>
    <row r="223" spans="3:3">
      <c r="C223" s="249"/>
    </row>
    <row r="224" spans="3:3">
      <c r="C224" s="249"/>
    </row>
    <row r="225" spans="3:3">
      <c r="C225" s="249"/>
    </row>
    <row r="226" spans="3:3">
      <c r="C226" s="249"/>
    </row>
    <row r="227" spans="3:3">
      <c r="C227" s="249"/>
    </row>
    <row r="228" spans="3:3">
      <c r="C228" s="249"/>
    </row>
    <row r="229" spans="3:3">
      <c r="C229" s="249"/>
    </row>
    <row r="230" spans="3:3">
      <c r="C230" s="249"/>
    </row>
    <row r="231" spans="3:3">
      <c r="C231" s="249"/>
    </row>
    <row r="232" spans="3:3">
      <c r="C232" s="249"/>
    </row>
    <row r="233" spans="3:3">
      <c r="C233" s="249"/>
    </row>
    <row r="234" spans="3:3">
      <c r="C234" s="249"/>
    </row>
    <row r="235" spans="3:3">
      <c r="C235" s="249"/>
    </row>
    <row r="236" spans="3:3">
      <c r="C236" s="249"/>
    </row>
    <row r="237" spans="3:3">
      <c r="C237" s="249"/>
    </row>
    <row r="238" spans="3:3">
      <c r="C238" s="249"/>
    </row>
    <row r="239" spans="3:3">
      <c r="C239" s="249"/>
    </row>
    <row r="240" spans="3:3">
      <c r="C240" s="249"/>
    </row>
    <row r="241" spans="3:3">
      <c r="C241" s="249"/>
    </row>
    <row r="242" spans="3:3">
      <c r="C242" s="249"/>
    </row>
    <row r="243" spans="3:3">
      <c r="C243" s="249"/>
    </row>
    <row r="244" spans="3:3">
      <c r="C244" s="249"/>
    </row>
    <row r="245" spans="3:3">
      <c r="C245" s="249"/>
    </row>
    <row r="246" spans="3:3">
      <c r="C246" s="249"/>
    </row>
    <row r="247" spans="3:3">
      <c r="C247" s="249"/>
    </row>
    <row r="248" spans="3:3">
      <c r="C248" s="249"/>
    </row>
    <row r="249" spans="3:3">
      <c r="C249" s="249"/>
    </row>
    <row r="250" spans="3:3">
      <c r="C250" s="249"/>
    </row>
    <row r="251" spans="3:3">
      <c r="C251" s="249"/>
    </row>
    <row r="252" spans="3:3">
      <c r="C252" s="249"/>
    </row>
    <row r="253" spans="3:3">
      <c r="C253" s="249"/>
    </row>
    <row r="254" spans="3:3">
      <c r="C254" s="249"/>
    </row>
    <row r="255" spans="3:3">
      <c r="C255" s="249"/>
    </row>
    <row r="256" spans="3:3">
      <c r="C256" s="249"/>
    </row>
    <row r="257" spans="3:3">
      <c r="C257" s="249"/>
    </row>
    <row r="258" spans="3:3">
      <c r="C258" s="249"/>
    </row>
    <row r="259" spans="3:3">
      <c r="C259" s="249"/>
    </row>
    <row r="260" spans="3:3">
      <c r="C260" s="249"/>
    </row>
    <row r="261" spans="3:3">
      <c r="C261" s="249"/>
    </row>
    <row r="262" spans="3:3">
      <c r="C262" s="249"/>
    </row>
    <row r="263" spans="3:3">
      <c r="C263" s="249"/>
    </row>
    <row r="264" spans="3:3">
      <c r="C264" s="249"/>
    </row>
    <row r="265" spans="3:3">
      <c r="C265" s="249"/>
    </row>
    <row r="266" spans="3:3">
      <c r="C266" s="249"/>
    </row>
    <row r="267" spans="3:3">
      <c r="C267" s="249"/>
    </row>
    <row r="268" spans="3:3">
      <c r="C268" s="249"/>
    </row>
    <row r="269" spans="3:3">
      <c r="C269" s="249"/>
    </row>
    <row r="270" spans="3:3">
      <c r="C270" s="249"/>
    </row>
    <row r="271" spans="3:3">
      <c r="C271" s="249"/>
    </row>
    <row r="272" spans="3:3">
      <c r="C272" s="249"/>
    </row>
    <row r="273" spans="3:3">
      <c r="C273" s="249"/>
    </row>
    <row r="274" spans="3:3">
      <c r="C274" s="249"/>
    </row>
    <row r="275" spans="3:3">
      <c r="C275" s="249"/>
    </row>
    <row r="276" spans="3:3">
      <c r="C276" s="249"/>
    </row>
    <row r="277" spans="3:3">
      <c r="C277" s="249"/>
    </row>
    <row r="278" spans="3:3">
      <c r="C278" s="249"/>
    </row>
    <row r="279" spans="3:3">
      <c r="C279" s="249"/>
    </row>
    <row r="280" spans="3:3">
      <c r="C280" s="249"/>
    </row>
    <row r="281" spans="3:3">
      <c r="C281" s="249"/>
    </row>
    <row r="282" spans="3:3">
      <c r="C282" s="249"/>
    </row>
    <row r="283" spans="3:3">
      <c r="C283" s="249"/>
    </row>
    <row r="284" spans="3:3">
      <c r="C284" s="249"/>
    </row>
    <row r="285" spans="3:3">
      <c r="C285" s="249"/>
    </row>
    <row r="286" spans="3:3">
      <c r="C286" s="249"/>
    </row>
    <row r="287" spans="3:3">
      <c r="C287" s="249"/>
    </row>
    <row r="288" spans="3:3">
      <c r="C288" s="249"/>
    </row>
    <row r="289" spans="3:3">
      <c r="C289" s="24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5"/>
  <dimension ref="A1:K789"/>
  <sheetViews>
    <sheetView workbookViewId="0">
      <pane ySplit="1" topLeftCell="A2" activePane="bottomLeft" state="frozen"/>
      <selection activeCell="I10" sqref="I10"/>
      <selection pane="bottomLeft" activeCell="I10" sqref="I10"/>
    </sheetView>
  </sheetViews>
  <sheetFormatPr defaultColWidth="9.140625" defaultRowHeight="15"/>
  <cols>
    <col min="1" max="1" width="11.42578125" style="1711" bestFit="1" customWidth="1"/>
    <col min="2" max="2" width="55.5703125" style="1711" bestFit="1" customWidth="1"/>
    <col min="3" max="3" width="18.5703125" style="1711" customWidth="1"/>
    <col min="4" max="4" width="16.28515625" style="1388" customWidth="1"/>
    <col min="5" max="5" width="21.140625" style="1711" customWidth="1"/>
    <col min="6" max="6" width="30.28515625" style="1711" customWidth="1"/>
    <col min="7" max="7" width="21.140625" style="1711" customWidth="1"/>
    <col min="8" max="8" width="21.140625" style="1711" bestFit="1" customWidth="1"/>
    <col min="9" max="10" width="21.140625" style="1711" customWidth="1"/>
    <col min="11" max="11" width="33.85546875" style="1711" customWidth="1"/>
    <col min="12" max="16384" width="9.140625" style="1711"/>
  </cols>
  <sheetData>
    <row r="1" spans="1:11" ht="15.75">
      <c r="A1" s="345" t="s">
        <v>260</v>
      </c>
      <c r="B1" s="346" t="s">
        <v>261</v>
      </c>
      <c r="C1" s="347" t="s">
        <v>1174</v>
      </c>
      <c r="D1" s="1826">
        <v>2590</v>
      </c>
      <c r="E1" s="348" t="s">
        <v>1169</v>
      </c>
      <c r="F1" s="348" t="s">
        <v>1175</v>
      </c>
      <c r="G1" s="348" t="s">
        <v>1148</v>
      </c>
      <c r="H1" s="348" t="s">
        <v>1149</v>
      </c>
      <c r="I1" s="348" t="s">
        <v>1170</v>
      </c>
      <c r="J1" s="348" t="s">
        <v>1171</v>
      </c>
      <c r="K1" s="349" t="s">
        <v>263</v>
      </c>
    </row>
    <row r="2" spans="1:11">
      <c r="A2" s="350">
        <v>110</v>
      </c>
      <c r="B2" s="351" t="s">
        <v>264</v>
      </c>
      <c r="C2" s="351" t="s">
        <v>268</v>
      </c>
      <c r="D2" s="1383" t="s">
        <v>268</v>
      </c>
      <c r="E2" s="352" t="s">
        <v>268</v>
      </c>
      <c r="F2" s="352" t="s">
        <v>268</v>
      </c>
      <c r="G2" s="352" t="s">
        <v>268</v>
      </c>
      <c r="H2" s="352" t="s">
        <v>268</v>
      </c>
      <c r="I2" s="352" t="s">
        <v>268</v>
      </c>
      <c r="J2" s="353" t="s">
        <v>268</v>
      </c>
      <c r="K2" s="354" t="s">
        <v>255</v>
      </c>
    </row>
    <row r="3" spans="1:11">
      <c r="A3" s="350">
        <v>121</v>
      </c>
      <c r="B3" s="351" t="s">
        <v>265</v>
      </c>
      <c r="C3" s="351" t="s">
        <v>268</v>
      </c>
      <c r="D3" s="1383" t="s">
        <v>268</v>
      </c>
      <c r="E3" s="352" t="s">
        <v>268</v>
      </c>
      <c r="F3" s="352" t="s">
        <v>268</v>
      </c>
      <c r="G3" s="352" t="s">
        <v>268</v>
      </c>
      <c r="H3" s="352" t="s">
        <v>268</v>
      </c>
      <c r="I3" s="352" t="s">
        <v>268</v>
      </c>
      <c r="J3" s="353" t="s">
        <v>268</v>
      </c>
      <c r="K3" s="354" t="s">
        <v>255</v>
      </c>
    </row>
    <row r="4" spans="1:11">
      <c r="A4" s="350">
        <v>122</v>
      </c>
      <c r="B4" s="351" t="s">
        <v>266</v>
      </c>
      <c r="C4" s="351" t="s">
        <v>268</v>
      </c>
      <c r="D4" s="1383" t="s">
        <v>268</v>
      </c>
      <c r="E4" s="352" t="s">
        <v>268</v>
      </c>
      <c r="F4" s="352" t="s">
        <v>268</v>
      </c>
      <c r="G4" s="352" t="s">
        <v>268</v>
      </c>
      <c r="H4" s="352" t="s">
        <v>268</v>
      </c>
      <c r="I4" s="352" t="s">
        <v>268</v>
      </c>
      <c r="J4" s="353" t="s">
        <v>268</v>
      </c>
      <c r="K4" s="354" t="s">
        <v>255</v>
      </c>
    </row>
    <row r="5" spans="1:11">
      <c r="A5" s="350">
        <v>123</v>
      </c>
      <c r="B5" s="351" t="s">
        <v>267</v>
      </c>
      <c r="C5" s="351" t="s">
        <v>268</v>
      </c>
      <c r="D5" s="1383" t="s">
        <v>268</v>
      </c>
      <c r="E5" s="352" t="s">
        <v>268</v>
      </c>
      <c r="F5" s="352" t="s">
        <v>268</v>
      </c>
      <c r="G5" s="352" t="s">
        <v>268</v>
      </c>
      <c r="H5" s="352" t="s">
        <v>1176</v>
      </c>
      <c r="I5" s="352" t="s">
        <v>1176</v>
      </c>
      <c r="J5" s="353" t="s">
        <v>268</v>
      </c>
      <c r="K5" s="354" t="s">
        <v>235</v>
      </c>
    </row>
    <row r="6" spans="1:11">
      <c r="A6" s="350">
        <v>130</v>
      </c>
      <c r="B6" s="351" t="s">
        <v>269</v>
      </c>
      <c r="C6" s="351" t="s">
        <v>268</v>
      </c>
      <c r="D6" s="1383" t="s">
        <v>268</v>
      </c>
      <c r="E6" s="352" t="s">
        <v>268</v>
      </c>
      <c r="F6" s="352" t="s">
        <v>268</v>
      </c>
      <c r="G6" s="352" t="s">
        <v>268</v>
      </c>
      <c r="H6" s="352" t="s">
        <v>268</v>
      </c>
      <c r="I6" s="352" t="s">
        <v>268</v>
      </c>
      <c r="J6" s="353" t="s">
        <v>268</v>
      </c>
      <c r="K6" s="354" t="s">
        <v>255</v>
      </c>
    </row>
    <row r="7" spans="1:11">
      <c r="A7" s="350">
        <v>140</v>
      </c>
      <c r="B7" s="351" t="s">
        <v>270</v>
      </c>
      <c r="C7" s="351" t="s">
        <v>268</v>
      </c>
      <c r="D7" s="1383" t="s">
        <v>268</v>
      </c>
      <c r="E7" s="352" t="s">
        <v>268</v>
      </c>
      <c r="F7" s="352" t="s">
        <v>268</v>
      </c>
      <c r="G7" s="352" t="s">
        <v>268</v>
      </c>
      <c r="H7" s="352" t="s">
        <v>268</v>
      </c>
      <c r="I7" s="352" t="s">
        <v>268</v>
      </c>
      <c r="J7" s="353" t="s">
        <v>268</v>
      </c>
      <c r="K7" s="354" t="s">
        <v>255</v>
      </c>
    </row>
    <row r="8" spans="1:11" ht="30">
      <c r="A8" s="350">
        <v>141</v>
      </c>
      <c r="B8" s="351" t="s">
        <v>1177</v>
      </c>
      <c r="C8" s="351" t="s">
        <v>268</v>
      </c>
      <c r="D8" s="1383" t="s">
        <v>268</v>
      </c>
      <c r="E8" s="352" t="s">
        <v>268</v>
      </c>
      <c r="F8" s="352" t="s">
        <v>268</v>
      </c>
      <c r="G8" s="352" t="s">
        <v>268</v>
      </c>
      <c r="H8" s="352" t="s">
        <v>268</v>
      </c>
      <c r="I8" s="352" t="s">
        <v>268</v>
      </c>
      <c r="J8" s="353" t="s">
        <v>268</v>
      </c>
      <c r="K8" s="354" t="s">
        <v>255</v>
      </c>
    </row>
    <row r="9" spans="1:11">
      <c r="A9" s="350">
        <v>142</v>
      </c>
      <c r="B9" s="351" t="s">
        <v>1178</v>
      </c>
      <c r="C9" s="351" t="s">
        <v>1176</v>
      </c>
      <c r="D9" s="1383" t="s">
        <v>268</v>
      </c>
      <c r="E9" s="352" t="s">
        <v>268</v>
      </c>
      <c r="F9" s="352" t="s">
        <v>268</v>
      </c>
      <c r="G9" s="352" t="s">
        <v>268</v>
      </c>
      <c r="H9" s="352" t="s">
        <v>268</v>
      </c>
      <c r="I9" s="352" t="s">
        <v>268</v>
      </c>
      <c r="J9" s="353" t="s">
        <v>1176</v>
      </c>
      <c r="K9" s="354" t="s">
        <v>255</v>
      </c>
    </row>
    <row r="10" spans="1:11" ht="30">
      <c r="A10" s="350">
        <v>142</v>
      </c>
      <c r="B10" s="351" t="s">
        <v>271</v>
      </c>
      <c r="C10" s="351" t="s">
        <v>1176</v>
      </c>
      <c r="D10" s="1383" t="s">
        <v>268</v>
      </c>
      <c r="E10" s="352" t="s">
        <v>1176</v>
      </c>
      <c r="F10" s="352" t="s">
        <v>268</v>
      </c>
      <c r="G10" s="352" t="s">
        <v>1176</v>
      </c>
      <c r="H10" s="352" t="s">
        <v>1176</v>
      </c>
      <c r="I10" s="352" t="s">
        <v>1176</v>
      </c>
      <c r="J10" s="353" t="s">
        <v>1176</v>
      </c>
      <c r="K10" s="354" t="s">
        <v>255</v>
      </c>
    </row>
    <row r="11" spans="1:11">
      <c r="A11" s="350">
        <v>150</v>
      </c>
      <c r="B11" s="351" t="s">
        <v>272</v>
      </c>
      <c r="C11" s="351" t="s">
        <v>268</v>
      </c>
      <c r="D11" s="1383" t="s">
        <v>268</v>
      </c>
      <c r="E11" s="352" t="s">
        <v>268</v>
      </c>
      <c r="F11" s="352" t="s">
        <v>268</v>
      </c>
      <c r="G11" s="352" t="s">
        <v>268</v>
      </c>
      <c r="H11" s="352" t="s">
        <v>268</v>
      </c>
      <c r="I11" s="352" t="s">
        <v>268</v>
      </c>
      <c r="J11" s="353" t="s">
        <v>268</v>
      </c>
      <c r="K11" s="354" t="s">
        <v>255</v>
      </c>
    </row>
    <row r="12" spans="1:11">
      <c r="A12" s="350">
        <v>160</v>
      </c>
      <c r="B12" s="351" t="s">
        <v>273</v>
      </c>
      <c r="C12" s="351" t="s">
        <v>268</v>
      </c>
      <c r="D12" s="1383" t="s">
        <v>268</v>
      </c>
      <c r="E12" s="352" t="s">
        <v>268</v>
      </c>
      <c r="F12" s="352" t="s">
        <v>268</v>
      </c>
      <c r="G12" s="352" t="s">
        <v>268</v>
      </c>
      <c r="H12" s="352" t="s">
        <v>268</v>
      </c>
      <c r="I12" s="352" t="s">
        <v>268</v>
      </c>
      <c r="J12" s="353" t="s">
        <v>268</v>
      </c>
      <c r="K12" s="354" t="s">
        <v>255</v>
      </c>
    </row>
    <row r="13" spans="1:11">
      <c r="A13" s="350">
        <v>170</v>
      </c>
      <c r="B13" s="351" t="s">
        <v>274</v>
      </c>
      <c r="C13" s="351" t="s">
        <v>268</v>
      </c>
      <c r="D13" s="1383" t="s">
        <v>268</v>
      </c>
      <c r="E13" s="352" t="s">
        <v>268</v>
      </c>
      <c r="F13" s="352" t="s">
        <v>268</v>
      </c>
      <c r="G13" s="352" t="s">
        <v>268</v>
      </c>
      <c r="H13" s="352" t="s">
        <v>268</v>
      </c>
      <c r="I13" s="352" t="s">
        <v>268</v>
      </c>
      <c r="J13" s="353" t="s">
        <v>268</v>
      </c>
      <c r="K13" s="354" t="s">
        <v>255</v>
      </c>
    </row>
    <row r="14" spans="1:11">
      <c r="A14" s="350">
        <v>190</v>
      </c>
      <c r="B14" s="351" t="s">
        <v>275</v>
      </c>
      <c r="C14" s="351" t="s">
        <v>268</v>
      </c>
      <c r="D14" s="1383" t="s">
        <v>268</v>
      </c>
      <c r="E14" s="352" t="s">
        <v>268</v>
      </c>
      <c r="F14" s="352" t="s">
        <v>268</v>
      </c>
      <c r="G14" s="352" t="s">
        <v>268</v>
      </c>
      <c r="H14" s="352" t="s">
        <v>268</v>
      </c>
      <c r="I14" s="352" t="s">
        <v>268</v>
      </c>
      <c r="J14" s="353" t="s">
        <v>268</v>
      </c>
      <c r="K14" s="354" t="s">
        <v>255</v>
      </c>
    </row>
    <row r="15" spans="1:11">
      <c r="A15" s="350">
        <v>200</v>
      </c>
      <c r="B15" s="351" t="s">
        <v>276</v>
      </c>
      <c r="C15" s="351" t="s">
        <v>268</v>
      </c>
      <c r="D15" s="1383" t="s">
        <v>268</v>
      </c>
      <c r="E15" s="352" t="s">
        <v>268</v>
      </c>
      <c r="F15" s="352" t="s">
        <v>268</v>
      </c>
      <c r="G15" s="352" t="s">
        <v>268</v>
      </c>
      <c r="H15" s="352" t="s">
        <v>268</v>
      </c>
      <c r="I15" s="352" t="s">
        <v>268</v>
      </c>
      <c r="J15" s="353" t="s">
        <v>268</v>
      </c>
      <c r="K15" s="354" t="s">
        <v>255</v>
      </c>
    </row>
    <row r="16" spans="1:11">
      <c r="A16" s="350">
        <v>210</v>
      </c>
      <c r="B16" s="351" t="s">
        <v>277</v>
      </c>
      <c r="C16" s="351" t="s">
        <v>268</v>
      </c>
      <c r="D16" s="1383" t="s">
        <v>268</v>
      </c>
      <c r="E16" s="352" t="s">
        <v>268</v>
      </c>
      <c r="F16" s="352" t="s">
        <v>268</v>
      </c>
      <c r="G16" s="352" t="s">
        <v>268</v>
      </c>
      <c r="H16" s="352" t="s">
        <v>268</v>
      </c>
      <c r="I16" s="352" t="s">
        <v>268</v>
      </c>
      <c r="J16" s="353" t="s">
        <v>268</v>
      </c>
      <c r="K16" s="354" t="s">
        <v>255</v>
      </c>
    </row>
    <row r="17" spans="1:11">
      <c r="A17" s="350">
        <v>630</v>
      </c>
      <c r="B17" s="351" t="s">
        <v>278</v>
      </c>
      <c r="C17" s="351" t="s">
        <v>268</v>
      </c>
      <c r="D17" s="1383" t="s">
        <v>268</v>
      </c>
      <c r="E17" s="352" t="s">
        <v>268</v>
      </c>
      <c r="F17" s="352" t="s">
        <v>268</v>
      </c>
      <c r="G17" s="352" t="s">
        <v>268</v>
      </c>
      <c r="H17" s="352" t="s">
        <v>268</v>
      </c>
      <c r="I17" s="352" t="s">
        <v>268</v>
      </c>
      <c r="J17" s="353" t="s">
        <v>268</v>
      </c>
      <c r="K17" s="354" t="s">
        <v>255</v>
      </c>
    </row>
    <row r="18" spans="1:11">
      <c r="A18" s="350">
        <v>730</v>
      </c>
      <c r="B18" s="351" t="s">
        <v>279</v>
      </c>
      <c r="C18" s="351" t="s">
        <v>268</v>
      </c>
      <c r="D18" s="1383" t="s">
        <v>268</v>
      </c>
      <c r="E18" s="352" t="s">
        <v>268</v>
      </c>
      <c r="F18" s="352" t="s">
        <v>268</v>
      </c>
      <c r="G18" s="352" t="s">
        <v>268</v>
      </c>
      <c r="H18" s="352" t="s">
        <v>268</v>
      </c>
      <c r="I18" s="352" t="s">
        <v>268</v>
      </c>
      <c r="J18" s="353" t="s">
        <v>268</v>
      </c>
      <c r="K18" s="354" t="s">
        <v>255</v>
      </c>
    </row>
    <row r="19" spans="1:11" ht="15.75">
      <c r="A19" s="355">
        <v>731</v>
      </c>
      <c r="B19" s="356" t="s">
        <v>280</v>
      </c>
      <c r="C19" s="351" t="s">
        <v>236</v>
      </c>
      <c r="D19" s="1384" t="s">
        <v>268</v>
      </c>
      <c r="E19" s="353" t="s">
        <v>236</v>
      </c>
      <c r="F19" s="353" t="s">
        <v>236</v>
      </c>
      <c r="G19" s="353" t="s">
        <v>236</v>
      </c>
      <c r="H19" s="353" t="s">
        <v>236</v>
      </c>
      <c r="I19" s="353" t="s">
        <v>236</v>
      </c>
      <c r="J19" s="353" t="s">
        <v>236</v>
      </c>
      <c r="K19" s="355" t="s">
        <v>255</v>
      </c>
    </row>
    <row r="20" spans="1:11">
      <c r="A20" s="355">
        <v>733</v>
      </c>
      <c r="B20" s="356" t="s">
        <v>281</v>
      </c>
      <c r="C20" s="351" t="s">
        <v>236</v>
      </c>
      <c r="D20" s="1385" t="s">
        <v>236</v>
      </c>
      <c r="E20" s="353" t="s">
        <v>236</v>
      </c>
      <c r="F20" s="353" t="s">
        <v>236</v>
      </c>
      <c r="G20" s="353" t="s">
        <v>1176</v>
      </c>
      <c r="H20" s="353" t="s">
        <v>236</v>
      </c>
      <c r="I20" s="353" t="s">
        <v>1176</v>
      </c>
      <c r="J20" s="353" t="s">
        <v>236</v>
      </c>
      <c r="K20" s="355" t="s">
        <v>257</v>
      </c>
    </row>
    <row r="21" spans="1:11">
      <c r="A21" s="355">
        <v>734</v>
      </c>
      <c r="B21" s="356" t="s">
        <v>282</v>
      </c>
      <c r="C21" s="351" t="s">
        <v>236</v>
      </c>
      <c r="D21" s="1385" t="s">
        <v>236</v>
      </c>
      <c r="E21" s="353" t="s">
        <v>236</v>
      </c>
      <c r="F21" s="353" t="s">
        <v>236</v>
      </c>
      <c r="G21" s="353" t="s">
        <v>236</v>
      </c>
      <c r="H21" s="353" t="s">
        <v>236</v>
      </c>
      <c r="I21" s="353" t="s">
        <v>236</v>
      </c>
      <c r="J21" s="353" t="s">
        <v>236</v>
      </c>
      <c r="K21" s="355" t="s">
        <v>236</v>
      </c>
    </row>
    <row r="22" spans="1:11">
      <c r="A22" s="355">
        <v>735</v>
      </c>
      <c r="B22" s="356" t="s">
        <v>220</v>
      </c>
      <c r="C22" s="351" t="s">
        <v>235</v>
      </c>
      <c r="D22" s="1385" t="s">
        <v>235</v>
      </c>
      <c r="E22" s="353" t="s">
        <v>235</v>
      </c>
      <c r="F22" s="353" t="s">
        <v>235</v>
      </c>
      <c r="G22" s="353" t="s">
        <v>235</v>
      </c>
      <c r="H22" s="353" t="s">
        <v>235</v>
      </c>
      <c r="I22" s="353" t="s">
        <v>235</v>
      </c>
      <c r="J22" s="353" t="s">
        <v>235</v>
      </c>
      <c r="K22" s="355" t="s">
        <v>236</v>
      </c>
    </row>
    <row r="23" spans="1:11">
      <c r="A23" s="355">
        <v>736</v>
      </c>
      <c r="B23" s="356" t="s">
        <v>218</v>
      </c>
      <c r="C23" s="351" t="s">
        <v>236</v>
      </c>
      <c r="D23" s="1385" t="s">
        <v>236</v>
      </c>
      <c r="E23" s="353" t="s">
        <v>236</v>
      </c>
      <c r="F23" s="353" t="s">
        <v>236</v>
      </c>
      <c r="G23" s="353" t="s">
        <v>236</v>
      </c>
      <c r="H23" s="353" t="s">
        <v>236</v>
      </c>
      <c r="I23" s="353" t="s">
        <v>236</v>
      </c>
      <c r="J23" s="353" t="s">
        <v>236</v>
      </c>
      <c r="K23" s="355" t="s">
        <v>236</v>
      </c>
    </row>
    <row r="24" spans="1:11">
      <c r="A24" s="355">
        <v>737</v>
      </c>
      <c r="B24" s="356" t="s">
        <v>283</v>
      </c>
      <c r="C24" s="351" t="s">
        <v>234</v>
      </c>
      <c r="D24" s="1385" t="s">
        <v>234</v>
      </c>
      <c r="E24" s="353" t="s">
        <v>234</v>
      </c>
      <c r="F24" s="353" t="s">
        <v>234</v>
      </c>
      <c r="G24" s="353" t="s">
        <v>234</v>
      </c>
      <c r="H24" s="353" t="s">
        <v>234</v>
      </c>
      <c r="I24" s="353" t="s">
        <v>234</v>
      </c>
      <c r="J24" s="353" t="s">
        <v>234</v>
      </c>
      <c r="K24" s="355" t="s">
        <v>235</v>
      </c>
    </row>
    <row r="25" spans="1:11">
      <c r="A25" s="355">
        <v>738</v>
      </c>
      <c r="B25" s="356" t="s">
        <v>284</v>
      </c>
      <c r="C25" s="1383" t="s">
        <v>268</v>
      </c>
      <c r="D25" s="1383" t="s">
        <v>268</v>
      </c>
      <c r="E25" s="1383" t="s">
        <v>268</v>
      </c>
      <c r="F25" s="1383" t="s">
        <v>268</v>
      </c>
      <c r="G25" s="1383" t="s">
        <v>268</v>
      </c>
      <c r="H25" s="1383" t="s">
        <v>268</v>
      </c>
      <c r="I25" s="1383" t="s">
        <v>268</v>
      </c>
      <c r="J25" s="1383" t="s">
        <v>268</v>
      </c>
      <c r="K25" s="355" t="s">
        <v>235</v>
      </c>
    </row>
    <row r="26" spans="1:11" ht="30">
      <c r="A26" s="355">
        <v>741</v>
      </c>
      <c r="B26" s="356" t="s">
        <v>285</v>
      </c>
      <c r="C26" s="351" t="s">
        <v>236</v>
      </c>
      <c r="D26" s="1385" t="s">
        <v>236</v>
      </c>
      <c r="E26" s="353" t="s">
        <v>236</v>
      </c>
      <c r="F26" s="353" t="s">
        <v>236</v>
      </c>
      <c r="G26" s="353" t="s">
        <v>236</v>
      </c>
      <c r="H26" s="353" t="s">
        <v>236</v>
      </c>
      <c r="I26" s="353" t="s">
        <v>236</v>
      </c>
      <c r="J26" s="353" t="s">
        <v>236</v>
      </c>
      <c r="K26" s="355" t="s">
        <v>236</v>
      </c>
    </row>
    <row r="27" spans="1:11">
      <c r="A27" s="350">
        <v>742</v>
      </c>
      <c r="B27" s="351" t="s">
        <v>286</v>
      </c>
      <c r="C27" s="351" t="s">
        <v>268</v>
      </c>
      <c r="D27" s="1383" t="s">
        <v>268</v>
      </c>
      <c r="E27" s="352" t="s">
        <v>268</v>
      </c>
      <c r="F27" s="352" t="s">
        <v>268</v>
      </c>
      <c r="G27" s="352" t="s">
        <v>268</v>
      </c>
      <c r="H27" s="352" t="s">
        <v>268</v>
      </c>
      <c r="I27" s="352" t="s">
        <v>268</v>
      </c>
      <c r="J27" s="353" t="s">
        <v>268</v>
      </c>
      <c r="K27" s="354" t="s">
        <v>236</v>
      </c>
    </row>
    <row r="28" spans="1:11" ht="30">
      <c r="A28" s="350">
        <v>791</v>
      </c>
      <c r="B28" s="351" t="s">
        <v>287</v>
      </c>
      <c r="C28" s="351" t="s">
        <v>1176</v>
      </c>
      <c r="D28" s="1383" t="s">
        <v>268</v>
      </c>
      <c r="E28" s="352" t="s">
        <v>1176</v>
      </c>
      <c r="F28" s="353" t="s">
        <v>268</v>
      </c>
      <c r="G28" s="352" t="s">
        <v>268</v>
      </c>
      <c r="H28" s="352" t="s">
        <v>1176</v>
      </c>
      <c r="I28" s="352" t="s">
        <v>1176</v>
      </c>
      <c r="J28" s="353" t="s">
        <v>268</v>
      </c>
      <c r="K28" s="354" t="s">
        <v>255</v>
      </c>
    </row>
    <row r="29" spans="1:11">
      <c r="A29" s="355">
        <v>792</v>
      </c>
      <c r="B29" s="356" t="s">
        <v>288</v>
      </c>
      <c r="C29" s="351" t="s">
        <v>236</v>
      </c>
      <c r="D29" s="1385" t="s">
        <v>236</v>
      </c>
      <c r="E29" s="353" t="s">
        <v>236</v>
      </c>
      <c r="F29" s="353" t="s">
        <v>268</v>
      </c>
      <c r="G29" s="353" t="s">
        <v>236</v>
      </c>
      <c r="H29" s="353" t="s">
        <v>236</v>
      </c>
      <c r="I29" s="353" t="s">
        <v>236</v>
      </c>
      <c r="J29" s="353" t="s">
        <v>268</v>
      </c>
      <c r="K29" s="355" t="s">
        <v>255</v>
      </c>
    </row>
    <row r="30" spans="1:11">
      <c r="A30" s="350">
        <v>981</v>
      </c>
      <c r="B30" s="351" t="s">
        <v>289</v>
      </c>
      <c r="C30" s="351" t="s">
        <v>1176</v>
      </c>
      <c r="D30" s="1383" t="s">
        <v>268</v>
      </c>
      <c r="E30" s="352" t="s">
        <v>1176</v>
      </c>
      <c r="F30" s="352" t="s">
        <v>1176</v>
      </c>
      <c r="G30" s="352" t="s">
        <v>1176</v>
      </c>
      <c r="H30" s="352" t="s">
        <v>1176</v>
      </c>
      <c r="I30" s="352" t="s">
        <v>1176</v>
      </c>
      <c r="J30" s="353" t="s">
        <v>1176</v>
      </c>
      <c r="K30" s="354" t="s">
        <v>255</v>
      </c>
    </row>
    <row r="31" spans="1:11">
      <c r="A31" s="350">
        <v>982</v>
      </c>
      <c r="B31" s="351" t="s">
        <v>290</v>
      </c>
      <c r="C31" s="351" t="s">
        <v>1176</v>
      </c>
      <c r="D31" s="1383" t="s">
        <v>268</v>
      </c>
      <c r="E31" s="352" t="s">
        <v>237</v>
      </c>
      <c r="F31" s="352" t="s">
        <v>237</v>
      </c>
      <c r="G31" s="352" t="s">
        <v>1176</v>
      </c>
      <c r="H31" s="352" t="s">
        <v>1176</v>
      </c>
      <c r="I31" s="352" t="s">
        <v>1176</v>
      </c>
      <c r="J31" s="353" t="s">
        <v>1176</v>
      </c>
      <c r="K31" s="354" t="s">
        <v>255</v>
      </c>
    </row>
    <row r="32" spans="1:11">
      <c r="A32" s="350">
        <v>1001</v>
      </c>
      <c r="B32" s="351" t="s">
        <v>291</v>
      </c>
      <c r="C32" s="351" t="s">
        <v>268</v>
      </c>
      <c r="D32" s="1383" t="s">
        <v>268</v>
      </c>
      <c r="E32" s="352" t="s">
        <v>268</v>
      </c>
      <c r="F32" s="352" t="s">
        <v>268</v>
      </c>
      <c r="G32" s="352" t="s">
        <v>268</v>
      </c>
      <c r="H32" s="352" t="s">
        <v>268</v>
      </c>
      <c r="I32" s="352" t="s">
        <v>268</v>
      </c>
      <c r="J32" s="353" t="s">
        <v>268</v>
      </c>
      <c r="K32" s="354" t="s">
        <v>257</v>
      </c>
    </row>
    <row r="33" spans="1:11">
      <c r="A33" s="350">
        <v>1002</v>
      </c>
      <c r="B33" s="351" t="s">
        <v>292</v>
      </c>
      <c r="C33" s="351" t="s">
        <v>268</v>
      </c>
      <c r="D33" s="1383" t="s">
        <v>268</v>
      </c>
      <c r="E33" s="352" t="s">
        <v>268</v>
      </c>
      <c r="F33" s="352" t="s">
        <v>268</v>
      </c>
      <c r="G33" s="352" t="s">
        <v>268</v>
      </c>
      <c r="H33" s="352" t="s">
        <v>268</v>
      </c>
      <c r="I33" s="352" t="s">
        <v>268</v>
      </c>
      <c r="J33" s="353" t="s">
        <v>268</v>
      </c>
      <c r="K33" s="354" t="s">
        <v>257</v>
      </c>
    </row>
    <row r="34" spans="1:11">
      <c r="A34" s="350">
        <v>1101</v>
      </c>
      <c r="B34" s="351" t="s">
        <v>293</v>
      </c>
      <c r="C34" s="351" t="s">
        <v>268</v>
      </c>
      <c r="D34" s="1383" t="s">
        <v>268</v>
      </c>
      <c r="E34" s="352" t="s">
        <v>268</v>
      </c>
      <c r="F34" s="352" t="s">
        <v>268</v>
      </c>
      <c r="G34" s="352" t="s">
        <v>268</v>
      </c>
      <c r="H34" s="352" t="s">
        <v>268</v>
      </c>
      <c r="I34" s="352" t="s">
        <v>268</v>
      </c>
      <c r="J34" s="353" t="s">
        <v>268</v>
      </c>
      <c r="K34" s="354" t="s">
        <v>257</v>
      </c>
    </row>
    <row r="35" spans="1:11">
      <c r="A35" s="350">
        <v>1102</v>
      </c>
      <c r="B35" s="351" t="s">
        <v>294</v>
      </c>
      <c r="C35" s="351" t="s">
        <v>268</v>
      </c>
      <c r="D35" s="1383" t="s">
        <v>268</v>
      </c>
      <c r="E35" s="352" t="s">
        <v>268</v>
      </c>
      <c r="F35" s="352" t="s">
        <v>268</v>
      </c>
      <c r="G35" s="352" t="s">
        <v>268</v>
      </c>
      <c r="H35" s="352" t="s">
        <v>268</v>
      </c>
      <c r="I35" s="352" t="s">
        <v>268</v>
      </c>
      <c r="J35" s="353" t="s">
        <v>268</v>
      </c>
      <c r="K35" s="354" t="s">
        <v>255</v>
      </c>
    </row>
    <row r="36" spans="1:11">
      <c r="A36" s="350">
        <v>1391</v>
      </c>
      <c r="B36" s="351" t="s">
        <v>295</v>
      </c>
      <c r="C36" s="351" t="s">
        <v>268</v>
      </c>
      <c r="D36" s="1383" t="s">
        <v>268</v>
      </c>
      <c r="E36" s="352" t="s">
        <v>268</v>
      </c>
      <c r="F36" s="352" t="s">
        <v>268</v>
      </c>
      <c r="G36" s="352" t="s">
        <v>268</v>
      </c>
      <c r="H36" s="352" t="s">
        <v>268</v>
      </c>
      <c r="I36" s="352" t="s">
        <v>268</v>
      </c>
      <c r="J36" s="353" t="s">
        <v>268</v>
      </c>
      <c r="K36" s="354" t="s">
        <v>1176</v>
      </c>
    </row>
    <row r="37" spans="1:11">
      <c r="A37" s="350">
        <v>1392</v>
      </c>
      <c r="B37" s="351" t="s">
        <v>296</v>
      </c>
      <c r="C37" s="351" t="s">
        <v>268</v>
      </c>
      <c r="D37" s="1383" t="s">
        <v>268</v>
      </c>
      <c r="E37" s="352" t="s">
        <v>268</v>
      </c>
      <c r="F37" s="352" t="s">
        <v>268</v>
      </c>
      <c r="G37" s="352" t="s">
        <v>268</v>
      </c>
      <c r="H37" s="352" t="s">
        <v>268</v>
      </c>
      <c r="I37" s="352" t="s">
        <v>268</v>
      </c>
      <c r="J37" s="353" t="s">
        <v>268</v>
      </c>
      <c r="K37" s="354" t="s">
        <v>257</v>
      </c>
    </row>
    <row r="38" spans="1:11">
      <c r="A38" s="350">
        <v>1393</v>
      </c>
      <c r="B38" s="351" t="s">
        <v>297</v>
      </c>
      <c r="C38" s="351" t="s">
        <v>268</v>
      </c>
      <c r="D38" s="1383" t="s">
        <v>268</v>
      </c>
      <c r="E38" s="352" t="s">
        <v>268</v>
      </c>
      <c r="F38" s="352" t="s">
        <v>268</v>
      </c>
      <c r="G38" s="352" t="s">
        <v>268</v>
      </c>
      <c r="H38" s="352" t="s">
        <v>268</v>
      </c>
      <c r="I38" s="352" t="s">
        <v>268</v>
      </c>
      <c r="J38" s="353" t="s">
        <v>268</v>
      </c>
      <c r="K38" s="354" t="s">
        <v>257</v>
      </c>
    </row>
    <row r="39" spans="1:11">
      <c r="A39" s="350">
        <v>1394</v>
      </c>
      <c r="B39" s="351" t="s">
        <v>298</v>
      </c>
      <c r="C39" s="351" t="s">
        <v>268</v>
      </c>
      <c r="D39" s="1383" t="s">
        <v>268</v>
      </c>
      <c r="E39" s="352" t="s">
        <v>268</v>
      </c>
      <c r="F39" s="352" t="s">
        <v>268</v>
      </c>
      <c r="G39" s="352" t="s">
        <v>268</v>
      </c>
      <c r="H39" s="352" t="s">
        <v>268</v>
      </c>
      <c r="I39" s="352" t="s">
        <v>268</v>
      </c>
      <c r="J39" s="353" t="s">
        <v>268</v>
      </c>
      <c r="K39" s="354" t="s">
        <v>257</v>
      </c>
    </row>
    <row r="40" spans="1:11">
      <c r="A40" s="350">
        <v>1395</v>
      </c>
      <c r="B40" s="351" t="s">
        <v>299</v>
      </c>
      <c r="C40" s="351" t="s">
        <v>268</v>
      </c>
      <c r="D40" s="1383" t="s">
        <v>268</v>
      </c>
      <c r="E40" s="352" t="s">
        <v>268</v>
      </c>
      <c r="F40" s="352" t="s">
        <v>268</v>
      </c>
      <c r="G40" s="352" t="s">
        <v>268</v>
      </c>
      <c r="H40" s="352" t="s">
        <v>268</v>
      </c>
      <c r="I40" s="352" t="s">
        <v>268</v>
      </c>
      <c r="J40" s="353" t="s">
        <v>268</v>
      </c>
      <c r="K40" s="354" t="s">
        <v>255</v>
      </c>
    </row>
    <row r="41" spans="1:11">
      <c r="A41" s="350">
        <v>1396</v>
      </c>
      <c r="B41" s="351" t="s">
        <v>300</v>
      </c>
      <c r="C41" s="351" t="s">
        <v>268</v>
      </c>
      <c r="D41" s="1383" t="s">
        <v>268</v>
      </c>
      <c r="E41" s="352" t="s">
        <v>268</v>
      </c>
      <c r="F41" s="352" t="s">
        <v>268</v>
      </c>
      <c r="G41" s="352" t="s">
        <v>268</v>
      </c>
      <c r="H41" s="352" t="s">
        <v>268</v>
      </c>
      <c r="I41" s="352" t="s">
        <v>268</v>
      </c>
      <c r="J41" s="353" t="s">
        <v>268</v>
      </c>
      <c r="K41" s="354" t="s">
        <v>255</v>
      </c>
    </row>
    <row r="42" spans="1:11">
      <c r="A42" s="355">
        <v>1397</v>
      </c>
      <c r="B42" s="356" t="s">
        <v>301</v>
      </c>
      <c r="C42" s="351" t="s">
        <v>235</v>
      </c>
      <c r="D42" s="1385" t="s">
        <v>235</v>
      </c>
      <c r="E42" s="353" t="s">
        <v>235</v>
      </c>
      <c r="F42" s="353" t="s">
        <v>235</v>
      </c>
      <c r="G42" s="353" t="s">
        <v>235</v>
      </c>
      <c r="H42" s="353" t="s">
        <v>235</v>
      </c>
      <c r="I42" s="353" t="s">
        <v>235</v>
      </c>
      <c r="J42" s="353" t="s">
        <v>268</v>
      </c>
      <c r="K42" s="355" t="s">
        <v>255</v>
      </c>
    </row>
    <row r="43" spans="1:11">
      <c r="A43" s="350">
        <v>1398</v>
      </c>
      <c r="B43" s="351" t="s">
        <v>302</v>
      </c>
      <c r="C43" s="351" t="s">
        <v>1176</v>
      </c>
      <c r="D43" s="1383" t="s">
        <v>268</v>
      </c>
      <c r="E43" s="352" t="s">
        <v>236</v>
      </c>
      <c r="F43" s="352" t="s">
        <v>236</v>
      </c>
      <c r="G43" s="352" t="s">
        <v>236</v>
      </c>
      <c r="H43" s="352" t="s">
        <v>236</v>
      </c>
      <c r="I43" s="352" t="s">
        <v>236</v>
      </c>
      <c r="J43" s="353" t="s">
        <v>268</v>
      </c>
      <c r="K43" s="354" t="s">
        <v>257</v>
      </c>
    </row>
    <row r="44" spans="1:11">
      <c r="A44" s="350">
        <v>1401</v>
      </c>
      <c r="B44" s="351" t="s">
        <v>303</v>
      </c>
      <c r="C44" s="351" t="s">
        <v>268</v>
      </c>
      <c r="D44" s="1383" t="s">
        <v>268</v>
      </c>
      <c r="E44" s="352" t="s">
        <v>268</v>
      </c>
      <c r="F44" s="352" t="s">
        <v>268</v>
      </c>
      <c r="G44" s="352" t="s">
        <v>268</v>
      </c>
      <c r="H44" s="352" t="s">
        <v>268</v>
      </c>
      <c r="I44" s="352" t="s">
        <v>268</v>
      </c>
      <c r="J44" s="353" t="s">
        <v>268</v>
      </c>
      <c r="K44" s="354" t="s">
        <v>257</v>
      </c>
    </row>
    <row r="45" spans="1:11">
      <c r="A45" s="350">
        <v>1402</v>
      </c>
      <c r="B45" s="351" t="s">
        <v>304</v>
      </c>
      <c r="C45" s="351" t="s">
        <v>268</v>
      </c>
      <c r="D45" s="1383" t="s">
        <v>268</v>
      </c>
      <c r="E45" s="352" t="s">
        <v>268</v>
      </c>
      <c r="F45" s="352" t="s">
        <v>268</v>
      </c>
      <c r="G45" s="352" t="s">
        <v>268</v>
      </c>
      <c r="H45" s="352" t="s">
        <v>268</v>
      </c>
      <c r="I45" s="352" t="s">
        <v>268</v>
      </c>
      <c r="J45" s="353" t="s">
        <v>268</v>
      </c>
      <c r="K45" s="354" t="s">
        <v>255</v>
      </c>
    </row>
    <row r="46" spans="1:11" ht="30">
      <c r="A46" s="350">
        <v>1403</v>
      </c>
      <c r="B46" s="351" t="s">
        <v>305</v>
      </c>
      <c r="C46" s="351" t="s">
        <v>268</v>
      </c>
      <c r="D46" s="1383" t="s">
        <v>268</v>
      </c>
      <c r="E46" s="352" t="s">
        <v>268</v>
      </c>
      <c r="F46" s="352" t="s">
        <v>268</v>
      </c>
      <c r="G46" s="352" t="s">
        <v>268</v>
      </c>
      <c r="H46" s="352" t="s">
        <v>268</v>
      </c>
      <c r="I46" s="352" t="s">
        <v>268</v>
      </c>
      <c r="J46" s="353" t="s">
        <v>268</v>
      </c>
      <c r="K46" s="354" t="s">
        <v>255</v>
      </c>
    </row>
    <row r="47" spans="1:11">
      <c r="A47" s="350">
        <v>1404</v>
      </c>
      <c r="B47" s="351" t="s">
        <v>306</v>
      </c>
      <c r="C47" s="351" t="s">
        <v>268</v>
      </c>
      <c r="D47" s="1383" t="s">
        <v>268</v>
      </c>
      <c r="E47" s="352" t="s">
        <v>268</v>
      </c>
      <c r="F47" s="352" t="s">
        <v>268</v>
      </c>
      <c r="G47" s="352" t="s">
        <v>268</v>
      </c>
      <c r="H47" s="352" t="s">
        <v>268</v>
      </c>
      <c r="I47" s="352" t="s">
        <v>268</v>
      </c>
      <c r="J47" s="353" t="s">
        <v>268</v>
      </c>
      <c r="K47" s="354" t="s">
        <v>257</v>
      </c>
    </row>
    <row r="48" spans="1:11">
      <c r="A48" s="350">
        <v>1511</v>
      </c>
      <c r="B48" s="351" t="s">
        <v>216</v>
      </c>
      <c r="C48" s="351" t="s">
        <v>1176</v>
      </c>
      <c r="D48" s="1383" t="s">
        <v>268</v>
      </c>
      <c r="E48" s="352" t="s">
        <v>236</v>
      </c>
      <c r="F48" s="352" t="s">
        <v>236</v>
      </c>
      <c r="G48" s="352" t="s">
        <v>236</v>
      </c>
      <c r="H48" s="352" t="s">
        <v>236</v>
      </c>
      <c r="I48" s="352" t="s">
        <v>236</v>
      </c>
      <c r="J48" s="353" t="s">
        <v>268</v>
      </c>
      <c r="K48" s="354" t="s">
        <v>255</v>
      </c>
    </row>
    <row r="49" spans="1:11">
      <c r="A49" s="350">
        <v>1512</v>
      </c>
      <c r="B49" s="351" t="s">
        <v>214</v>
      </c>
      <c r="C49" s="351" t="s">
        <v>1176</v>
      </c>
      <c r="D49" s="1383" t="s">
        <v>268</v>
      </c>
      <c r="E49" s="352" t="s">
        <v>236</v>
      </c>
      <c r="F49" s="352" t="s">
        <v>236</v>
      </c>
      <c r="G49" s="352" t="s">
        <v>236</v>
      </c>
      <c r="H49" s="352" t="s">
        <v>236</v>
      </c>
      <c r="I49" s="352" t="s">
        <v>1176</v>
      </c>
      <c r="J49" s="353" t="s">
        <v>268</v>
      </c>
      <c r="K49" s="354" t="s">
        <v>257</v>
      </c>
    </row>
    <row r="50" spans="1:11">
      <c r="A50" s="350">
        <v>1513</v>
      </c>
      <c r="B50" s="351" t="s">
        <v>212</v>
      </c>
      <c r="C50" s="351" t="s">
        <v>1176</v>
      </c>
      <c r="D50" s="1383" t="s">
        <v>268</v>
      </c>
      <c r="E50" s="352" t="s">
        <v>236</v>
      </c>
      <c r="F50" s="352" t="s">
        <v>236</v>
      </c>
      <c r="G50" s="352" t="s">
        <v>236</v>
      </c>
      <c r="H50" s="352" t="s">
        <v>236</v>
      </c>
      <c r="I50" s="352" t="s">
        <v>236</v>
      </c>
      <c r="J50" s="353" t="s">
        <v>268</v>
      </c>
      <c r="K50" s="354" t="s">
        <v>255</v>
      </c>
    </row>
    <row r="51" spans="1:11">
      <c r="A51" s="350">
        <v>1514</v>
      </c>
      <c r="B51" s="351" t="s">
        <v>210</v>
      </c>
      <c r="C51" s="351" t="s">
        <v>1176</v>
      </c>
      <c r="D51" s="1383" t="s">
        <v>268</v>
      </c>
      <c r="E51" s="352" t="s">
        <v>236</v>
      </c>
      <c r="F51" s="352" t="s">
        <v>236</v>
      </c>
      <c r="G51" s="352" t="s">
        <v>236</v>
      </c>
      <c r="H51" s="352" t="s">
        <v>236</v>
      </c>
      <c r="I51" s="352" t="s">
        <v>236</v>
      </c>
      <c r="J51" s="353" t="s">
        <v>268</v>
      </c>
      <c r="K51" s="354" t="s">
        <v>255</v>
      </c>
    </row>
    <row r="52" spans="1:11">
      <c r="A52" s="350">
        <v>1515</v>
      </c>
      <c r="B52" s="351" t="s">
        <v>208</v>
      </c>
      <c r="C52" s="351" t="s">
        <v>1176</v>
      </c>
      <c r="D52" s="1383" t="s">
        <v>268</v>
      </c>
      <c r="E52" s="352" t="s">
        <v>236</v>
      </c>
      <c r="F52" s="352" t="s">
        <v>236</v>
      </c>
      <c r="G52" s="352" t="s">
        <v>236</v>
      </c>
      <c r="H52" s="352" t="s">
        <v>236</v>
      </c>
      <c r="I52" s="352" t="s">
        <v>236</v>
      </c>
      <c r="J52" s="353" t="s">
        <v>268</v>
      </c>
      <c r="K52" s="354" t="s">
        <v>255</v>
      </c>
    </row>
    <row r="53" spans="1:11">
      <c r="A53" s="355">
        <v>1521</v>
      </c>
      <c r="B53" s="356" t="s">
        <v>206</v>
      </c>
      <c r="C53" s="351" t="s">
        <v>235</v>
      </c>
      <c r="D53" s="1385" t="s">
        <v>235</v>
      </c>
      <c r="E53" s="353" t="s">
        <v>235</v>
      </c>
      <c r="F53" s="353" t="s">
        <v>235</v>
      </c>
      <c r="G53" s="353" t="s">
        <v>235</v>
      </c>
      <c r="H53" s="353" t="s">
        <v>235</v>
      </c>
      <c r="I53" s="353" t="s">
        <v>235</v>
      </c>
      <c r="J53" s="353" t="s">
        <v>235</v>
      </c>
      <c r="K53" s="355" t="s">
        <v>235</v>
      </c>
    </row>
    <row r="54" spans="1:11">
      <c r="A54" s="355">
        <v>1522</v>
      </c>
      <c r="B54" s="356" t="s">
        <v>204</v>
      </c>
      <c r="C54" s="351" t="s">
        <v>236</v>
      </c>
      <c r="D54" s="1385" t="s">
        <v>236</v>
      </c>
      <c r="E54" s="353" t="s">
        <v>236</v>
      </c>
      <c r="F54" s="353" t="s">
        <v>236</v>
      </c>
      <c r="G54" s="353" t="s">
        <v>236</v>
      </c>
      <c r="H54" s="353" t="s">
        <v>236</v>
      </c>
      <c r="I54" s="353" t="s">
        <v>236</v>
      </c>
      <c r="J54" s="353" t="s">
        <v>236</v>
      </c>
      <c r="K54" s="355" t="s">
        <v>234</v>
      </c>
    </row>
    <row r="55" spans="1:11">
      <c r="A55" s="355">
        <v>1523</v>
      </c>
      <c r="B55" s="356" t="s">
        <v>202</v>
      </c>
      <c r="C55" s="351" t="s">
        <v>236</v>
      </c>
      <c r="D55" s="1385" t="s">
        <v>236</v>
      </c>
      <c r="E55" s="353" t="s">
        <v>236</v>
      </c>
      <c r="F55" s="353" t="s">
        <v>236</v>
      </c>
      <c r="G55" s="353" t="s">
        <v>236</v>
      </c>
      <c r="H55" s="353" t="s">
        <v>236</v>
      </c>
      <c r="I55" s="353" t="s">
        <v>236</v>
      </c>
      <c r="J55" s="353" t="s">
        <v>236</v>
      </c>
      <c r="K55" s="355" t="s">
        <v>235</v>
      </c>
    </row>
    <row r="56" spans="1:11">
      <c r="A56" s="355">
        <v>1524</v>
      </c>
      <c r="B56" s="356" t="s">
        <v>200</v>
      </c>
      <c r="C56" s="351" t="s">
        <v>236</v>
      </c>
      <c r="D56" s="1385" t="s">
        <v>236</v>
      </c>
      <c r="E56" s="353" t="s">
        <v>236</v>
      </c>
      <c r="F56" s="353" t="s">
        <v>236</v>
      </c>
      <c r="G56" s="353" t="s">
        <v>236</v>
      </c>
      <c r="H56" s="353" t="s">
        <v>236</v>
      </c>
      <c r="I56" s="353" t="s">
        <v>1176</v>
      </c>
      <c r="J56" s="353" t="s">
        <v>236</v>
      </c>
      <c r="K56" s="355" t="s">
        <v>235</v>
      </c>
    </row>
    <row r="57" spans="1:11">
      <c r="A57" s="355">
        <v>1525</v>
      </c>
      <c r="B57" s="356" t="s">
        <v>307</v>
      </c>
      <c r="C57" s="351" t="s">
        <v>236</v>
      </c>
      <c r="D57" s="1385" t="s">
        <v>236</v>
      </c>
      <c r="E57" s="353" t="s">
        <v>236</v>
      </c>
      <c r="F57" s="353" t="s">
        <v>236</v>
      </c>
      <c r="G57" s="353" t="s">
        <v>236</v>
      </c>
      <c r="H57" s="353" t="s">
        <v>236</v>
      </c>
      <c r="I57" s="353" t="s">
        <v>236</v>
      </c>
      <c r="J57" s="353" t="s">
        <v>236</v>
      </c>
      <c r="K57" s="355" t="s">
        <v>235</v>
      </c>
    </row>
    <row r="58" spans="1:11" ht="30">
      <c r="A58" s="355">
        <v>1526</v>
      </c>
      <c r="B58" s="356" t="s">
        <v>198</v>
      </c>
      <c r="C58" s="351" t="s">
        <v>236</v>
      </c>
      <c r="D58" s="1385" t="s">
        <v>236</v>
      </c>
      <c r="E58" s="353" t="s">
        <v>236</v>
      </c>
      <c r="F58" s="353" t="s">
        <v>236</v>
      </c>
      <c r="G58" s="353" t="s">
        <v>236</v>
      </c>
      <c r="H58" s="353" t="s">
        <v>236</v>
      </c>
      <c r="I58" s="353" t="s">
        <v>236</v>
      </c>
      <c r="J58" s="353" t="s">
        <v>236</v>
      </c>
      <c r="K58" s="355" t="s">
        <v>235</v>
      </c>
    </row>
    <row r="59" spans="1:11">
      <c r="A59" s="355">
        <v>1527</v>
      </c>
      <c r="B59" s="356" t="s">
        <v>196</v>
      </c>
      <c r="C59" s="351" t="s">
        <v>236</v>
      </c>
      <c r="D59" s="1385" t="s">
        <v>236</v>
      </c>
      <c r="E59" s="353" t="s">
        <v>236</v>
      </c>
      <c r="F59" s="353" t="s">
        <v>268</v>
      </c>
      <c r="G59" s="353" t="s">
        <v>236</v>
      </c>
      <c r="H59" s="353" t="s">
        <v>236</v>
      </c>
      <c r="I59" s="353" t="s">
        <v>236</v>
      </c>
      <c r="J59" s="353" t="s">
        <v>236</v>
      </c>
      <c r="K59" s="355" t="s">
        <v>235</v>
      </c>
    </row>
    <row r="60" spans="1:11">
      <c r="A60" s="355">
        <v>1528</v>
      </c>
      <c r="B60" s="356" t="s">
        <v>194</v>
      </c>
      <c r="C60" s="351" t="s">
        <v>236</v>
      </c>
      <c r="D60" s="1385" t="s">
        <v>236</v>
      </c>
      <c r="E60" s="353" t="s">
        <v>236</v>
      </c>
      <c r="F60" s="353" t="s">
        <v>236</v>
      </c>
      <c r="G60" s="353" t="s">
        <v>236</v>
      </c>
      <c r="H60" s="353" t="s">
        <v>236</v>
      </c>
      <c r="I60" s="353" t="s">
        <v>236</v>
      </c>
      <c r="J60" s="353" t="s">
        <v>268</v>
      </c>
      <c r="K60" s="355" t="s">
        <v>235</v>
      </c>
    </row>
    <row r="61" spans="1:11">
      <c r="A61" s="355">
        <v>1531</v>
      </c>
      <c r="B61" s="356" t="s">
        <v>192</v>
      </c>
      <c r="C61" s="351" t="s">
        <v>237</v>
      </c>
      <c r="D61" s="1385" t="s">
        <v>237</v>
      </c>
      <c r="E61" s="353" t="s">
        <v>237</v>
      </c>
      <c r="F61" s="353" t="s">
        <v>237</v>
      </c>
      <c r="G61" s="353" t="s">
        <v>237</v>
      </c>
      <c r="H61" s="353" t="s">
        <v>237</v>
      </c>
      <c r="I61" s="353" t="s">
        <v>237</v>
      </c>
      <c r="J61" s="353" t="s">
        <v>237</v>
      </c>
      <c r="K61" s="355" t="s">
        <v>255</v>
      </c>
    </row>
    <row r="62" spans="1:11">
      <c r="A62" s="355">
        <v>1532</v>
      </c>
      <c r="B62" s="356" t="s">
        <v>190</v>
      </c>
      <c r="C62" s="351" t="s">
        <v>236</v>
      </c>
      <c r="D62" s="1385" t="s">
        <v>236</v>
      </c>
      <c r="E62" s="353" t="s">
        <v>236</v>
      </c>
      <c r="F62" s="353" t="s">
        <v>236</v>
      </c>
      <c r="G62" s="353" t="s">
        <v>236</v>
      </c>
      <c r="H62" s="353" t="s">
        <v>236</v>
      </c>
      <c r="I62" s="353" t="s">
        <v>236</v>
      </c>
      <c r="J62" s="353" t="s">
        <v>236</v>
      </c>
      <c r="K62" s="355" t="s">
        <v>235</v>
      </c>
    </row>
    <row r="63" spans="1:11">
      <c r="A63" s="355">
        <v>1533</v>
      </c>
      <c r="B63" s="356" t="s">
        <v>188</v>
      </c>
      <c r="C63" s="351" t="s">
        <v>236</v>
      </c>
      <c r="D63" s="1385" t="s">
        <v>236</v>
      </c>
      <c r="E63" s="353" t="s">
        <v>236</v>
      </c>
      <c r="F63" s="353" t="s">
        <v>236</v>
      </c>
      <c r="G63" s="353" t="s">
        <v>1176</v>
      </c>
      <c r="H63" s="353" t="s">
        <v>236</v>
      </c>
      <c r="I63" s="353" t="s">
        <v>236</v>
      </c>
      <c r="J63" s="353" t="s">
        <v>236</v>
      </c>
      <c r="K63" s="355" t="s">
        <v>257</v>
      </c>
    </row>
    <row r="64" spans="1:11">
      <c r="A64" s="355">
        <v>1534</v>
      </c>
      <c r="B64" s="356" t="s">
        <v>186</v>
      </c>
      <c r="C64" s="351" t="s">
        <v>236</v>
      </c>
      <c r="D64" s="1385" t="s">
        <v>236</v>
      </c>
      <c r="E64" s="353" t="s">
        <v>1176</v>
      </c>
      <c r="F64" s="353" t="s">
        <v>236</v>
      </c>
      <c r="G64" s="353" t="s">
        <v>236</v>
      </c>
      <c r="H64" s="353" t="s">
        <v>236</v>
      </c>
      <c r="I64" s="353" t="s">
        <v>236</v>
      </c>
      <c r="J64" s="353" t="s">
        <v>236</v>
      </c>
      <c r="K64" s="355" t="s">
        <v>235</v>
      </c>
    </row>
    <row r="65" spans="1:11">
      <c r="A65" s="355">
        <v>1535</v>
      </c>
      <c r="B65" s="356" t="s">
        <v>184</v>
      </c>
      <c r="C65" s="351" t="s">
        <v>236</v>
      </c>
      <c r="D65" s="1385" t="s">
        <v>236</v>
      </c>
      <c r="E65" s="353" t="s">
        <v>236</v>
      </c>
      <c r="F65" s="353" t="s">
        <v>236</v>
      </c>
      <c r="G65" s="353" t="s">
        <v>236</v>
      </c>
      <c r="H65" s="353" t="s">
        <v>236</v>
      </c>
      <c r="I65" s="353" t="s">
        <v>236</v>
      </c>
      <c r="J65" s="353" t="s">
        <v>236</v>
      </c>
      <c r="K65" s="355" t="s">
        <v>236</v>
      </c>
    </row>
    <row r="66" spans="1:11">
      <c r="A66" s="355">
        <v>1536</v>
      </c>
      <c r="B66" s="356" t="s">
        <v>182</v>
      </c>
      <c r="C66" s="351" t="s">
        <v>236</v>
      </c>
      <c r="D66" s="1385" t="s">
        <v>236</v>
      </c>
      <c r="E66" s="353" t="s">
        <v>236</v>
      </c>
      <c r="F66" s="353" t="s">
        <v>236</v>
      </c>
      <c r="G66" s="353" t="s">
        <v>236</v>
      </c>
      <c r="H66" s="353" t="s">
        <v>236</v>
      </c>
      <c r="I66" s="353" t="s">
        <v>236</v>
      </c>
      <c r="J66" s="353" t="s">
        <v>236</v>
      </c>
      <c r="K66" s="355" t="s">
        <v>236</v>
      </c>
    </row>
    <row r="67" spans="1:11">
      <c r="A67" s="355">
        <v>1537</v>
      </c>
      <c r="B67" s="356" t="s">
        <v>180</v>
      </c>
      <c r="C67" s="351" t="s">
        <v>235</v>
      </c>
      <c r="D67" s="1385" t="s">
        <v>235</v>
      </c>
      <c r="E67" s="353" t="s">
        <v>235</v>
      </c>
      <c r="F67" s="353" t="s">
        <v>235</v>
      </c>
      <c r="G67" s="353" t="s">
        <v>235</v>
      </c>
      <c r="H67" s="353" t="s">
        <v>235</v>
      </c>
      <c r="I67" s="353" t="s">
        <v>235</v>
      </c>
      <c r="J67" s="353" t="s">
        <v>235</v>
      </c>
      <c r="K67" s="355" t="s">
        <v>255</v>
      </c>
    </row>
    <row r="68" spans="1:11">
      <c r="A68" s="350">
        <v>1621</v>
      </c>
      <c r="B68" s="351" t="s">
        <v>178</v>
      </c>
      <c r="C68" s="351" t="s">
        <v>1176</v>
      </c>
      <c r="D68" s="1383" t="s">
        <v>268</v>
      </c>
      <c r="E68" s="352" t="s">
        <v>268</v>
      </c>
      <c r="F68" s="352" t="s">
        <v>268</v>
      </c>
      <c r="G68" s="352" t="s">
        <v>268</v>
      </c>
      <c r="H68" s="352" t="s">
        <v>268</v>
      </c>
      <c r="I68" s="352" t="s">
        <v>268</v>
      </c>
      <c r="J68" s="353" t="s">
        <v>268</v>
      </c>
      <c r="K68" s="354" t="s">
        <v>257</v>
      </c>
    </row>
    <row r="69" spans="1:11">
      <c r="A69" s="350">
        <v>1622</v>
      </c>
      <c r="B69" s="351" t="s">
        <v>176</v>
      </c>
      <c r="C69" s="351" t="s">
        <v>1176</v>
      </c>
      <c r="D69" s="1383" t="s">
        <v>268</v>
      </c>
      <c r="E69" s="352" t="s">
        <v>268</v>
      </c>
      <c r="F69" s="352" t="s">
        <v>268</v>
      </c>
      <c r="G69" s="352" t="s">
        <v>268</v>
      </c>
      <c r="H69" s="352" t="s">
        <v>268</v>
      </c>
      <c r="I69" s="352" t="s">
        <v>268</v>
      </c>
      <c r="J69" s="353" t="s">
        <v>268</v>
      </c>
      <c r="K69" s="354" t="s">
        <v>257</v>
      </c>
    </row>
    <row r="70" spans="1:11">
      <c r="A70" s="350">
        <v>1623</v>
      </c>
      <c r="B70" s="351" t="s">
        <v>174</v>
      </c>
      <c r="C70" s="351" t="s">
        <v>1176</v>
      </c>
      <c r="D70" s="1383" t="s">
        <v>268</v>
      </c>
      <c r="E70" s="352" t="s">
        <v>268</v>
      </c>
      <c r="F70" s="352" t="s">
        <v>268</v>
      </c>
      <c r="G70" s="352" t="s">
        <v>268</v>
      </c>
      <c r="H70" s="352" t="s">
        <v>268</v>
      </c>
      <c r="I70" s="352" t="s">
        <v>268</v>
      </c>
      <c r="J70" s="353" t="s">
        <v>268</v>
      </c>
      <c r="K70" s="354" t="s">
        <v>257</v>
      </c>
    </row>
    <row r="71" spans="1:11">
      <c r="A71" s="350">
        <v>1624</v>
      </c>
      <c r="B71" s="351" t="s">
        <v>172</v>
      </c>
      <c r="C71" s="351" t="s">
        <v>1176</v>
      </c>
      <c r="D71" s="1383" t="s">
        <v>268</v>
      </c>
      <c r="E71" s="352" t="s">
        <v>1176</v>
      </c>
      <c r="F71" s="352" t="s">
        <v>1176</v>
      </c>
      <c r="G71" s="352" t="s">
        <v>1176</v>
      </c>
      <c r="H71" s="352" t="s">
        <v>1176</v>
      </c>
      <c r="I71" s="352" t="s">
        <v>1176</v>
      </c>
      <c r="J71" s="353" t="s">
        <v>268</v>
      </c>
      <c r="K71" s="354" t="s">
        <v>257</v>
      </c>
    </row>
    <row r="72" spans="1:11">
      <c r="A72" s="350">
        <v>1625</v>
      </c>
      <c r="B72" s="351" t="s">
        <v>170</v>
      </c>
      <c r="C72" s="351" t="s">
        <v>1176</v>
      </c>
      <c r="D72" s="1383" t="s">
        <v>268</v>
      </c>
      <c r="E72" s="352" t="s">
        <v>268</v>
      </c>
      <c r="F72" s="352" t="s">
        <v>268</v>
      </c>
      <c r="G72" s="352" t="s">
        <v>268</v>
      </c>
      <c r="H72" s="352" t="s">
        <v>268</v>
      </c>
      <c r="I72" s="352" t="s">
        <v>268</v>
      </c>
      <c r="J72" s="353" t="s">
        <v>268</v>
      </c>
      <c r="K72" s="354" t="s">
        <v>257</v>
      </c>
    </row>
    <row r="73" spans="1:11">
      <c r="A73" s="355">
        <v>1631</v>
      </c>
      <c r="B73" s="356" t="s">
        <v>168</v>
      </c>
      <c r="C73" s="351" t="s">
        <v>236</v>
      </c>
      <c r="D73" s="1385" t="s">
        <v>236</v>
      </c>
      <c r="E73" s="353" t="s">
        <v>268</v>
      </c>
      <c r="F73" s="353" t="s">
        <v>268</v>
      </c>
      <c r="G73" s="353" t="s">
        <v>236</v>
      </c>
      <c r="H73" s="353" t="s">
        <v>236</v>
      </c>
      <c r="I73" s="353" t="s">
        <v>236</v>
      </c>
      <c r="J73" s="353" t="s">
        <v>268</v>
      </c>
      <c r="K73" s="355" t="s">
        <v>235</v>
      </c>
    </row>
    <row r="74" spans="1:11">
      <c r="A74" s="355">
        <v>1632</v>
      </c>
      <c r="B74" s="356" t="s">
        <v>166</v>
      </c>
      <c r="C74" s="351" t="s">
        <v>234</v>
      </c>
      <c r="D74" s="1385" t="s">
        <v>234</v>
      </c>
      <c r="E74" s="353" t="s">
        <v>268</v>
      </c>
      <c r="F74" s="353" t="s">
        <v>234</v>
      </c>
      <c r="G74" s="353" t="s">
        <v>268</v>
      </c>
      <c r="H74" s="353" t="s">
        <v>268</v>
      </c>
      <c r="I74" s="353" t="s">
        <v>268</v>
      </c>
      <c r="J74" s="353" t="s">
        <v>268</v>
      </c>
      <c r="K74" s="355" t="s">
        <v>257</v>
      </c>
    </row>
    <row r="75" spans="1:11">
      <c r="A75" s="350">
        <v>1633</v>
      </c>
      <c r="B75" s="351" t="s">
        <v>165</v>
      </c>
      <c r="C75" s="351" t="s">
        <v>1176</v>
      </c>
      <c r="D75" s="1383" t="s">
        <v>268</v>
      </c>
      <c r="E75" s="352" t="s">
        <v>268</v>
      </c>
      <c r="F75" s="352" t="s">
        <v>268</v>
      </c>
      <c r="G75" s="352" t="s">
        <v>268</v>
      </c>
      <c r="H75" s="352" t="s">
        <v>268</v>
      </c>
      <c r="I75" s="352" t="s">
        <v>268</v>
      </c>
      <c r="J75" s="353" t="s">
        <v>268</v>
      </c>
      <c r="K75" s="354" t="s">
        <v>257</v>
      </c>
    </row>
    <row r="76" spans="1:11">
      <c r="A76" s="350">
        <v>1634</v>
      </c>
      <c r="B76" s="351" t="s">
        <v>163</v>
      </c>
      <c r="C76" s="351" t="s">
        <v>1176</v>
      </c>
      <c r="D76" s="1383" t="s">
        <v>268</v>
      </c>
      <c r="E76" s="352" t="s">
        <v>268</v>
      </c>
      <c r="F76" s="352" t="s">
        <v>268</v>
      </c>
      <c r="G76" s="352" t="s">
        <v>268</v>
      </c>
      <c r="H76" s="352" t="s">
        <v>268</v>
      </c>
      <c r="I76" s="352" t="s">
        <v>268</v>
      </c>
      <c r="J76" s="353" t="s">
        <v>268</v>
      </c>
      <c r="K76" s="354" t="s">
        <v>257</v>
      </c>
    </row>
    <row r="77" spans="1:11">
      <c r="A77" s="350">
        <v>1635</v>
      </c>
      <c r="B77" s="351" t="s">
        <v>161</v>
      </c>
      <c r="C77" s="351" t="s">
        <v>1176</v>
      </c>
      <c r="D77" s="1383" t="s">
        <v>268</v>
      </c>
      <c r="E77" s="352" t="s">
        <v>268</v>
      </c>
      <c r="F77" s="352" t="s">
        <v>268</v>
      </c>
      <c r="G77" s="352" t="s">
        <v>268</v>
      </c>
      <c r="H77" s="352" t="s">
        <v>268</v>
      </c>
      <c r="I77" s="352" t="s">
        <v>268</v>
      </c>
      <c r="J77" s="353" t="s">
        <v>268</v>
      </c>
      <c r="K77" s="354" t="s">
        <v>257</v>
      </c>
    </row>
    <row r="78" spans="1:11">
      <c r="A78" s="350">
        <v>1636</v>
      </c>
      <c r="B78" s="351" t="s">
        <v>159</v>
      </c>
      <c r="C78" s="351" t="s">
        <v>1176</v>
      </c>
      <c r="D78" s="1383" t="s">
        <v>268</v>
      </c>
      <c r="E78" s="352" t="s">
        <v>268</v>
      </c>
      <c r="F78" s="352" t="s">
        <v>268</v>
      </c>
      <c r="G78" s="352" t="s">
        <v>268</v>
      </c>
      <c r="H78" s="352" t="s">
        <v>268</v>
      </c>
      <c r="I78" s="352" t="s">
        <v>268</v>
      </c>
      <c r="J78" s="353" t="s">
        <v>268</v>
      </c>
      <c r="K78" s="354" t="s">
        <v>257</v>
      </c>
    </row>
    <row r="79" spans="1:11">
      <c r="A79" s="355">
        <v>1637</v>
      </c>
      <c r="B79" s="356" t="s">
        <v>157</v>
      </c>
      <c r="C79" s="351" t="s">
        <v>237</v>
      </c>
      <c r="D79" s="1385" t="s">
        <v>235</v>
      </c>
      <c r="E79" s="353" t="s">
        <v>1176</v>
      </c>
      <c r="F79" s="353" t="s">
        <v>235</v>
      </c>
      <c r="G79" s="353" t="s">
        <v>235</v>
      </c>
      <c r="H79" s="353" t="s">
        <v>235</v>
      </c>
      <c r="I79" s="353" t="s">
        <v>235</v>
      </c>
      <c r="J79" s="353" t="s">
        <v>268</v>
      </c>
      <c r="K79" s="355" t="s">
        <v>236</v>
      </c>
    </row>
    <row r="80" spans="1:11">
      <c r="A80" s="350">
        <v>1638</v>
      </c>
      <c r="B80" s="351" t="s">
        <v>155</v>
      </c>
      <c r="C80" s="351" t="s">
        <v>1176</v>
      </c>
      <c r="D80" s="1383" t="s">
        <v>268</v>
      </c>
      <c r="E80" s="352" t="s">
        <v>268</v>
      </c>
      <c r="F80" s="352" t="s">
        <v>268</v>
      </c>
      <c r="G80" s="352" t="s">
        <v>268</v>
      </c>
      <c r="H80" s="352" t="s">
        <v>268</v>
      </c>
      <c r="I80" s="352" t="s">
        <v>268</v>
      </c>
      <c r="J80" s="353" t="s">
        <v>268</v>
      </c>
      <c r="K80" s="354" t="s">
        <v>255</v>
      </c>
    </row>
    <row r="81" spans="1:11">
      <c r="A81" s="355">
        <v>1711</v>
      </c>
      <c r="B81" s="356" t="s">
        <v>153</v>
      </c>
      <c r="C81" s="351" t="s">
        <v>236</v>
      </c>
      <c r="D81" s="1385" t="s">
        <v>236</v>
      </c>
      <c r="E81" s="353" t="s">
        <v>236</v>
      </c>
      <c r="F81" s="353" t="s">
        <v>236</v>
      </c>
      <c r="G81" s="353" t="s">
        <v>236</v>
      </c>
      <c r="H81" s="353" t="s">
        <v>236</v>
      </c>
      <c r="I81" s="353" t="s">
        <v>236</v>
      </c>
      <c r="J81" s="353" t="s">
        <v>236</v>
      </c>
      <c r="K81" s="355" t="s">
        <v>236</v>
      </c>
    </row>
    <row r="82" spans="1:11">
      <c r="A82" s="350">
        <v>1712</v>
      </c>
      <c r="B82" s="351" t="s">
        <v>151</v>
      </c>
      <c r="C82" s="351" t="s">
        <v>1176</v>
      </c>
      <c r="D82" s="1383" t="s">
        <v>268</v>
      </c>
      <c r="E82" s="352" t="s">
        <v>268</v>
      </c>
      <c r="F82" s="352" t="s">
        <v>268</v>
      </c>
      <c r="G82" s="352" t="s">
        <v>268</v>
      </c>
      <c r="H82" s="352" t="s">
        <v>268</v>
      </c>
      <c r="I82" s="352" t="s">
        <v>268</v>
      </c>
      <c r="J82" s="353" t="s">
        <v>1176</v>
      </c>
      <c r="K82" s="354" t="s">
        <v>255</v>
      </c>
    </row>
    <row r="83" spans="1:11">
      <c r="A83" s="355">
        <v>1713</v>
      </c>
      <c r="B83" s="356" t="s">
        <v>149</v>
      </c>
      <c r="C83" s="351" t="s">
        <v>236</v>
      </c>
      <c r="D83" s="1385" t="s">
        <v>236</v>
      </c>
      <c r="E83" s="353" t="s">
        <v>236</v>
      </c>
      <c r="F83" s="353" t="s">
        <v>236</v>
      </c>
      <c r="G83" s="353" t="s">
        <v>236</v>
      </c>
      <c r="H83" s="353" t="s">
        <v>236</v>
      </c>
      <c r="I83" s="353" t="s">
        <v>236</v>
      </c>
      <c r="J83" s="353" t="s">
        <v>268</v>
      </c>
      <c r="K83" s="355" t="s">
        <v>255</v>
      </c>
    </row>
    <row r="84" spans="1:11">
      <c r="A84" s="355">
        <v>1714</v>
      </c>
      <c r="B84" s="356" t="s">
        <v>1179</v>
      </c>
      <c r="C84" s="351" t="s">
        <v>236</v>
      </c>
      <c r="D84" s="1385" t="s">
        <v>236</v>
      </c>
      <c r="E84" s="353" t="s">
        <v>236</v>
      </c>
      <c r="F84" s="353" t="s">
        <v>268</v>
      </c>
      <c r="G84" s="353" t="s">
        <v>236</v>
      </c>
      <c r="H84" s="353" t="s">
        <v>236</v>
      </c>
      <c r="I84" s="353" t="s">
        <v>236</v>
      </c>
      <c r="J84" s="353" t="s">
        <v>236</v>
      </c>
      <c r="K84" s="355" t="s">
        <v>255</v>
      </c>
    </row>
    <row r="85" spans="1:11" ht="30">
      <c r="A85" s="355">
        <v>1715</v>
      </c>
      <c r="B85" s="356" t="s">
        <v>145</v>
      </c>
      <c r="C85" s="351" t="s">
        <v>236</v>
      </c>
      <c r="D85" s="1385" t="s">
        <v>236</v>
      </c>
      <c r="E85" s="353" t="s">
        <v>1176</v>
      </c>
      <c r="F85" s="353" t="s">
        <v>236</v>
      </c>
      <c r="G85" s="353" t="s">
        <v>1176</v>
      </c>
      <c r="H85" s="353" t="s">
        <v>236</v>
      </c>
      <c r="I85" s="353" t="s">
        <v>1176</v>
      </c>
      <c r="J85" s="353" t="s">
        <v>236</v>
      </c>
      <c r="K85" s="355" t="s">
        <v>255</v>
      </c>
    </row>
    <row r="86" spans="1:11" ht="30">
      <c r="A86" s="355">
        <v>1716</v>
      </c>
      <c r="B86" s="356" t="s">
        <v>143</v>
      </c>
      <c r="C86" s="351" t="s">
        <v>236</v>
      </c>
      <c r="D86" s="1385" t="s">
        <v>236</v>
      </c>
      <c r="E86" s="353" t="s">
        <v>236</v>
      </c>
      <c r="F86" s="353" t="s">
        <v>236</v>
      </c>
      <c r="G86" s="353" t="s">
        <v>236</v>
      </c>
      <c r="H86" s="353" t="s">
        <v>236</v>
      </c>
      <c r="I86" s="353" t="s">
        <v>1176</v>
      </c>
      <c r="J86" s="353" t="s">
        <v>236</v>
      </c>
      <c r="K86" s="355" t="s">
        <v>255</v>
      </c>
    </row>
    <row r="87" spans="1:11">
      <c r="A87" s="355">
        <v>1717</v>
      </c>
      <c r="B87" s="356" t="s">
        <v>141</v>
      </c>
      <c r="C87" s="351" t="s">
        <v>236</v>
      </c>
      <c r="D87" s="1385" t="s">
        <v>236</v>
      </c>
      <c r="E87" s="353" t="s">
        <v>236</v>
      </c>
      <c r="F87" s="353" t="s">
        <v>236</v>
      </c>
      <c r="G87" s="353" t="s">
        <v>236</v>
      </c>
      <c r="H87" s="353" t="s">
        <v>236</v>
      </c>
      <c r="I87" s="353" t="s">
        <v>236</v>
      </c>
      <c r="J87" s="353" t="s">
        <v>236</v>
      </c>
      <c r="K87" s="355" t="s">
        <v>236</v>
      </c>
    </row>
    <row r="88" spans="1:11">
      <c r="A88" s="355">
        <v>1718</v>
      </c>
      <c r="B88" s="356" t="s">
        <v>139</v>
      </c>
      <c r="C88" s="351" t="s">
        <v>236</v>
      </c>
      <c r="D88" s="1385" t="s">
        <v>236</v>
      </c>
      <c r="E88" s="353" t="s">
        <v>236</v>
      </c>
      <c r="F88" s="353" t="s">
        <v>236</v>
      </c>
      <c r="G88" s="353" t="s">
        <v>236</v>
      </c>
      <c r="H88" s="353" t="s">
        <v>236</v>
      </c>
      <c r="I88" s="353" t="s">
        <v>236</v>
      </c>
      <c r="J88" s="353" t="s">
        <v>236</v>
      </c>
      <c r="K88" s="355" t="s">
        <v>236</v>
      </c>
    </row>
    <row r="89" spans="1:11">
      <c r="A89" s="355">
        <v>1719</v>
      </c>
      <c r="B89" s="356" t="s">
        <v>137</v>
      </c>
      <c r="C89" s="351" t="s">
        <v>236</v>
      </c>
      <c r="D89" s="1385" t="s">
        <v>236</v>
      </c>
      <c r="E89" s="353" t="s">
        <v>236</v>
      </c>
      <c r="F89" s="353" t="s">
        <v>236</v>
      </c>
      <c r="G89" s="353" t="s">
        <v>236</v>
      </c>
      <c r="H89" s="353" t="s">
        <v>236</v>
      </c>
      <c r="I89" s="353" t="s">
        <v>236</v>
      </c>
      <c r="J89" s="353" t="s">
        <v>236</v>
      </c>
      <c r="K89" s="355" t="s">
        <v>235</v>
      </c>
    </row>
    <row r="90" spans="1:11" ht="30">
      <c r="A90" s="355">
        <v>1720</v>
      </c>
      <c r="B90" s="356" t="s">
        <v>135</v>
      </c>
      <c r="C90" s="351" t="s">
        <v>236</v>
      </c>
      <c r="D90" s="1385" t="s">
        <v>236</v>
      </c>
      <c r="E90" s="353" t="s">
        <v>236</v>
      </c>
      <c r="F90" s="353" t="s">
        <v>236</v>
      </c>
      <c r="G90" s="353" t="s">
        <v>236</v>
      </c>
      <c r="H90" s="353" t="s">
        <v>236</v>
      </c>
      <c r="I90" s="353" t="s">
        <v>236</v>
      </c>
      <c r="J90" s="353" t="s">
        <v>236</v>
      </c>
      <c r="K90" s="355" t="s">
        <v>255</v>
      </c>
    </row>
    <row r="91" spans="1:11">
      <c r="A91" s="355">
        <v>1731</v>
      </c>
      <c r="B91" s="356" t="s">
        <v>133</v>
      </c>
      <c r="C91" s="351" t="s">
        <v>236</v>
      </c>
      <c r="D91" s="1385" t="s">
        <v>236</v>
      </c>
      <c r="E91" s="353" t="s">
        <v>236</v>
      </c>
      <c r="F91" s="353" t="s">
        <v>236</v>
      </c>
      <c r="G91" s="353" t="s">
        <v>236</v>
      </c>
      <c r="H91" s="353" t="s">
        <v>236</v>
      </c>
      <c r="I91" s="353" t="s">
        <v>236</v>
      </c>
      <c r="J91" s="353" t="s">
        <v>236</v>
      </c>
      <c r="K91" s="355" t="s">
        <v>236</v>
      </c>
    </row>
    <row r="92" spans="1:11">
      <c r="A92" s="350">
        <v>1732</v>
      </c>
      <c r="B92" s="351" t="s">
        <v>131</v>
      </c>
      <c r="C92" s="351" t="s">
        <v>1176</v>
      </c>
      <c r="D92" s="1383" t="s">
        <v>268</v>
      </c>
      <c r="E92" s="352" t="s">
        <v>268</v>
      </c>
      <c r="F92" s="352" t="s">
        <v>268</v>
      </c>
      <c r="G92" s="352" t="s">
        <v>268</v>
      </c>
      <c r="H92" s="352" t="s">
        <v>268</v>
      </c>
      <c r="I92" s="352" t="s">
        <v>268</v>
      </c>
      <c r="J92" s="353" t="s">
        <v>268</v>
      </c>
      <c r="K92" s="354" t="s">
        <v>255</v>
      </c>
    </row>
    <row r="93" spans="1:11" ht="30">
      <c r="A93" s="350">
        <v>1733</v>
      </c>
      <c r="B93" s="351" t="s">
        <v>129</v>
      </c>
      <c r="C93" s="351" t="s">
        <v>1176</v>
      </c>
      <c r="D93" s="1383" t="s">
        <v>268</v>
      </c>
      <c r="E93" s="352" t="s">
        <v>1176</v>
      </c>
      <c r="F93" s="352" t="s">
        <v>1176</v>
      </c>
      <c r="G93" s="352" t="s">
        <v>1176</v>
      </c>
      <c r="H93" s="352" t="s">
        <v>1176</v>
      </c>
      <c r="I93" s="352" t="s">
        <v>1176</v>
      </c>
      <c r="J93" s="353" t="s">
        <v>268</v>
      </c>
      <c r="K93" s="354" t="s">
        <v>235</v>
      </c>
    </row>
    <row r="94" spans="1:11">
      <c r="A94" s="350">
        <v>1734</v>
      </c>
      <c r="B94" s="351" t="s">
        <v>127</v>
      </c>
      <c r="C94" s="351" t="s">
        <v>1176</v>
      </c>
      <c r="D94" s="1383" t="s">
        <v>268</v>
      </c>
      <c r="E94" s="352" t="s">
        <v>1176</v>
      </c>
      <c r="F94" s="352" t="s">
        <v>1176</v>
      </c>
      <c r="G94" s="352" t="s">
        <v>1176</v>
      </c>
      <c r="H94" s="352" t="s">
        <v>1176</v>
      </c>
      <c r="I94" s="352" t="s">
        <v>1176</v>
      </c>
      <c r="J94" s="353" t="s">
        <v>268</v>
      </c>
      <c r="K94" s="354" t="s">
        <v>235</v>
      </c>
    </row>
    <row r="95" spans="1:11">
      <c r="A95" s="355">
        <v>1735</v>
      </c>
      <c r="B95" s="356" t="s">
        <v>124</v>
      </c>
      <c r="C95" s="351" t="s">
        <v>235</v>
      </c>
      <c r="D95" s="1385" t="s">
        <v>235</v>
      </c>
      <c r="E95" s="353" t="s">
        <v>235</v>
      </c>
      <c r="F95" s="353" t="s">
        <v>235</v>
      </c>
      <c r="G95" s="353" t="s">
        <v>235</v>
      </c>
      <c r="H95" s="353" t="s">
        <v>235</v>
      </c>
      <c r="I95" s="353" t="s">
        <v>235</v>
      </c>
      <c r="J95" s="353" t="s">
        <v>268</v>
      </c>
      <c r="K95" s="355" t="s">
        <v>235</v>
      </c>
    </row>
    <row r="96" spans="1:11">
      <c r="A96" s="355">
        <v>1735</v>
      </c>
      <c r="B96" s="356" t="s">
        <v>126</v>
      </c>
      <c r="C96" s="351" t="s">
        <v>235</v>
      </c>
      <c r="D96" s="1385" t="s">
        <v>235</v>
      </c>
      <c r="E96" s="353" t="s">
        <v>235</v>
      </c>
      <c r="F96" s="353" t="s">
        <v>235</v>
      </c>
      <c r="G96" s="353" t="s">
        <v>235</v>
      </c>
      <c r="H96" s="353" t="s">
        <v>235</v>
      </c>
      <c r="I96" s="353" t="s">
        <v>235</v>
      </c>
      <c r="J96" s="353" t="s">
        <v>268</v>
      </c>
      <c r="K96" s="355" t="s">
        <v>255</v>
      </c>
    </row>
    <row r="97" spans="1:11">
      <c r="A97" s="355">
        <v>1736</v>
      </c>
      <c r="B97" s="356" t="s">
        <v>122</v>
      </c>
      <c r="C97" s="351" t="s">
        <v>236</v>
      </c>
      <c r="D97" s="1385" t="s">
        <v>236</v>
      </c>
      <c r="E97" s="353" t="s">
        <v>236</v>
      </c>
      <c r="F97" s="353" t="s">
        <v>236</v>
      </c>
      <c r="G97" s="353" t="s">
        <v>236</v>
      </c>
      <c r="H97" s="353" t="s">
        <v>236</v>
      </c>
      <c r="I97" s="353" t="s">
        <v>236</v>
      </c>
      <c r="J97" s="353" t="s">
        <v>236</v>
      </c>
      <c r="K97" s="355" t="s">
        <v>236</v>
      </c>
    </row>
    <row r="98" spans="1:11">
      <c r="A98" s="355">
        <v>1741</v>
      </c>
      <c r="B98" s="356" t="s">
        <v>120</v>
      </c>
      <c r="C98" s="351" t="s">
        <v>234</v>
      </c>
      <c r="D98" s="1385" t="s">
        <v>236</v>
      </c>
      <c r="E98" s="353" t="s">
        <v>236</v>
      </c>
      <c r="F98" s="353" t="s">
        <v>236</v>
      </c>
      <c r="G98" s="353" t="s">
        <v>236</v>
      </c>
      <c r="H98" s="353" t="s">
        <v>236</v>
      </c>
      <c r="I98" s="353" t="s">
        <v>236</v>
      </c>
      <c r="J98" s="353" t="s">
        <v>234</v>
      </c>
      <c r="K98" s="355" t="s">
        <v>235</v>
      </c>
    </row>
    <row r="99" spans="1:11">
      <c r="A99" s="355">
        <v>1742</v>
      </c>
      <c r="B99" s="356" t="s">
        <v>118</v>
      </c>
      <c r="C99" s="351" t="s">
        <v>236</v>
      </c>
      <c r="D99" s="1385" t="s">
        <v>236</v>
      </c>
      <c r="E99" s="353" t="s">
        <v>236</v>
      </c>
      <c r="F99" s="353" t="s">
        <v>236</v>
      </c>
      <c r="G99" s="353" t="s">
        <v>236</v>
      </c>
      <c r="H99" s="353" t="s">
        <v>236</v>
      </c>
      <c r="I99" s="353" t="s">
        <v>236</v>
      </c>
      <c r="J99" s="353" t="s">
        <v>268</v>
      </c>
      <c r="K99" s="355" t="s">
        <v>236</v>
      </c>
    </row>
    <row r="100" spans="1:11" ht="30">
      <c r="A100" s="355">
        <v>1743</v>
      </c>
      <c r="B100" s="356" t="s">
        <v>116</v>
      </c>
      <c r="C100" s="351" t="s">
        <v>236</v>
      </c>
      <c r="D100" s="1385" t="s">
        <v>236</v>
      </c>
      <c r="E100" s="353" t="s">
        <v>236</v>
      </c>
      <c r="F100" s="353" t="s">
        <v>236</v>
      </c>
      <c r="G100" s="353" t="s">
        <v>236</v>
      </c>
      <c r="H100" s="353" t="s">
        <v>236</v>
      </c>
      <c r="I100" s="353" t="s">
        <v>236</v>
      </c>
      <c r="J100" s="353" t="s">
        <v>236</v>
      </c>
      <c r="K100" s="355" t="s">
        <v>255</v>
      </c>
    </row>
    <row r="101" spans="1:11">
      <c r="A101" s="355">
        <v>1744</v>
      </c>
      <c r="B101" s="356" t="s">
        <v>114</v>
      </c>
      <c r="C101" s="351" t="s">
        <v>236</v>
      </c>
      <c r="D101" s="1385" t="s">
        <v>236</v>
      </c>
      <c r="E101" s="353" t="s">
        <v>236</v>
      </c>
      <c r="F101" s="353" t="s">
        <v>236</v>
      </c>
      <c r="G101" s="353" t="s">
        <v>236</v>
      </c>
      <c r="H101" s="353" t="s">
        <v>236</v>
      </c>
      <c r="I101" s="353" t="s">
        <v>236</v>
      </c>
      <c r="J101" s="353" t="s">
        <v>236</v>
      </c>
      <c r="K101" s="355" t="s">
        <v>234</v>
      </c>
    </row>
    <row r="102" spans="1:11" ht="30">
      <c r="A102" s="355">
        <v>1745</v>
      </c>
      <c r="B102" s="356" t="s">
        <v>112</v>
      </c>
      <c r="C102" s="351" t="s">
        <v>236</v>
      </c>
      <c r="D102" s="1385" t="s">
        <v>236</v>
      </c>
      <c r="E102" s="353" t="s">
        <v>236</v>
      </c>
      <c r="F102" s="353" t="s">
        <v>236</v>
      </c>
      <c r="G102" s="353" t="s">
        <v>236</v>
      </c>
      <c r="H102" s="353" t="s">
        <v>236</v>
      </c>
      <c r="I102" s="353" t="s">
        <v>236</v>
      </c>
      <c r="J102" s="353" t="s">
        <v>236</v>
      </c>
      <c r="K102" s="355" t="s">
        <v>235</v>
      </c>
    </row>
    <row r="103" spans="1:11">
      <c r="A103" s="350">
        <v>1751</v>
      </c>
      <c r="B103" s="351" t="s">
        <v>110</v>
      </c>
      <c r="C103" s="351" t="s">
        <v>1176</v>
      </c>
      <c r="D103" s="1383" t="s">
        <v>268</v>
      </c>
      <c r="E103" s="352" t="s">
        <v>237</v>
      </c>
      <c r="F103" s="352" t="s">
        <v>237</v>
      </c>
      <c r="G103" s="352" t="s">
        <v>237</v>
      </c>
      <c r="H103" s="352" t="s">
        <v>237</v>
      </c>
      <c r="I103" s="352" t="s">
        <v>237</v>
      </c>
      <c r="J103" s="353" t="s">
        <v>1176</v>
      </c>
      <c r="K103" s="354" t="s">
        <v>234</v>
      </c>
    </row>
    <row r="104" spans="1:11">
      <c r="A104" s="350">
        <v>1752</v>
      </c>
      <c r="B104" s="351" t="s">
        <v>108</v>
      </c>
      <c r="C104" s="351" t="s">
        <v>1176</v>
      </c>
      <c r="D104" s="1383" t="s">
        <v>268</v>
      </c>
      <c r="E104" s="352" t="s">
        <v>237</v>
      </c>
      <c r="F104" s="352" t="s">
        <v>237</v>
      </c>
      <c r="G104" s="352" t="s">
        <v>237</v>
      </c>
      <c r="H104" s="352" t="s">
        <v>237</v>
      </c>
      <c r="I104" s="352" t="s">
        <v>237</v>
      </c>
      <c r="J104" s="353" t="s">
        <v>1176</v>
      </c>
      <c r="K104" s="354" t="s">
        <v>255</v>
      </c>
    </row>
    <row r="105" spans="1:11">
      <c r="A105" s="355">
        <v>1753</v>
      </c>
      <c r="B105" s="356" t="s">
        <v>106</v>
      </c>
      <c r="C105" s="351" t="s">
        <v>236</v>
      </c>
      <c r="D105" s="1385" t="s">
        <v>236</v>
      </c>
      <c r="E105" s="353" t="s">
        <v>236</v>
      </c>
      <c r="F105" s="353" t="s">
        <v>236</v>
      </c>
      <c r="G105" s="353" t="s">
        <v>236</v>
      </c>
      <c r="H105" s="353" t="s">
        <v>236</v>
      </c>
      <c r="I105" s="353" t="s">
        <v>236</v>
      </c>
      <c r="J105" s="353" t="s">
        <v>268</v>
      </c>
      <c r="K105" s="355" t="s">
        <v>236</v>
      </c>
    </row>
    <row r="106" spans="1:11">
      <c r="A106" s="355">
        <v>1754</v>
      </c>
      <c r="B106" s="356" t="s">
        <v>104</v>
      </c>
      <c r="C106" s="351" t="s">
        <v>236</v>
      </c>
      <c r="D106" s="1385" t="s">
        <v>236</v>
      </c>
      <c r="E106" s="353" t="s">
        <v>236</v>
      </c>
      <c r="F106" s="353" t="s">
        <v>236</v>
      </c>
      <c r="G106" s="353" t="s">
        <v>236</v>
      </c>
      <c r="H106" s="353" t="s">
        <v>236</v>
      </c>
      <c r="I106" s="353" t="s">
        <v>236</v>
      </c>
      <c r="J106" s="353" t="s">
        <v>236</v>
      </c>
      <c r="K106" s="355" t="s">
        <v>235</v>
      </c>
    </row>
    <row r="107" spans="1:11">
      <c r="A107" s="355">
        <v>1755</v>
      </c>
      <c r="B107" s="356" t="s">
        <v>102</v>
      </c>
      <c r="C107" s="351" t="s">
        <v>237</v>
      </c>
      <c r="D107" s="1385" t="s">
        <v>237</v>
      </c>
      <c r="E107" s="353" t="s">
        <v>237</v>
      </c>
      <c r="F107" s="353" t="s">
        <v>237</v>
      </c>
      <c r="G107" s="353" t="s">
        <v>237</v>
      </c>
      <c r="H107" s="353" t="s">
        <v>237</v>
      </c>
      <c r="I107" s="353" t="s">
        <v>237</v>
      </c>
      <c r="J107" s="353" t="s">
        <v>237</v>
      </c>
      <c r="K107" s="355" t="s">
        <v>236</v>
      </c>
    </row>
    <row r="108" spans="1:11" ht="30">
      <c r="A108" s="355">
        <v>1756</v>
      </c>
      <c r="B108" s="356" t="s">
        <v>100</v>
      </c>
      <c r="C108" s="351" t="s">
        <v>236</v>
      </c>
      <c r="D108" s="1385" t="s">
        <v>236</v>
      </c>
      <c r="E108" s="353" t="s">
        <v>236</v>
      </c>
      <c r="F108" s="353" t="s">
        <v>236</v>
      </c>
      <c r="G108" s="353" t="s">
        <v>236</v>
      </c>
      <c r="H108" s="353" t="s">
        <v>236</v>
      </c>
      <c r="I108" s="353" t="s">
        <v>236</v>
      </c>
      <c r="J108" s="353" t="s">
        <v>236</v>
      </c>
      <c r="K108" s="355" t="s">
        <v>235</v>
      </c>
    </row>
    <row r="109" spans="1:11">
      <c r="A109" s="355">
        <v>1757</v>
      </c>
      <c r="B109" s="356" t="s">
        <v>98</v>
      </c>
      <c r="C109" s="351" t="s">
        <v>236</v>
      </c>
      <c r="D109" s="1385" t="s">
        <v>236</v>
      </c>
      <c r="E109" s="353" t="s">
        <v>236</v>
      </c>
      <c r="F109" s="353" t="s">
        <v>236</v>
      </c>
      <c r="G109" s="353" t="s">
        <v>236</v>
      </c>
      <c r="H109" s="353" t="s">
        <v>236</v>
      </c>
      <c r="I109" s="353" t="s">
        <v>236</v>
      </c>
      <c r="J109" s="353" t="s">
        <v>236</v>
      </c>
      <c r="K109" s="355" t="s">
        <v>235</v>
      </c>
    </row>
    <row r="110" spans="1:11">
      <c r="A110" s="355">
        <v>1761</v>
      </c>
      <c r="B110" s="356" t="s">
        <v>96</v>
      </c>
      <c r="C110" s="351" t="s">
        <v>236</v>
      </c>
      <c r="D110" s="1385" t="s">
        <v>236</v>
      </c>
      <c r="E110" s="353" t="s">
        <v>236</v>
      </c>
      <c r="F110" s="353" t="s">
        <v>236</v>
      </c>
      <c r="G110" s="353" t="s">
        <v>236</v>
      </c>
      <c r="H110" s="353" t="s">
        <v>236</v>
      </c>
      <c r="I110" s="353" t="s">
        <v>236</v>
      </c>
      <c r="J110" s="353" t="s">
        <v>236</v>
      </c>
      <c r="K110" s="355" t="s">
        <v>234</v>
      </c>
    </row>
    <row r="111" spans="1:11">
      <c r="A111" s="355">
        <v>1762</v>
      </c>
      <c r="B111" s="356" t="s">
        <v>94</v>
      </c>
      <c r="C111" s="351" t="s">
        <v>236</v>
      </c>
      <c r="D111" s="1385" t="s">
        <v>236</v>
      </c>
      <c r="E111" s="353" t="s">
        <v>236</v>
      </c>
      <c r="F111" s="353" t="s">
        <v>236</v>
      </c>
      <c r="G111" s="353" t="s">
        <v>236</v>
      </c>
      <c r="H111" s="353" t="s">
        <v>236</v>
      </c>
      <c r="I111" s="353" t="s">
        <v>236</v>
      </c>
      <c r="J111" s="353" t="s">
        <v>236</v>
      </c>
      <c r="K111" s="355" t="s">
        <v>235</v>
      </c>
    </row>
    <row r="112" spans="1:11">
      <c r="A112" s="350">
        <v>1763</v>
      </c>
      <c r="B112" s="351" t="s">
        <v>92</v>
      </c>
      <c r="C112" s="351" t="s">
        <v>1176</v>
      </c>
      <c r="D112" s="1383" t="s">
        <v>268</v>
      </c>
      <c r="E112" s="353" t="s">
        <v>237</v>
      </c>
      <c r="F112" s="353" t="s">
        <v>237</v>
      </c>
      <c r="G112" s="353" t="s">
        <v>237</v>
      </c>
      <c r="H112" s="353" t="s">
        <v>237</v>
      </c>
      <c r="I112" s="353" t="s">
        <v>237</v>
      </c>
      <c r="J112" s="353" t="s">
        <v>1176</v>
      </c>
      <c r="K112" s="354" t="s">
        <v>255</v>
      </c>
    </row>
    <row r="113" spans="1:11">
      <c r="A113" s="355">
        <v>1764</v>
      </c>
      <c r="B113" s="356" t="s">
        <v>90</v>
      </c>
      <c r="C113" s="351" t="s">
        <v>236</v>
      </c>
      <c r="D113" s="1385" t="s">
        <v>236</v>
      </c>
      <c r="E113" s="353" t="s">
        <v>236</v>
      </c>
      <c r="F113" s="353" t="s">
        <v>236</v>
      </c>
      <c r="G113" s="353" t="s">
        <v>236</v>
      </c>
      <c r="H113" s="353" t="s">
        <v>236</v>
      </c>
      <c r="I113" s="353" t="s">
        <v>236</v>
      </c>
      <c r="J113" s="353" t="s">
        <v>268</v>
      </c>
      <c r="K113" s="355" t="s">
        <v>236</v>
      </c>
    </row>
    <row r="114" spans="1:11">
      <c r="A114" s="355">
        <v>1765</v>
      </c>
      <c r="B114" s="356" t="s">
        <v>88</v>
      </c>
      <c r="C114" s="351" t="s">
        <v>236</v>
      </c>
      <c r="D114" s="1385" t="s">
        <v>236</v>
      </c>
      <c r="E114" s="353" t="s">
        <v>236</v>
      </c>
      <c r="F114" s="353" t="s">
        <v>236</v>
      </c>
      <c r="G114" s="353" t="s">
        <v>236</v>
      </c>
      <c r="H114" s="353" t="s">
        <v>236</v>
      </c>
      <c r="I114" s="353" t="s">
        <v>236</v>
      </c>
      <c r="J114" s="353" t="s">
        <v>268</v>
      </c>
      <c r="K114" s="355" t="s">
        <v>255</v>
      </c>
    </row>
    <row r="115" spans="1:11">
      <c r="A115" s="355">
        <v>1766</v>
      </c>
      <c r="B115" s="356" t="s">
        <v>86</v>
      </c>
      <c r="C115" s="351" t="s">
        <v>236</v>
      </c>
      <c r="D115" s="1385" t="s">
        <v>236</v>
      </c>
      <c r="E115" s="353" t="s">
        <v>236</v>
      </c>
      <c r="F115" s="353" t="s">
        <v>236</v>
      </c>
      <c r="G115" s="353" t="s">
        <v>236</v>
      </c>
      <c r="H115" s="353" t="s">
        <v>236</v>
      </c>
      <c r="I115" s="353" t="s">
        <v>236</v>
      </c>
      <c r="J115" s="353" t="s">
        <v>236</v>
      </c>
      <c r="K115" s="355" t="s">
        <v>235</v>
      </c>
    </row>
    <row r="116" spans="1:11">
      <c r="A116" s="350">
        <v>1770</v>
      </c>
      <c r="B116" s="351" t="s">
        <v>84</v>
      </c>
      <c r="C116" s="351" t="s">
        <v>1176</v>
      </c>
      <c r="D116" s="1383" t="s">
        <v>268</v>
      </c>
      <c r="E116" s="352" t="s">
        <v>1176</v>
      </c>
      <c r="F116" s="352" t="s">
        <v>1176</v>
      </c>
      <c r="G116" s="352" t="s">
        <v>1176</v>
      </c>
      <c r="H116" s="352" t="s">
        <v>1176</v>
      </c>
      <c r="I116" s="352" t="s">
        <v>1176</v>
      </c>
      <c r="J116" s="353" t="s">
        <v>268</v>
      </c>
      <c r="K116" s="354" t="s">
        <v>236</v>
      </c>
    </row>
    <row r="117" spans="1:11" ht="45">
      <c r="A117" s="350">
        <v>1771</v>
      </c>
      <c r="B117" s="351" t="s">
        <v>309</v>
      </c>
      <c r="C117" s="351" t="s">
        <v>1176</v>
      </c>
      <c r="D117" s="1383" t="s">
        <v>1180</v>
      </c>
      <c r="E117" s="352" t="s">
        <v>1180</v>
      </c>
      <c r="F117" s="352" t="s">
        <v>1180</v>
      </c>
      <c r="G117" s="352" t="s">
        <v>1180</v>
      </c>
      <c r="H117" s="352" t="s">
        <v>1180</v>
      </c>
      <c r="I117" s="352" t="s">
        <v>1180</v>
      </c>
      <c r="J117" s="353" t="s">
        <v>268</v>
      </c>
      <c r="K117" s="354" t="s">
        <v>257</v>
      </c>
    </row>
    <row r="118" spans="1:11" ht="45">
      <c r="A118" s="350">
        <v>1772</v>
      </c>
      <c r="B118" s="351" t="s">
        <v>310</v>
      </c>
      <c r="C118" s="351" t="s">
        <v>1176</v>
      </c>
      <c r="D118" s="1383" t="s">
        <v>1180</v>
      </c>
      <c r="E118" s="352" t="s">
        <v>1180</v>
      </c>
      <c r="F118" s="352" t="s">
        <v>1180</v>
      </c>
      <c r="G118" s="352" t="s">
        <v>1180</v>
      </c>
      <c r="H118" s="352" t="s">
        <v>1180</v>
      </c>
      <c r="I118" s="352" t="s">
        <v>1180</v>
      </c>
      <c r="J118" s="353" t="s">
        <v>268</v>
      </c>
      <c r="K118" s="354" t="s">
        <v>257</v>
      </c>
    </row>
    <row r="119" spans="1:11" ht="45">
      <c r="A119" s="350">
        <v>1773</v>
      </c>
      <c r="B119" s="351" t="s">
        <v>311</v>
      </c>
      <c r="C119" s="351" t="s">
        <v>1176</v>
      </c>
      <c r="D119" s="1383" t="s">
        <v>1180</v>
      </c>
      <c r="E119" s="352" t="s">
        <v>1180</v>
      </c>
      <c r="F119" s="352" t="s">
        <v>1180</v>
      </c>
      <c r="G119" s="352" t="s">
        <v>1180</v>
      </c>
      <c r="H119" s="352" t="s">
        <v>1180</v>
      </c>
      <c r="I119" s="352" t="s">
        <v>1180</v>
      </c>
      <c r="J119" s="353" t="s">
        <v>268</v>
      </c>
      <c r="K119" s="354" t="s">
        <v>257</v>
      </c>
    </row>
    <row r="120" spans="1:11">
      <c r="A120" s="355">
        <v>1774</v>
      </c>
      <c r="B120" s="356" t="s">
        <v>83</v>
      </c>
      <c r="C120" s="351" t="s">
        <v>236</v>
      </c>
      <c r="D120" s="1385" t="s">
        <v>236</v>
      </c>
      <c r="E120" s="353" t="s">
        <v>236</v>
      </c>
      <c r="F120" s="353" t="s">
        <v>236</v>
      </c>
      <c r="G120" s="353" t="s">
        <v>236</v>
      </c>
      <c r="H120" s="353" t="s">
        <v>236</v>
      </c>
      <c r="I120" s="353" t="s">
        <v>236</v>
      </c>
      <c r="J120" s="353" t="s">
        <v>236</v>
      </c>
      <c r="K120" s="355" t="s">
        <v>236</v>
      </c>
    </row>
    <row r="121" spans="1:11">
      <c r="A121" s="355">
        <v>1775</v>
      </c>
      <c r="B121" s="356" t="s">
        <v>312</v>
      </c>
      <c r="C121" s="351" t="s">
        <v>236</v>
      </c>
      <c r="D121" s="1385" t="s">
        <v>236</v>
      </c>
      <c r="E121" s="353" t="s">
        <v>236</v>
      </c>
      <c r="F121" s="353" t="s">
        <v>236</v>
      </c>
      <c r="G121" s="353" t="s">
        <v>236</v>
      </c>
      <c r="H121" s="353" t="s">
        <v>236</v>
      </c>
      <c r="I121" s="353" t="s">
        <v>236</v>
      </c>
      <c r="J121" s="353" t="s">
        <v>236</v>
      </c>
      <c r="K121" s="355" t="s">
        <v>255</v>
      </c>
    </row>
    <row r="122" spans="1:11">
      <c r="A122" s="355">
        <v>1776</v>
      </c>
      <c r="B122" s="356" t="s">
        <v>313</v>
      </c>
      <c r="C122" s="351" t="s">
        <v>236</v>
      </c>
      <c r="D122" s="1385" t="s">
        <v>236</v>
      </c>
      <c r="E122" s="353" t="s">
        <v>236</v>
      </c>
      <c r="F122" s="353" t="s">
        <v>236</v>
      </c>
      <c r="G122" s="353" t="s">
        <v>236</v>
      </c>
      <c r="H122" s="353" t="s">
        <v>236</v>
      </c>
      <c r="I122" s="353" t="s">
        <v>236</v>
      </c>
      <c r="J122" s="353" t="s">
        <v>268</v>
      </c>
      <c r="K122" s="355" t="s">
        <v>255</v>
      </c>
    </row>
    <row r="123" spans="1:11">
      <c r="A123" s="355">
        <v>1777</v>
      </c>
      <c r="B123" s="356" t="s">
        <v>81</v>
      </c>
      <c r="C123" s="351" t="s">
        <v>236</v>
      </c>
      <c r="D123" s="1385" t="s">
        <v>236</v>
      </c>
      <c r="E123" s="353" t="s">
        <v>236</v>
      </c>
      <c r="F123" s="353" t="s">
        <v>236</v>
      </c>
      <c r="G123" s="353" t="s">
        <v>236</v>
      </c>
      <c r="H123" s="353" t="s">
        <v>236</v>
      </c>
      <c r="I123" s="353" t="s">
        <v>236</v>
      </c>
      <c r="J123" s="353" t="s">
        <v>236</v>
      </c>
      <c r="K123" s="355" t="s">
        <v>255</v>
      </c>
    </row>
    <row r="124" spans="1:11">
      <c r="A124" s="355">
        <v>1778</v>
      </c>
      <c r="B124" s="356" t="s">
        <v>79</v>
      </c>
      <c r="C124" s="351" t="s">
        <v>237</v>
      </c>
      <c r="D124" s="1385" t="s">
        <v>237</v>
      </c>
      <c r="E124" s="353" t="s">
        <v>237</v>
      </c>
      <c r="F124" s="353" t="s">
        <v>237</v>
      </c>
      <c r="G124" s="353" t="s">
        <v>237</v>
      </c>
      <c r="H124" s="353" t="s">
        <v>237</v>
      </c>
      <c r="I124" s="353" t="s">
        <v>237</v>
      </c>
      <c r="J124" s="353" t="s">
        <v>237</v>
      </c>
      <c r="K124" s="355" t="s">
        <v>235</v>
      </c>
    </row>
    <row r="125" spans="1:11">
      <c r="A125" s="355">
        <v>1779</v>
      </c>
      <c r="B125" s="356" t="s">
        <v>77</v>
      </c>
      <c r="C125" s="351" t="s">
        <v>237</v>
      </c>
      <c r="D125" s="1385" t="s">
        <v>237</v>
      </c>
      <c r="E125" s="353" t="s">
        <v>237</v>
      </c>
      <c r="F125" s="353" t="s">
        <v>237</v>
      </c>
      <c r="G125" s="353" t="s">
        <v>237</v>
      </c>
      <c r="H125" s="353" t="s">
        <v>237</v>
      </c>
      <c r="I125" s="353" t="s">
        <v>237</v>
      </c>
      <c r="J125" s="353" t="s">
        <v>237</v>
      </c>
      <c r="K125" s="355" t="s">
        <v>236</v>
      </c>
    </row>
    <row r="126" spans="1:11">
      <c r="A126" s="355">
        <v>1780</v>
      </c>
      <c r="B126" s="356" t="s">
        <v>75</v>
      </c>
      <c r="C126" s="351" t="s">
        <v>235</v>
      </c>
      <c r="D126" s="1385" t="s">
        <v>235</v>
      </c>
      <c r="E126" s="353" t="s">
        <v>235</v>
      </c>
      <c r="F126" s="353" t="s">
        <v>235</v>
      </c>
      <c r="G126" s="353" t="s">
        <v>235</v>
      </c>
      <c r="H126" s="353" t="s">
        <v>235</v>
      </c>
      <c r="I126" s="353" t="s">
        <v>235</v>
      </c>
      <c r="J126" s="353" t="s">
        <v>268</v>
      </c>
      <c r="K126" s="355" t="s">
        <v>255</v>
      </c>
    </row>
    <row r="127" spans="1:11">
      <c r="A127" s="350">
        <v>1781</v>
      </c>
      <c r="B127" s="351" t="s">
        <v>73</v>
      </c>
      <c r="C127" s="351" t="s">
        <v>1176</v>
      </c>
      <c r="D127" s="1383" t="s">
        <v>268</v>
      </c>
      <c r="E127" s="352" t="s">
        <v>1176</v>
      </c>
      <c r="F127" s="352" t="s">
        <v>268</v>
      </c>
      <c r="G127" s="352" t="s">
        <v>1176</v>
      </c>
      <c r="H127" s="352" t="s">
        <v>1176</v>
      </c>
      <c r="I127" s="352" t="s">
        <v>1176</v>
      </c>
      <c r="J127" s="353" t="s">
        <v>268</v>
      </c>
      <c r="K127" s="354" t="s">
        <v>257</v>
      </c>
    </row>
    <row r="128" spans="1:11" ht="30">
      <c r="A128" s="350">
        <v>1782</v>
      </c>
      <c r="B128" s="351" t="s">
        <v>314</v>
      </c>
      <c r="C128" s="351" t="s">
        <v>1176</v>
      </c>
      <c r="D128" s="1383" t="s">
        <v>268</v>
      </c>
      <c r="E128" s="352" t="s">
        <v>268</v>
      </c>
      <c r="F128" s="352" t="s">
        <v>268</v>
      </c>
      <c r="G128" s="352" t="s">
        <v>268</v>
      </c>
      <c r="H128" s="352" t="s">
        <v>268</v>
      </c>
      <c r="I128" s="352" t="s">
        <v>268</v>
      </c>
      <c r="J128" s="353" t="s">
        <v>268</v>
      </c>
      <c r="K128" s="354" t="s">
        <v>257</v>
      </c>
    </row>
    <row r="129" spans="1:11">
      <c r="A129" s="355">
        <v>1783</v>
      </c>
      <c r="B129" s="356" t="s">
        <v>71</v>
      </c>
      <c r="C129" s="351" t="s">
        <v>236</v>
      </c>
      <c r="D129" s="1385" t="s">
        <v>236</v>
      </c>
      <c r="E129" s="353" t="s">
        <v>236</v>
      </c>
      <c r="F129" s="353" t="s">
        <v>236</v>
      </c>
      <c r="G129" s="353" t="s">
        <v>236</v>
      </c>
      <c r="H129" s="353" t="s">
        <v>236</v>
      </c>
      <c r="I129" s="353" t="s">
        <v>236</v>
      </c>
      <c r="J129" s="353" t="s">
        <v>268</v>
      </c>
      <c r="K129" s="355" t="s">
        <v>255</v>
      </c>
    </row>
    <row r="130" spans="1:11">
      <c r="A130" s="350">
        <v>1811</v>
      </c>
      <c r="B130" s="351" t="s">
        <v>69</v>
      </c>
      <c r="C130" s="351" t="s">
        <v>1181</v>
      </c>
      <c r="D130" s="1383" t="s">
        <v>1181</v>
      </c>
      <c r="E130" s="352" t="s">
        <v>1181</v>
      </c>
      <c r="F130" s="352" t="s">
        <v>1181</v>
      </c>
      <c r="G130" s="352" t="s">
        <v>1181</v>
      </c>
      <c r="H130" s="352" t="s">
        <v>1181</v>
      </c>
      <c r="I130" s="352" t="s">
        <v>1181</v>
      </c>
      <c r="J130" s="353" t="s">
        <v>1181</v>
      </c>
      <c r="K130" s="354" t="s">
        <v>255</v>
      </c>
    </row>
    <row r="131" spans="1:11">
      <c r="A131" s="350">
        <v>1812</v>
      </c>
      <c r="B131" s="351" t="s">
        <v>1173</v>
      </c>
      <c r="C131" s="351" t="s">
        <v>236</v>
      </c>
      <c r="D131" s="351" t="s">
        <v>236</v>
      </c>
      <c r="E131" s="351" t="s">
        <v>236</v>
      </c>
      <c r="F131" s="351" t="s">
        <v>236</v>
      </c>
      <c r="G131" s="351" t="s">
        <v>236</v>
      </c>
      <c r="H131" s="351" t="s">
        <v>236</v>
      </c>
      <c r="I131" s="351" t="s">
        <v>236</v>
      </c>
      <c r="J131" s="351" t="s">
        <v>236</v>
      </c>
      <c r="K131" s="354" t="s">
        <v>255</v>
      </c>
    </row>
    <row r="132" spans="1:11" ht="30">
      <c r="A132" s="350">
        <v>1813</v>
      </c>
      <c r="B132" s="351" t="s">
        <v>66</v>
      </c>
      <c r="C132" s="351" t="s">
        <v>1176</v>
      </c>
      <c r="D132" s="1383" t="s">
        <v>268</v>
      </c>
      <c r="E132" s="352" t="s">
        <v>1176</v>
      </c>
      <c r="F132" s="352" t="s">
        <v>1176</v>
      </c>
      <c r="G132" s="352" t="s">
        <v>1176</v>
      </c>
      <c r="H132" s="352" t="s">
        <v>1176</v>
      </c>
      <c r="I132" s="352" t="s">
        <v>1176</v>
      </c>
      <c r="J132" s="353" t="s">
        <v>1176</v>
      </c>
      <c r="K132" s="354" t="s">
        <v>235</v>
      </c>
    </row>
    <row r="133" spans="1:11" ht="30">
      <c r="A133" s="350">
        <v>1814</v>
      </c>
      <c r="B133" s="351" t="s">
        <v>64</v>
      </c>
      <c r="C133" s="351" t="s">
        <v>1176</v>
      </c>
      <c r="D133" s="1383" t="s">
        <v>268</v>
      </c>
      <c r="E133" s="352" t="s">
        <v>1176</v>
      </c>
      <c r="F133" s="352" t="s">
        <v>1176</v>
      </c>
      <c r="G133" s="352" t="s">
        <v>1176</v>
      </c>
      <c r="H133" s="352" t="s">
        <v>1176</v>
      </c>
      <c r="I133" s="352" t="s">
        <v>1176</v>
      </c>
      <c r="J133" s="353" t="s">
        <v>1176</v>
      </c>
      <c r="K133" s="354" t="s">
        <v>235</v>
      </c>
    </row>
    <row r="134" spans="1:11">
      <c r="A134" s="350">
        <v>1830</v>
      </c>
      <c r="B134" s="351" t="s">
        <v>62</v>
      </c>
      <c r="C134" s="351" t="s">
        <v>1181</v>
      </c>
      <c r="D134" s="1383" t="s">
        <v>1181</v>
      </c>
      <c r="E134" s="352" t="s">
        <v>1181</v>
      </c>
      <c r="F134" s="352" t="s">
        <v>1181</v>
      </c>
      <c r="G134" s="352" t="s">
        <v>1181</v>
      </c>
      <c r="H134" s="352" t="s">
        <v>1181</v>
      </c>
      <c r="I134" s="352" t="s">
        <v>1181</v>
      </c>
      <c r="J134" s="353" t="s">
        <v>1181</v>
      </c>
      <c r="K134" s="354" t="s">
        <v>255</v>
      </c>
    </row>
    <row r="135" spans="1:11">
      <c r="A135" s="355">
        <v>1831</v>
      </c>
      <c r="B135" s="356" t="s">
        <v>60</v>
      </c>
      <c r="C135" s="351" t="s">
        <v>234</v>
      </c>
      <c r="D135" s="1385" t="s">
        <v>234</v>
      </c>
      <c r="E135" s="353" t="s">
        <v>234</v>
      </c>
      <c r="F135" s="353" t="s">
        <v>234</v>
      </c>
      <c r="G135" s="353" t="s">
        <v>234</v>
      </c>
      <c r="H135" s="353" t="s">
        <v>234</v>
      </c>
      <c r="I135" s="353" t="s">
        <v>234</v>
      </c>
      <c r="J135" s="353" t="s">
        <v>234</v>
      </c>
      <c r="K135" s="355" t="s">
        <v>235</v>
      </c>
    </row>
    <row r="136" spans="1:11">
      <c r="A136" s="355">
        <v>1841</v>
      </c>
      <c r="B136" s="356" t="s">
        <v>315</v>
      </c>
      <c r="C136" s="351" t="s">
        <v>237</v>
      </c>
      <c r="D136" s="1385" t="s">
        <v>236</v>
      </c>
      <c r="E136" s="353" t="s">
        <v>237</v>
      </c>
      <c r="F136" s="353" t="s">
        <v>237</v>
      </c>
      <c r="G136" s="353" t="s">
        <v>237</v>
      </c>
      <c r="H136" s="353" t="s">
        <v>237</v>
      </c>
      <c r="I136" s="353" t="s">
        <v>237</v>
      </c>
      <c r="J136" s="353" t="s">
        <v>237</v>
      </c>
      <c r="K136" s="355" t="s">
        <v>236</v>
      </c>
    </row>
    <row r="137" spans="1:11">
      <c r="A137" s="355">
        <v>1842</v>
      </c>
      <c r="B137" s="356" t="s">
        <v>316</v>
      </c>
      <c r="C137" s="351" t="s">
        <v>237</v>
      </c>
      <c r="D137" s="1385" t="s">
        <v>236</v>
      </c>
      <c r="E137" s="353" t="s">
        <v>236</v>
      </c>
      <c r="F137" s="353" t="s">
        <v>236</v>
      </c>
      <c r="G137" s="353" t="s">
        <v>236</v>
      </c>
      <c r="H137" s="353" t="s">
        <v>236</v>
      </c>
      <c r="I137" s="353" t="s">
        <v>236</v>
      </c>
      <c r="J137" s="353" t="s">
        <v>237</v>
      </c>
      <c r="K137" s="355" t="s">
        <v>235</v>
      </c>
    </row>
    <row r="138" spans="1:11" ht="30">
      <c r="A138" s="355">
        <v>2001</v>
      </c>
      <c r="B138" s="356" t="s">
        <v>317</v>
      </c>
      <c r="C138" s="351" t="s">
        <v>236</v>
      </c>
      <c r="D138" s="1386" t="s">
        <v>268</v>
      </c>
      <c r="E138" s="353" t="s">
        <v>237</v>
      </c>
      <c r="F138" s="353" t="s">
        <v>237</v>
      </c>
      <c r="G138" s="353" t="s">
        <v>237</v>
      </c>
      <c r="H138" s="353" t="s">
        <v>237</v>
      </c>
      <c r="I138" s="353" t="s">
        <v>237</v>
      </c>
      <c r="J138" s="353" t="s">
        <v>236</v>
      </c>
      <c r="K138" s="355" t="s">
        <v>255</v>
      </c>
    </row>
    <row r="139" spans="1:11" ht="30">
      <c r="A139" s="355">
        <v>2002</v>
      </c>
      <c r="B139" s="356" t="s">
        <v>318</v>
      </c>
      <c r="C139" s="351" t="s">
        <v>236</v>
      </c>
      <c r="D139" s="1386" t="s">
        <v>268</v>
      </c>
      <c r="E139" s="353" t="s">
        <v>237</v>
      </c>
      <c r="F139" s="353" t="s">
        <v>237</v>
      </c>
      <c r="G139" s="353" t="s">
        <v>237</v>
      </c>
      <c r="H139" s="353" t="s">
        <v>1182</v>
      </c>
      <c r="I139" s="353" t="s">
        <v>237</v>
      </c>
      <c r="J139" s="353" t="s">
        <v>236</v>
      </c>
      <c r="K139" s="355" t="s">
        <v>235</v>
      </c>
    </row>
    <row r="140" spans="1:11">
      <c r="A140" s="350">
        <v>2003</v>
      </c>
      <c r="B140" s="351" t="s">
        <v>319</v>
      </c>
      <c r="C140" s="351" t="s">
        <v>268</v>
      </c>
      <c r="D140" s="1383" t="s">
        <v>268</v>
      </c>
      <c r="E140" s="352" t="s">
        <v>268</v>
      </c>
      <c r="F140" s="352" t="s">
        <v>268</v>
      </c>
      <c r="G140" s="352" t="s">
        <v>268</v>
      </c>
      <c r="H140" s="352" t="s">
        <v>268</v>
      </c>
      <c r="I140" s="352" t="s">
        <v>268</v>
      </c>
      <c r="J140" s="353" t="s">
        <v>268</v>
      </c>
      <c r="K140" s="354" t="s">
        <v>235</v>
      </c>
    </row>
    <row r="141" spans="1:11" ht="15.75">
      <c r="A141" s="355">
        <v>2011</v>
      </c>
      <c r="B141" s="356" t="s">
        <v>320</v>
      </c>
      <c r="C141" s="351" t="s">
        <v>235</v>
      </c>
      <c r="D141" s="1387" t="s">
        <v>268</v>
      </c>
      <c r="E141" s="353" t="s">
        <v>236</v>
      </c>
      <c r="F141" s="353" t="s">
        <v>236</v>
      </c>
      <c r="G141" s="353" t="s">
        <v>236</v>
      </c>
      <c r="H141" s="353" t="s">
        <v>236</v>
      </c>
      <c r="I141" s="353" t="s">
        <v>236</v>
      </c>
      <c r="J141" s="353" t="s">
        <v>235</v>
      </c>
      <c r="K141" s="355" t="s">
        <v>235</v>
      </c>
    </row>
    <row r="142" spans="1:11" ht="30">
      <c r="A142" s="350">
        <v>2021</v>
      </c>
      <c r="B142" s="351" t="s">
        <v>321</v>
      </c>
      <c r="C142" s="351" t="s">
        <v>1176</v>
      </c>
      <c r="D142" s="1383" t="s">
        <v>268</v>
      </c>
      <c r="E142" s="352" t="s">
        <v>1176</v>
      </c>
      <c r="F142" s="352" t="s">
        <v>1176</v>
      </c>
      <c r="G142" s="352" t="s">
        <v>1176</v>
      </c>
      <c r="H142" s="352" t="s">
        <v>1176</v>
      </c>
      <c r="I142" s="352" t="s">
        <v>1176</v>
      </c>
      <c r="J142" s="353" t="s">
        <v>1176</v>
      </c>
      <c r="K142" s="354" t="s">
        <v>235</v>
      </c>
    </row>
    <row r="143" spans="1:11" ht="15.75">
      <c r="A143" s="355">
        <v>2022</v>
      </c>
      <c r="B143" s="356" t="s">
        <v>322</v>
      </c>
      <c r="C143" s="351" t="s">
        <v>235</v>
      </c>
      <c r="D143" s="1387" t="s">
        <v>268</v>
      </c>
      <c r="E143" s="353" t="s">
        <v>235</v>
      </c>
      <c r="F143" s="353" t="s">
        <v>235</v>
      </c>
      <c r="G143" s="353" t="s">
        <v>235</v>
      </c>
      <c r="H143" s="353" t="s">
        <v>235</v>
      </c>
      <c r="I143" s="353" t="s">
        <v>235</v>
      </c>
      <c r="J143" s="353" t="s">
        <v>235</v>
      </c>
      <c r="K143" s="355" t="s">
        <v>235</v>
      </c>
    </row>
    <row r="144" spans="1:11" ht="30">
      <c r="A144" s="350">
        <v>2030</v>
      </c>
      <c r="B144" s="351" t="s">
        <v>323</v>
      </c>
      <c r="C144" s="351" t="s">
        <v>1176</v>
      </c>
      <c r="D144" s="1383" t="s">
        <v>268</v>
      </c>
      <c r="E144" s="352" t="s">
        <v>1176</v>
      </c>
      <c r="F144" s="352" t="s">
        <v>1176</v>
      </c>
      <c r="G144" s="352" t="s">
        <v>1176</v>
      </c>
      <c r="H144" s="352" t="s">
        <v>1176</v>
      </c>
      <c r="I144" s="352" t="s">
        <v>1176</v>
      </c>
      <c r="J144" s="353" t="s">
        <v>1176</v>
      </c>
      <c r="K144" s="354" t="s">
        <v>235</v>
      </c>
    </row>
    <row r="145" spans="1:11" ht="30">
      <c r="A145" s="355">
        <v>2041</v>
      </c>
      <c r="B145" s="356" t="s">
        <v>324</v>
      </c>
      <c r="C145" s="351" t="s">
        <v>237</v>
      </c>
      <c r="D145" s="1387" t="s">
        <v>268</v>
      </c>
      <c r="E145" s="353" t="s">
        <v>1176</v>
      </c>
      <c r="F145" s="353" t="s">
        <v>237</v>
      </c>
      <c r="G145" s="353" t="s">
        <v>237</v>
      </c>
      <c r="H145" s="353" t="s">
        <v>237</v>
      </c>
      <c r="I145" s="353" t="s">
        <v>1176</v>
      </c>
      <c r="J145" s="353" t="s">
        <v>237</v>
      </c>
      <c r="K145" s="355" t="s">
        <v>255</v>
      </c>
    </row>
    <row r="146" spans="1:11" ht="30">
      <c r="A146" s="350">
        <v>2042</v>
      </c>
      <c r="B146" s="351" t="s">
        <v>325</v>
      </c>
      <c r="C146" s="351" t="s">
        <v>1176</v>
      </c>
      <c r="D146" s="1383" t="s">
        <v>268</v>
      </c>
      <c r="E146" s="352" t="s">
        <v>1176</v>
      </c>
      <c r="F146" s="352" t="s">
        <v>1176</v>
      </c>
      <c r="G146" s="352" t="s">
        <v>268</v>
      </c>
      <c r="H146" s="352" t="s">
        <v>1176</v>
      </c>
      <c r="I146" s="352" t="s">
        <v>1176</v>
      </c>
      <c r="J146" s="353" t="s">
        <v>1176</v>
      </c>
      <c r="K146" s="354" t="s">
        <v>236</v>
      </c>
    </row>
    <row r="147" spans="1:11" ht="15.75">
      <c r="A147" s="355">
        <v>2043</v>
      </c>
      <c r="B147" s="356" t="s">
        <v>326</v>
      </c>
      <c r="C147" s="351" t="s">
        <v>236</v>
      </c>
      <c r="D147" s="1387" t="s">
        <v>268</v>
      </c>
      <c r="E147" s="353" t="s">
        <v>236</v>
      </c>
      <c r="F147" s="353" t="s">
        <v>236</v>
      </c>
      <c r="G147" s="353" t="s">
        <v>236</v>
      </c>
      <c r="H147" s="353" t="s">
        <v>236</v>
      </c>
      <c r="I147" s="353" t="s">
        <v>236</v>
      </c>
      <c r="J147" s="353" t="s">
        <v>236</v>
      </c>
      <c r="K147" s="355" t="s">
        <v>234</v>
      </c>
    </row>
    <row r="148" spans="1:11">
      <c r="A148" s="350">
        <v>2044</v>
      </c>
      <c r="B148" s="351" t="s">
        <v>327</v>
      </c>
      <c r="C148" s="351" t="s">
        <v>1176</v>
      </c>
      <c r="D148" s="1383" t="s">
        <v>268</v>
      </c>
      <c r="E148" s="352" t="s">
        <v>1176</v>
      </c>
      <c r="F148" s="352" t="s">
        <v>1176</v>
      </c>
      <c r="G148" s="352" t="s">
        <v>1176</v>
      </c>
      <c r="H148" s="352" t="s">
        <v>1176</v>
      </c>
      <c r="I148" s="352" t="s">
        <v>1176</v>
      </c>
      <c r="J148" s="353" t="s">
        <v>1176</v>
      </c>
      <c r="K148" s="354" t="s">
        <v>255</v>
      </c>
    </row>
    <row r="149" spans="1:11">
      <c r="A149" s="350">
        <v>2051</v>
      </c>
      <c r="B149" s="351" t="s">
        <v>328</v>
      </c>
      <c r="C149" s="351" t="s">
        <v>1176</v>
      </c>
      <c r="D149" s="1383" t="s">
        <v>268</v>
      </c>
      <c r="E149" s="352" t="s">
        <v>236</v>
      </c>
      <c r="F149" s="352" t="s">
        <v>236</v>
      </c>
      <c r="G149" s="352" t="s">
        <v>236</v>
      </c>
      <c r="H149" s="352" t="s">
        <v>236</v>
      </c>
      <c r="I149" s="352" t="s">
        <v>236</v>
      </c>
      <c r="J149" s="353" t="s">
        <v>1176</v>
      </c>
      <c r="K149" s="354" t="s">
        <v>235</v>
      </c>
    </row>
    <row r="150" spans="1:11" ht="15.75">
      <c r="A150" s="355">
        <v>2052</v>
      </c>
      <c r="B150" s="356" t="s">
        <v>329</v>
      </c>
      <c r="C150" s="351" t="s">
        <v>236</v>
      </c>
      <c r="D150" s="1387" t="s">
        <v>268</v>
      </c>
      <c r="E150" s="353" t="s">
        <v>236</v>
      </c>
      <c r="F150" s="353" t="s">
        <v>236</v>
      </c>
      <c r="G150" s="353" t="s">
        <v>236</v>
      </c>
      <c r="H150" s="353" t="s">
        <v>236</v>
      </c>
      <c r="I150" s="353" t="s">
        <v>236</v>
      </c>
      <c r="J150" s="353" t="s">
        <v>236</v>
      </c>
      <c r="K150" s="355" t="s">
        <v>235</v>
      </c>
    </row>
    <row r="151" spans="1:11" ht="15.75">
      <c r="A151" s="355">
        <v>2060</v>
      </c>
      <c r="B151" s="356" t="s">
        <v>330</v>
      </c>
      <c r="C151" s="351" t="s">
        <v>236</v>
      </c>
      <c r="D151" s="1387" t="s">
        <v>268</v>
      </c>
      <c r="E151" s="353" t="s">
        <v>236</v>
      </c>
      <c r="F151" s="353" t="s">
        <v>236</v>
      </c>
      <c r="G151" s="353" t="s">
        <v>236</v>
      </c>
      <c r="H151" s="353" t="s">
        <v>236</v>
      </c>
      <c r="I151" s="353" t="s">
        <v>236</v>
      </c>
      <c r="J151" s="353" t="s">
        <v>236</v>
      </c>
      <c r="K151" s="355" t="s">
        <v>255</v>
      </c>
    </row>
    <row r="152" spans="1:11" ht="15.75">
      <c r="A152" s="355">
        <v>2070</v>
      </c>
      <c r="B152" s="356" t="s">
        <v>331</v>
      </c>
      <c r="C152" s="351" t="s">
        <v>234</v>
      </c>
      <c r="D152" s="1387" t="s">
        <v>268</v>
      </c>
      <c r="E152" s="353" t="s">
        <v>236</v>
      </c>
      <c r="F152" s="353" t="s">
        <v>236</v>
      </c>
      <c r="G152" s="353" t="s">
        <v>236</v>
      </c>
      <c r="H152" s="353" t="s">
        <v>236</v>
      </c>
      <c r="I152" s="353" t="s">
        <v>236</v>
      </c>
      <c r="J152" s="353" t="s">
        <v>234</v>
      </c>
      <c r="K152" s="355" t="s">
        <v>255</v>
      </c>
    </row>
    <row r="153" spans="1:11" ht="15.75">
      <c r="A153" s="355">
        <v>2081</v>
      </c>
      <c r="B153" s="356" t="s">
        <v>332</v>
      </c>
      <c r="C153" s="351" t="s">
        <v>234</v>
      </c>
      <c r="D153" s="1387" t="s">
        <v>268</v>
      </c>
      <c r="E153" s="353" t="s">
        <v>235</v>
      </c>
      <c r="F153" s="353" t="s">
        <v>235</v>
      </c>
      <c r="G153" s="353" t="s">
        <v>235</v>
      </c>
      <c r="H153" s="353" t="s">
        <v>235</v>
      </c>
      <c r="I153" s="353" t="s">
        <v>235</v>
      </c>
      <c r="J153" s="353" t="s">
        <v>234</v>
      </c>
      <c r="K153" s="355" t="s">
        <v>236</v>
      </c>
    </row>
    <row r="154" spans="1:11" ht="15.75">
      <c r="A154" s="355">
        <v>2082</v>
      </c>
      <c r="B154" s="356" t="s">
        <v>333</v>
      </c>
      <c r="C154" s="351" t="s">
        <v>235</v>
      </c>
      <c r="D154" s="1387" t="s">
        <v>268</v>
      </c>
      <c r="E154" s="353" t="s">
        <v>235</v>
      </c>
      <c r="F154" s="353" t="s">
        <v>235</v>
      </c>
      <c r="G154" s="353" t="s">
        <v>235</v>
      </c>
      <c r="H154" s="353" t="s">
        <v>235</v>
      </c>
      <c r="I154" s="353" t="s">
        <v>235</v>
      </c>
      <c r="J154" s="353" t="s">
        <v>235</v>
      </c>
      <c r="K154" s="355" t="s">
        <v>236</v>
      </c>
    </row>
    <row r="155" spans="1:11" ht="45">
      <c r="A155" s="350">
        <v>2090</v>
      </c>
      <c r="B155" s="351" t="s">
        <v>334</v>
      </c>
      <c r="C155" s="351" t="s">
        <v>268</v>
      </c>
      <c r="D155" s="1383" t="s">
        <v>268</v>
      </c>
      <c r="E155" s="352" t="s">
        <v>268</v>
      </c>
      <c r="F155" s="352" t="s">
        <v>268</v>
      </c>
      <c r="G155" s="352" t="s">
        <v>268</v>
      </c>
      <c r="H155" s="352" t="s">
        <v>268</v>
      </c>
      <c r="I155" s="352" t="s">
        <v>268</v>
      </c>
      <c r="J155" s="353" t="s">
        <v>268</v>
      </c>
      <c r="K155" s="354" t="s">
        <v>255</v>
      </c>
    </row>
    <row r="156" spans="1:11" ht="30">
      <c r="A156" s="350">
        <v>2100</v>
      </c>
      <c r="B156" s="351" t="s">
        <v>335</v>
      </c>
      <c r="C156" s="351" t="s">
        <v>268</v>
      </c>
      <c r="D156" s="1383" t="s">
        <v>268</v>
      </c>
      <c r="E156" s="352" t="s">
        <v>268</v>
      </c>
      <c r="F156" s="352" t="s">
        <v>268</v>
      </c>
      <c r="G156" s="352" t="s">
        <v>268</v>
      </c>
      <c r="H156" s="352" t="s">
        <v>268</v>
      </c>
      <c r="I156" s="352" t="s">
        <v>268</v>
      </c>
      <c r="J156" s="353" t="s">
        <v>268</v>
      </c>
      <c r="K156" s="354" t="s">
        <v>235</v>
      </c>
    </row>
    <row r="157" spans="1:11">
      <c r="A157" s="350">
        <v>2110</v>
      </c>
      <c r="B157" s="351" t="s">
        <v>336</v>
      </c>
      <c r="C157" s="351" t="s">
        <v>268</v>
      </c>
      <c r="D157" s="1383" t="s">
        <v>268</v>
      </c>
      <c r="E157" s="352" t="s">
        <v>268</v>
      </c>
      <c r="F157" s="352" t="s">
        <v>268</v>
      </c>
      <c r="G157" s="352" t="s">
        <v>268</v>
      </c>
      <c r="H157" s="352" t="s">
        <v>268</v>
      </c>
      <c r="I157" s="352" t="s">
        <v>268</v>
      </c>
      <c r="J157" s="353" t="s">
        <v>268</v>
      </c>
      <c r="K157" s="354" t="s">
        <v>257</v>
      </c>
    </row>
    <row r="158" spans="1:11" ht="45">
      <c r="A158" s="355">
        <v>2291</v>
      </c>
      <c r="B158" s="356" t="s">
        <v>337</v>
      </c>
      <c r="C158" s="351" t="s">
        <v>237</v>
      </c>
      <c r="D158" s="1387" t="s">
        <v>268</v>
      </c>
      <c r="E158" s="353" t="s">
        <v>237</v>
      </c>
      <c r="F158" s="353" t="s">
        <v>237</v>
      </c>
      <c r="G158" s="353" t="s">
        <v>237</v>
      </c>
      <c r="H158" s="353" t="s">
        <v>237</v>
      </c>
      <c r="I158" s="353" t="s">
        <v>237</v>
      </c>
      <c r="J158" s="353" t="s">
        <v>237</v>
      </c>
      <c r="K158" s="355" t="s">
        <v>235</v>
      </c>
    </row>
    <row r="159" spans="1:11" ht="30">
      <c r="A159" s="355">
        <v>2292</v>
      </c>
      <c r="B159" s="356" t="s">
        <v>338</v>
      </c>
      <c r="C159" s="351" t="s">
        <v>237</v>
      </c>
      <c r="D159" s="1387" t="s">
        <v>268</v>
      </c>
      <c r="E159" s="353" t="s">
        <v>237</v>
      </c>
      <c r="F159" s="353" t="s">
        <v>237</v>
      </c>
      <c r="G159" s="353" t="s">
        <v>237</v>
      </c>
      <c r="H159" s="353" t="s">
        <v>237</v>
      </c>
      <c r="I159" s="353" t="s">
        <v>237</v>
      </c>
      <c r="J159" s="353" t="s">
        <v>237</v>
      </c>
      <c r="K159" s="355" t="s">
        <v>235</v>
      </c>
    </row>
    <row r="160" spans="1:11">
      <c r="A160" s="350">
        <v>2300</v>
      </c>
      <c r="B160" s="351" t="s">
        <v>339</v>
      </c>
      <c r="C160" s="351" t="s">
        <v>1176</v>
      </c>
      <c r="D160" s="1383" t="s">
        <v>268</v>
      </c>
      <c r="E160" s="352" t="s">
        <v>237</v>
      </c>
      <c r="F160" s="352" t="s">
        <v>237</v>
      </c>
      <c r="G160" s="352" t="s">
        <v>237</v>
      </c>
      <c r="H160" s="352" t="s">
        <v>237</v>
      </c>
      <c r="I160" s="352" t="s">
        <v>237</v>
      </c>
      <c r="J160" s="353" t="s">
        <v>1176</v>
      </c>
      <c r="K160" s="354" t="s">
        <v>235</v>
      </c>
    </row>
    <row r="161" spans="1:11" ht="15.75">
      <c r="A161" s="355">
        <v>2310</v>
      </c>
      <c r="B161" s="356" t="s">
        <v>340</v>
      </c>
      <c r="C161" s="351" t="s">
        <v>237</v>
      </c>
      <c r="D161" s="1387" t="s">
        <v>268</v>
      </c>
      <c r="E161" s="353" t="s">
        <v>237</v>
      </c>
      <c r="F161" s="353" t="s">
        <v>237</v>
      </c>
      <c r="G161" s="353" t="s">
        <v>237</v>
      </c>
      <c r="H161" s="353" t="s">
        <v>237</v>
      </c>
      <c r="I161" s="353" t="s">
        <v>237</v>
      </c>
      <c r="J161" s="353" t="s">
        <v>237</v>
      </c>
      <c r="K161" s="355" t="s">
        <v>234</v>
      </c>
    </row>
    <row r="162" spans="1:11" ht="30">
      <c r="A162" s="355">
        <v>2311</v>
      </c>
      <c r="B162" s="356" t="s">
        <v>341</v>
      </c>
      <c r="C162" s="351" t="s">
        <v>237</v>
      </c>
      <c r="D162" s="1387" t="s">
        <v>268</v>
      </c>
      <c r="E162" s="353" t="s">
        <v>237</v>
      </c>
      <c r="F162" s="353" t="s">
        <v>237</v>
      </c>
      <c r="G162" s="353" t="s">
        <v>237</v>
      </c>
      <c r="H162" s="353" t="s">
        <v>237</v>
      </c>
      <c r="I162" s="353" t="s">
        <v>237</v>
      </c>
      <c r="J162" s="353" t="s">
        <v>237</v>
      </c>
      <c r="K162" s="355" t="s">
        <v>234</v>
      </c>
    </row>
    <row r="163" spans="1:11" ht="30">
      <c r="A163" s="355">
        <v>2330</v>
      </c>
      <c r="B163" s="356" t="s">
        <v>342</v>
      </c>
      <c r="C163" s="351" t="s">
        <v>237</v>
      </c>
      <c r="D163" s="1387" t="s">
        <v>268</v>
      </c>
      <c r="E163" s="353" t="s">
        <v>237</v>
      </c>
      <c r="F163" s="353" t="s">
        <v>237</v>
      </c>
      <c r="G163" s="353" t="s">
        <v>237</v>
      </c>
      <c r="H163" s="353" t="s">
        <v>237</v>
      </c>
      <c r="I163" s="353" t="s">
        <v>237</v>
      </c>
      <c r="J163" s="353" t="s">
        <v>237</v>
      </c>
      <c r="K163" s="355" t="s">
        <v>234</v>
      </c>
    </row>
    <row r="164" spans="1:11">
      <c r="A164" s="350">
        <v>2331</v>
      </c>
      <c r="B164" s="351" t="s">
        <v>343</v>
      </c>
      <c r="C164" s="351" t="s">
        <v>268</v>
      </c>
      <c r="D164" s="1383" t="s">
        <v>268</v>
      </c>
      <c r="E164" s="352" t="s">
        <v>268</v>
      </c>
      <c r="F164" s="352" t="s">
        <v>237</v>
      </c>
      <c r="G164" s="352" t="s">
        <v>268</v>
      </c>
      <c r="H164" s="352" t="s">
        <v>237</v>
      </c>
      <c r="I164" s="352" t="s">
        <v>268</v>
      </c>
      <c r="J164" s="353" t="s">
        <v>268</v>
      </c>
      <c r="K164" s="354" t="s">
        <v>255</v>
      </c>
    </row>
    <row r="165" spans="1:11" ht="30">
      <c r="A165" s="355">
        <v>2332</v>
      </c>
      <c r="B165" s="356" t="s">
        <v>344</v>
      </c>
      <c r="C165" s="351" t="s">
        <v>237</v>
      </c>
      <c r="D165" s="1387" t="s">
        <v>268</v>
      </c>
      <c r="E165" s="353" t="s">
        <v>237</v>
      </c>
      <c r="F165" s="353" t="s">
        <v>237</v>
      </c>
      <c r="G165" s="353" t="s">
        <v>237</v>
      </c>
      <c r="H165" s="353" t="s">
        <v>237</v>
      </c>
      <c r="I165" s="353" t="s">
        <v>237</v>
      </c>
      <c r="J165" s="353" t="s">
        <v>237</v>
      </c>
      <c r="K165" s="355" t="s">
        <v>234</v>
      </c>
    </row>
    <row r="166" spans="1:11" ht="15.75">
      <c r="A166" s="355">
        <v>2351</v>
      </c>
      <c r="B166" s="356" t="s">
        <v>345</v>
      </c>
      <c r="C166" s="351" t="s">
        <v>237</v>
      </c>
      <c r="D166" s="1387" t="s">
        <v>268</v>
      </c>
      <c r="E166" s="353" t="s">
        <v>237</v>
      </c>
      <c r="F166" s="353" t="s">
        <v>237</v>
      </c>
      <c r="G166" s="353" t="s">
        <v>237</v>
      </c>
      <c r="H166" s="353" t="s">
        <v>237</v>
      </c>
      <c r="I166" s="353" t="s">
        <v>237</v>
      </c>
      <c r="J166" s="353" t="s">
        <v>237</v>
      </c>
      <c r="K166" s="355" t="s">
        <v>234</v>
      </c>
    </row>
    <row r="167" spans="1:11" ht="30">
      <c r="A167" s="355">
        <v>2352</v>
      </c>
      <c r="B167" s="356" t="s">
        <v>346</v>
      </c>
      <c r="C167" s="351" t="s">
        <v>237</v>
      </c>
      <c r="D167" s="1387" t="s">
        <v>268</v>
      </c>
      <c r="E167" s="353" t="s">
        <v>237</v>
      </c>
      <c r="F167" s="353" t="s">
        <v>237</v>
      </c>
      <c r="G167" s="353" t="s">
        <v>237</v>
      </c>
      <c r="H167" s="353" t="s">
        <v>237</v>
      </c>
      <c r="I167" s="353" t="s">
        <v>237</v>
      </c>
      <c r="J167" s="353" t="s">
        <v>237</v>
      </c>
      <c r="K167" s="355" t="s">
        <v>235</v>
      </c>
    </row>
    <row r="168" spans="1:11">
      <c r="A168" s="355">
        <v>2353</v>
      </c>
      <c r="B168" s="356" t="s">
        <v>58</v>
      </c>
      <c r="C168" s="351" t="s">
        <v>236</v>
      </c>
      <c r="D168" s="1385" t="s">
        <v>236</v>
      </c>
      <c r="E168" s="353" t="s">
        <v>236</v>
      </c>
      <c r="F168" s="353" t="s">
        <v>236</v>
      </c>
      <c r="G168" s="353" t="s">
        <v>236</v>
      </c>
      <c r="H168" s="353" t="s">
        <v>236</v>
      </c>
      <c r="I168" s="353" t="s">
        <v>236</v>
      </c>
      <c r="J168" s="353" t="s">
        <v>236</v>
      </c>
      <c r="K168" s="355" t="s">
        <v>235</v>
      </c>
    </row>
    <row r="169" spans="1:11">
      <c r="A169" s="350">
        <v>2420</v>
      </c>
      <c r="B169" s="351" t="s">
        <v>347</v>
      </c>
      <c r="C169" s="351" t="s">
        <v>1176</v>
      </c>
      <c r="D169" s="1383" t="s">
        <v>268</v>
      </c>
      <c r="E169" s="352" t="s">
        <v>268</v>
      </c>
      <c r="F169" s="352" t="s">
        <v>268</v>
      </c>
      <c r="G169" s="352" t="s">
        <v>268</v>
      </c>
      <c r="H169" s="352" t="s">
        <v>268</v>
      </c>
      <c r="I169" s="352" t="s">
        <v>268</v>
      </c>
      <c r="J169" s="353" t="s">
        <v>1176</v>
      </c>
      <c r="K169" s="354" t="s">
        <v>255</v>
      </c>
    </row>
    <row r="170" spans="1:11" ht="30">
      <c r="A170" s="350">
        <v>2490</v>
      </c>
      <c r="B170" s="351" t="s">
        <v>348</v>
      </c>
      <c r="C170" s="351" t="s">
        <v>1176</v>
      </c>
      <c r="D170" s="1383" t="s">
        <v>268</v>
      </c>
      <c r="E170" s="352" t="s">
        <v>237</v>
      </c>
      <c r="F170" s="352" t="s">
        <v>1176</v>
      </c>
      <c r="G170" s="352" t="s">
        <v>1176</v>
      </c>
      <c r="H170" s="352" t="s">
        <v>237</v>
      </c>
      <c r="I170" s="352" t="s">
        <v>1176</v>
      </c>
      <c r="J170" s="353" t="s">
        <v>1176</v>
      </c>
      <c r="K170" s="354" t="s">
        <v>235</v>
      </c>
    </row>
    <row r="171" spans="1:11">
      <c r="A171" s="350">
        <v>2491</v>
      </c>
      <c r="B171" s="351" t="s">
        <v>349</v>
      </c>
      <c r="C171" s="351" t="s">
        <v>1176</v>
      </c>
      <c r="D171" s="1383" t="s">
        <v>268</v>
      </c>
      <c r="E171" s="352" t="s">
        <v>268</v>
      </c>
      <c r="F171" s="352" t="s">
        <v>268</v>
      </c>
      <c r="G171" s="352" t="s">
        <v>268</v>
      </c>
      <c r="H171" s="352" t="s">
        <v>268</v>
      </c>
      <c r="I171" s="352" t="s">
        <v>1176</v>
      </c>
      <c r="J171" s="353" t="s">
        <v>1176</v>
      </c>
      <c r="K171" s="354" t="s">
        <v>257</v>
      </c>
    </row>
    <row r="172" spans="1:11">
      <c r="A172" s="350">
        <v>2492</v>
      </c>
      <c r="B172" s="351" t="s">
        <v>350</v>
      </c>
      <c r="C172" s="351" t="s">
        <v>1176</v>
      </c>
      <c r="D172" s="1383" t="s">
        <v>268</v>
      </c>
      <c r="E172" s="352" t="s">
        <v>1176</v>
      </c>
      <c r="F172" s="352" t="s">
        <v>1176</v>
      </c>
      <c r="G172" s="352" t="s">
        <v>1176</v>
      </c>
      <c r="H172" s="352" t="s">
        <v>1176</v>
      </c>
      <c r="I172" s="352" t="s">
        <v>1176</v>
      </c>
      <c r="J172" s="353" t="s">
        <v>1176</v>
      </c>
      <c r="K172" s="354" t="s">
        <v>235</v>
      </c>
    </row>
    <row r="173" spans="1:11">
      <c r="A173" s="350">
        <v>2493</v>
      </c>
      <c r="B173" s="351" t="s">
        <v>351</v>
      </c>
      <c r="C173" s="351" t="s">
        <v>1176</v>
      </c>
      <c r="D173" s="1383" t="s">
        <v>268</v>
      </c>
      <c r="E173" s="352" t="s">
        <v>1176</v>
      </c>
      <c r="F173" s="352" t="s">
        <v>1176</v>
      </c>
      <c r="G173" s="352" t="s">
        <v>1176</v>
      </c>
      <c r="H173" s="352" t="s">
        <v>1176</v>
      </c>
      <c r="I173" s="352" t="s">
        <v>1176</v>
      </c>
      <c r="J173" s="353" t="s">
        <v>1176</v>
      </c>
      <c r="K173" s="354" t="s">
        <v>235</v>
      </c>
    </row>
    <row r="174" spans="1:11">
      <c r="A174" s="350">
        <v>2494</v>
      </c>
      <c r="B174" s="351" t="s">
        <v>352</v>
      </c>
      <c r="C174" s="351" t="s">
        <v>1176</v>
      </c>
      <c r="D174" s="1383" t="s">
        <v>268</v>
      </c>
      <c r="E174" s="352" t="s">
        <v>1176</v>
      </c>
      <c r="F174" s="352" t="s">
        <v>1176</v>
      </c>
      <c r="G174" s="352" t="s">
        <v>1176</v>
      </c>
      <c r="H174" s="352" t="s">
        <v>1176</v>
      </c>
      <c r="I174" s="352" t="s">
        <v>1176</v>
      </c>
      <c r="J174" s="353" t="s">
        <v>268</v>
      </c>
      <c r="K174" s="354" t="s">
        <v>255</v>
      </c>
    </row>
    <row r="175" spans="1:11">
      <c r="A175" s="350">
        <v>2495</v>
      </c>
      <c r="B175" s="351" t="s">
        <v>353</v>
      </c>
      <c r="C175" s="351" t="s">
        <v>1176</v>
      </c>
      <c r="D175" s="1383" t="s">
        <v>268</v>
      </c>
      <c r="E175" s="352" t="s">
        <v>1176</v>
      </c>
      <c r="F175" s="352" t="s">
        <v>1176</v>
      </c>
      <c r="G175" s="352" t="s">
        <v>1176</v>
      </c>
      <c r="H175" s="352" t="s">
        <v>1176</v>
      </c>
      <c r="I175" s="352" t="s">
        <v>1176</v>
      </c>
      <c r="J175" s="353" t="s">
        <v>268</v>
      </c>
      <c r="K175" s="354" t="s">
        <v>255</v>
      </c>
    </row>
    <row r="176" spans="1:11">
      <c r="A176" s="350">
        <v>2591</v>
      </c>
      <c r="B176" s="351" t="s">
        <v>354</v>
      </c>
      <c r="C176" s="351" t="s">
        <v>1176</v>
      </c>
      <c r="D176" s="1383" t="s">
        <v>268</v>
      </c>
      <c r="E176" s="352" t="s">
        <v>1176</v>
      </c>
      <c r="F176" s="352" t="s">
        <v>1176</v>
      </c>
      <c r="G176" s="352" t="s">
        <v>1176</v>
      </c>
      <c r="H176" s="352" t="s">
        <v>1182</v>
      </c>
      <c r="I176" s="352" t="s">
        <v>1176</v>
      </c>
      <c r="J176" s="353" t="s">
        <v>1176</v>
      </c>
      <c r="K176" s="354" t="s">
        <v>235</v>
      </c>
    </row>
    <row r="177" spans="1:11" ht="30">
      <c r="A177" s="350">
        <v>2592</v>
      </c>
      <c r="B177" s="351" t="s">
        <v>355</v>
      </c>
      <c r="C177" s="351" t="s">
        <v>1176</v>
      </c>
      <c r="D177" s="1383" t="s">
        <v>268</v>
      </c>
      <c r="E177" s="352" t="s">
        <v>1176</v>
      </c>
      <c r="F177" s="352" t="s">
        <v>1176</v>
      </c>
      <c r="G177" s="352" t="s">
        <v>1176</v>
      </c>
      <c r="H177" s="352" t="s">
        <v>1182</v>
      </c>
      <c r="I177" s="352" t="s">
        <v>1176</v>
      </c>
      <c r="J177" s="353" t="s">
        <v>1176</v>
      </c>
      <c r="K177" s="354" t="s">
        <v>236</v>
      </c>
    </row>
    <row r="178" spans="1:11">
      <c r="A178" s="350">
        <v>2620</v>
      </c>
      <c r="B178" s="351" t="s">
        <v>356</v>
      </c>
      <c r="C178" s="351" t="s">
        <v>1176</v>
      </c>
      <c r="D178" s="1383" t="s">
        <v>268</v>
      </c>
      <c r="E178" s="352" t="s">
        <v>268</v>
      </c>
      <c r="F178" s="352" t="s">
        <v>268</v>
      </c>
      <c r="G178" s="352" t="s">
        <v>268</v>
      </c>
      <c r="H178" s="352" t="s">
        <v>268</v>
      </c>
      <c r="I178" s="352" t="s">
        <v>268</v>
      </c>
      <c r="J178" s="353" t="s">
        <v>268</v>
      </c>
      <c r="K178" s="354" t="s">
        <v>257</v>
      </c>
    </row>
    <row r="179" spans="1:11">
      <c r="A179" s="350">
        <v>2631</v>
      </c>
      <c r="B179" s="351" t="s">
        <v>357</v>
      </c>
      <c r="C179" s="351" t="s">
        <v>1176</v>
      </c>
      <c r="D179" s="1383" t="s">
        <v>268</v>
      </c>
      <c r="E179" s="352" t="s">
        <v>268</v>
      </c>
      <c r="F179" s="352" t="s">
        <v>268</v>
      </c>
      <c r="G179" s="352" t="s">
        <v>268</v>
      </c>
      <c r="H179" s="352" t="s">
        <v>268</v>
      </c>
      <c r="I179" s="352" t="s">
        <v>268</v>
      </c>
      <c r="J179" s="353" t="s">
        <v>1176</v>
      </c>
      <c r="K179" s="354" t="s">
        <v>255</v>
      </c>
    </row>
    <row r="180" spans="1:11">
      <c r="A180" s="350">
        <v>2632</v>
      </c>
      <c r="B180" s="351" t="s">
        <v>358</v>
      </c>
      <c r="C180" s="351" t="s">
        <v>1176</v>
      </c>
      <c r="D180" s="1383" t="s">
        <v>268</v>
      </c>
      <c r="E180" s="352" t="s">
        <v>237</v>
      </c>
      <c r="F180" s="352" t="s">
        <v>1176</v>
      </c>
      <c r="G180" s="352" t="s">
        <v>237</v>
      </c>
      <c r="H180" s="352" t="s">
        <v>237</v>
      </c>
      <c r="I180" s="352" t="s">
        <v>1176</v>
      </c>
      <c r="J180" s="353" t="s">
        <v>1176</v>
      </c>
      <c r="K180" s="354" t="s">
        <v>235</v>
      </c>
    </row>
    <row r="181" spans="1:11">
      <c r="A181" s="355">
        <v>2633</v>
      </c>
      <c r="B181" s="356" t="s">
        <v>359</v>
      </c>
      <c r="C181" s="351" t="s">
        <v>236</v>
      </c>
      <c r="D181" s="1385" t="s">
        <v>236</v>
      </c>
      <c r="E181" s="353" t="s">
        <v>236</v>
      </c>
      <c r="F181" s="353" t="s">
        <v>236</v>
      </c>
      <c r="G181" s="353" t="s">
        <v>236</v>
      </c>
      <c r="H181" s="353" t="s">
        <v>236</v>
      </c>
      <c r="I181" s="353" t="s">
        <v>236</v>
      </c>
      <c r="J181" s="353" t="s">
        <v>236</v>
      </c>
      <c r="K181" s="355" t="s">
        <v>234</v>
      </c>
    </row>
    <row r="182" spans="1:11">
      <c r="A182" s="355">
        <v>2710</v>
      </c>
      <c r="B182" s="356" t="s">
        <v>360</v>
      </c>
      <c r="C182" s="351" t="s">
        <v>236</v>
      </c>
      <c r="D182" s="1385" t="s">
        <v>236</v>
      </c>
      <c r="E182" s="353" t="s">
        <v>236</v>
      </c>
      <c r="F182" s="353" t="s">
        <v>236</v>
      </c>
      <c r="G182" s="353" t="s">
        <v>236</v>
      </c>
      <c r="H182" s="353" t="s">
        <v>236</v>
      </c>
      <c r="I182" s="353" t="s">
        <v>236</v>
      </c>
      <c r="J182" s="353" t="s">
        <v>268</v>
      </c>
      <c r="K182" s="355" t="s">
        <v>235</v>
      </c>
    </row>
    <row r="183" spans="1:11" ht="30">
      <c r="A183" s="355">
        <v>2750</v>
      </c>
      <c r="B183" s="356" t="s">
        <v>361</v>
      </c>
      <c r="C183" s="351" t="s">
        <v>236</v>
      </c>
      <c r="D183" s="1385" t="s">
        <v>236</v>
      </c>
      <c r="E183" s="353" t="s">
        <v>236</v>
      </c>
      <c r="F183" s="353" t="s">
        <v>236</v>
      </c>
      <c r="G183" s="353" t="s">
        <v>236</v>
      </c>
      <c r="H183" s="353" t="s">
        <v>236</v>
      </c>
      <c r="I183" s="353" t="s">
        <v>236</v>
      </c>
      <c r="J183" s="353" t="s">
        <v>236</v>
      </c>
      <c r="K183" s="355" t="s">
        <v>235</v>
      </c>
    </row>
    <row r="184" spans="1:11" ht="30">
      <c r="A184" s="350">
        <v>2811</v>
      </c>
      <c r="B184" s="351" t="s">
        <v>362</v>
      </c>
      <c r="C184" s="351" t="s">
        <v>268</v>
      </c>
      <c r="D184" s="1383" t="s">
        <v>268</v>
      </c>
      <c r="E184" s="352" t="s">
        <v>268</v>
      </c>
      <c r="F184" s="352" t="s">
        <v>268</v>
      </c>
      <c r="G184" s="352" t="s">
        <v>268</v>
      </c>
      <c r="H184" s="352" t="s">
        <v>268</v>
      </c>
      <c r="I184" s="352" t="s">
        <v>268</v>
      </c>
      <c r="J184" s="353" t="s">
        <v>268</v>
      </c>
      <c r="K184" s="354" t="s">
        <v>255</v>
      </c>
    </row>
    <row r="185" spans="1:11">
      <c r="A185" s="350">
        <v>2812</v>
      </c>
      <c r="B185" s="351" t="s">
        <v>363</v>
      </c>
      <c r="C185" s="351" t="s">
        <v>1176</v>
      </c>
      <c r="D185" s="1383" t="s">
        <v>268</v>
      </c>
      <c r="E185" s="352" t="s">
        <v>1176</v>
      </c>
      <c r="F185" s="352" t="s">
        <v>1176</v>
      </c>
      <c r="G185" s="352" t="s">
        <v>1176</v>
      </c>
      <c r="H185" s="352" t="s">
        <v>1176</v>
      </c>
      <c r="I185" s="352" t="s">
        <v>1176</v>
      </c>
      <c r="J185" s="353" t="s">
        <v>268</v>
      </c>
      <c r="K185" s="354" t="s">
        <v>257</v>
      </c>
    </row>
    <row r="186" spans="1:11">
      <c r="A186" s="350">
        <v>2813</v>
      </c>
      <c r="B186" s="351" t="s">
        <v>364</v>
      </c>
      <c r="C186" s="351" t="s">
        <v>268</v>
      </c>
      <c r="D186" s="1383" t="s">
        <v>268</v>
      </c>
      <c r="E186" s="352" t="s">
        <v>268</v>
      </c>
      <c r="F186" s="352" t="s">
        <v>268</v>
      </c>
      <c r="G186" s="352" t="s">
        <v>268</v>
      </c>
      <c r="H186" s="352" t="s">
        <v>268</v>
      </c>
      <c r="I186" s="352" t="s">
        <v>1176</v>
      </c>
      <c r="J186" s="353" t="s">
        <v>268</v>
      </c>
      <c r="K186" s="354" t="s">
        <v>257</v>
      </c>
    </row>
    <row r="187" spans="1:11">
      <c r="A187" s="350">
        <v>2814</v>
      </c>
      <c r="B187" s="351" t="s">
        <v>365</v>
      </c>
      <c r="C187" s="351" t="s">
        <v>268</v>
      </c>
      <c r="D187" s="1383" t="s">
        <v>268</v>
      </c>
      <c r="E187" s="352" t="s">
        <v>268</v>
      </c>
      <c r="F187" s="352" t="s">
        <v>268</v>
      </c>
      <c r="G187" s="352" t="s">
        <v>268</v>
      </c>
      <c r="H187" s="352" t="s">
        <v>268</v>
      </c>
      <c r="I187" s="352" t="s">
        <v>1176</v>
      </c>
      <c r="J187" s="353" t="s">
        <v>268</v>
      </c>
      <c r="K187" s="354" t="s">
        <v>257</v>
      </c>
    </row>
    <row r="188" spans="1:11">
      <c r="A188" s="350">
        <v>2815</v>
      </c>
      <c r="B188" s="351" t="s">
        <v>366</v>
      </c>
      <c r="C188" s="351" t="s">
        <v>268</v>
      </c>
      <c r="D188" s="1383" t="s">
        <v>268</v>
      </c>
      <c r="E188" s="352" t="s">
        <v>237</v>
      </c>
      <c r="F188" s="352" t="s">
        <v>237</v>
      </c>
      <c r="G188" s="352" t="s">
        <v>268</v>
      </c>
      <c r="H188" s="352" t="s">
        <v>237</v>
      </c>
      <c r="I188" s="352" t="s">
        <v>237</v>
      </c>
      <c r="J188" s="353" t="s">
        <v>268</v>
      </c>
      <c r="K188" s="354" t="s">
        <v>255</v>
      </c>
    </row>
    <row r="189" spans="1:11">
      <c r="A189" s="355">
        <v>2816</v>
      </c>
      <c r="B189" s="356" t="s">
        <v>367</v>
      </c>
      <c r="C189" s="351" t="s">
        <v>236</v>
      </c>
      <c r="D189" s="1385" t="s">
        <v>236</v>
      </c>
      <c r="E189" s="353" t="s">
        <v>236</v>
      </c>
      <c r="F189" s="353" t="s">
        <v>236</v>
      </c>
      <c r="G189" s="353" t="s">
        <v>236</v>
      </c>
      <c r="H189" s="353" t="s">
        <v>236</v>
      </c>
      <c r="I189" s="353" t="s">
        <v>236</v>
      </c>
      <c r="J189" s="353" t="s">
        <v>268</v>
      </c>
      <c r="K189" s="355" t="s">
        <v>255</v>
      </c>
    </row>
    <row r="190" spans="1:11">
      <c r="A190" s="350">
        <v>2817</v>
      </c>
      <c r="B190" s="351" t="s">
        <v>368</v>
      </c>
      <c r="C190" s="351" t="s">
        <v>1176</v>
      </c>
      <c r="D190" s="1383" t="s">
        <v>268</v>
      </c>
      <c r="E190" s="352" t="s">
        <v>268</v>
      </c>
      <c r="F190" s="352" t="s">
        <v>268</v>
      </c>
      <c r="G190" s="352" t="s">
        <v>268</v>
      </c>
      <c r="H190" s="352" t="s">
        <v>268</v>
      </c>
      <c r="I190" s="352" t="s">
        <v>268</v>
      </c>
      <c r="J190" s="353" t="s">
        <v>268</v>
      </c>
      <c r="K190" s="354" t="s">
        <v>257</v>
      </c>
    </row>
    <row r="191" spans="1:11" ht="30">
      <c r="A191" s="355">
        <v>2820</v>
      </c>
      <c r="B191" s="356" t="s">
        <v>369</v>
      </c>
      <c r="C191" s="351" t="s">
        <v>237</v>
      </c>
      <c r="D191" s="1387" t="s">
        <v>268</v>
      </c>
      <c r="E191" s="353" t="s">
        <v>237</v>
      </c>
      <c r="F191" s="353" t="s">
        <v>237</v>
      </c>
      <c r="G191" s="353" t="s">
        <v>237</v>
      </c>
      <c r="H191" s="353" t="s">
        <v>237</v>
      </c>
      <c r="I191" s="353" t="s">
        <v>237</v>
      </c>
      <c r="J191" s="353" t="s">
        <v>237</v>
      </c>
      <c r="K191" s="355" t="s">
        <v>255</v>
      </c>
    </row>
    <row r="192" spans="1:11">
      <c r="A192" s="355">
        <v>2832</v>
      </c>
      <c r="B192" s="356" t="s">
        <v>370</v>
      </c>
      <c r="C192" s="351" t="s">
        <v>235</v>
      </c>
      <c r="D192" s="1385" t="s">
        <v>235</v>
      </c>
      <c r="E192" s="353" t="s">
        <v>235</v>
      </c>
      <c r="F192" s="353" t="s">
        <v>235</v>
      </c>
      <c r="G192" s="353" t="s">
        <v>235</v>
      </c>
      <c r="H192" s="353" t="s">
        <v>235</v>
      </c>
      <c r="I192" s="353" t="s">
        <v>235</v>
      </c>
      <c r="J192" s="353" t="s">
        <v>235</v>
      </c>
      <c r="K192" s="355" t="s">
        <v>257</v>
      </c>
    </row>
    <row r="193" spans="1:11" ht="30">
      <c r="A193" s="355">
        <v>2833</v>
      </c>
      <c r="B193" s="356" t="s">
        <v>371</v>
      </c>
      <c r="C193" s="351" t="s">
        <v>234</v>
      </c>
      <c r="D193" s="1385" t="s">
        <v>234</v>
      </c>
      <c r="E193" s="353" t="s">
        <v>234</v>
      </c>
      <c r="F193" s="353" t="s">
        <v>234</v>
      </c>
      <c r="G193" s="353" t="s">
        <v>234</v>
      </c>
      <c r="H193" s="353" t="s">
        <v>234</v>
      </c>
      <c r="I193" s="353" t="s">
        <v>234</v>
      </c>
      <c r="J193" s="353" t="s">
        <v>268</v>
      </c>
      <c r="K193" s="355" t="s">
        <v>257</v>
      </c>
    </row>
    <row r="194" spans="1:11" ht="30">
      <c r="A194" s="355">
        <v>2834</v>
      </c>
      <c r="B194" s="356" t="s">
        <v>372</v>
      </c>
      <c r="C194" s="351" t="s">
        <v>234</v>
      </c>
      <c r="D194" s="1385" t="s">
        <v>234</v>
      </c>
      <c r="E194" s="353" t="s">
        <v>234</v>
      </c>
      <c r="F194" s="353" t="s">
        <v>234</v>
      </c>
      <c r="G194" s="353" t="s">
        <v>234</v>
      </c>
      <c r="H194" s="353" t="s">
        <v>234</v>
      </c>
      <c r="I194" s="353" t="s">
        <v>234</v>
      </c>
      <c r="J194" s="353" t="s">
        <v>268</v>
      </c>
      <c r="K194" s="355" t="s">
        <v>257</v>
      </c>
    </row>
    <row r="195" spans="1:11" ht="30">
      <c r="A195" s="355">
        <v>2835</v>
      </c>
      <c r="B195" s="356" t="s">
        <v>373</v>
      </c>
      <c r="C195" s="351" t="s">
        <v>234</v>
      </c>
      <c r="D195" s="1385" t="s">
        <v>234</v>
      </c>
      <c r="E195" s="353" t="s">
        <v>234</v>
      </c>
      <c r="F195" s="353" t="s">
        <v>234</v>
      </c>
      <c r="G195" s="353" t="s">
        <v>234</v>
      </c>
      <c r="H195" s="353" t="s">
        <v>234</v>
      </c>
      <c r="I195" s="353" t="s">
        <v>234</v>
      </c>
      <c r="J195" s="353" t="s">
        <v>268</v>
      </c>
      <c r="K195" s="355" t="s">
        <v>257</v>
      </c>
    </row>
    <row r="196" spans="1:11" ht="30">
      <c r="A196" s="355">
        <v>2840</v>
      </c>
      <c r="B196" s="356" t="s">
        <v>374</v>
      </c>
      <c r="C196" s="351" t="s">
        <v>237</v>
      </c>
      <c r="D196" s="1385" t="s">
        <v>237</v>
      </c>
      <c r="E196" s="353" t="s">
        <v>237</v>
      </c>
      <c r="F196" s="353" t="s">
        <v>237</v>
      </c>
      <c r="G196" s="353" t="s">
        <v>237</v>
      </c>
      <c r="H196" s="353" t="s">
        <v>237</v>
      </c>
      <c r="I196" s="353" t="s">
        <v>237</v>
      </c>
      <c r="J196" s="353" t="s">
        <v>237</v>
      </c>
      <c r="K196" s="355" t="s">
        <v>235</v>
      </c>
    </row>
    <row r="197" spans="1:11" ht="30">
      <c r="A197" s="350">
        <v>2850</v>
      </c>
      <c r="B197" s="351" t="s">
        <v>375</v>
      </c>
      <c r="C197" s="351" t="s">
        <v>268</v>
      </c>
      <c r="D197" s="1383" t="s">
        <v>268</v>
      </c>
      <c r="E197" s="352" t="s">
        <v>268</v>
      </c>
      <c r="F197" s="352" t="s">
        <v>268</v>
      </c>
      <c r="G197" s="352" t="s">
        <v>268</v>
      </c>
      <c r="H197" s="352" t="s">
        <v>268</v>
      </c>
      <c r="I197" s="352" t="s">
        <v>268</v>
      </c>
      <c r="J197" s="353" t="s">
        <v>268</v>
      </c>
      <c r="K197" s="354" t="s">
        <v>257</v>
      </c>
    </row>
    <row r="198" spans="1:11">
      <c r="A198" s="350">
        <v>2860</v>
      </c>
      <c r="B198" s="351" t="s">
        <v>376</v>
      </c>
      <c r="C198" s="351" t="s">
        <v>268</v>
      </c>
      <c r="D198" s="1383" t="s">
        <v>268</v>
      </c>
      <c r="E198" s="352" t="s">
        <v>268</v>
      </c>
      <c r="F198" s="352" t="s">
        <v>268</v>
      </c>
      <c r="G198" s="352" t="s">
        <v>268</v>
      </c>
      <c r="H198" s="352" t="s">
        <v>268</v>
      </c>
      <c r="I198" s="352" t="s">
        <v>268</v>
      </c>
      <c r="J198" s="353" t="s">
        <v>268</v>
      </c>
      <c r="K198" s="354" t="s">
        <v>257</v>
      </c>
    </row>
    <row r="199" spans="1:11">
      <c r="A199" s="350">
        <v>2871</v>
      </c>
      <c r="B199" s="351" t="s">
        <v>377</v>
      </c>
      <c r="C199" s="351" t="s">
        <v>268</v>
      </c>
      <c r="D199" s="1383" t="s">
        <v>268</v>
      </c>
      <c r="E199" s="352" t="s">
        <v>268</v>
      </c>
      <c r="F199" s="352" t="s">
        <v>268</v>
      </c>
      <c r="G199" s="352" t="s">
        <v>268</v>
      </c>
      <c r="H199" s="352" t="s">
        <v>268</v>
      </c>
      <c r="I199" s="352" t="s">
        <v>268</v>
      </c>
      <c r="J199" s="353" t="s">
        <v>268</v>
      </c>
      <c r="K199" s="354" t="s">
        <v>257</v>
      </c>
    </row>
    <row r="200" spans="1:11">
      <c r="A200" s="355">
        <v>2872</v>
      </c>
      <c r="B200" s="356" t="s">
        <v>378</v>
      </c>
      <c r="C200" s="351" t="s">
        <v>237</v>
      </c>
      <c r="D200" s="1385" t="s">
        <v>237</v>
      </c>
      <c r="E200" s="353" t="s">
        <v>237</v>
      </c>
      <c r="F200" s="353" t="s">
        <v>237</v>
      </c>
      <c r="G200" s="353" t="s">
        <v>237</v>
      </c>
      <c r="H200" s="353" t="s">
        <v>237</v>
      </c>
      <c r="I200" s="353" t="s">
        <v>268</v>
      </c>
      <c r="J200" s="353" t="s">
        <v>268</v>
      </c>
      <c r="K200" s="355" t="s">
        <v>257</v>
      </c>
    </row>
    <row r="201" spans="1:11" ht="30">
      <c r="A201" s="355">
        <v>2873</v>
      </c>
      <c r="B201" s="356" t="s">
        <v>379</v>
      </c>
      <c r="C201" s="351" t="s">
        <v>237</v>
      </c>
      <c r="D201" s="1386" t="s">
        <v>268</v>
      </c>
      <c r="E201" s="353" t="s">
        <v>237</v>
      </c>
      <c r="F201" s="353" t="s">
        <v>237</v>
      </c>
      <c r="G201" s="353" t="s">
        <v>237</v>
      </c>
      <c r="H201" s="353" t="s">
        <v>237</v>
      </c>
      <c r="I201" s="353" t="s">
        <v>268</v>
      </c>
      <c r="J201" s="353" t="s">
        <v>268</v>
      </c>
      <c r="K201" s="355" t="s">
        <v>257</v>
      </c>
    </row>
    <row r="202" spans="1:11" ht="30">
      <c r="A202" s="350">
        <v>2875</v>
      </c>
      <c r="B202" s="351" t="s">
        <v>380</v>
      </c>
      <c r="C202" s="351" t="s">
        <v>1176</v>
      </c>
      <c r="D202" s="1383" t="s">
        <v>268</v>
      </c>
      <c r="E202" s="352" t="s">
        <v>237</v>
      </c>
      <c r="F202" s="352" t="s">
        <v>1183</v>
      </c>
      <c r="G202" s="352" t="s">
        <v>237</v>
      </c>
      <c r="H202" s="352" t="s">
        <v>237</v>
      </c>
      <c r="I202" s="352" t="s">
        <v>237</v>
      </c>
      <c r="J202" s="353" t="s">
        <v>268</v>
      </c>
      <c r="K202" s="354" t="s">
        <v>255</v>
      </c>
    </row>
    <row r="203" spans="1:11">
      <c r="A203" s="350">
        <v>2876</v>
      </c>
      <c r="B203" s="351" t="s">
        <v>381</v>
      </c>
      <c r="C203" s="351" t="s">
        <v>1176</v>
      </c>
      <c r="D203" s="1383" t="s">
        <v>268</v>
      </c>
      <c r="E203" s="352" t="s">
        <v>1176</v>
      </c>
      <c r="F203" s="352" t="s">
        <v>268</v>
      </c>
      <c r="G203" s="352" t="s">
        <v>1176</v>
      </c>
      <c r="H203" s="352" t="s">
        <v>1176</v>
      </c>
      <c r="I203" s="352" t="s">
        <v>1176</v>
      </c>
      <c r="J203" s="353" t="s">
        <v>268</v>
      </c>
      <c r="K203" s="354" t="s">
        <v>255</v>
      </c>
    </row>
    <row r="204" spans="1:11">
      <c r="A204" s="350">
        <v>2877</v>
      </c>
      <c r="B204" s="351" t="s">
        <v>382</v>
      </c>
      <c r="C204" s="351" t="s">
        <v>1176</v>
      </c>
      <c r="D204" s="1383" t="s">
        <v>268</v>
      </c>
      <c r="E204" s="352" t="s">
        <v>268</v>
      </c>
      <c r="F204" s="352" t="s">
        <v>268</v>
      </c>
      <c r="G204" s="352" t="s">
        <v>268</v>
      </c>
      <c r="H204" s="352" t="s">
        <v>268</v>
      </c>
      <c r="I204" s="352" t="s">
        <v>268</v>
      </c>
      <c r="J204" s="353" t="s">
        <v>268</v>
      </c>
      <c r="K204" s="354" t="s">
        <v>255</v>
      </c>
    </row>
    <row r="205" spans="1:11" ht="30">
      <c r="A205" s="355">
        <v>2950</v>
      </c>
      <c r="B205" s="356" t="s">
        <v>383</v>
      </c>
      <c r="C205" s="351" t="s">
        <v>236</v>
      </c>
      <c r="D205" s="1385" t="s">
        <v>237</v>
      </c>
      <c r="E205" s="353" t="s">
        <v>237</v>
      </c>
      <c r="F205" s="353" t="s">
        <v>237</v>
      </c>
      <c r="G205" s="353" t="s">
        <v>268</v>
      </c>
      <c r="H205" s="353" t="s">
        <v>237</v>
      </c>
      <c r="I205" s="353" t="s">
        <v>237</v>
      </c>
      <c r="J205" s="353" t="s">
        <v>268</v>
      </c>
      <c r="K205" s="355" t="s">
        <v>255</v>
      </c>
    </row>
    <row r="206" spans="1:11" ht="30">
      <c r="A206" s="350">
        <v>2981</v>
      </c>
      <c r="B206" s="351" t="s">
        <v>384</v>
      </c>
      <c r="C206" s="351" t="s">
        <v>268</v>
      </c>
      <c r="D206" s="1383" t="s">
        <v>268</v>
      </c>
      <c r="E206" s="352" t="s">
        <v>268</v>
      </c>
      <c r="F206" s="352" t="s">
        <v>268</v>
      </c>
      <c r="G206" s="352" t="s">
        <v>268</v>
      </c>
      <c r="H206" s="352" t="s">
        <v>268</v>
      </c>
      <c r="I206" s="352" t="s">
        <v>1176</v>
      </c>
      <c r="J206" s="353" t="s">
        <v>268</v>
      </c>
      <c r="K206" s="354" t="s">
        <v>257</v>
      </c>
    </row>
    <row r="207" spans="1:11">
      <c r="A207" s="350">
        <v>2982</v>
      </c>
      <c r="B207" s="351" t="s">
        <v>385</v>
      </c>
      <c r="C207" s="351" t="s">
        <v>268</v>
      </c>
      <c r="D207" s="1383" t="s">
        <v>268</v>
      </c>
      <c r="E207" s="352" t="s">
        <v>268</v>
      </c>
      <c r="F207" s="352" t="s">
        <v>268</v>
      </c>
      <c r="G207" s="352" t="s">
        <v>268</v>
      </c>
      <c r="H207" s="352" t="s">
        <v>268</v>
      </c>
      <c r="I207" s="352" t="s">
        <v>268</v>
      </c>
      <c r="J207" s="353" t="s">
        <v>268</v>
      </c>
      <c r="K207" s="354" t="s">
        <v>236</v>
      </c>
    </row>
    <row r="208" spans="1:11" ht="30">
      <c r="A208" s="350">
        <v>2990</v>
      </c>
      <c r="B208" s="351" t="s">
        <v>386</v>
      </c>
      <c r="C208" s="351" t="s">
        <v>237</v>
      </c>
      <c r="D208" s="1383" t="s">
        <v>268</v>
      </c>
      <c r="E208" s="351" t="s">
        <v>237</v>
      </c>
      <c r="F208" s="351" t="s">
        <v>237</v>
      </c>
      <c r="G208" s="351" t="s">
        <v>237</v>
      </c>
      <c r="H208" s="351" t="s">
        <v>237</v>
      </c>
      <c r="I208" s="351" t="s">
        <v>237</v>
      </c>
      <c r="J208" s="353" t="s">
        <v>237</v>
      </c>
      <c r="K208" s="354" t="s">
        <v>235</v>
      </c>
    </row>
    <row r="209" spans="1:11">
      <c r="A209" s="350">
        <v>3062</v>
      </c>
      <c r="B209" s="351" t="s">
        <v>387</v>
      </c>
      <c r="C209" s="351" t="s">
        <v>268</v>
      </c>
      <c r="D209" s="1383" t="s">
        <v>268</v>
      </c>
      <c r="E209" s="352" t="s">
        <v>268</v>
      </c>
      <c r="F209" s="352" t="s">
        <v>268</v>
      </c>
      <c r="G209" s="352" t="s">
        <v>268</v>
      </c>
      <c r="H209" s="352" t="s">
        <v>1182</v>
      </c>
      <c r="I209" s="352" t="s">
        <v>268</v>
      </c>
      <c r="J209" s="353" t="s">
        <v>268</v>
      </c>
      <c r="K209" s="354" t="s">
        <v>257</v>
      </c>
    </row>
    <row r="210" spans="1:11">
      <c r="A210" s="350">
        <v>3063</v>
      </c>
      <c r="B210" s="351" t="s">
        <v>388</v>
      </c>
      <c r="C210" s="351" t="s">
        <v>268</v>
      </c>
      <c r="D210" s="1383" t="s">
        <v>268</v>
      </c>
      <c r="E210" s="352" t="s">
        <v>268</v>
      </c>
      <c r="F210" s="352" t="s">
        <v>268</v>
      </c>
      <c r="G210" s="352" t="s">
        <v>268</v>
      </c>
      <c r="H210" s="352" t="s">
        <v>1182</v>
      </c>
      <c r="I210" s="352" t="s">
        <v>268</v>
      </c>
      <c r="J210" s="353" t="s">
        <v>268</v>
      </c>
      <c r="K210" s="354" t="s">
        <v>257</v>
      </c>
    </row>
    <row r="211" spans="1:11" ht="30">
      <c r="A211" s="350">
        <v>3064</v>
      </c>
      <c r="B211" s="351" t="s">
        <v>389</v>
      </c>
      <c r="C211" s="351" t="s">
        <v>1176</v>
      </c>
      <c r="D211" s="1383" t="s">
        <v>268</v>
      </c>
      <c r="E211" s="352" t="s">
        <v>237</v>
      </c>
      <c r="F211" s="352" t="s">
        <v>237</v>
      </c>
      <c r="G211" s="352" t="s">
        <v>237</v>
      </c>
      <c r="H211" s="352" t="s">
        <v>1182</v>
      </c>
      <c r="I211" s="352" t="s">
        <v>1176</v>
      </c>
      <c r="J211" s="353" t="s">
        <v>268</v>
      </c>
      <c r="K211" s="354" t="s">
        <v>236</v>
      </c>
    </row>
    <row r="212" spans="1:11" ht="30">
      <c r="A212" s="350">
        <v>3065</v>
      </c>
      <c r="B212" s="351" t="s">
        <v>390</v>
      </c>
      <c r="C212" s="351" t="s">
        <v>1176</v>
      </c>
      <c r="D212" s="1383" t="s">
        <v>268</v>
      </c>
      <c r="E212" s="352" t="s">
        <v>237</v>
      </c>
      <c r="F212" s="352" t="s">
        <v>237</v>
      </c>
      <c r="G212" s="352" t="s">
        <v>237</v>
      </c>
      <c r="H212" s="352" t="s">
        <v>1182</v>
      </c>
      <c r="I212" s="352" t="s">
        <v>1176</v>
      </c>
      <c r="J212" s="353" t="s">
        <v>268</v>
      </c>
      <c r="K212" s="354" t="s">
        <v>236</v>
      </c>
    </row>
    <row r="213" spans="1:11" ht="30">
      <c r="A213" s="350">
        <v>3066</v>
      </c>
      <c r="B213" s="351" t="s">
        <v>391</v>
      </c>
      <c r="C213" s="351" t="s">
        <v>1176</v>
      </c>
      <c r="D213" s="1383" t="s">
        <v>268</v>
      </c>
      <c r="E213" s="352" t="s">
        <v>268</v>
      </c>
      <c r="F213" s="352" t="s">
        <v>268</v>
      </c>
      <c r="G213" s="352" t="s">
        <v>268</v>
      </c>
      <c r="H213" s="352" t="s">
        <v>268</v>
      </c>
      <c r="I213" s="352" t="s">
        <v>1176</v>
      </c>
      <c r="J213" s="353" t="s">
        <v>268</v>
      </c>
      <c r="K213" s="354" t="s">
        <v>236</v>
      </c>
    </row>
    <row r="214" spans="1:11" ht="15.75">
      <c r="A214" s="355">
        <v>3071</v>
      </c>
      <c r="B214" s="356" t="s">
        <v>392</v>
      </c>
      <c r="C214" s="351" t="s">
        <v>236</v>
      </c>
      <c r="D214" s="1387" t="s">
        <v>268</v>
      </c>
      <c r="E214" s="353" t="s">
        <v>237</v>
      </c>
      <c r="F214" s="353" t="s">
        <v>237</v>
      </c>
      <c r="G214" s="353" t="s">
        <v>237</v>
      </c>
      <c r="H214" s="353" t="s">
        <v>237</v>
      </c>
      <c r="I214" s="353" t="s">
        <v>237</v>
      </c>
      <c r="J214" s="353" t="s">
        <v>236</v>
      </c>
      <c r="K214" s="355" t="s">
        <v>234</v>
      </c>
    </row>
    <row r="215" spans="1:11" ht="30">
      <c r="A215" s="355">
        <v>3072</v>
      </c>
      <c r="B215" s="356" t="s">
        <v>393</v>
      </c>
      <c r="C215" s="351" t="s">
        <v>236</v>
      </c>
      <c r="D215" s="1385" t="s">
        <v>236</v>
      </c>
      <c r="E215" s="353" t="s">
        <v>236</v>
      </c>
      <c r="F215" s="353" t="s">
        <v>236</v>
      </c>
      <c r="G215" s="353" t="s">
        <v>268</v>
      </c>
      <c r="H215" s="353" t="s">
        <v>1176</v>
      </c>
      <c r="I215" s="353" t="s">
        <v>236</v>
      </c>
      <c r="J215" s="353" t="s">
        <v>268</v>
      </c>
      <c r="K215" s="355" t="s">
        <v>235</v>
      </c>
    </row>
    <row r="216" spans="1:11" ht="15.75">
      <c r="A216" s="355">
        <v>3073</v>
      </c>
      <c r="B216" s="356" t="s">
        <v>394</v>
      </c>
      <c r="C216" s="351" t="s">
        <v>236</v>
      </c>
      <c r="D216" s="1387" t="s">
        <v>268</v>
      </c>
      <c r="E216" s="353" t="s">
        <v>236</v>
      </c>
      <c r="F216" s="353" t="s">
        <v>236</v>
      </c>
      <c r="G216" s="353" t="s">
        <v>236</v>
      </c>
      <c r="H216" s="353" t="s">
        <v>236</v>
      </c>
      <c r="I216" s="353" t="s">
        <v>236</v>
      </c>
      <c r="J216" s="353" t="s">
        <v>268</v>
      </c>
      <c r="K216" s="355" t="s">
        <v>236</v>
      </c>
    </row>
    <row r="217" spans="1:11">
      <c r="A217" s="350">
        <v>3191</v>
      </c>
      <c r="B217" s="351" t="s">
        <v>395</v>
      </c>
      <c r="C217" s="351" t="s">
        <v>236</v>
      </c>
      <c r="D217" s="1383" t="s">
        <v>268</v>
      </c>
      <c r="E217" s="351" t="s">
        <v>236</v>
      </c>
      <c r="F217" s="351" t="s">
        <v>236</v>
      </c>
      <c r="G217" s="351" t="s">
        <v>236</v>
      </c>
      <c r="H217" s="351" t="s">
        <v>236</v>
      </c>
      <c r="I217" s="351" t="s">
        <v>236</v>
      </c>
      <c r="J217" s="353" t="s">
        <v>236</v>
      </c>
      <c r="K217" s="354" t="s">
        <v>255</v>
      </c>
    </row>
    <row r="218" spans="1:11" ht="15.75">
      <c r="A218" s="355">
        <v>3192</v>
      </c>
      <c r="B218" s="356" t="s">
        <v>396</v>
      </c>
      <c r="C218" s="351" t="s">
        <v>237</v>
      </c>
      <c r="D218" s="1387" t="s">
        <v>268</v>
      </c>
      <c r="E218" s="353" t="s">
        <v>237</v>
      </c>
      <c r="F218" s="353" t="s">
        <v>237</v>
      </c>
      <c r="G218" s="353" t="s">
        <v>237</v>
      </c>
      <c r="H218" s="353" t="s">
        <v>237</v>
      </c>
      <c r="I218" s="353" t="s">
        <v>237</v>
      </c>
      <c r="J218" s="353" t="s">
        <v>237</v>
      </c>
      <c r="K218" s="355" t="s">
        <v>255</v>
      </c>
    </row>
    <row r="219" spans="1:11" ht="15.75">
      <c r="A219" s="355">
        <v>3193</v>
      </c>
      <c r="B219" s="356" t="s">
        <v>397</v>
      </c>
      <c r="C219" s="351" t="s">
        <v>237</v>
      </c>
      <c r="D219" s="1387" t="s">
        <v>268</v>
      </c>
      <c r="E219" s="353" t="s">
        <v>237</v>
      </c>
      <c r="F219" s="353" t="s">
        <v>237</v>
      </c>
      <c r="G219" s="353" t="s">
        <v>237</v>
      </c>
      <c r="H219" s="353" t="s">
        <v>237</v>
      </c>
      <c r="I219" s="353" t="s">
        <v>237</v>
      </c>
      <c r="J219" s="353" t="s">
        <v>237</v>
      </c>
      <c r="K219" s="355" t="s">
        <v>255</v>
      </c>
    </row>
    <row r="220" spans="1:11" ht="30">
      <c r="A220" s="355">
        <v>3281</v>
      </c>
      <c r="B220" s="356" t="s">
        <v>398</v>
      </c>
      <c r="C220" s="351" t="s">
        <v>236</v>
      </c>
      <c r="D220" s="1387" t="s">
        <v>268</v>
      </c>
      <c r="E220" s="353" t="s">
        <v>236</v>
      </c>
      <c r="F220" s="353" t="s">
        <v>236</v>
      </c>
      <c r="G220" s="353" t="s">
        <v>236</v>
      </c>
      <c r="H220" s="353" t="s">
        <v>236</v>
      </c>
      <c r="I220" s="353" t="s">
        <v>236</v>
      </c>
      <c r="J220" s="353" t="s">
        <v>236</v>
      </c>
      <c r="K220" s="355" t="s">
        <v>255</v>
      </c>
    </row>
    <row r="221" spans="1:11">
      <c r="A221" s="355">
        <v>3282</v>
      </c>
      <c r="B221" s="356" t="s">
        <v>399</v>
      </c>
      <c r="C221" s="351" t="s">
        <v>236</v>
      </c>
      <c r="D221" s="1385" t="s">
        <v>236</v>
      </c>
      <c r="E221" s="353" t="s">
        <v>236</v>
      </c>
      <c r="F221" s="353" t="s">
        <v>236</v>
      </c>
      <c r="G221" s="353" t="s">
        <v>236</v>
      </c>
      <c r="H221" s="353" t="s">
        <v>236</v>
      </c>
      <c r="I221" s="353" t="s">
        <v>236</v>
      </c>
      <c r="J221" s="353" t="s">
        <v>236</v>
      </c>
      <c r="K221" s="355" t="s">
        <v>235</v>
      </c>
    </row>
    <row r="222" spans="1:11" ht="30">
      <c r="A222" s="355">
        <v>3291</v>
      </c>
      <c r="B222" s="356" t="s">
        <v>400</v>
      </c>
      <c r="C222" s="351" t="s">
        <v>234</v>
      </c>
      <c r="D222" s="1385" t="s">
        <v>236</v>
      </c>
      <c r="E222" s="353" t="s">
        <v>236</v>
      </c>
      <c r="F222" s="353" t="s">
        <v>236</v>
      </c>
      <c r="G222" s="353" t="s">
        <v>236</v>
      </c>
      <c r="H222" s="353" t="s">
        <v>236</v>
      </c>
      <c r="I222" s="353" t="s">
        <v>236</v>
      </c>
      <c r="J222" s="353" t="s">
        <v>234</v>
      </c>
      <c r="K222" s="355" t="s">
        <v>235</v>
      </c>
    </row>
    <row r="223" spans="1:11">
      <c r="A223" s="355">
        <v>3292</v>
      </c>
      <c r="B223" s="356" t="s">
        <v>401</v>
      </c>
      <c r="C223" s="351" t="s">
        <v>234</v>
      </c>
      <c r="D223" s="1385" t="s">
        <v>236</v>
      </c>
      <c r="E223" s="353" t="s">
        <v>236</v>
      </c>
      <c r="F223" s="353" t="s">
        <v>236</v>
      </c>
      <c r="G223" s="353" t="s">
        <v>236</v>
      </c>
      <c r="H223" s="353" t="s">
        <v>236</v>
      </c>
      <c r="I223" s="353" t="s">
        <v>236</v>
      </c>
      <c r="J223" s="353" t="s">
        <v>268</v>
      </c>
      <c r="K223" s="355" t="s">
        <v>235</v>
      </c>
    </row>
    <row r="224" spans="1:11">
      <c r="A224" s="355">
        <v>3293</v>
      </c>
      <c r="B224" s="356" t="s">
        <v>402</v>
      </c>
      <c r="C224" s="351" t="s">
        <v>235</v>
      </c>
      <c r="D224" s="1385" t="s">
        <v>236</v>
      </c>
      <c r="E224" s="353" t="s">
        <v>236</v>
      </c>
      <c r="F224" s="353" t="s">
        <v>236</v>
      </c>
      <c r="G224" s="353" t="s">
        <v>236</v>
      </c>
      <c r="H224" s="353" t="s">
        <v>236</v>
      </c>
      <c r="I224" s="353" t="s">
        <v>236</v>
      </c>
      <c r="J224" s="353" t="s">
        <v>235</v>
      </c>
      <c r="K224" s="355" t="s">
        <v>255</v>
      </c>
    </row>
    <row r="225" spans="1:11">
      <c r="A225" s="355">
        <v>3294</v>
      </c>
      <c r="B225" s="356" t="s">
        <v>403</v>
      </c>
      <c r="C225" s="351" t="s">
        <v>234</v>
      </c>
      <c r="D225" s="1385" t="s">
        <v>236</v>
      </c>
      <c r="E225" s="353" t="s">
        <v>236</v>
      </c>
      <c r="F225" s="353" t="s">
        <v>236</v>
      </c>
      <c r="G225" s="353" t="s">
        <v>236</v>
      </c>
      <c r="H225" s="353" t="s">
        <v>236</v>
      </c>
      <c r="I225" s="353" t="s">
        <v>236</v>
      </c>
      <c r="J225" s="353" t="s">
        <v>268</v>
      </c>
      <c r="K225" s="355" t="s">
        <v>255</v>
      </c>
    </row>
    <row r="226" spans="1:11" ht="30">
      <c r="A226" s="355">
        <v>3295</v>
      </c>
      <c r="B226" s="356" t="s">
        <v>404</v>
      </c>
      <c r="C226" s="351" t="s">
        <v>236</v>
      </c>
      <c r="D226" s="1385" t="s">
        <v>236</v>
      </c>
      <c r="E226" s="353" t="s">
        <v>236</v>
      </c>
      <c r="F226" s="353" t="s">
        <v>236</v>
      </c>
      <c r="G226" s="353" t="s">
        <v>236</v>
      </c>
      <c r="H226" s="353" t="s">
        <v>236</v>
      </c>
      <c r="I226" s="353" t="s">
        <v>1176</v>
      </c>
      <c r="J226" s="353" t="s">
        <v>236</v>
      </c>
      <c r="K226" s="355" t="s">
        <v>235</v>
      </c>
    </row>
    <row r="227" spans="1:11">
      <c r="A227" s="355">
        <v>3296</v>
      </c>
      <c r="B227" s="356" t="s">
        <v>405</v>
      </c>
      <c r="C227" s="351" t="s">
        <v>237</v>
      </c>
      <c r="D227" s="1385" t="s">
        <v>237</v>
      </c>
      <c r="E227" s="353" t="s">
        <v>237</v>
      </c>
      <c r="F227" s="353" t="s">
        <v>237</v>
      </c>
      <c r="G227" s="353" t="s">
        <v>237</v>
      </c>
      <c r="H227" s="353" t="s">
        <v>237</v>
      </c>
      <c r="I227" s="353" t="s">
        <v>237</v>
      </c>
      <c r="J227" s="353" t="s">
        <v>237</v>
      </c>
      <c r="K227" s="355" t="s">
        <v>234</v>
      </c>
    </row>
    <row r="228" spans="1:11">
      <c r="A228" s="355">
        <v>3297</v>
      </c>
      <c r="B228" s="356" t="s">
        <v>406</v>
      </c>
      <c r="C228" s="351" t="s">
        <v>235</v>
      </c>
      <c r="D228" s="1385" t="s">
        <v>235</v>
      </c>
      <c r="E228" s="353" t="s">
        <v>235</v>
      </c>
      <c r="F228" s="353" t="s">
        <v>235</v>
      </c>
      <c r="G228" s="353" t="s">
        <v>235</v>
      </c>
      <c r="H228" s="353" t="s">
        <v>235</v>
      </c>
      <c r="I228" s="353" t="s">
        <v>235</v>
      </c>
      <c r="J228" s="353" t="s">
        <v>235</v>
      </c>
      <c r="K228" s="355" t="s">
        <v>236</v>
      </c>
    </row>
    <row r="229" spans="1:11">
      <c r="A229" s="350">
        <v>3298</v>
      </c>
      <c r="B229" s="351" t="s">
        <v>407</v>
      </c>
      <c r="C229" s="351" t="s">
        <v>268</v>
      </c>
      <c r="D229" s="1383" t="s">
        <v>268</v>
      </c>
      <c r="E229" s="352" t="s">
        <v>268</v>
      </c>
      <c r="F229" s="352" t="s">
        <v>268</v>
      </c>
      <c r="G229" s="352" t="s">
        <v>268</v>
      </c>
      <c r="H229" s="352" t="s">
        <v>268</v>
      </c>
      <c r="I229" s="352" t="s">
        <v>268</v>
      </c>
      <c r="J229" s="353" t="s">
        <v>268</v>
      </c>
      <c r="K229" s="354" t="s">
        <v>257</v>
      </c>
    </row>
    <row r="230" spans="1:11">
      <c r="A230" s="350">
        <v>3320</v>
      </c>
      <c r="B230" s="351" t="s">
        <v>408</v>
      </c>
      <c r="C230" s="351" t="s">
        <v>1176</v>
      </c>
      <c r="D230" s="1383" t="s">
        <v>268</v>
      </c>
      <c r="E230" s="352" t="s">
        <v>1176</v>
      </c>
      <c r="F230" s="352" t="s">
        <v>1176</v>
      </c>
      <c r="G230" s="352" t="s">
        <v>1176</v>
      </c>
      <c r="H230" s="352" t="s">
        <v>1176</v>
      </c>
      <c r="I230" s="352" t="s">
        <v>1176</v>
      </c>
      <c r="J230" s="353" t="s">
        <v>268</v>
      </c>
      <c r="K230" s="354" t="s">
        <v>255</v>
      </c>
    </row>
    <row r="231" spans="1:11">
      <c r="A231" s="350">
        <v>3360</v>
      </c>
      <c r="B231" s="351" t="s">
        <v>409</v>
      </c>
      <c r="C231" s="351" t="s">
        <v>1176</v>
      </c>
      <c r="D231" s="1383" t="s">
        <v>268</v>
      </c>
      <c r="E231" s="352" t="s">
        <v>1176</v>
      </c>
      <c r="F231" s="352" t="s">
        <v>1176</v>
      </c>
      <c r="G231" s="352" t="s">
        <v>1176</v>
      </c>
      <c r="H231" s="352" t="s">
        <v>1176</v>
      </c>
      <c r="I231" s="352" t="s">
        <v>1176</v>
      </c>
      <c r="J231" s="353" t="s">
        <v>268</v>
      </c>
      <c r="K231" s="354" t="s">
        <v>255</v>
      </c>
    </row>
    <row r="232" spans="1:11">
      <c r="A232" s="355">
        <v>3491</v>
      </c>
      <c r="B232" s="356" t="s">
        <v>410</v>
      </c>
      <c r="C232" s="351" t="s">
        <v>235</v>
      </c>
      <c r="D232" s="1385" t="s">
        <v>235</v>
      </c>
      <c r="E232" s="353" t="s">
        <v>1176</v>
      </c>
      <c r="F232" s="353" t="s">
        <v>235</v>
      </c>
      <c r="G232" s="353" t="s">
        <v>1176</v>
      </c>
      <c r="H232" s="353" t="s">
        <v>235</v>
      </c>
      <c r="I232" s="353" t="s">
        <v>235</v>
      </c>
      <c r="J232" s="353" t="s">
        <v>268</v>
      </c>
      <c r="K232" s="355" t="s">
        <v>235</v>
      </c>
    </row>
    <row r="233" spans="1:11" ht="30">
      <c r="A233" s="355">
        <v>3492</v>
      </c>
      <c r="B233" s="356" t="s">
        <v>411</v>
      </c>
      <c r="C233" s="351" t="s">
        <v>234</v>
      </c>
      <c r="D233" s="1385" t="s">
        <v>234</v>
      </c>
      <c r="E233" s="353" t="s">
        <v>234</v>
      </c>
      <c r="F233" s="353" t="s">
        <v>234</v>
      </c>
      <c r="G233" s="353" t="s">
        <v>234</v>
      </c>
      <c r="H233" s="353" t="s">
        <v>234</v>
      </c>
      <c r="I233" s="353" t="s">
        <v>1176</v>
      </c>
      <c r="J233" s="353" t="s">
        <v>268</v>
      </c>
      <c r="K233" s="355" t="s">
        <v>257</v>
      </c>
    </row>
    <row r="234" spans="1:11" ht="30">
      <c r="A234" s="355">
        <v>3493</v>
      </c>
      <c r="B234" s="356" t="s">
        <v>412</v>
      </c>
      <c r="C234" s="351" t="s">
        <v>234</v>
      </c>
      <c r="D234" s="1385" t="s">
        <v>234</v>
      </c>
      <c r="E234" s="353" t="s">
        <v>234</v>
      </c>
      <c r="F234" s="353" t="s">
        <v>234</v>
      </c>
      <c r="G234" s="353" t="s">
        <v>234</v>
      </c>
      <c r="H234" s="353" t="s">
        <v>234</v>
      </c>
      <c r="I234" s="353" t="s">
        <v>1176</v>
      </c>
      <c r="J234" s="353" t="s">
        <v>268</v>
      </c>
      <c r="K234" s="355" t="s">
        <v>257</v>
      </c>
    </row>
    <row r="235" spans="1:11">
      <c r="A235" s="355">
        <v>3494</v>
      </c>
      <c r="B235" s="356" t="s">
        <v>413</v>
      </c>
      <c r="C235" s="351" t="s">
        <v>235</v>
      </c>
      <c r="D235" s="1385" t="s">
        <v>235</v>
      </c>
      <c r="E235" s="353" t="s">
        <v>1176</v>
      </c>
      <c r="F235" s="353" t="s">
        <v>235</v>
      </c>
      <c r="G235" s="353" t="s">
        <v>235</v>
      </c>
      <c r="H235" s="353" t="s">
        <v>235</v>
      </c>
      <c r="I235" s="353" t="s">
        <v>235</v>
      </c>
      <c r="J235" s="353" t="s">
        <v>268</v>
      </c>
      <c r="K235" s="355" t="s">
        <v>235</v>
      </c>
    </row>
    <row r="236" spans="1:11" ht="30">
      <c r="A236" s="355">
        <v>3495</v>
      </c>
      <c r="B236" s="356" t="s">
        <v>414</v>
      </c>
      <c r="C236" s="351" t="s">
        <v>235</v>
      </c>
      <c r="D236" s="1385" t="s">
        <v>235</v>
      </c>
      <c r="E236" s="353" t="s">
        <v>235</v>
      </c>
      <c r="F236" s="353" t="s">
        <v>235</v>
      </c>
      <c r="G236" s="353" t="s">
        <v>235</v>
      </c>
      <c r="H236" s="353" t="s">
        <v>235</v>
      </c>
      <c r="I236" s="353" t="s">
        <v>235</v>
      </c>
      <c r="J236" s="353" t="s">
        <v>268</v>
      </c>
      <c r="K236" s="355" t="s">
        <v>255</v>
      </c>
    </row>
    <row r="237" spans="1:11">
      <c r="A237" s="355">
        <v>3570</v>
      </c>
      <c r="B237" s="356" t="s">
        <v>415</v>
      </c>
      <c r="C237" s="351" t="s">
        <v>235</v>
      </c>
      <c r="D237" s="1385" t="s">
        <v>235</v>
      </c>
      <c r="E237" s="353" t="s">
        <v>235</v>
      </c>
      <c r="F237" s="353" t="s">
        <v>235</v>
      </c>
      <c r="G237" s="353" t="s">
        <v>235</v>
      </c>
      <c r="H237" s="353" t="s">
        <v>235</v>
      </c>
      <c r="I237" s="353" t="s">
        <v>235</v>
      </c>
      <c r="J237" s="353" t="s">
        <v>268</v>
      </c>
      <c r="K237" s="355" t="s">
        <v>255</v>
      </c>
    </row>
    <row r="238" spans="1:11">
      <c r="A238" s="355">
        <v>3571</v>
      </c>
      <c r="B238" s="356" t="s">
        <v>416</v>
      </c>
      <c r="C238" s="351" t="s">
        <v>235</v>
      </c>
      <c r="D238" s="1385" t="s">
        <v>235</v>
      </c>
      <c r="E238" s="353" t="s">
        <v>235</v>
      </c>
      <c r="F238" s="353" t="s">
        <v>235</v>
      </c>
      <c r="G238" s="353" t="s">
        <v>235</v>
      </c>
      <c r="H238" s="353" t="s">
        <v>235</v>
      </c>
      <c r="I238" s="353" t="s">
        <v>235</v>
      </c>
      <c r="J238" s="353" t="s">
        <v>268</v>
      </c>
      <c r="K238" s="355" t="s">
        <v>255</v>
      </c>
    </row>
    <row r="239" spans="1:11">
      <c r="A239" s="355">
        <v>3572</v>
      </c>
      <c r="B239" s="356" t="s">
        <v>417</v>
      </c>
      <c r="C239" s="351" t="s">
        <v>236</v>
      </c>
      <c r="D239" s="1385" t="s">
        <v>236</v>
      </c>
      <c r="E239" s="353" t="s">
        <v>236</v>
      </c>
      <c r="F239" s="353" t="s">
        <v>236</v>
      </c>
      <c r="G239" s="353" t="s">
        <v>236</v>
      </c>
      <c r="H239" s="353" t="s">
        <v>236</v>
      </c>
      <c r="I239" s="353" t="s">
        <v>236</v>
      </c>
      <c r="J239" s="353" t="s">
        <v>268</v>
      </c>
      <c r="K239" s="355" t="s">
        <v>255</v>
      </c>
    </row>
    <row r="240" spans="1:11">
      <c r="A240" s="355">
        <v>3573</v>
      </c>
      <c r="B240" s="356" t="s">
        <v>418</v>
      </c>
      <c r="C240" s="351" t="s">
        <v>236</v>
      </c>
      <c r="D240" s="1385" t="s">
        <v>235</v>
      </c>
      <c r="E240" s="353" t="s">
        <v>235</v>
      </c>
      <c r="F240" s="353" t="s">
        <v>235</v>
      </c>
      <c r="G240" s="353" t="s">
        <v>235</v>
      </c>
      <c r="H240" s="353" t="s">
        <v>235</v>
      </c>
      <c r="I240" s="353" t="s">
        <v>235</v>
      </c>
      <c r="J240" s="353" t="s">
        <v>268</v>
      </c>
      <c r="K240" s="355" t="s">
        <v>236</v>
      </c>
    </row>
    <row r="241" spans="1:11">
      <c r="A241" s="355">
        <v>3574</v>
      </c>
      <c r="B241" s="356" t="s">
        <v>419</v>
      </c>
      <c r="C241" s="351" t="s">
        <v>235</v>
      </c>
      <c r="D241" s="1385" t="s">
        <v>235</v>
      </c>
      <c r="E241" s="353" t="s">
        <v>235</v>
      </c>
      <c r="F241" s="353" t="s">
        <v>235</v>
      </c>
      <c r="G241" s="353" t="s">
        <v>235</v>
      </c>
      <c r="H241" s="353" t="s">
        <v>235</v>
      </c>
      <c r="I241" s="353" t="s">
        <v>235</v>
      </c>
      <c r="J241" s="353" t="s">
        <v>268</v>
      </c>
      <c r="K241" s="355" t="s">
        <v>236</v>
      </c>
    </row>
    <row r="242" spans="1:11">
      <c r="A242" s="355">
        <v>3575</v>
      </c>
      <c r="B242" s="356" t="s">
        <v>141</v>
      </c>
      <c r="C242" s="351" t="s">
        <v>235</v>
      </c>
      <c r="D242" s="351" t="s">
        <v>235</v>
      </c>
      <c r="E242" s="353" t="s">
        <v>235</v>
      </c>
      <c r="F242" s="353" t="s">
        <v>235</v>
      </c>
      <c r="G242" s="353" t="s">
        <v>235</v>
      </c>
      <c r="H242" s="353" t="s">
        <v>235</v>
      </c>
      <c r="I242" s="353" t="s">
        <v>235</v>
      </c>
      <c r="J242" s="353" t="s">
        <v>268</v>
      </c>
      <c r="K242" s="355" t="s">
        <v>236</v>
      </c>
    </row>
    <row r="243" spans="1:11">
      <c r="A243" s="355">
        <v>3576</v>
      </c>
      <c r="B243" s="356" t="s">
        <v>420</v>
      </c>
      <c r="C243" s="351" t="s">
        <v>235</v>
      </c>
      <c r="D243" s="1385" t="s">
        <v>235</v>
      </c>
      <c r="E243" s="353" t="s">
        <v>235</v>
      </c>
      <c r="F243" s="353" t="s">
        <v>268</v>
      </c>
      <c r="G243" s="353" t="s">
        <v>235</v>
      </c>
      <c r="H243" s="353" t="s">
        <v>235</v>
      </c>
      <c r="I243" s="353" t="s">
        <v>235</v>
      </c>
      <c r="J243" s="353" t="s">
        <v>268</v>
      </c>
      <c r="K243" s="355" t="s">
        <v>255</v>
      </c>
    </row>
    <row r="244" spans="1:11" ht="15.75">
      <c r="A244" s="355">
        <v>3590</v>
      </c>
      <c r="B244" s="356" t="s">
        <v>421</v>
      </c>
      <c r="C244" s="351" t="s">
        <v>236</v>
      </c>
      <c r="D244" s="1386" t="s">
        <v>268</v>
      </c>
      <c r="E244" s="353" t="s">
        <v>236</v>
      </c>
      <c r="F244" s="353" t="s">
        <v>236</v>
      </c>
      <c r="G244" s="353" t="s">
        <v>236</v>
      </c>
      <c r="H244" s="353" t="s">
        <v>236</v>
      </c>
      <c r="I244" s="353" t="s">
        <v>236</v>
      </c>
      <c r="J244" s="353" t="s">
        <v>236</v>
      </c>
      <c r="K244" s="355" t="s">
        <v>235</v>
      </c>
    </row>
    <row r="245" spans="1:11">
      <c r="A245" s="355">
        <v>3591</v>
      </c>
      <c r="B245" s="356" t="s">
        <v>422</v>
      </c>
      <c r="C245" s="351" t="s">
        <v>236</v>
      </c>
      <c r="D245" s="1385" t="s">
        <v>236</v>
      </c>
      <c r="E245" s="353" t="s">
        <v>236</v>
      </c>
      <c r="F245" s="353" t="s">
        <v>236</v>
      </c>
      <c r="G245" s="353" t="s">
        <v>236</v>
      </c>
      <c r="H245" s="353" t="s">
        <v>236</v>
      </c>
      <c r="I245" s="353" t="s">
        <v>236</v>
      </c>
      <c r="J245" s="353" t="s">
        <v>268</v>
      </c>
      <c r="K245" s="355" t="s">
        <v>255</v>
      </c>
    </row>
    <row r="246" spans="1:11">
      <c r="A246" s="355">
        <v>3592</v>
      </c>
      <c r="B246" s="356" t="s">
        <v>423</v>
      </c>
      <c r="C246" s="351" t="s">
        <v>236</v>
      </c>
      <c r="D246" s="1385" t="s">
        <v>236</v>
      </c>
      <c r="E246" s="353" t="s">
        <v>236</v>
      </c>
      <c r="F246" s="353" t="s">
        <v>236</v>
      </c>
      <c r="G246" s="353" t="s">
        <v>236</v>
      </c>
      <c r="H246" s="353" t="s">
        <v>236</v>
      </c>
      <c r="I246" s="353" t="s">
        <v>236</v>
      </c>
      <c r="J246" s="353" t="s">
        <v>236</v>
      </c>
      <c r="K246" s="355" t="s">
        <v>235</v>
      </c>
    </row>
    <row r="247" spans="1:11">
      <c r="A247" s="355">
        <v>3593</v>
      </c>
      <c r="B247" s="356" t="s">
        <v>424</v>
      </c>
      <c r="C247" s="351" t="s">
        <v>236</v>
      </c>
      <c r="D247" s="1385" t="s">
        <v>235</v>
      </c>
      <c r="E247" s="353" t="s">
        <v>235</v>
      </c>
      <c r="F247" s="353" t="s">
        <v>235</v>
      </c>
      <c r="G247" s="353" t="s">
        <v>235</v>
      </c>
      <c r="H247" s="353" t="s">
        <v>235</v>
      </c>
      <c r="I247" s="353" t="s">
        <v>235</v>
      </c>
      <c r="J247" s="353" t="s">
        <v>268</v>
      </c>
      <c r="K247" s="355" t="s">
        <v>255</v>
      </c>
    </row>
    <row r="248" spans="1:11">
      <c r="A248" s="355">
        <v>3594</v>
      </c>
      <c r="B248" s="356" t="s">
        <v>425</v>
      </c>
      <c r="C248" s="351" t="s">
        <v>236</v>
      </c>
      <c r="D248" s="1385" t="s">
        <v>236</v>
      </c>
      <c r="E248" s="353" t="s">
        <v>236</v>
      </c>
      <c r="F248" s="353" t="s">
        <v>236</v>
      </c>
      <c r="G248" s="353" t="s">
        <v>236</v>
      </c>
      <c r="H248" s="353" t="s">
        <v>236</v>
      </c>
      <c r="I248" s="353" t="s">
        <v>236</v>
      </c>
      <c r="J248" s="353" t="s">
        <v>236</v>
      </c>
      <c r="K248" s="355" t="s">
        <v>255</v>
      </c>
    </row>
    <row r="249" spans="1:11">
      <c r="A249" s="355">
        <v>3595</v>
      </c>
      <c r="B249" s="356" t="s">
        <v>426</v>
      </c>
      <c r="C249" s="351" t="s">
        <v>236</v>
      </c>
      <c r="D249" s="1385" t="s">
        <v>235</v>
      </c>
      <c r="E249" s="353" t="s">
        <v>235</v>
      </c>
      <c r="F249" s="353" t="s">
        <v>235</v>
      </c>
      <c r="G249" s="353" t="s">
        <v>235</v>
      </c>
      <c r="H249" s="353" t="s">
        <v>235</v>
      </c>
      <c r="I249" s="353" t="s">
        <v>235</v>
      </c>
      <c r="J249" s="353" t="s">
        <v>236</v>
      </c>
      <c r="K249" s="355" t="s">
        <v>235</v>
      </c>
    </row>
    <row r="250" spans="1:11">
      <c r="A250" s="355">
        <v>3596</v>
      </c>
      <c r="B250" s="356" t="s">
        <v>427</v>
      </c>
      <c r="C250" s="351" t="s">
        <v>235</v>
      </c>
      <c r="D250" s="1385" t="s">
        <v>236</v>
      </c>
      <c r="E250" s="353" t="s">
        <v>236</v>
      </c>
      <c r="F250" s="353" t="s">
        <v>236</v>
      </c>
      <c r="G250" s="353" t="s">
        <v>236</v>
      </c>
      <c r="H250" s="353" t="s">
        <v>236</v>
      </c>
      <c r="I250" s="353" t="s">
        <v>236</v>
      </c>
      <c r="J250" s="353" t="s">
        <v>235</v>
      </c>
      <c r="K250" s="355" t="s">
        <v>234</v>
      </c>
    </row>
    <row r="251" spans="1:11">
      <c r="A251" s="355">
        <v>3597</v>
      </c>
      <c r="B251" s="356" t="s">
        <v>428</v>
      </c>
      <c r="C251" s="351" t="s">
        <v>236</v>
      </c>
      <c r="D251" s="1385" t="s">
        <v>236</v>
      </c>
      <c r="E251" s="353" t="s">
        <v>236</v>
      </c>
      <c r="F251" s="353" t="s">
        <v>236</v>
      </c>
      <c r="G251" s="353" t="s">
        <v>236</v>
      </c>
      <c r="H251" s="353" t="s">
        <v>236</v>
      </c>
      <c r="I251" s="353" t="s">
        <v>236</v>
      </c>
      <c r="J251" s="353" t="s">
        <v>236</v>
      </c>
      <c r="K251" s="355" t="s">
        <v>235</v>
      </c>
    </row>
    <row r="252" spans="1:11" ht="15.75">
      <c r="A252" s="355">
        <v>3690</v>
      </c>
      <c r="B252" s="356" t="s">
        <v>429</v>
      </c>
      <c r="C252" s="351" t="s">
        <v>236</v>
      </c>
      <c r="D252" s="1386" t="s">
        <v>268</v>
      </c>
      <c r="E252" s="353" t="s">
        <v>236</v>
      </c>
      <c r="F252" s="353" t="s">
        <v>236</v>
      </c>
      <c r="G252" s="353" t="s">
        <v>236</v>
      </c>
      <c r="H252" s="353" t="s">
        <v>236</v>
      </c>
      <c r="I252" s="353" t="s">
        <v>236</v>
      </c>
      <c r="J252" s="353" t="s">
        <v>268</v>
      </c>
      <c r="K252" s="355" t="s">
        <v>236</v>
      </c>
    </row>
    <row r="253" spans="1:11">
      <c r="A253" s="350">
        <v>3691</v>
      </c>
      <c r="B253" s="351" t="s">
        <v>430</v>
      </c>
      <c r="C253" s="351" t="s">
        <v>268</v>
      </c>
      <c r="D253" s="1383" t="s">
        <v>268</v>
      </c>
      <c r="E253" s="352" t="s">
        <v>268</v>
      </c>
      <c r="F253" s="352" t="s">
        <v>268</v>
      </c>
      <c r="G253" s="352" t="s">
        <v>268</v>
      </c>
      <c r="H253" s="352" t="s">
        <v>268</v>
      </c>
      <c r="I253" s="352" t="s">
        <v>268</v>
      </c>
      <c r="J253" s="353" t="s">
        <v>268</v>
      </c>
      <c r="K253" s="354" t="s">
        <v>257</v>
      </c>
    </row>
    <row r="254" spans="1:11">
      <c r="A254" s="355">
        <v>3693</v>
      </c>
      <c r="B254" s="356" t="s">
        <v>431</v>
      </c>
      <c r="C254" s="351" t="s">
        <v>236</v>
      </c>
      <c r="D254" s="1385" t="s">
        <v>235</v>
      </c>
      <c r="E254" s="353" t="s">
        <v>235</v>
      </c>
      <c r="F254" s="353" t="s">
        <v>235</v>
      </c>
      <c r="G254" s="353" t="s">
        <v>235</v>
      </c>
      <c r="H254" s="353" t="s">
        <v>235</v>
      </c>
      <c r="I254" s="353" t="s">
        <v>235</v>
      </c>
      <c r="J254" s="353" t="s">
        <v>268</v>
      </c>
      <c r="K254" s="355" t="s">
        <v>257</v>
      </c>
    </row>
    <row r="255" spans="1:11">
      <c r="A255" s="355">
        <v>3694</v>
      </c>
      <c r="B255" s="356" t="s">
        <v>432</v>
      </c>
      <c r="C255" s="351" t="s">
        <v>234</v>
      </c>
      <c r="D255" s="1385" t="s">
        <v>234</v>
      </c>
      <c r="E255" s="353" t="s">
        <v>234</v>
      </c>
      <c r="F255" s="353" t="s">
        <v>234</v>
      </c>
      <c r="G255" s="353" t="s">
        <v>234</v>
      </c>
      <c r="H255" s="353" t="s">
        <v>234</v>
      </c>
      <c r="I255" s="353" t="s">
        <v>234</v>
      </c>
      <c r="J255" s="353" t="s">
        <v>268</v>
      </c>
      <c r="K255" s="355" t="s">
        <v>255</v>
      </c>
    </row>
    <row r="256" spans="1:11">
      <c r="A256" s="350">
        <v>3695</v>
      </c>
      <c r="B256" s="351" t="s">
        <v>433</v>
      </c>
      <c r="C256" s="351" t="s">
        <v>1176</v>
      </c>
      <c r="D256" s="1383" t="s">
        <v>268</v>
      </c>
      <c r="E256" s="352" t="s">
        <v>1176</v>
      </c>
      <c r="F256" s="352" t="s">
        <v>1176</v>
      </c>
      <c r="G256" s="352" t="s">
        <v>1176</v>
      </c>
      <c r="H256" s="352" t="s">
        <v>1176</v>
      </c>
      <c r="I256" s="352" t="s">
        <v>1176</v>
      </c>
      <c r="J256" s="353" t="s">
        <v>268</v>
      </c>
      <c r="K256" s="354" t="s">
        <v>255</v>
      </c>
    </row>
    <row r="257" spans="1:11">
      <c r="A257" s="355">
        <v>3730</v>
      </c>
      <c r="B257" s="356" t="s">
        <v>434</v>
      </c>
      <c r="C257" s="351" t="s">
        <v>235</v>
      </c>
      <c r="D257" s="1385" t="s">
        <v>235</v>
      </c>
      <c r="E257" s="353" t="s">
        <v>235</v>
      </c>
      <c r="F257" s="353" t="s">
        <v>235</v>
      </c>
      <c r="G257" s="353" t="s">
        <v>235</v>
      </c>
      <c r="H257" s="353" t="s">
        <v>235</v>
      </c>
      <c r="I257" s="353" t="s">
        <v>235</v>
      </c>
      <c r="J257" s="353" t="s">
        <v>268</v>
      </c>
      <c r="K257" s="355" t="s">
        <v>255</v>
      </c>
    </row>
    <row r="258" spans="1:11" ht="30">
      <c r="A258" s="355">
        <v>3790</v>
      </c>
      <c r="B258" s="356" t="s">
        <v>435</v>
      </c>
      <c r="C258" s="351" t="s">
        <v>236</v>
      </c>
      <c r="D258" s="1385" t="s">
        <v>235</v>
      </c>
      <c r="E258" s="353" t="s">
        <v>235</v>
      </c>
      <c r="F258" s="353" t="s">
        <v>235</v>
      </c>
      <c r="G258" s="353" t="s">
        <v>235</v>
      </c>
      <c r="H258" s="353" t="s">
        <v>235</v>
      </c>
      <c r="I258" s="353" t="s">
        <v>235</v>
      </c>
      <c r="J258" s="353" t="s">
        <v>268</v>
      </c>
      <c r="K258" s="355" t="s">
        <v>255</v>
      </c>
    </row>
    <row r="259" spans="1:11">
      <c r="A259" s="355">
        <v>3791</v>
      </c>
      <c r="B259" s="356" t="s">
        <v>436</v>
      </c>
      <c r="C259" s="351" t="s">
        <v>236</v>
      </c>
      <c r="D259" s="1385" t="s">
        <v>236</v>
      </c>
      <c r="E259" s="353" t="s">
        <v>236</v>
      </c>
      <c r="F259" s="353" t="s">
        <v>268</v>
      </c>
      <c r="G259" s="353" t="s">
        <v>236</v>
      </c>
      <c r="H259" s="353" t="s">
        <v>236</v>
      </c>
      <c r="I259" s="353" t="s">
        <v>236</v>
      </c>
      <c r="J259" s="353" t="s">
        <v>268</v>
      </c>
      <c r="K259" s="355" t="s">
        <v>257</v>
      </c>
    </row>
    <row r="260" spans="1:11">
      <c r="A260" s="355">
        <v>3792</v>
      </c>
      <c r="B260" s="356" t="s">
        <v>437</v>
      </c>
      <c r="C260" s="351" t="s">
        <v>236</v>
      </c>
      <c r="D260" s="1385" t="s">
        <v>235</v>
      </c>
      <c r="E260" s="353" t="s">
        <v>235</v>
      </c>
      <c r="F260" s="353" t="s">
        <v>235</v>
      </c>
      <c r="G260" s="353" t="s">
        <v>235</v>
      </c>
      <c r="H260" s="353" t="s">
        <v>235</v>
      </c>
      <c r="I260" s="353" t="s">
        <v>235</v>
      </c>
      <c r="J260" s="353" t="s">
        <v>268</v>
      </c>
      <c r="K260" s="355" t="s">
        <v>257</v>
      </c>
    </row>
    <row r="261" spans="1:11">
      <c r="A261" s="355">
        <v>3793</v>
      </c>
      <c r="B261" s="356" t="s">
        <v>438</v>
      </c>
      <c r="C261" s="351" t="s">
        <v>236</v>
      </c>
      <c r="D261" s="1385" t="s">
        <v>236</v>
      </c>
      <c r="E261" s="353" t="s">
        <v>236</v>
      </c>
      <c r="F261" s="353" t="s">
        <v>236</v>
      </c>
      <c r="G261" s="353" t="s">
        <v>236</v>
      </c>
      <c r="H261" s="353" t="s">
        <v>236</v>
      </c>
      <c r="I261" s="353" t="s">
        <v>236</v>
      </c>
      <c r="J261" s="353" t="s">
        <v>268</v>
      </c>
      <c r="K261" s="355" t="s">
        <v>257</v>
      </c>
    </row>
    <row r="262" spans="1:11" ht="30">
      <c r="A262" s="355">
        <v>3794</v>
      </c>
      <c r="B262" s="356" t="s">
        <v>439</v>
      </c>
      <c r="C262" s="351" t="s">
        <v>236</v>
      </c>
      <c r="D262" s="1385" t="s">
        <v>235</v>
      </c>
      <c r="E262" s="353" t="s">
        <v>235</v>
      </c>
      <c r="F262" s="353" t="s">
        <v>235</v>
      </c>
      <c r="G262" s="353" t="s">
        <v>235</v>
      </c>
      <c r="H262" s="353" t="s">
        <v>235</v>
      </c>
      <c r="I262" s="353" t="s">
        <v>235</v>
      </c>
      <c r="J262" s="353" t="s">
        <v>268</v>
      </c>
      <c r="K262" s="355" t="s">
        <v>257</v>
      </c>
    </row>
    <row r="263" spans="1:11">
      <c r="A263" s="355">
        <v>3795</v>
      </c>
      <c r="B263" s="356" t="s">
        <v>440</v>
      </c>
      <c r="C263" s="351" t="s">
        <v>236</v>
      </c>
      <c r="D263" s="1385" t="s">
        <v>235</v>
      </c>
      <c r="E263" s="353" t="s">
        <v>235</v>
      </c>
      <c r="F263" s="353" t="s">
        <v>235</v>
      </c>
      <c r="G263" s="353" t="s">
        <v>235</v>
      </c>
      <c r="H263" s="353" t="s">
        <v>235</v>
      </c>
      <c r="I263" s="353" t="s">
        <v>235</v>
      </c>
      <c r="J263" s="353" t="s">
        <v>268</v>
      </c>
      <c r="K263" s="355" t="s">
        <v>255</v>
      </c>
    </row>
    <row r="264" spans="1:11" ht="30">
      <c r="A264" s="355">
        <v>3796</v>
      </c>
      <c r="B264" s="356" t="s">
        <v>441</v>
      </c>
      <c r="C264" s="351" t="s">
        <v>236</v>
      </c>
      <c r="D264" s="1385" t="s">
        <v>235</v>
      </c>
      <c r="E264" s="353" t="s">
        <v>235</v>
      </c>
      <c r="F264" s="353" t="s">
        <v>235</v>
      </c>
      <c r="G264" s="353" t="s">
        <v>235</v>
      </c>
      <c r="H264" s="353" t="s">
        <v>235</v>
      </c>
      <c r="I264" s="353" t="s">
        <v>235</v>
      </c>
      <c r="J264" s="353" t="s">
        <v>268</v>
      </c>
      <c r="K264" s="355" t="s">
        <v>235</v>
      </c>
    </row>
    <row r="265" spans="1:11">
      <c r="A265" s="355">
        <v>3797</v>
      </c>
      <c r="B265" s="356" t="s">
        <v>442</v>
      </c>
      <c r="C265" s="351" t="s">
        <v>234</v>
      </c>
      <c r="D265" s="1385" t="s">
        <v>268</v>
      </c>
      <c r="E265" s="353" t="s">
        <v>268</v>
      </c>
      <c r="F265" s="353" t="s">
        <v>268</v>
      </c>
      <c r="G265" s="353" t="s">
        <v>268</v>
      </c>
      <c r="H265" s="353" t="s">
        <v>268</v>
      </c>
      <c r="I265" s="353" t="s">
        <v>268</v>
      </c>
      <c r="J265" s="353" t="s">
        <v>268</v>
      </c>
      <c r="K265" s="355" t="s">
        <v>257</v>
      </c>
    </row>
    <row r="266" spans="1:11">
      <c r="A266" s="350">
        <v>3798</v>
      </c>
      <c r="B266" s="351" t="s">
        <v>443</v>
      </c>
      <c r="C266" s="351" t="s">
        <v>268</v>
      </c>
      <c r="D266" s="1383" t="s">
        <v>268</v>
      </c>
      <c r="E266" s="352" t="s">
        <v>1176</v>
      </c>
      <c r="F266" s="352" t="s">
        <v>268</v>
      </c>
      <c r="G266" s="352" t="s">
        <v>268</v>
      </c>
      <c r="H266" s="352" t="s">
        <v>268</v>
      </c>
      <c r="I266" s="352" t="s">
        <v>1176</v>
      </c>
      <c r="J266" s="353" t="s">
        <v>268</v>
      </c>
      <c r="K266" s="354" t="s">
        <v>257</v>
      </c>
    </row>
    <row r="267" spans="1:11">
      <c r="A267" s="355">
        <v>3799</v>
      </c>
      <c r="B267" s="356" t="s">
        <v>444</v>
      </c>
      <c r="C267" s="351" t="s">
        <v>235</v>
      </c>
      <c r="D267" s="1385" t="s">
        <v>268</v>
      </c>
      <c r="E267" s="353" t="s">
        <v>268</v>
      </c>
      <c r="F267" s="353" t="s">
        <v>268</v>
      </c>
      <c r="G267" s="353" t="s">
        <v>268</v>
      </c>
      <c r="H267" s="353" t="s">
        <v>268</v>
      </c>
      <c r="I267" s="353" t="s">
        <v>268</v>
      </c>
      <c r="J267" s="353" t="s">
        <v>268</v>
      </c>
      <c r="K267" s="355" t="s">
        <v>257</v>
      </c>
    </row>
    <row r="268" spans="1:11">
      <c r="A268" s="355">
        <v>3820</v>
      </c>
      <c r="B268" s="356" t="s">
        <v>445</v>
      </c>
      <c r="C268" s="351" t="s">
        <v>235</v>
      </c>
      <c r="D268" s="1385" t="s">
        <v>235</v>
      </c>
      <c r="E268" s="353" t="s">
        <v>235</v>
      </c>
      <c r="F268" s="353" t="s">
        <v>235</v>
      </c>
      <c r="G268" s="353" t="s">
        <v>235</v>
      </c>
      <c r="H268" s="353" t="s">
        <v>235</v>
      </c>
      <c r="I268" s="353" t="s">
        <v>235</v>
      </c>
      <c r="J268" s="353" t="s">
        <v>268</v>
      </c>
      <c r="K268" s="355" t="s">
        <v>236</v>
      </c>
    </row>
    <row r="269" spans="1:11" ht="30">
      <c r="A269" s="355">
        <v>3821</v>
      </c>
      <c r="B269" s="356" t="s">
        <v>446</v>
      </c>
      <c r="C269" s="351" t="s">
        <v>235</v>
      </c>
      <c r="D269" s="1385" t="s">
        <v>235</v>
      </c>
      <c r="E269" s="353" t="s">
        <v>235</v>
      </c>
      <c r="F269" s="353" t="s">
        <v>235</v>
      </c>
      <c r="G269" s="353" t="s">
        <v>235</v>
      </c>
      <c r="H269" s="353" t="s">
        <v>235</v>
      </c>
      <c r="I269" s="353" t="s">
        <v>235</v>
      </c>
      <c r="J269" s="353" t="s">
        <v>235</v>
      </c>
      <c r="K269" s="355" t="s">
        <v>255</v>
      </c>
    </row>
    <row r="270" spans="1:11">
      <c r="A270" s="355">
        <v>3822</v>
      </c>
      <c r="B270" s="356" t="s">
        <v>447</v>
      </c>
      <c r="C270" s="351" t="s">
        <v>235</v>
      </c>
      <c r="D270" s="1385" t="s">
        <v>235</v>
      </c>
      <c r="E270" s="353" t="s">
        <v>235</v>
      </c>
      <c r="F270" s="353" t="s">
        <v>235</v>
      </c>
      <c r="G270" s="353" t="s">
        <v>235</v>
      </c>
      <c r="H270" s="353" t="s">
        <v>235</v>
      </c>
      <c r="I270" s="353" t="s">
        <v>235</v>
      </c>
      <c r="J270" s="353" t="s">
        <v>268</v>
      </c>
      <c r="K270" s="355" t="s">
        <v>255</v>
      </c>
    </row>
    <row r="271" spans="1:11">
      <c r="A271" s="355">
        <v>3824</v>
      </c>
      <c r="B271" s="356" t="s">
        <v>448</v>
      </c>
      <c r="C271" s="351" t="s">
        <v>235</v>
      </c>
      <c r="D271" s="1385" t="s">
        <v>235</v>
      </c>
      <c r="E271" s="353" t="s">
        <v>235</v>
      </c>
      <c r="F271" s="353" t="s">
        <v>235</v>
      </c>
      <c r="G271" s="353" t="s">
        <v>235</v>
      </c>
      <c r="H271" s="353" t="s">
        <v>235</v>
      </c>
      <c r="I271" s="353" t="s">
        <v>235</v>
      </c>
      <c r="J271" s="353" t="s">
        <v>268</v>
      </c>
      <c r="K271" s="355" t="s">
        <v>255</v>
      </c>
    </row>
    <row r="272" spans="1:11" ht="30">
      <c r="A272" s="355">
        <v>3825</v>
      </c>
      <c r="B272" s="356" t="s">
        <v>449</v>
      </c>
      <c r="C272" s="351" t="s">
        <v>235</v>
      </c>
      <c r="D272" s="1385" t="s">
        <v>235</v>
      </c>
      <c r="E272" s="353" t="s">
        <v>235</v>
      </c>
      <c r="F272" s="353" t="s">
        <v>235</v>
      </c>
      <c r="G272" s="353" t="s">
        <v>235</v>
      </c>
      <c r="H272" s="353" t="s">
        <v>235</v>
      </c>
      <c r="I272" s="353" t="s">
        <v>235</v>
      </c>
      <c r="J272" s="353" t="s">
        <v>268</v>
      </c>
      <c r="K272" s="355" t="s">
        <v>257</v>
      </c>
    </row>
    <row r="273" spans="1:11">
      <c r="A273" s="355">
        <v>3826</v>
      </c>
      <c r="B273" s="356" t="s">
        <v>450</v>
      </c>
      <c r="C273" s="351" t="s">
        <v>234</v>
      </c>
      <c r="D273" s="1385" t="s">
        <v>234</v>
      </c>
      <c r="E273" s="353" t="s">
        <v>234</v>
      </c>
      <c r="F273" s="353" t="s">
        <v>234</v>
      </c>
      <c r="G273" s="353" t="s">
        <v>234</v>
      </c>
      <c r="H273" s="353" t="s">
        <v>234</v>
      </c>
      <c r="I273" s="353" t="s">
        <v>234</v>
      </c>
      <c r="J273" s="353" t="s">
        <v>268</v>
      </c>
      <c r="K273" s="355" t="s">
        <v>255</v>
      </c>
    </row>
    <row r="274" spans="1:11">
      <c r="A274" s="355">
        <v>3827</v>
      </c>
      <c r="B274" s="356" t="s">
        <v>451</v>
      </c>
      <c r="C274" s="351" t="s">
        <v>235</v>
      </c>
      <c r="D274" s="1385" t="s">
        <v>235</v>
      </c>
      <c r="E274" s="353" t="s">
        <v>235</v>
      </c>
      <c r="F274" s="353" t="s">
        <v>235</v>
      </c>
      <c r="G274" s="353" t="s">
        <v>235</v>
      </c>
      <c r="H274" s="353" t="s">
        <v>235</v>
      </c>
      <c r="I274" s="353" t="s">
        <v>235</v>
      </c>
      <c r="J274" s="353" t="s">
        <v>268</v>
      </c>
      <c r="K274" s="355" t="s">
        <v>255</v>
      </c>
    </row>
    <row r="275" spans="1:11" ht="30">
      <c r="A275" s="355">
        <v>3828</v>
      </c>
      <c r="B275" s="356" t="s">
        <v>452</v>
      </c>
      <c r="C275" s="351" t="s">
        <v>235</v>
      </c>
      <c r="D275" s="1385" t="s">
        <v>235</v>
      </c>
      <c r="E275" s="353" t="s">
        <v>235</v>
      </c>
      <c r="F275" s="353" t="s">
        <v>235</v>
      </c>
      <c r="G275" s="353" t="s">
        <v>235</v>
      </c>
      <c r="H275" s="353" t="s">
        <v>235</v>
      </c>
      <c r="I275" s="353" t="s">
        <v>235</v>
      </c>
      <c r="J275" s="353" t="s">
        <v>268</v>
      </c>
      <c r="K275" s="355" t="s">
        <v>255</v>
      </c>
    </row>
    <row r="276" spans="1:11">
      <c r="A276" s="355">
        <v>3829</v>
      </c>
      <c r="B276" s="356" t="s">
        <v>453</v>
      </c>
      <c r="C276" s="351" t="s">
        <v>235</v>
      </c>
      <c r="D276" s="1385" t="s">
        <v>235</v>
      </c>
      <c r="E276" s="353" t="s">
        <v>235</v>
      </c>
      <c r="F276" s="353" t="s">
        <v>235</v>
      </c>
      <c r="G276" s="353" t="s">
        <v>235</v>
      </c>
      <c r="H276" s="353" t="s">
        <v>235</v>
      </c>
      <c r="I276" s="353" t="s">
        <v>235</v>
      </c>
      <c r="J276" s="353" t="s">
        <v>268</v>
      </c>
      <c r="K276" s="355" t="s">
        <v>255</v>
      </c>
    </row>
    <row r="277" spans="1:11">
      <c r="A277" s="355">
        <v>3871</v>
      </c>
      <c r="B277" s="356" t="s">
        <v>454</v>
      </c>
      <c r="C277" s="351" t="s">
        <v>235</v>
      </c>
      <c r="D277" s="1385" t="s">
        <v>235</v>
      </c>
      <c r="E277" s="353" t="s">
        <v>235</v>
      </c>
      <c r="F277" s="353" t="s">
        <v>235</v>
      </c>
      <c r="G277" s="353" t="s">
        <v>235</v>
      </c>
      <c r="H277" s="353" t="s">
        <v>235</v>
      </c>
      <c r="I277" s="353" t="s">
        <v>235</v>
      </c>
      <c r="J277" s="353" t="s">
        <v>235</v>
      </c>
      <c r="K277" s="355" t="s">
        <v>234</v>
      </c>
    </row>
    <row r="278" spans="1:11">
      <c r="A278" s="355">
        <v>3872</v>
      </c>
      <c r="B278" s="356" t="s">
        <v>455</v>
      </c>
      <c r="C278" s="351" t="s">
        <v>236</v>
      </c>
      <c r="D278" s="1385" t="s">
        <v>236</v>
      </c>
      <c r="E278" s="353" t="s">
        <v>236</v>
      </c>
      <c r="F278" s="353" t="s">
        <v>236</v>
      </c>
      <c r="G278" s="353" t="s">
        <v>236</v>
      </c>
      <c r="H278" s="353" t="s">
        <v>236</v>
      </c>
      <c r="I278" s="353" t="s">
        <v>236</v>
      </c>
      <c r="J278" s="353" t="s">
        <v>236</v>
      </c>
      <c r="K278" s="355" t="s">
        <v>234</v>
      </c>
    </row>
    <row r="279" spans="1:11" ht="30">
      <c r="A279" s="355">
        <v>3873</v>
      </c>
      <c r="B279" s="356" t="s">
        <v>456</v>
      </c>
      <c r="C279" s="351" t="s">
        <v>237</v>
      </c>
      <c r="D279" s="1385" t="s">
        <v>237</v>
      </c>
      <c r="E279" s="353" t="s">
        <v>268</v>
      </c>
      <c r="F279" s="353" t="s">
        <v>237</v>
      </c>
      <c r="G279" s="353" t="s">
        <v>237</v>
      </c>
      <c r="H279" s="353" t="s">
        <v>237</v>
      </c>
      <c r="I279" s="353" t="s">
        <v>268</v>
      </c>
      <c r="J279" s="353" t="s">
        <v>237</v>
      </c>
      <c r="K279" s="355" t="s">
        <v>234</v>
      </c>
    </row>
    <row r="280" spans="1:11" ht="30">
      <c r="A280" s="355">
        <v>3891</v>
      </c>
      <c r="B280" s="356" t="s">
        <v>457</v>
      </c>
      <c r="C280" s="351" t="s">
        <v>236</v>
      </c>
      <c r="D280" s="1385" t="s">
        <v>236</v>
      </c>
      <c r="E280" s="353" t="s">
        <v>236</v>
      </c>
      <c r="F280" s="353" t="s">
        <v>236</v>
      </c>
      <c r="G280" s="353" t="s">
        <v>236</v>
      </c>
      <c r="H280" s="353" t="s">
        <v>236</v>
      </c>
      <c r="I280" s="353" t="s">
        <v>236</v>
      </c>
      <c r="J280" s="353" t="s">
        <v>236</v>
      </c>
      <c r="K280" s="355" t="s">
        <v>234</v>
      </c>
    </row>
    <row r="281" spans="1:11">
      <c r="A281" s="355">
        <v>3892</v>
      </c>
      <c r="B281" s="356" t="s">
        <v>458</v>
      </c>
      <c r="C281" s="351" t="s">
        <v>235</v>
      </c>
      <c r="D281" s="1385" t="s">
        <v>235</v>
      </c>
      <c r="E281" s="353" t="s">
        <v>235</v>
      </c>
      <c r="F281" s="353" t="s">
        <v>235</v>
      </c>
      <c r="G281" s="353" t="s">
        <v>235</v>
      </c>
      <c r="H281" s="353" t="s">
        <v>235</v>
      </c>
      <c r="I281" s="353" t="s">
        <v>235</v>
      </c>
      <c r="J281" s="353" t="s">
        <v>235</v>
      </c>
      <c r="K281" s="355" t="s">
        <v>234</v>
      </c>
    </row>
    <row r="282" spans="1:11">
      <c r="A282" s="350">
        <v>3960</v>
      </c>
      <c r="B282" s="351" t="s">
        <v>459</v>
      </c>
      <c r="C282" s="351" t="s">
        <v>1176</v>
      </c>
      <c r="D282" s="1383" t="s">
        <v>268</v>
      </c>
      <c r="E282" s="352" t="s">
        <v>1176</v>
      </c>
      <c r="F282" s="352" t="s">
        <v>1176</v>
      </c>
      <c r="G282" s="352" t="s">
        <v>1176</v>
      </c>
      <c r="H282" s="352" t="s">
        <v>1176</v>
      </c>
      <c r="I282" s="352" t="s">
        <v>1176</v>
      </c>
      <c r="J282" s="353" t="s">
        <v>1176</v>
      </c>
      <c r="K282" s="354" t="s">
        <v>234</v>
      </c>
    </row>
    <row r="283" spans="1:11">
      <c r="A283" s="355">
        <v>3970</v>
      </c>
      <c r="B283" s="356" t="s">
        <v>460</v>
      </c>
      <c r="C283" s="351" t="s">
        <v>236</v>
      </c>
      <c r="D283" s="1385" t="s">
        <v>236</v>
      </c>
      <c r="E283" s="353" t="s">
        <v>236</v>
      </c>
      <c r="F283" s="353" t="s">
        <v>236</v>
      </c>
      <c r="G283" s="353" t="s">
        <v>236</v>
      </c>
      <c r="H283" s="353" t="s">
        <v>236</v>
      </c>
      <c r="I283" s="353" t="s">
        <v>236</v>
      </c>
      <c r="J283" s="353" t="s">
        <v>268</v>
      </c>
      <c r="K283" s="355" t="s">
        <v>234</v>
      </c>
    </row>
    <row r="284" spans="1:11" ht="30">
      <c r="A284" s="350">
        <v>3980</v>
      </c>
      <c r="B284" s="351" t="s">
        <v>461</v>
      </c>
      <c r="C284" s="351" t="s">
        <v>1176</v>
      </c>
      <c r="D284" s="1383" t="s">
        <v>268</v>
      </c>
      <c r="E284" s="352" t="s">
        <v>1176</v>
      </c>
      <c r="F284" s="352" t="s">
        <v>1176</v>
      </c>
      <c r="G284" s="352" t="s">
        <v>1176</v>
      </c>
      <c r="H284" s="352" t="s">
        <v>1176</v>
      </c>
      <c r="I284" s="352" t="s">
        <v>1176</v>
      </c>
      <c r="J284" s="353" t="s">
        <v>1176</v>
      </c>
      <c r="K284" s="354" t="s">
        <v>255</v>
      </c>
    </row>
    <row r="285" spans="1:11">
      <c r="A285" s="355">
        <v>3981</v>
      </c>
      <c r="B285" s="356" t="s">
        <v>462</v>
      </c>
      <c r="C285" s="351" t="s">
        <v>235</v>
      </c>
      <c r="D285" s="1385" t="s">
        <v>235</v>
      </c>
      <c r="E285" s="353" t="s">
        <v>235</v>
      </c>
      <c r="F285" s="353" t="s">
        <v>235</v>
      </c>
      <c r="G285" s="353" t="s">
        <v>235</v>
      </c>
      <c r="H285" s="353" t="s">
        <v>235</v>
      </c>
      <c r="I285" s="353" t="s">
        <v>235</v>
      </c>
      <c r="J285" s="353" t="s">
        <v>268</v>
      </c>
      <c r="K285" s="355" t="s">
        <v>257</v>
      </c>
    </row>
    <row r="286" spans="1:11">
      <c r="A286" s="350">
        <v>3982</v>
      </c>
      <c r="B286" s="351" t="s">
        <v>463</v>
      </c>
      <c r="C286" s="351" t="s">
        <v>268</v>
      </c>
      <c r="D286" s="1383" t="s">
        <v>268</v>
      </c>
      <c r="E286" s="352" t="s">
        <v>268</v>
      </c>
      <c r="F286" s="352" t="s">
        <v>268</v>
      </c>
      <c r="G286" s="352" t="s">
        <v>268</v>
      </c>
      <c r="H286" s="352" t="s">
        <v>268</v>
      </c>
      <c r="I286" s="352" t="s">
        <v>268</v>
      </c>
      <c r="J286" s="353" t="s">
        <v>268</v>
      </c>
      <c r="K286" s="354" t="s">
        <v>257</v>
      </c>
    </row>
    <row r="287" spans="1:11" ht="30">
      <c r="A287" s="355">
        <v>3983</v>
      </c>
      <c r="B287" s="356" t="s">
        <v>464</v>
      </c>
      <c r="C287" s="351" t="s">
        <v>236</v>
      </c>
      <c r="D287" s="1385" t="s">
        <v>236</v>
      </c>
      <c r="E287" s="353" t="s">
        <v>236</v>
      </c>
      <c r="F287" s="353" t="s">
        <v>236</v>
      </c>
      <c r="G287" s="353" t="s">
        <v>236</v>
      </c>
      <c r="H287" s="353" t="s">
        <v>236</v>
      </c>
      <c r="I287" s="353" t="s">
        <v>236</v>
      </c>
      <c r="J287" s="353" t="s">
        <v>268</v>
      </c>
      <c r="K287" s="355" t="s">
        <v>255</v>
      </c>
    </row>
    <row r="288" spans="1:11" ht="30">
      <c r="A288" s="355">
        <v>3984</v>
      </c>
      <c r="B288" s="356" t="s">
        <v>465</v>
      </c>
      <c r="C288" s="351" t="s">
        <v>236</v>
      </c>
      <c r="D288" s="1385" t="s">
        <v>236</v>
      </c>
      <c r="E288" s="353" t="s">
        <v>236</v>
      </c>
      <c r="F288" s="353" t="s">
        <v>236</v>
      </c>
      <c r="G288" s="353" t="s">
        <v>236</v>
      </c>
      <c r="H288" s="353" t="s">
        <v>236</v>
      </c>
      <c r="I288" s="353" t="s">
        <v>236</v>
      </c>
      <c r="J288" s="353" t="s">
        <v>236</v>
      </c>
      <c r="K288" s="355" t="s">
        <v>235</v>
      </c>
    </row>
    <row r="289" spans="1:11">
      <c r="A289" s="355">
        <v>3991</v>
      </c>
      <c r="B289" s="356" t="s">
        <v>466</v>
      </c>
      <c r="C289" s="351" t="s">
        <v>235</v>
      </c>
      <c r="D289" s="1385" t="s">
        <v>235</v>
      </c>
      <c r="E289" s="353" t="s">
        <v>235</v>
      </c>
      <c r="F289" s="353" t="s">
        <v>235</v>
      </c>
      <c r="G289" s="353" t="s">
        <v>235</v>
      </c>
      <c r="H289" s="353" t="s">
        <v>235</v>
      </c>
      <c r="I289" s="353" t="s">
        <v>235</v>
      </c>
      <c r="J289" s="353" t="s">
        <v>235</v>
      </c>
      <c r="K289" s="355" t="s">
        <v>234</v>
      </c>
    </row>
    <row r="290" spans="1:11">
      <c r="A290" s="355">
        <v>3992</v>
      </c>
      <c r="B290" s="356" t="s">
        <v>467</v>
      </c>
      <c r="C290" s="351" t="s">
        <v>235</v>
      </c>
      <c r="D290" s="1385" t="s">
        <v>235</v>
      </c>
      <c r="E290" s="353" t="s">
        <v>235</v>
      </c>
      <c r="F290" s="353" t="s">
        <v>235</v>
      </c>
      <c r="G290" s="353" t="s">
        <v>235</v>
      </c>
      <c r="H290" s="353" t="s">
        <v>235</v>
      </c>
      <c r="I290" s="353" t="s">
        <v>235</v>
      </c>
      <c r="J290" s="353" t="s">
        <v>235</v>
      </c>
      <c r="K290" s="355" t="s">
        <v>234</v>
      </c>
    </row>
    <row r="291" spans="1:11" ht="30">
      <c r="A291" s="355">
        <v>4000</v>
      </c>
      <c r="B291" s="356" t="s">
        <v>468</v>
      </c>
      <c r="C291" s="351" t="s">
        <v>236</v>
      </c>
      <c r="D291" s="1386" t="s">
        <v>268</v>
      </c>
      <c r="E291" s="353" t="s">
        <v>268</v>
      </c>
      <c r="F291" s="353" t="s">
        <v>268</v>
      </c>
      <c r="G291" s="353" t="s">
        <v>268</v>
      </c>
      <c r="H291" s="353" t="s">
        <v>236</v>
      </c>
      <c r="I291" s="353" t="s">
        <v>268</v>
      </c>
      <c r="J291" s="353" t="s">
        <v>268</v>
      </c>
      <c r="K291" s="355" t="s">
        <v>257</v>
      </c>
    </row>
    <row r="292" spans="1:11">
      <c r="A292" s="350">
        <v>4111</v>
      </c>
      <c r="B292" s="351" t="s">
        <v>469</v>
      </c>
      <c r="C292" s="351" t="s">
        <v>268</v>
      </c>
      <c r="D292" s="1383" t="s">
        <v>268</v>
      </c>
      <c r="E292" s="352" t="s">
        <v>268</v>
      </c>
      <c r="F292" s="352" t="s">
        <v>268</v>
      </c>
      <c r="G292" s="352" t="s">
        <v>268</v>
      </c>
      <c r="H292" s="352" t="s">
        <v>268</v>
      </c>
      <c r="I292" s="352" t="s">
        <v>268</v>
      </c>
      <c r="J292" s="353" t="s">
        <v>268</v>
      </c>
      <c r="K292" s="354" t="s">
        <v>257</v>
      </c>
    </row>
    <row r="293" spans="1:11">
      <c r="A293" s="355">
        <v>4112</v>
      </c>
      <c r="B293" s="356" t="s">
        <v>470</v>
      </c>
      <c r="C293" s="351" t="s">
        <v>235</v>
      </c>
      <c r="D293" s="1385" t="s">
        <v>235</v>
      </c>
      <c r="E293" s="353" t="s">
        <v>268</v>
      </c>
      <c r="F293" s="353" t="s">
        <v>235</v>
      </c>
      <c r="G293" s="353" t="s">
        <v>235</v>
      </c>
      <c r="H293" s="353" t="s">
        <v>235</v>
      </c>
      <c r="I293" s="353" t="s">
        <v>235</v>
      </c>
      <c r="J293" s="353" t="s">
        <v>268</v>
      </c>
      <c r="K293" s="355" t="s">
        <v>257</v>
      </c>
    </row>
    <row r="294" spans="1:11">
      <c r="A294" s="355">
        <v>4113</v>
      </c>
      <c r="B294" s="356" t="s">
        <v>471</v>
      </c>
      <c r="C294" s="351" t="s">
        <v>235</v>
      </c>
      <c r="D294" s="1385" t="s">
        <v>235</v>
      </c>
      <c r="E294" s="353" t="s">
        <v>1176</v>
      </c>
      <c r="F294" s="353" t="s">
        <v>235</v>
      </c>
      <c r="G294" s="353" t="s">
        <v>235</v>
      </c>
      <c r="H294" s="353" t="s">
        <v>235</v>
      </c>
      <c r="I294" s="353" t="s">
        <v>235</v>
      </c>
      <c r="J294" s="353" t="s">
        <v>268</v>
      </c>
      <c r="K294" s="355" t="s">
        <v>236</v>
      </c>
    </row>
    <row r="295" spans="1:11" ht="15.75">
      <c r="A295" s="355">
        <v>4114</v>
      </c>
      <c r="B295" s="356" t="s">
        <v>472</v>
      </c>
      <c r="C295" s="351" t="s">
        <v>236</v>
      </c>
      <c r="D295" s="1386" t="s">
        <v>268</v>
      </c>
      <c r="E295" s="353" t="s">
        <v>268</v>
      </c>
      <c r="F295" s="353" t="s">
        <v>268</v>
      </c>
      <c r="G295" s="353" t="s">
        <v>268</v>
      </c>
      <c r="H295" s="353" t="s">
        <v>235</v>
      </c>
      <c r="I295" s="353" t="s">
        <v>268</v>
      </c>
      <c r="J295" s="353" t="s">
        <v>268</v>
      </c>
      <c r="K295" s="355" t="s">
        <v>257</v>
      </c>
    </row>
    <row r="296" spans="1:11">
      <c r="A296" s="355">
        <v>4115</v>
      </c>
      <c r="B296" s="356" t="s">
        <v>473</v>
      </c>
      <c r="C296" s="351" t="s">
        <v>237</v>
      </c>
      <c r="D296" s="1385" t="s">
        <v>237</v>
      </c>
      <c r="E296" s="353" t="s">
        <v>268</v>
      </c>
      <c r="F296" s="353" t="s">
        <v>237</v>
      </c>
      <c r="G296" s="353" t="s">
        <v>237</v>
      </c>
      <c r="H296" s="353" t="s">
        <v>237</v>
      </c>
      <c r="I296" s="353" t="s">
        <v>237</v>
      </c>
      <c r="J296" s="353" t="s">
        <v>268</v>
      </c>
      <c r="K296" s="355" t="s">
        <v>257</v>
      </c>
    </row>
    <row r="297" spans="1:11">
      <c r="A297" s="355">
        <v>4116</v>
      </c>
      <c r="B297" s="356" t="s">
        <v>474</v>
      </c>
      <c r="C297" s="351" t="s">
        <v>236</v>
      </c>
      <c r="D297" s="1385" t="s">
        <v>236</v>
      </c>
      <c r="E297" s="353" t="s">
        <v>236</v>
      </c>
      <c r="F297" s="353" t="s">
        <v>268</v>
      </c>
      <c r="G297" s="353" t="s">
        <v>236</v>
      </c>
      <c r="H297" s="353" t="s">
        <v>236</v>
      </c>
      <c r="I297" s="353" t="s">
        <v>236</v>
      </c>
      <c r="J297" s="353" t="s">
        <v>268</v>
      </c>
      <c r="K297" s="355" t="s">
        <v>257</v>
      </c>
    </row>
    <row r="298" spans="1:11" ht="30">
      <c r="A298" s="355">
        <v>4117</v>
      </c>
      <c r="B298" s="356" t="s">
        <v>475</v>
      </c>
      <c r="C298" s="351" t="s">
        <v>237</v>
      </c>
      <c r="D298" s="1385" t="s">
        <v>237</v>
      </c>
      <c r="E298" s="353" t="s">
        <v>237</v>
      </c>
      <c r="F298" s="353" t="s">
        <v>268</v>
      </c>
      <c r="G298" s="353" t="s">
        <v>237</v>
      </c>
      <c r="H298" s="353" t="s">
        <v>268</v>
      </c>
      <c r="I298" s="353" t="s">
        <v>237</v>
      </c>
      <c r="J298" s="353" t="s">
        <v>268</v>
      </c>
      <c r="K298" s="355" t="s">
        <v>255</v>
      </c>
    </row>
    <row r="299" spans="1:11">
      <c r="A299" s="355">
        <v>4118</v>
      </c>
      <c r="B299" s="356" t="s">
        <v>476</v>
      </c>
      <c r="C299" s="351" t="s">
        <v>236</v>
      </c>
      <c r="D299" s="1385" t="s">
        <v>236</v>
      </c>
      <c r="E299" s="353" t="s">
        <v>236</v>
      </c>
      <c r="F299" s="353" t="s">
        <v>236</v>
      </c>
      <c r="G299" s="353" t="s">
        <v>268</v>
      </c>
      <c r="H299" s="353" t="s">
        <v>236</v>
      </c>
      <c r="I299" s="353" t="s">
        <v>236</v>
      </c>
      <c r="J299" s="353" t="s">
        <v>268</v>
      </c>
      <c r="K299" s="355" t="s">
        <v>235</v>
      </c>
    </row>
    <row r="300" spans="1:11" ht="30">
      <c r="A300" s="355">
        <v>4119</v>
      </c>
      <c r="B300" s="356" t="s">
        <v>477</v>
      </c>
      <c r="C300" s="351" t="s">
        <v>236</v>
      </c>
      <c r="D300" s="1385" t="s">
        <v>236</v>
      </c>
      <c r="E300" s="353" t="s">
        <v>1176</v>
      </c>
      <c r="F300" s="353" t="s">
        <v>236</v>
      </c>
      <c r="G300" s="353" t="s">
        <v>236</v>
      </c>
      <c r="H300" s="353" t="s">
        <v>236</v>
      </c>
      <c r="I300" s="353" t="s">
        <v>236</v>
      </c>
      <c r="J300" s="353" t="s">
        <v>268</v>
      </c>
      <c r="K300" s="355" t="s">
        <v>257</v>
      </c>
    </row>
    <row r="301" spans="1:11">
      <c r="A301" s="355">
        <v>4120</v>
      </c>
      <c r="B301" s="356" t="s">
        <v>478</v>
      </c>
      <c r="C301" s="351" t="s">
        <v>234</v>
      </c>
      <c r="D301" s="1385" t="s">
        <v>268</v>
      </c>
      <c r="E301" s="353" t="s">
        <v>268</v>
      </c>
      <c r="F301" s="353" t="s">
        <v>268</v>
      </c>
      <c r="G301" s="353" t="s">
        <v>268</v>
      </c>
      <c r="H301" s="353" t="s">
        <v>268</v>
      </c>
      <c r="I301" s="353" t="s">
        <v>268</v>
      </c>
      <c r="J301" s="353" t="s">
        <v>268</v>
      </c>
      <c r="K301" s="355" t="s">
        <v>257</v>
      </c>
    </row>
    <row r="302" spans="1:11">
      <c r="A302" s="350">
        <v>4210</v>
      </c>
      <c r="B302" s="351" t="s">
        <v>479</v>
      </c>
      <c r="C302" s="351" t="s">
        <v>1176</v>
      </c>
      <c r="D302" s="1383" t="s">
        <v>268</v>
      </c>
      <c r="E302" s="352" t="s">
        <v>237</v>
      </c>
      <c r="F302" s="352" t="s">
        <v>237</v>
      </c>
      <c r="G302" s="352" t="s">
        <v>268</v>
      </c>
      <c r="H302" s="352" t="s">
        <v>237</v>
      </c>
      <c r="I302" s="352" t="s">
        <v>256</v>
      </c>
      <c r="J302" s="353" t="s">
        <v>1176</v>
      </c>
      <c r="K302" s="354" t="s">
        <v>255</v>
      </c>
    </row>
    <row r="303" spans="1:11">
      <c r="A303" s="350">
        <v>4220</v>
      </c>
      <c r="B303" s="351" t="s">
        <v>480</v>
      </c>
      <c r="C303" s="351" t="s">
        <v>1176</v>
      </c>
      <c r="D303" s="1383" t="s">
        <v>268</v>
      </c>
      <c r="E303" s="352" t="s">
        <v>237</v>
      </c>
      <c r="F303" s="352" t="s">
        <v>237</v>
      </c>
      <c r="G303" s="352" t="s">
        <v>268</v>
      </c>
      <c r="H303" s="352" t="s">
        <v>237</v>
      </c>
      <c r="I303" s="352" t="s">
        <v>256</v>
      </c>
      <c r="J303" s="353" t="s">
        <v>1176</v>
      </c>
      <c r="K303" s="354" t="s">
        <v>255</v>
      </c>
    </row>
    <row r="304" spans="1:11">
      <c r="A304" s="350">
        <v>4221</v>
      </c>
      <c r="B304" s="351" t="s">
        <v>481</v>
      </c>
      <c r="C304" s="351" t="s">
        <v>1176</v>
      </c>
      <c r="D304" s="1383" t="s">
        <v>268</v>
      </c>
      <c r="E304" s="352" t="s">
        <v>1176</v>
      </c>
      <c r="F304" s="352" t="s">
        <v>1176</v>
      </c>
      <c r="G304" s="352" t="s">
        <v>1176</v>
      </c>
      <c r="H304" s="352" t="s">
        <v>1176</v>
      </c>
      <c r="I304" s="352" t="s">
        <v>1176</v>
      </c>
      <c r="J304" s="353" t="s">
        <v>1176</v>
      </c>
      <c r="K304" s="354" t="s">
        <v>255</v>
      </c>
    </row>
    <row r="305" spans="1:11">
      <c r="A305" s="350">
        <v>4231</v>
      </c>
      <c r="B305" s="351" t="s">
        <v>482</v>
      </c>
      <c r="C305" s="351" t="s">
        <v>268</v>
      </c>
      <c r="D305" s="1383" t="s">
        <v>268</v>
      </c>
      <c r="E305" s="352" t="s">
        <v>268</v>
      </c>
      <c r="F305" s="352" t="s">
        <v>268</v>
      </c>
      <c r="G305" s="352" t="s">
        <v>268</v>
      </c>
      <c r="H305" s="352" t="s">
        <v>268</v>
      </c>
      <c r="I305" s="352" t="s">
        <v>268</v>
      </c>
      <c r="J305" s="353" t="s">
        <v>268</v>
      </c>
      <c r="K305" s="354" t="s">
        <v>257</v>
      </c>
    </row>
    <row r="306" spans="1:11" ht="15.75">
      <c r="A306" s="355">
        <v>4241</v>
      </c>
      <c r="B306" s="356" t="s">
        <v>483</v>
      </c>
      <c r="C306" s="351" t="s">
        <v>237</v>
      </c>
      <c r="D306" s="1384" t="s">
        <v>268</v>
      </c>
      <c r="E306" s="353" t="s">
        <v>237</v>
      </c>
      <c r="F306" s="353" t="s">
        <v>237</v>
      </c>
      <c r="G306" s="353" t="s">
        <v>1176</v>
      </c>
      <c r="H306" s="353" t="s">
        <v>237</v>
      </c>
      <c r="I306" s="353" t="s">
        <v>237</v>
      </c>
      <c r="J306" s="353" t="s">
        <v>237</v>
      </c>
      <c r="K306" s="355" t="s">
        <v>234</v>
      </c>
    </row>
    <row r="307" spans="1:11" ht="15.75">
      <c r="A307" s="355">
        <v>4251</v>
      </c>
      <c r="B307" s="356" t="s">
        <v>484</v>
      </c>
      <c r="C307" s="351" t="s">
        <v>236</v>
      </c>
      <c r="D307" s="1387" t="s">
        <v>268</v>
      </c>
      <c r="E307" s="353" t="s">
        <v>236</v>
      </c>
      <c r="F307" s="353" t="s">
        <v>236</v>
      </c>
      <c r="G307" s="353" t="s">
        <v>236</v>
      </c>
      <c r="H307" s="353" t="s">
        <v>236</v>
      </c>
      <c r="I307" s="353" t="s">
        <v>236</v>
      </c>
      <c r="J307" s="353" t="s">
        <v>236</v>
      </c>
      <c r="K307" s="355" t="s">
        <v>234</v>
      </c>
    </row>
    <row r="308" spans="1:11">
      <c r="A308" s="355">
        <v>4261</v>
      </c>
      <c r="B308" s="356" t="s">
        <v>485</v>
      </c>
      <c r="C308" s="351" t="s">
        <v>234</v>
      </c>
      <c r="D308" s="1385" t="s">
        <v>236</v>
      </c>
      <c r="E308" s="353" t="s">
        <v>236</v>
      </c>
      <c r="F308" s="353" t="s">
        <v>236</v>
      </c>
      <c r="G308" s="353" t="s">
        <v>236</v>
      </c>
      <c r="H308" s="353" t="s">
        <v>236</v>
      </c>
      <c r="I308" s="353" t="s">
        <v>236</v>
      </c>
      <c r="J308" s="353" t="s">
        <v>234</v>
      </c>
      <c r="K308" s="355" t="s">
        <v>235</v>
      </c>
    </row>
    <row r="309" spans="1:11">
      <c r="A309" s="355">
        <v>4262</v>
      </c>
      <c r="B309" s="356" t="s">
        <v>486</v>
      </c>
      <c r="C309" s="351" t="s">
        <v>234</v>
      </c>
      <c r="D309" s="1385" t="s">
        <v>236</v>
      </c>
      <c r="E309" s="353" t="s">
        <v>236</v>
      </c>
      <c r="F309" s="353" t="s">
        <v>268</v>
      </c>
      <c r="G309" s="353" t="s">
        <v>236</v>
      </c>
      <c r="H309" s="353" t="s">
        <v>236</v>
      </c>
      <c r="I309" s="353" t="s">
        <v>236</v>
      </c>
      <c r="J309" s="353" t="s">
        <v>234</v>
      </c>
      <c r="K309" s="355" t="s">
        <v>235</v>
      </c>
    </row>
    <row r="310" spans="1:11" ht="30">
      <c r="A310" s="355">
        <v>4263</v>
      </c>
      <c r="B310" s="356" t="s">
        <v>487</v>
      </c>
      <c r="C310" s="351" t="s">
        <v>235</v>
      </c>
      <c r="D310" s="1385" t="s">
        <v>235</v>
      </c>
      <c r="E310" s="353" t="s">
        <v>235</v>
      </c>
      <c r="F310" s="353" t="s">
        <v>268</v>
      </c>
      <c r="G310" s="353" t="s">
        <v>235</v>
      </c>
      <c r="H310" s="353" t="s">
        <v>235</v>
      </c>
      <c r="I310" s="353" t="s">
        <v>235</v>
      </c>
      <c r="J310" s="353" t="s">
        <v>235</v>
      </c>
      <c r="K310" s="355" t="s">
        <v>235</v>
      </c>
    </row>
    <row r="311" spans="1:11" ht="45">
      <c r="A311" s="355">
        <v>4273</v>
      </c>
      <c r="B311" s="356" t="s">
        <v>488</v>
      </c>
      <c r="C311" s="351" t="s">
        <v>235</v>
      </c>
      <c r="D311" s="1385" t="s">
        <v>235</v>
      </c>
      <c r="E311" s="353" t="s">
        <v>235</v>
      </c>
      <c r="F311" s="353" t="s">
        <v>235</v>
      </c>
      <c r="G311" s="353" t="s">
        <v>235</v>
      </c>
      <c r="H311" s="353" t="s">
        <v>235</v>
      </c>
      <c r="I311" s="353" t="s">
        <v>235</v>
      </c>
      <c r="J311" s="353" t="s">
        <v>235</v>
      </c>
      <c r="K311" s="355" t="s">
        <v>235</v>
      </c>
    </row>
    <row r="312" spans="1:11" ht="45">
      <c r="A312" s="350">
        <v>4274</v>
      </c>
      <c r="B312" s="351" t="s">
        <v>489</v>
      </c>
      <c r="C312" s="351" t="s">
        <v>268</v>
      </c>
      <c r="D312" s="1383" t="s">
        <v>268</v>
      </c>
      <c r="E312" s="352" t="s">
        <v>268</v>
      </c>
      <c r="F312" s="352" t="s">
        <v>268</v>
      </c>
      <c r="G312" s="352" t="s">
        <v>268</v>
      </c>
      <c r="H312" s="352" t="s">
        <v>268</v>
      </c>
      <c r="I312" s="352" t="s">
        <v>1176</v>
      </c>
      <c r="J312" s="353" t="s">
        <v>268</v>
      </c>
      <c r="K312" s="354" t="s">
        <v>257</v>
      </c>
    </row>
    <row r="313" spans="1:11" ht="45">
      <c r="A313" s="355">
        <v>4275</v>
      </c>
      <c r="B313" s="356" t="s">
        <v>490</v>
      </c>
      <c r="C313" s="351" t="s">
        <v>235</v>
      </c>
      <c r="D313" s="1385" t="s">
        <v>235</v>
      </c>
      <c r="E313" s="353" t="s">
        <v>235</v>
      </c>
      <c r="F313" s="353" t="s">
        <v>1184</v>
      </c>
      <c r="G313" s="353" t="s">
        <v>235</v>
      </c>
      <c r="H313" s="353" t="s">
        <v>235</v>
      </c>
      <c r="I313" s="353" t="s">
        <v>235</v>
      </c>
      <c r="J313" s="353" t="s">
        <v>235</v>
      </c>
      <c r="K313" s="355" t="s">
        <v>235</v>
      </c>
    </row>
    <row r="314" spans="1:11" ht="45">
      <c r="A314" s="350">
        <v>4276</v>
      </c>
      <c r="B314" s="351" t="s">
        <v>491</v>
      </c>
      <c r="C314" s="351" t="s">
        <v>268</v>
      </c>
      <c r="D314" s="1383" t="s">
        <v>268</v>
      </c>
      <c r="E314" s="352" t="s">
        <v>268</v>
      </c>
      <c r="F314" s="352" t="s">
        <v>268</v>
      </c>
      <c r="G314" s="352" t="s">
        <v>268</v>
      </c>
      <c r="H314" s="352" t="s">
        <v>268</v>
      </c>
      <c r="I314" s="352" t="s">
        <v>1176</v>
      </c>
      <c r="J314" s="353" t="s">
        <v>268</v>
      </c>
      <c r="K314" s="354" t="s">
        <v>255</v>
      </c>
    </row>
    <row r="315" spans="1:11">
      <c r="A315" s="355">
        <v>4277</v>
      </c>
      <c r="B315" s="356" t="s">
        <v>492</v>
      </c>
      <c r="C315" s="351" t="s">
        <v>234</v>
      </c>
      <c r="D315" s="1385" t="s">
        <v>236</v>
      </c>
      <c r="E315" s="353" t="s">
        <v>236</v>
      </c>
      <c r="F315" s="353" t="s">
        <v>236</v>
      </c>
      <c r="G315" s="353" t="s">
        <v>236</v>
      </c>
      <c r="H315" s="353" t="s">
        <v>236</v>
      </c>
      <c r="I315" s="353" t="s">
        <v>236</v>
      </c>
      <c r="J315" s="353" t="s">
        <v>268</v>
      </c>
      <c r="K315" s="355" t="s">
        <v>235</v>
      </c>
    </row>
    <row r="316" spans="1:11">
      <c r="A316" s="355">
        <v>4281</v>
      </c>
      <c r="B316" s="356" t="s">
        <v>493</v>
      </c>
      <c r="C316" s="351" t="s">
        <v>236</v>
      </c>
      <c r="D316" s="1385" t="s">
        <v>236</v>
      </c>
      <c r="E316" s="353" t="s">
        <v>236</v>
      </c>
      <c r="F316" s="353" t="s">
        <v>236</v>
      </c>
      <c r="G316" s="353" t="s">
        <v>236</v>
      </c>
      <c r="H316" s="353" t="s">
        <v>236</v>
      </c>
      <c r="I316" s="353" t="s">
        <v>236</v>
      </c>
      <c r="J316" s="353" t="s">
        <v>236</v>
      </c>
      <c r="K316" s="355" t="s">
        <v>235</v>
      </c>
    </row>
    <row r="317" spans="1:11" ht="30">
      <c r="A317" s="355">
        <v>4290</v>
      </c>
      <c r="B317" s="356" t="s">
        <v>494</v>
      </c>
      <c r="C317" s="351" t="s">
        <v>236</v>
      </c>
      <c r="D317" s="1385" t="s">
        <v>236</v>
      </c>
      <c r="E317" s="353" t="s">
        <v>236</v>
      </c>
      <c r="F317" s="353" t="s">
        <v>236</v>
      </c>
      <c r="G317" s="353" t="s">
        <v>236</v>
      </c>
      <c r="H317" s="353" t="s">
        <v>236</v>
      </c>
      <c r="I317" s="353" t="s">
        <v>236</v>
      </c>
      <c r="J317" s="353" t="s">
        <v>236</v>
      </c>
      <c r="K317" s="355" t="s">
        <v>235</v>
      </c>
    </row>
    <row r="318" spans="1:11">
      <c r="A318" s="350">
        <v>4461</v>
      </c>
      <c r="B318" s="351" t="s">
        <v>495</v>
      </c>
      <c r="C318" s="351" t="s">
        <v>268</v>
      </c>
      <c r="D318" s="1383" t="s">
        <v>268</v>
      </c>
      <c r="E318" s="352" t="s">
        <v>268</v>
      </c>
      <c r="F318" s="352" t="s">
        <v>268</v>
      </c>
      <c r="G318" s="352" t="s">
        <v>268</v>
      </c>
      <c r="H318" s="352" t="s">
        <v>268</v>
      </c>
      <c r="I318" s="352" t="s">
        <v>1176</v>
      </c>
      <c r="J318" s="353" t="s">
        <v>268</v>
      </c>
      <c r="K318" s="354" t="s">
        <v>257</v>
      </c>
    </row>
    <row r="319" spans="1:11">
      <c r="A319" s="350">
        <v>4462</v>
      </c>
      <c r="B319" s="351" t="s">
        <v>496</v>
      </c>
      <c r="C319" s="351" t="s">
        <v>268</v>
      </c>
      <c r="D319" s="1383" t="s">
        <v>268</v>
      </c>
      <c r="E319" s="352" t="s">
        <v>1176</v>
      </c>
      <c r="F319" s="352" t="s">
        <v>1176</v>
      </c>
      <c r="G319" s="352" t="s">
        <v>1176</v>
      </c>
      <c r="H319" s="352" t="s">
        <v>1182</v>
      </c>
      <c r="I319" s="352" t="s">
        <v>1176</v>
      </c>
      <c r="J319" s="353" t="s">
        <v>268</v>
      </c>
      <c r="K319" s="354" t="s">
        <v>257</v>
      </c>
    </row>
    <row r="320" spans="1:11">
      <c r="A320" s="350">
        <v>4470</v>
      </c>
      <c r="B320" s="351" t="s">
        <v>497</v>
      </c>
      <c r="C320" s="351" t="s">
        <v>1176</v>
      </c>
      <c r="D320" s="1383" t="s">
        <v>268</v>
      </c>
      <c r="E320" s="352" t="s">
        <v>268</v>
      </c>
      <c r="F320" s="352" t="s">
        <v>1176</v>
      </c>
      <c r="G320" s="352" t="s">
        <v>1176</v>
      </c>
      <c r="H320" s="352" t="s">
        <v>1176</v>
      </c>
      <c r="I320" s="352" t="s">
        <v>268</v>
      </c>
      <c r="J320" s="353" t="s">
        <v>268</v>
      </c>
      <c r="K320" s="354" t="s">
        <v>257</v>
      </c>
    </row>
    <row r="321" spans="1:11">
      <c r="A321" s="355">
        <v>4471</v>
      </c>
      <c r="B321" s="356" t="s">
        <v>498</v>
      </c>
      <c r="C321" s="351" t="s">
        <v>237</v>
      </c>
      <c r="D321" s="1385" t="s">
        <v>237</v>
      </c>
      <c r="E321" s="353" t="s">
        <v>237</v>
      </c>
      <c r="F321" s="353" t="s">
        <v>237</v>
      </c>
      <c r="G321" s="353" t="s">
        <v>237</v>
      </c>
      <c r="H321" s="353" t="s">
        <v>237</v>
      </c>
      <c r="I321" s="353" t="s">
        <v>237</v>
      </c>
      <c r="J321" s="353" t="s">
        <v>237</v>
      </c>
      <c r="K321" s="355" t="s">
        <v>1180</v>
      </c>
    </row>
    <row r="322" spans="1:11" ht="15.75">
      <c r="A322" s="355">
        <v>4472</v>
      </c>
      <c r="B322" s="356" t="s">
        <v>499</v>
      </c>
      <c r="C322" s="351" t="s">
        <v>237</v>
      </c>
      <c r="D322" s="1384" t="s">
        <v>268</v>
      </c>
      <c r="E322" s="353" t="s">
        <v>237</v>
      </c>
      <c r="F322" s="353" t="s">
        <v>237</v>
      </c>
      <c r="G322" s="353" t="s">
        <v>237</v>
      </c>
      <c r="H322" s="353" t="s">
        <v>237</v>
      </c>
      <c r="I322" s="353" t="s">
        <v>268</v>
      </c>
      <c r="J322" s="353" t="s">
        <v>268</v>
      </c>
      <c r="K322" s="355" t="s">
        <v>1180</v>
      </c>
    </row>
    <row r="323" spans="1:11" ht="15.75">
      <c r="A323" s="355">
        <v>4473</v>
      </c>
      <c r="B323" s="356" t="s">
        <v>500</v>
      </c>
      <c r="C323" s="351" t="s">
        <v>237</v>
      </c>
      <c r="D323" s="1384" t="s">
        <v>268</v>
      </c>
      <c r="E323" s="353" t="s">
        <v>237</v>
      </c>
      <c r="F323" s="353" t="s">
        <v>237</v>
      </c>
      <c r="G323" s="353" t="s">
        <v>1176</v>
      </c>
      <c r="H323" s="353" t="s">
        <v>237</v>
      </c>
      <c r="I323" s="353" t="s">
        <v>237</v>
      </c>
      <c r="J323" s="353" t="s">
        <v>268</v>
      </c>
      <c r="K323" s="355" t="s">
        <v>1180</v>
      </c>
    </row>
    <row r="324" spans="1:11" ht="30">
      <c r="A324" s="355">
        <v>4474</v>
      </c>
      <c r="B324" s="356" t="s">
        <v>501</v>
      </c>
      <c r="C324" s="351" t="s">
        <v>237</v>
      </c>
      <c r="D324" s="1384" t="s">
        <v>268</v>
      </c>
      <c r="E324" s="353" t="s">
        <v>237</v>
      </c>
      <c r="F324" s="353" t="s">
        <v>237</v>
      </c>
      <c r="G324" s="353" t="s">
        <v>237</v>
      </c>
      <c r="H324" s="353" t="s">
        <v>237</v>
      </c>
      <c r="I324" s="353" t="s">
        <v>237</v>
      </c>
      <c r="J324" s="353" t="s">
        <v>268</v>
      </c>
      <c r="K324" s="355" t="s">
        <v>1180</v>
      </c>
    </row>
    <row r="325" spans="1:11" ht="15.75">
      <c r="A325" s="355">
        <v>4475</v>
      </c>
      <c r="B325" s="356" t="s">
        <v>502</v>
      </c>
      <c r="C325" s="351" t="s">
        <v>237</v>
      </c>
      <c r="D325" s="1384" t="s">
        <v>268</v>
      </c>
      <c r="E325" s="353" t="s">
        <v>237</v>
      </c>
      <c r="F325" s="353" t="s">
        <v>237</v>
      </c>
      <c r="G325" s="353" t="s">
        <v>237</v>
      </c>
      <c r="H325" s="353" t="s">
        <v>237</v>
      </c>
      <c r="I325" s="353" t="s">
        <v>237</v>
      </c>
      <c r="J325" s="353" t="s">
        <v>268</v>
      </c>
      <c r="K325" s="355" t="s">
        <v>1180</v>
      </c>
    </row>
    <row r="326" spans="1:11" ht="30">
      <c r="A326" s="355">
        <v>4476</v>
      </c>
      <c r="B326" s="356" t="s">
        <v>503</v>
      </c>
      <c r="C326" s="351" t="s">
        <v>237</v>
      </c>
      <c r="D326" s="1384" t="s">
        <v>268</v>
      </c>
      <c r="E326" s="353" t="s">
        <v>237</v>
      </c>
      <c r="F326" s="353" t="s">
        <v>237</v>
      </c>
      <c r="G326" s="353" t="s">
        <v>237</v>
      </c>
      <c r="H326" s="353" t="s">
        <v>237</v>
      </c>
      <c r="I326" s="353" t="s">
        <v>237</v>
      </c>
      <c r="J326" s="353" t="s">
        <v>268</v>
      </c>
      <c r="K326" s="355" t="s">
        <v>1180</v>
      </c>
    </row>
    <row r="327" spans="1:11" ht="15.75">
      <c r="A327" s="355">
        <v>4477</v>
      </c>
      <c r="B327" s="356" t="s">
        <v>504</v>
      </c>
      <c r="C327" s="351" t="s">
        <v>237</v>
      </c>
      <c r="D327" s="1384" t="s">
        <v>268</v>
      </c>
      <c r="E327" s="353" t="s">
        <v>237</v>
      </c>
      <c r="F327" s="353" t="s">
        <v>237</v>
      </c>
      <c r="G327" s="353" t="s">
        <v>237</v>
      </c>
      <c r="H327" s="353" t="s">
        <v>237</v>
      </c>
      <c r="I327" s="353" t="s">
        <v>237</v>
      </c>
      <c r="J327" s="353" t="s">
        <v>268</v>
      </c>
      <c r="K327" s="355" t="s">
        <v>1180</v>
      </c>
    </row>
    <row r="328" spans="1:11" ht="15.75">
      <c r="A328" s="355">
        <v>4478</v>
      </c>
      <c r="B328" s="356" t="s">
        <v>505</v>
      </c>
      <c r="C328" s="351" t="s">
        <v>237</v>
      </c>
      <c r="D328" s="1384" t="s">
        <v>268</v>
      </c>
      <c r="E328" s="353" t="s">
        <v>237</v>
      </c>
      <c r="F328" s="353" t="s">
        <v>237</v>
      </c>
      <c r="G328" s="353" t="s">
        <v>237</v>
      </c>
      <c r="H328" s="353" t="s">
        <v>237</v>
      </c>
      <c r="I328" s="353" t="s">
        <v>237</v>
      </c>
      <c r="J328" s="353" t="s">
        <v>268</v>
      </c>
      <c r="K328" s="355" t="s">
        <v>1180</v>
      </c>
    </row>
    <row r="329" spans="1:11" ht="15.75">
      <c r="A329" s="355">
        <v>4479</v>
      </c>
      <c r="B329" s="356" t="s">
        <v>506</v>
      </c>
      <c r="C329" s="351" t="s">
        <v>236</v>
      </c>
      <c r="D329" s="1387" t="s">
        <v>268</v>
      </c>
      <c r="E329" s="353" t="s">
        <v>268</v>
      </c>
      <c r="F329" s="353" t="s">
        <v>236</v>
      </c>
      <c r="G329" s="353" t="s">
        <v>236</v>
      </c>
      <c r="H329" s="353" t="s">
        <v>236</v>
      </c>
      <c r="I329" s="353" t="s">
        <v>236</v>
      </c>
      <c r="J329" s="353" t="s">
        <v>268</v>
      </c>
      <c r="K329" s="355" t="s">
        <v>1180</v>
      </c>
    </row>
    <row r="330" spans="1:11">
      <c r="A330" s="350">
        <v>4580</v>
      </c>
      <c r="B330" s="351" t="s">
        <v>507</v>
      </c>
      <c r="C330" s="351" t="s">
        <v>256</v>
      </c>
      <c r="D330" s="1383" t="s">
        <v>268</v>
      </c>
      <c r="E330" s="352" t="s">
        <v>236</v>
      </c>
      <c r="F330" s="352" t="s">
        <v>236</v>
      </c>
      <c r="G330" s="352" t="s">
        <v>268</v>
      </c>
      <c r="H330" s="352" t="s">
        <v>236</v>
      </c>
      <c r="I330" s="352" t="s">
        <v>1176</v>
      </c>
      <c r="J330" s="353" t="s">
        <v>268</v>
      </c>
      <c r="K330" s="354" t="s">
        <v>257</v>
      </c>
    </row>
    <row r="331" spans="1:11" ht="30">
      <c r="A331" s="355">
        <v>4780</v>
      </c>
      <c r="B331" s="356" t="s">
        <v>508</v>
      </c>
      <c r="C331" s="351" t="s">
        <v>235</v>
      </c>
      <c r="D331" s="1385" t="s">
        <v>235</v>
      </c>
      <c r="E331" s="353" t="s">
        <v>235</v>
      </c>
      <c r="F331" s="353" t="s">
        <v>235</v>
      </c>
      <c r="G331" s="353" t="s">
        <v>235</v>
      </c>
      <c r="H331" s="353" t="s">
        <v>235</v>
      </c>
      <c r="I331" s="353" t="s">
        <v>235</v>
      </c>
      <c r="J331" s="353" t="s">
        <v>268</v>
      </c>
      <c r="K331" s="355" t="s">
        <v>255</v>
      </c>
    </row>
    <row r="332" spans="1:11">
      <c r="A332" s="350">
        <v>4811</v>
      </c>
      <c r="B332" s="351" t="s">
        <v>509</v>
      </c>
      <c r="C332" s="351" t="s">
        <v>268</v>
      </c>
      <c r="D332" s="1383" t="s">
        <v>268</v>
      </c>
      <c r="E332" s="352" t="s">
        <v>1176</v>
      </c>
      <c r="F332" s="352" t="s">
        <v>1176</v>
      </c>
      <c r="G332" s="352" t="s">
        <v>1176</v>
      </c>
      <c r="H332" s="352" t="s">
        <v>1176</v>
      </c>
      <c r="I332" s="352" t="s">
        <v>1176</v>
      </c>
      <c r="J332" s="353" t="s">
        <v>268</v>
      </c>
      <c r="K332" s="354" t="s">
        <v>236</v>
      </c>
    </row>
    <row r="333" spans="1:11">
      <c r="A333" s="355">
        <v>4812</v>
      </c>
      <c r="B333" s="356" t="s">
        <v>510</v>
      </c>
      <c r="C333" s="351" t="s">
        <v>235</v>
      </c>
      <c r="D333" s="1385" t="s">
        <v>235</v>
      </c>
      <c r="E333" s="353" t="s">
        <v>1176</v>
      </c>
      <c r="F333" s="353" t="s">
        <v>235</v>
      </c>
      <c r="G333" s="353" t="s">
        <v>1176</v>
      </c>
      <c r="H333" s="353" t="s">
        <v>235</v>
      </c>
      <c r="I333" s="353" t="s">
        <v>1176</v>
      </c>
      <c r="J333" s="353" t="s">
        <v>268</v>
      </c>
      <c r="K333" s="355" t="s">
        <v>236</v>
      </c>
    </row>
    <row r="334" spans="1:11">
      <c r="A334" s="350">
        <v>4820</v>
      </c>
      <c r="B334" s="351" t="s">
        <v>511</v>
      </c>
      <c r="C334" s="351" t="s">
        <v>268</v>
      </c>
      <c r="D334" s="1383" t="s">
        <v>268</v>
      </c>
      <c r="E334" s="352" t="s">
        <v>1176</v>
      </c>
      <c r="F334" s="352" t="s">
        <v>1176</v>
      </c>
      <c r="G334" s="352" t="s">
        <v>1176</v>
      </c>
      <c r="H334" s="352" t="s">
        <v>1176</v>
      </c>
      <c r="I334" s="352" t="s">
        <v>1176</v>
      </c>
      <c r="J334" s="353" t="s">
        <v>268</v>
      </c>
      <c r="K334" s="354" t="s">
        <v>236</v>
      </c>
    </row>
    <row r="335" spans="1:11">
      <c r="A335" s="355">
        <v>4871</v>
      </c>
      <c r="B335" s="356" t="s">
        <v>512</v>
      </c>
      <c r="C335" s="351" t="s">
        <v>236</v>
      </c>
      <c r="D335" s="1385" t="s">
        <v>236</v>
      </c>
      <c r="E335" s="353" t="s">
        <v>236</v>
      </c>
      <c r="F335" s="353" t="s">
        <v>236</v>
      </c>
      <c r="G335" s="353" t="s">
        <v>236</v>
      </c>
      <c r="H335" s="353" t="s">
        <v>236</v>
      </c>
      <c r="I335" s="353" t="s">
        <v>236</v>
      </c>
      <c r="J335" s="353" t="s">
        <v>268</v>
      </c>
      <c r="K335" s="355" t="s">
        <v>236</v>
      </c>
    </row>
    <row r="336" spans="1:11" ht="30">
      <c r="A336" s="355">
        <v>4891</v>
      </c>
      <c r="B336" s="356" t="s">
        <v>513</v>
      </c>
      <c r="C336" s="351" t="s">
        <v>235</v>
      </c>
      <c r="D336" s="1385" t="s">
        <v>235</v>
      </c>
      <c r="E336" s="353" t="s">
        <v>235</v>
      </c>
      <c r="F336" s="353" t="s">
        <v>235</v>
      </c>
      <c r="G336" s="353" t="s">
        <v>235</v>
      </c>
      <c r="H336" s="353" t="s">
        <v>235</v>
      </c>
      <c r="I336" s="353" t="s">
        <v>235</v>
      </c>
      <c r="J336" s="353" t="s">
        <v>268</v>
      </c>
      <c r="K336" s="355" t="s">
        <v>236</v>
      </c>
    </row>
    <row r="337" spans="1:11" ht="30">
      <c r="A337" s="355">
        <v>4892</v>
      </c>
      <c r="B337" s="356" t="s">
        <v>514</v>
      </c>
      <c r="C337" s="351" t="s">
        <v>235</v>
      </c>
      <c r="D337" s="1385" t="s">
        <v>235</v>
      </c>
      <c r="E337" s="353" t="s">
        <v>235</v>
      </c>
      <c r="F337" s="353" t="s">
        <v>235</v>
      </c>
      <c r="G337" s="353" t="s">
        <v>235</v>
      </c>
      <c r="H337" s="353" t="s">
        <v>235</v>
      </c>
      <c r="I337" s="353" t="s">
        <v>235</v>
      </c>
      <c r="J337" s="353" t="s">
        <v>268</v>
      </c>
      <c r="K337" s="355" t="s">
        <v>236</v>
      </c>
    </row>
    <row r="338" spans="1:11" ht="15.75">
      <c r="A338" s="355">
        <v>4910</v>
      </c>
      <c r="B338" s="356" t="s">
        <v>515</v>
      </c>
      <c r="C338" s="351" t="s">
        <v>236</v>
      </c>
      <c r="D338" s="1384" t="s">
        <v>268</v>
      </c>
      <c r="E338" s="353" t="s">
        <v>268</v>
      </c>
      <c r="F338" s="353" t="s">
        <v>236</v>
      </c>
      <c r="G338" s="353" t="s">
        <v>236</v>
      </c>
      <c r="H338" s="353" t="s">
        <v>236</v>
      </c>
      <c r="I338" s="353" t="s">
        <v>1176</v>
      </c>
      <c r="J338" s="353" t="s">
        <v>268</v>
      </c>
      <c r="K338" s="355" t="s">
        <v>257</v>
      </c>
    </row>
    <row r="339" spans="1:11">
      <c r="A339" s="350">
        <v>4921</v>
      </c>
      <c r="B339" s="351" t="s">
        <v>516</v>
      </c>
      <c r="C339" s="351" t="s">
        <v>268</v>
      </c>
      <c r="D339" s="1383" t="s">
        <v>268</v>
      </c>
      <c r="E339" s="352" t="s">
        <v>268</v>
      </c>
      <c r="F339" s="352" t="s">
        <v>268</v>
      </c>
      <c r="G339" s="352" t="s">
        <v>268</v>
      </c>
      <c r="H339" s="352" t="s">
        <v>268</v>
      </c>
      <c r="I339" s="352" t="s">
        <v>268</v>
      </c>
      <c r="J339" s="353" t="s">
        <v>268</v>
      </c>
      <c r="K339" s="354" t="s">
        <v>257</v>
      </c>
    </row>
    <row r="340" spans="1:11">
      <c r="A340" s="350">
        <v>4922</v>
      </c>
      <c r="B340" s="351" t="s">
        <v>517</v>
      </c>
      <c r="C340" s="351" t="s">
        <v>268</v>
      </c>
      <c r="D340" s="1383" t="s">
        <v>268</v>
      </c>
      <c r="E340" s="352" t="s">
        <v>268</v>
      </c>
      <c r="F340" s="352" t="s">
        <v>268</v>
      </c>
      <c r="G340" s="352" t="s">
        <v>268</v>
      </c>
      <c r="H340" s="352" t="s">
        <v>268</v>
      </c>
      <c r="I340" s="352" t="s">
        <v>268</v>
      </c>
      <c r="J340" s="353" t="s">
        <v>268</v>
      </c>
      <c r="K340" s="354" t="s">
        <v>257</v>
      </c>
    </row>
    <row r="341" spans="1:11">
      <c r="A341" s="350">
        <v>4950</v>
      </c>
      <c r="B341" s="351" t="s">
        <v>518</v>
      </c>
      <c r="C341" s="351" t="s">
        <v>268</v>
      </c>
      <c r="D341" s="1383" t="s">
        <v>268</v>
      </c>
      <c r="E341" s="352" t="s">
        <v>268</v>
      </c>
      <c r="F341" s="352" t="s">
        <v>268</v>
      </c>
      <c r="G341" s="352" t="s">
        <v>268</v>
      </c>
      <c r="H341" s="352" t="s">
        <v>268</v>
      </c>
      <c r="I341" s="352" t="s">
        <v>1176</v>
      </c>
      <c r="J341" s="353" t="s">
        <v>268</v>
      </c>
      <c r="K341" s="354" t="s">
        <v>257</v>
      </c>
    </row>
    <row r="342" spans="1:11">
      <c r="A342" s="350">
        <v>4951</v>
      </c>
      <c r="B342" s="351" t="s">
        <v>519</v>
      </c>
      <c r="C342" s="351" t="s">
        <v>268</v>
      </c>
      <c r="D342" s="1383" t="s">
        <v>268</v>
      </c>
      <c r="E342" s="352" t="s">
        <v>268</v>
      </c>
      <c r="F342" s="352" t="s">
        <v>268</v>
      </c>
      <c r="G342" s="352" t="s">
        <v>268</v>
      </c>
      <c r="H342" s="352" t="s">
        <v>268</v>
      </c>
      <c r="I342" s="352" t="s">
        <v>1176</v>
      </c>
      <c r="J342" s="353" t="s">
        <v>268</v>
      </c>
      <c r="K342" s="354" t="s">
        <v>257</v>
      </c>
    </row>
    <row r="343" spans="1:11">
      <c r="A343" s="350">
        <v>4952</v>
      </c>
      <c r="B343" s="351" t="s">
        <v>520</v>
      </c>
      <c r="C343" s="351" t="s">
        <v>268</v>
      </c>
      <c r="D343" s="1383" t="s">
        <v>268</v>
      </c>
      <c r="E343" s="352" t="s">
        <v>1176</v>
      </c>
      <c r="F343" s="352" t="s">
        <v>268</v>
      </c>
      <c r="G343" s="352" t="s">
        <v>268</v>
      </c>
      <c r="H343" s="352" t="s">
        <v>268</v>
      </c>
      <c r="I343" s="352" t="s">
        <v>1176</v>
      </c>
      <c r="J343" s="353" t="s">
        <v>268</v>
      </c>
      <c r="K343" s="354" t="s">
        <v>257</v>
      </c>
    </row>
    <row r="344" spans="1:11">
      <c r="A344" s="350">
        <v>4953</v>
      </c>
      <c r="B344" s="351" t="s">
        <v>521</v>
      </c>
      <c r="C344" s="351" t="s">
        <v>268</v>
      </c>
      <c r="D344" s="1383" t="s">
        <v>268</v>
      </c>
      <c r="E344" s="352" t="s">
        <v>1176</v>
      </c>
      <c r="F344" s="352" t="s">
        <v>268</v>
      </c>
      <c r="G344" s="352" t="s">
        <v>268</v>
      </c>
      <c r="H344" s="352" t="s">
        <v>268</v>
      </c>
      <c r="I344" s="352" t="s">
        <v>1176</v>
      </c>
      <c r="J344" s="353" t="s">
        <v>268</v>
      </c>
      <c r="K344" s="354" t="s">
        <v>257</v>
      </c>
    </row>
    <row r="345" spans="1:11">
      <c r="A345" s="355">
        <v>4954</v>
      </c>
      <c r="B345" s="356" t="s">
        <v>522</v>
      </c>
      <c r="C345" s="351" t="s">
        <v>234</v>
      </c>
      <c r="D345" s="1383" t="s">
        <v>268</v>
      </c>
      <c r="E345" s="353" t="s">
        <v>1176</v>
      </c>
      <c r="F345" s="353" t="s">
        <v>1176</v>
      </c>
      <c r="G345" s="353" t="s">
        <v>1176</v>
      </c>
      <c r="H345" s="353" t="s">
        <v>1176</v>
      </c>
      <c r="I345" s="353" t="s">
        <v>1176</v>
      </c>
      <c r="J345" s="353" t="s">
        <v>268</v>
      </c>
      <c r="K345" s="355" t="s">
        <v>257</v>
      </c>
    </row>
    <row r="346" spans="1:11">
      <c r="A346" s="355">
        <v>4955</v>
      </c>
      <c r="B346" s="356" t="s">
        <v>523</v>
      </c>
      <c r="C346" s="351" t="s">
        <v>235</v>
      </c>
      <c r="D346" s="1383" t="s">
        <v>268</v>
      </c>
      <c r="E346" s="353" t="s">
        <v>1176</v>
      </c>
      <c r="F346" s="353" t="s">
        <v>1176</v>
      </c>
      <c r="G346" s="353" t="s">
        <v>1176</v>
      </c>
      <c r="H346" s="353" t="s">
        <v>1176</v>
      </c>
      <c r="I346" s="353" t="s">
        <v>1176</v>
      </c>
      <c r="J346" s="353" t="s">
        <v>268</v>
      </c>
      <c r="K346" s="355" t="s">
        <v>257</v>
      </c>
    </row>
    <row r="347" spans="1:11">
      <c r="A347" s="350">
        <v>4956</v>
      </c>
      <c r="B347" s="351" t="s">
        <v>524</v>
      </c>
      <c r="C347" s="351" t="s">
        <v>268</v>
      </c>
      <c r="D347" s="1383" t="s">
        <v>268</v>
      </c>
      <c r="E347" s="352" t="s">
        <v>1176</v>
      </c>
      <c r="F347" s="352" t="s">
        <v>268</v>
      </c>
      <c r="G347" s="352" t="s">
        <v>268</v>
      </c>
      <c r="H347" s="352" t="s">
        <v>268</v>
      </c>
      <c r="I347" s="352" t="s">
        <v>268</v>
      </c>
      <c r="J347" s="353" t="s">
        <v>268</v>
      </c>
      <c r="K347" s="354" t="s">
        <v>257</v>
      </c>
    </row>
    <row r="348" spans="1:11">
      <c r="A348" s="355">
        <v>4957</v>
      </c>
      <c r="B348" s="356" t="s">
        <v>525</v>
      </c>
      <c r="C348" s="351" t="s">
        <v>235</v>
      </c>
      <c r="D348" s="1385" t="s">
        <v>235</v>
      </c>
      <c r="E348" s="353" t="s">
        <v>1176</v>
      </c>
      <c r="F348" s="353" t="s">
        <v>235</v>
      </c>
      <c r="G348" s="353" t="s">
        <v>235</v>
      </c>
      <c r="H348" s="353" t="s">
        <v>235</v>
      </c>
      <c r="I348" s="353" t="s">
        <v>268</v>
      </c>
      <c r="J348" s="353" t="s">
        <v>268</v>
      </c>
      <c r="K348" s="355" t="s">
        <v>257</v>
      </c>
    </row>
    <row r="349" spans="1:11">
      <c r="A349" s="350">
        <v>4958</v>
      </c>
      <c r="B349" s="351" t="s">
        <v>526</v>
      </c>
      <c r="C349" s="351" t="s">
        <v>268</v>
      </c>
      <c r="D349" s="1383" t="s">
        <v>268</v>
      </c>
      <c r="E349" s="352" t="s">
        <v>1176</v>
      </c>
      <c r="F349" s="352" t="s">
        <v>268</v>
      </c>
      <c r="G349" s="352" t="s">
        <v>268</v>
      </c>
      <c r="H349" s="352" t="s">
        <v>268</v>
      </c>
      <c r="I349" s="352" t="s">
        <v>256</v>
      </c>
      <c r="J349" s="353" t="s">
        <v>268</v>
      </c>
      <c r="K349" s="354" t="s">
        <v>257</v>
      </c>
    </row>
    <row r="350" spans="1:11">
      <c r="A350" s="350">
        <v>4959</v>
      </c>
      <c r="B350" s="351" t="s">
        <v>527</v>
      </c>
      <c r="C350" s="351" t="s">
        <v>268</v>
      </c>
      <c r="D350" s="1383" t="s">
        <v>268</v>
      </c>
      <c r="E350" s="352" t="s">
        <v>1176</v>
      </c>
      <c r="F350" s="352" t="s">
        <v>268</v>
      </c>
      <c r="G350" s="352" t="s">
        <v>268</v>
      </c>
      <c r="H350" s="352" t="s">
        <v>268</v>
      </c>
      <c r="I350" s="352" t="s">
        <v>268</v>
      </c>
      <c r="J350" s="353" t="s">
        <v>268</v>
      </c>
      <c r="K350" s="354" t="s">
        <v>257</v>
      </c>
    </row>
    <row r="351" spans="1:11" ht="15.75">
      <c r="A351" s="355">
        <v>5011</v>
      </c>
      <c r="B351" s="356" t="s">
        <v>528</v>
      </c>
      <c r="C351" s="351" t="s">
        <v>237</v>
      </c>
      <c r="D351" s="1384" t="s">
        <v>268</v>
      </c>
      <c r="E351" s="353" t="s">
        <v>236</v>
      </c>
      <c r="F351" s="353" t="s">
        <v>236</v>
      </c>
      <c r="G351" s="353" t="s">
        <v>236</v>
      </c>
      <c r="H351" s="353" t="s">
        <v>236</v>
      </c>
      <c r="I351" s="353" t="s">
        <v>236</v>
      </c>
      <c r="J351" s="353" t="s">
        <v>268</v>
      </c>
      <c r="K351" s="355" t="s">
        <v>236</v>
      </c>
    </row>
    <row r="352" spans="1:11">
      <c r="A352" s="355">
        <v>5012</v>
      </c>
      <c r="B352" s="356" t="s">
        <v>437</v>
      </c>
      <c r="C352" s="351" t="s">
        <v>236</v>
      </c>
      <c r="D352" s="353" t="s">
        <v>236</v>
      </c>
      <c r="E352" s="353" t="s">
        <v>236</v>
      </c>
      <c r="F352" s="353" t="s">
        <v>236</v>
      </c>
      <c r="G352" s="353" t="s">
        <v>236</v>
      </c>
      <c r="H352" s="353" t="s">
        <v>1182</v>
      </c>
      <c r="I352" s="353" t="s">
        <v>236</v>
      </c>
      <c r="J352" s="353" t="s">
        <v>268</v>
      </c>
      <c r="K352" s="355" t="s">
        <v>255</v>
      </c>
    </row>
    <row r="353" spans="1:11">
      <c r="A353" s="355">
        <v>5013</v>
      </c>
      <c r="B353" s="356" t="s">
        <v>438</v>
      </c>
      <c r="C353" s="351" t="s">
        <v>237</v>
      </c>
      <c r="D353" s="353" t="s">
        <v>237</v>
      </c>
      <c r="E353" s="353" t="s">
        <v>237</v>
      </c>
      <c r="F353" s="353" t="s">
        <v>237</v>
      </c>
      <c r="G353" s="353" t="s">
        <v>237</v>
      </c>
      <c r="H353" s="353" t="s">
        <v>237</v>
      </c>
      <c r="I353" s="353" t="s">
        <v>237</v>
      </c>
      <c r="J353" s="353" t="s">
        <v>268</v>
      </c>
      <c r="K353" s="355" t="s">
        <v>235</v>
      </c>
    </row>
    <row r="354" spans="1:11" ht="30">
      <c r="A354" s="355">
        <v>5014</v>
      </c>
      <c r="B354" s="356" t="s">
        <v>439</v>
      </c>
      <c r="C354" s="351" t="s">
        <v>237</v>
      </c>
      <c r="D354" s="353" t="s">
        <v>236</v>
      </c>
      <c r="E354" s="353" t="s">
        <v>236</v>
      </c>
      <c r="F354" s="353" t="s">
        <v>236</v>
      </c>
      <c r="G354" s="353" t="s">
        <v>236</v>
      </c>
      <c r="H354" s="353" t="s">
        <v>236</v>
      </c>
      <c r="I354" s="353" t="s">
        <v>236</v>
      </c>
      <c r="J354" s="353" t="s">
        <v>268</v>
      </c>
      <c r="K354" s="355" t="s">
        <v>255</v>
      </c>
    </row>
    <row r="355" spans="1:11" ht="30">
      <c r="A355" s="355">
        <v>5015</v>
      </c>
      <c r="B355" s="356" t="s">
        <v>529</v>
      </c>
      <c r="C355" s="351" t="s">
        <v>237</v>
      </c>
      <c r="D355" s="1385" t="s">
        <v>236</v>
      </c>
      <c r="E355" s="353" t="s">
        <v>236</v>
      </c>
      <c r="F355" s="353" t="s">
        <v>236</v>
      </c>
      <c r="G355" s="353" t="s">
        <v>236</v>
      </c>
      <c r="H355" s="353" t="s">
        <v>236</v>
      </c>
      <c r="I355" s="353" t="s">
        <v>236</v>
      </c>
      <c r="J355" s="353" t="s">
        <v>268</v>
      </c>
      <c r="K355" s="355" t="s">
        <v>255</v>
      </c>
    </row>
    <row r="356" spans="1:11" ht="30">
      <c r="A356" s="355">
        <v>5016</v>
      </c>
      <c r="B356" s="356" t="s">
        <v>530</v>
      </c>
      <c r="C356" s="351" t="s">
        <v>237</v>
      </c>
      <c r="D356" s="1385" t="s">
        <v>237</v>
      </c>
      <c r="E356" s="353" t="s">
        <v>237</v>
      </c>
      <c r="F356" s="353" t="s">
        <v>237</v>
      </c>
      <c r="G356" s="353" t="s">
        <v>237</v>
      </c>
      <c r="H356" s="353" t="s">
        <v>237</v>
      </c>
      <c r="I356" s="353" t="s">
        <v>237</v>
      </c>
      <c r="J356" s="353" t="s">
        <v>268</v>
      </c>
      <c r="K356" s="355" t="s">
        <v>235</v>
      </c>
    </row>
    <row r="357" spans="1:11">
      <c r="A357" s="350">
        <v>5021</v>
      </c>
      <c r="B357" s="351" t="s">
        <v>531</v>
      </c>
      <c r="C357" s="351" t="s">
        <v>268</v>
      </c>
      <c r="D357" s="1383" t="s">
        <v>268</v>
      </c>
      <c r="E357" s="352" t="s">
        <v>268</v>
      </c>
      <c r="F357" s="352" t="s">
        <v>1176</v>
      </c>
      <c r="G357" s="352" t="s">
        <v>268</v>
      </c>
      <c r="H357" s="352" t="s">
        <v>268</v>
      </c>
      <c r="I357" s="352" t="s">
        <v>256</v>
      </c>
      <c r="J357" s="353" t="s">
        <v>268</v>
      </c>
      <c r="K357" s="354" t="s">
        <v>255</v>
      </c>
    </row>
    <row r="358" spans="1:11">
      <c r="A358" s="350">
        <v>5022</v>
      </c>
      <c r="B358" s="351" t="s">
        <v>532</v>
      </c>
      <c r="C358" s="351" t="s">
        <v>1176</v>
      </c>
      <c r="D358" s="1383" t="s">
        <v>268</v>
      </c>
      <c r="E358" s="352" t="s">
        <v>1176</v>
      </c>
      <c r="F358" s="352" t="s">
        <v>1176</v>
      </c>
      <c r="G358" s="352" t="s">
        <v>1176</v>
      </c>
      <c r="H358" s="352" t="s">
        <v>1176</v>
      </c>
      <c r="I358" s="352" t="s">
        <v>1176</v>
      </c>
      <c r="J358" s="353" t="s">
        <v>1176</v>
      </c>
      <c r="K358" s="354" t="s">
        <v>235</v>
      </c>
    </row>
    <row r="359" spans="1:11">
      <c r="A359" s="355">
        <v>5032</v>
      </c>
      <c r="B359" s="356" t="s">
        <v>533</v>
      </c>
      <c r="C359" s="351" t="s">
        <v>236</v>
      </c>
      <c r="D359" s="1385" t="s">
        <v>237</v>
      </c>
      <c r="E359" s="353" t="s">
        <v>237</v>
      </c>
      <c r="F359" s="353" t="s">
        <v>237</v>
      </c>
      <c r="G359" s="353" t="s">
        <v>237</v>
      </c>
      <c r="H359" s="353" t="s">
        <v>237</v>
      </c>
      <c r="I359" s="353" t="s">
        <v>237</v>
      </c>
      <c r="J359" s="353" t="s">
        <v>236</v>
      </c>
      <c r="K359" s="355" t="s">
        <v>235</v>
      </c>
    </row>
    <row r="360" spans="1:11">
      <c r="A360" s="355">
        <v>5033</v>
      </c>
      <c r="B360" s="356" t="s">
        <v>534</v>
      </c>
      <c r="C360" s="351" t="s">
        <v>236</v>
      </c>
      <c r="D360" s="1385" t="s">
        <v>236</v>
      </c>
      <c r="E360" s="353" t="s">
        <v>236</v>
      </c>
      <c r="F360" s="353" t="s">
        <v>236</v>
      </c>
      <c r="G360" s="353" t="s">
        <v>236</v>
      </c>
      <c r="H360" s="353" t="s">
        <v>236</v>
      </c>
      <c r="I360" s="353" t="s">
        <v>236</v>
      </c>
      <c r="J360" s="353" t="s">
        <v>268</v>
      </c>
      <c r="K360" s="355" t="s">
        <v>257</v>
      </c>
    </row>
    <row r="361" spans="1:11">
      <c r="A361" s="355">
        <v>5034</v>
      </c>
      <c r="B361" s="356" t="s">
        <v>535</v>
      </c>
      <c r="C361" s="351" t="s">
        <v>237</v>
      </c>
      <c r="D361" s="1385" t="s">
        <v>237</v>
      </c>
      <c r="E361" s="353" t="s">
        <v>237</v>
      </c>
      <c r="F361" s="353" t="s">
        <v>237</v>
      </c>
      <c r="G361" s="353" t="s">
        <v>237</v>
      </c>
      <c r="H361" s="353" t="s">
        <v>237</v>
      </c>
      <c r="I361" s="353" t="s">
        <v>237</v>
      </c>
      <c r="J361" s="353" t="s">
        <v>268</v>
      </c>
      <c r="K361" s="355" t="s">
        <v>257</v>
      </c>
    </row>
    <row r="362" spans="1:11">
      <c r="A362" s="350">
        <v>5041</v>
      </c>
      <c r="B362" s="351" t="s">
        <v>536</v>
      </c>
      <c r="C362" s="351" t="s">
        <v>268</v>
      </c>
      <c r="D362" s="1383" t="s">
        <v>268</v>
      </c>
      <c r="E362" s="352" t="s">
        <v>268</v>
      </c>
      <c r="F362" s="352" t="s">
        <v>268</v>
      </c>
      <c r="G362" s="352" t="s">
        <v>268</v>
      </c>
      <c r="H362" s="352" t="s">
        <v>268</v>
      </c>
      <c r="I362" s="352" t="s">
        <v>1176</v>
      </c>
      <c r="J362" s="353" t="s">
        <v>268</v>
      </c>
      <c r="K362" s="354" t="s">
        <v>257</v>
      </c>
    </row>
    <row r="363" spans="1:11">
      <c r="A363" s="350">
        <v>5042</v>
      </c>
      <c r="B363" s="351" t="s">
        <v>537</v>
      </c>
      <c r="C363" s="351" t="s">
        <v>268</v>
      </c>
      <c r="D363" s="1383" t="s">
        <v>268</v>
      </c>
      <c r="E363" s="352" t="s">
        <v>268</v>
      </c>
      <c r="F363" s="352" t="s">
        <v>268</v>
      </c>
      <c r="G363" s="352" t="s">
        <v>268</v>
      </c>
      <c r="H363" s="352" t="s">
        <v>268</v>
      </c>
      <c r="I363" s="352" t="s">
        <v>1176</v>
      </c>
      <c r="J363" s="353" t="s">
        <v>268</v>
      </c>
      <c r="K363" s="354" t="s">
        <v>255</v>
      </c>
    </row>
    <row r="364" spans="1:11" ht="30">
      <c r="A364" s="350">
        <v>5043</v>
      </c>
      <c r="B364" s="351" t="s">
        <v>538</v>
      </c>
      <c r="C364" s="351" t="s">
        <v>237</v>
      </c>
      <c r="D364" s="1383" t="s">
        <v>268</v>
      </c>
      <c r="E364" s="352" t="s">
        <v>237</v>
      </c>
      <c r="F364" s="352" t="s">
        <v>237</v>
      </c>
      <c r="G364" s="352" t="s">
        <v>268</v>
      </c>
      <c r="H364" s="352" t="s">
        <v>1182</v>
      </c>
      <c r="I364" s="352" t="s">
        <v>237</v>
      </c>
      <c r="J364" s="353" t="s">
        <v>237</v>
      </c>
      <c r="K364" s="354" t="s">
        <v>236</v>
      </c>
    </row>
    <row r="365" spans="1:11">
      <c r="A365" s="350">
        <v>5044</v>
      </c>
      <c r="B365" s="351" t="s">
        <v>368</v>
      </c>
      <c r="C365" s="351" t="s">
        <v>268</v>
      </c>
      <c r="D365" s="351" t="s">
        <v>268</v>
      </c>
      <c r="E365" s="352" t="s">
        <v>268</v>
      </c>
      <c r="F365" s="352" t="s">
        <v>268</v>
      </c>
      <c r="G365" s="352" t="s">
        <v>268</v>
      </c>
      <c r="H365" s="352" t="s">
        <v>268</v>
      </c>
      <c r="I365" s="352" t="s">
        <v>268</v>
      </c>
      <c r="J365" s="353" t="s">
        <v>268</v>
      </c>
      <c r="K365" s="354" t="s">
        <v>257</v>
      </c>
    </row>
    <row r="366" spans="1:11">
      <c r="A366" s="350">
        <v>5045</v>
      </c>
      <c r="B366" s="351" t="s">
        <v>539</v>
      </c>
      <c r="C366" s="351" t="s">
        <v>268</v>
      </c>
      <c r="D366" s="1383" t="s">
        <v>268</v>
      </c>
      <c r="E366" s="352" t="s">
        <v>268</v>
      </c>
      <c r="F366" s="352" t="s">
        <v>268</v>
      </c>
      <c r="G366" s="352" t="s">
        <v>268</v>
      </c>
      <c r="H366" s="352" t="s">
        <v>268</v>
      </c>
      <c r="I366" s="352" t="s">
        <v>268</v>
      </c>
      <c r="J366" s="353" t="s">
        <v>268</v>
      </c>
      <c r="K366" s="354" t="s">
        <v>257</v>
      </c>
    </row>
    <row r="367" spans="1:11" ht="30">
      <c r="A367" s="350">
        <v>5046</v>
      </c>
      <c r="B367" s="351" t="s">
        <v>540</v>
      </c>
      <c r="C367" s="351" t="s">
        <v>268</v>
      </c>
      <c r="D367" s="1383" t="s">
        <v>268</v>
      </c>
      <c r="E367" s="352" t="s">
        <v>268</v>
      </c>
      <c r="F367" s="352" t="s">
        <v>268</v>
      </c>
      <c r="G367" s="352" t="s">
        <v>268</v>
      </c>
      <c r="H367" s="352" t="s">
        <v>268</v>
      </c>
      <c r="I367" s="352" t="s">
        <v>268</v>
      </c>
      <c r="J367" s="353" t="s">
        <v>268</v>
      </c>
      <c r="K367" s="354" t="s">
        <v>236</v>
      </c>
    </row>
    <row r="368" spans="1:11">
      <c r="A368" s="350">
        <v>5047</v>
      </c>
      <c r="B368" s="351" t="s">
        <v>541</v>
      </c>
      <c r="C368" s="351" t="s">
        <v>268</v>
      </c>
      <c r="D368" s="1383" t="s">
        <v>268</v>
      </c>
      <c r="E368" s="352" t="s">
        <v>237</v>
      </c>
      <c r="F368" s="352" t="s">
        <v>237</v>
      </c>
      <c r="G368" s="352" t="s">
        <v>237</v>
      </c>
      <c r="H368" s="352" t="s">
        <v>237</v>
      </c>
      <c r="I368" s="352" t="s">
        <v>237</v>
      </c>
      <c r="J368" s="353" t="s">
        <v>268</v>
      </c>
      <c r="K368" s="354" t="s">
        <v>255</v>
      </c>
    </row>
    <row r="369" spans="1:11" ht="15.75">
      <c r="A369" s="355">
        <v>5051</v>
      </c>
      <c r="B369" s="356" t="s">
        <v>542</v>
      </c>
      <c r="C369" s="351" t="s">
        <v>235</v>
      </c>
      <c r="D369" s="1387" t="s">
        <v>268</v>
      </c>
      <c r="E369" s="353" t="s">
        <v>236</v>
      </c>
      <c r="F369" s="353" t="s">
        <v>236</v>
      </c>
      <c r="G369" s="353" t="s">
        <v>236</v>
      </c>
      <c r="H369" s="353" t="s">
        <v>236</v>
      </c>
      <c r="I369" s="353" t="s">
        <v>236</v>
      </c>
      <c r="J369" s="353" t="s">
        <v>235</v>
      </c>
      <c r="K369" s="355" t="s">
        <v>234</v>
      </c>
    </row>
    <row r="370" spans="1:11" ht="30">
      <c r="A370" s="355">
        <v>5052</v>
      </c>
      <c r="B370" s="356" t="s">
        <v>543</v>
      </c>
      <c r="C370" s="351" t="s">
        <v>237</v>
      </c>
      <c r="D370" s="1387" t="s">
        <v>268</v>
      </c>
      <c r="E370" s="353" t="s">
        <v>237</v>
      </c>
      <c r="F370" s="353" t="s">
        <v>237</v>
      </c>
      <c r="G370" s="353" t="s">
        <v>237</v>
      </c>
      <c r="H370" s="353" t="s">
        <v>237</v>
      </c>
      <c r="I370" s="353" t="s">
        <v>237</v>
      </c>
      <c r="J370" s="353" t="s">
        <v>268</v>
      </c>
      <c r="K370" s="355" t="s">
        <v>234</v>
      </c>
    </row>
    <row r="371" spans="1:11" ht="15.75">
      <c r="A371" s="355">
        <v>5053</v>
      </c>
      <c r="B371" s="356" t="s">
        <v>544</v>
      </c>
      <c r="C371" s="351" t="s">
        <v>237</v>
      </c>
      <c r="D371" s="1387" t="s">
        <v>268</v>
      </c>
      <c r="E371" s="353" t="s">
        <v>268</v>
      </c>
      <c r="F371" s="353" t="s">
        <v>237</v>
      </c>
      <c r="G371" s="353" t="s">
        <v>237</v>
      </c>
      <c r="H371" s="353" t="s">
        <v>1182</v>
      </c>
      <c r="I371" s="353" t="s">
        <v>237</v>
      </c>
      <c r="J371" s="353" t="s">
        <v>237</v>
      </c>
      <c r="K371" s="355" t="s">
        <v>234</v>
      </c>
    </row>
    <row r="372" spans="1:11" ht="15.75">
      <c r="A372" s="355">
        <v>5054</v>
      </c>
      <c r="B372" s="356" t="s">
        <v>545</v>
      </c>
      <c r="C372" s="351" t="s">
        <v>236</v>
      </c>
      <c r="D372" s="1387" t="s">
        <v>268</v>
      </c>
      <c r="E372" s="353" t="s">
        <v>236</v>
      </c>
      <c r="F372" s="353" t="s">
        <v>236</v>
      </c>
      <c r="G372" s="353" t="s">
        <v>236</v>
      </c>
      <c r="H372" s="353" t="s">
        <v>236</v>
      </c>
      <c r="I372" s="353" t="s">
        <v>236</v>
      </c>
      <c r="J372" s="353" t="s">
        <v>236</v>
      </c>
      <c r="K372" s="355" t="s">
        <v>236</v>
      </c>
    </row>
    <row r="373" spans="1:11" ht="15.75">
      <c r="A373" s="355">
        <v>5055</v>
      </c>
      <c r="B373" s="356" t="s">
        <v>546</v>
      </c>
      <c r="C373" s="351" t="s">
        <v>236</v>
      </c>
      <c r="D373" s="1387" t="s">
        <v>268</v>
      </c>
      <c r="E373" s="353" t="s">
        <v>236</v>
      </c>
      <c r="F373" s="353" t="s">
        <v>236</v>
      </c>
      <c r="G373" s="353" t="s">
        <v>236</v>
      </c>
      <c r="H373" s="353" t="s">
        <v>236</v>
      </c>
      <c r="I373" s="353" t="s">
        <v>236</v>
      </c>
      <c r="J373" s="353" t="s">
        <v>236</v>
      </c>
      <c r="K373" s="355" t="s">
        <v>235</v>
      </c>
    </row>
    <row r="374" spans="1:11" ht="15.75">
      <c r="A374" s="355">
        <v>5056</v>
      </c>
      <c r="B374" s="356" t="s">
        <v>547</v>
      </c>
      <c r="C374" s="351" t="s">
        <v>236</v>
      </c>
      <c r="D374" s="1387" t="s">
        <v>268</v>
      </c>
      <c r="E374" s="353" t="s">
        <v>236</v>
      </c>
      <c r="F374" s="353" t="s">
        <v>236</v>
      </c>
      <c r="G374" s="353" t="s">
        <v>236</v>
      </c>
      <c r="H374" s="353" t="s">
        <v>236</v>
      </c>
      <c r="I374" s="353" t="s">
        <v>236</v>
      </c>
      <c r="J374" s="353" t="s">
        <v>236</v>
      </c>
      <c r="K374" s="355" t="s">
        <v>234</v>
      </c>
    </row>
    <row r="375" spans="1:11" ht="15.75">
      <c r="A375" s="355">
        <v>5057</v>
      </c>
      <c r="B375" s="356" t="s">
        <v>548</v>
      </c>
      <c r="C375" s="351" t="s">
        <v>237</v>
      </c>
      <c r="D375" s="1387" t="s">
        <v>268</v>
      </c>
      <c r="E375" s="353" t="s">
        <v>237</v>
      </c>
      <c r="F375" s="353" t="s">
        <v>237</v>
      </c>
      <c r="G375" s="353" t="s">
        <v>237</v>
      </c>
      <c r="H375" s="353" t="s">
        <v>237</v>
      </c>
      <c r="I375" s="353" t="s">
        <v>237</v>
      </c>
      <c r="J375" s="353" t="s">
        <v>237</v>
      </c>
      <c r="K375" s="355" t="s">
        <v>234</v>
      </c>
    </row>
    <row r="376" spans="1:11">
      <c r="A376" s="355">
        <v>5058</v>
      </c>
      <c r="B376" s="356" t="s">
        <v>549</v>
      </c>
      <c r="C376" s="351" t="s">
        <v>236</v>
      </c>
      <c r="D376" s="1385" t="s">
        <v>235</v>
      </c>
      <c r="E376" s="353" t="s">
        <v>235</v>
      </c>
      <c r="F376" s="353" t="s">
        <v>235</v>
      </c>
      <c r="G376" s="353" t="s">
        <v>235</v>
      </c>
      <c r="H376" s="353" t="s">
        <v>235</v>
      </c>
      <c r="I376" s="353" t="s">
        <v>235</v>
      </c>
      <c r="J376" s="353" t="s">
        <v>236</v>
      </c>
      <c r="K376" s="355" t="s">
        <v>234</v>
      </c>
    </row>
    <row r="377" spans="1:11">
      <c r="A377" s="350">
        <v>5060</v>
      </c>
      <c r="B377" s="351" t="s">
        <v>550</v>
      </c>
      <c r="C377" s="351" t="s">
        <v>1176</v>
      </c>
      <c r="D377" s="1383" t="s">
        <v>268</v>
      </c>
      <c r="E377" s="352" t="s">
        <v>1176</v>
      </c>
      <c r="F377" s="352" t="s">
        <v>1176</v>
      </c>
      <c r="G377" s="352" t="s">
        <v>1176</v>
      </c>
      <c r="H377" s="352" t="s">
        <v>1176</v>
      </c>
      <c r="I377" s="352" t="s">
        <v>1176</v>
      </c>
      <c r="J377" s="353" t="s">
        <v>1176</v>
      </c>
      <c r="K377" s="354" t="s">
        <v>234</v>
      </c>
    </row>
    <row r="378" spans="1:11">
      <c r="A378" s="355">
        <v>5061</v>
      </c>
      <c r="B378" s="356" t="s">
        <v>551</v>
      </c>
      <c r="C378" s="351" t="s">
        <v>236</v>
      </c>
      <c r="D378" s="1385" t="s">
        <v>236</v>
      </c>
      <c r="E378" s="353" t="s">
        <v>236</v>
      </c>
      <c r="F378" s="353" t="s">
        <v>236</v>
      </c>
      <c r="G378" s="353" t="s">
        <v>236</v>
      </c>
      <c r="H378" s="353" t="s">
        <v>236</v>
      </c>
      <c r="I378" s="353" t="s">
        <v>236</v>
      </c>
      <c r="J378" s="353" t="s">
        <v>236</v>
      </c>
      <c r="K378" s="355" t="s">
        <v>236</v>
      </c>
    </row>
    <row r="379" spans="1:11">
      <c r="A379" s="350">
        <v>5062</v>
      </c>
      <c r="B379" s="351" t="s">
        <v>552</v>
      </c>
      <c r="C379" s="351" t="s">
        <v>1176</v>
      </c>
      <c r="D379" s="1383" t="s">
        <v>268</v>
      </c>
      <c r="E379" s="352" t="s">
        <v>1176</v>
      </c>
      <c r="F379" s="352" t="s">
        <v>1176</v>
      </c>
      <c r="G379" s="352" t="s">
        <v>1176</v>
      </c>
      <c r="H379" s="352" t="s">
        <v>1176</v>
      </c>
      <c r="I379" s="352" t="s">
        <v>1176</v>
      </c>
      <c r="J379" s="353" t="s">
        <v>1176</v>
      </c>
      <c r="K379" s="354" t="s">
        <v>235</v>
      </c>
    </row>
    <row r="380" spans="1:11">
      <c r="A380" s="355">
        <v>5063</v>
      </c>
      <c r="B380" s="356" t="s">
        <v>553</v>
      </c>
      <c r="C380" s="351" t="s">
        <v>236</v>
      </c>
      <c r="D380" s="1385" t="s">
        <v>236</v>
      </c>
      <c r="E380" s="353" t="s">
        <v>236</v>
      </c>
      <c r="F380" s="353" t="s">
        <v>236</v>
      </c>
      <c r="G380" s="353" t="s">
        <v>236</v>
      </c>
      <c r="H380" s="353" t="s">
        <v>236</v>
      </c>
      <c r="I380" s="353" t="s">
        <v>236</v>
      </c>
      <c r="J380" s="353" t="s">
        <v>236</v>
      </c>
      <c r="K380" s="355" t="s">
        <v>234</v>
      </c>
    </row>
    <row r="381" spans="1:11">
      <c r="A381" s="350">
        <v>5064</v>
      </c>
      <c r="B381" s="351" t="s">
        <v>554</v>
      </c>
      <c r="C381" s="351" t="s">
        <v>1176</v>
      </c>
      <c r="D381" s="1383" t="s">
        <v>268</v>
      </c>
      <c r="E381" s="352" t="s">
        <v>1176</v>
      </c>
      <c r="F381" s="352" t="s">
        <v>1176</v>
      </c>
      <c r="G381" s="352" t="s">
        <v>1176</v>
      </c>
      <c r="H381" s="352" t="s">
        <v>1176</v>
      </c>
      <c r="I381" s="352" t="s">
        <v>256</v>
      </c>
      <c r="J381" s="353" t="s">
        <v>1176</v>
      </c>
      <c r="K381" s="354" t="s">
        <v>235</v>
      </c>
    </row>
    <row r="382" spans="1:11">
      <c r="A382" s="350">
        <v>5080</v>
      </c>
      <c r="B382" s="351" t="s">
        <v>555</v>
      </c>
      <c r="C382" s="351" t="s">
        <v>237</v>
      </c>
      <c r="D382" s="1383" t="s">
        <v>268</v>
      </c>
      <c r="E382" s="352" t="s">
        <v>237</v>
      </c>
      <c r="F382" s="352" t="s">
        <v>237</v>
      </c>
      <c r="G382" s="352" t="s">
        <v>268</v>
      </c>
      <c r="H382" s="352" t="s">
        <v>1182</v>
      </c>
      <c r="I382" s="352" t="s">
        <v>237</v>
      </c>
      <c r="J382" s="353" t="s">
        <v>268</v>
      </c>
      <c r="K382" s="354" t="s">
        <v>257</v>
      </c>
    </row>
    <row r="383" spans="1:11" ht="30">
      <c r="A383" s="350">
        <v>5081</v>
      </c>
      <c r="B383" s="351" t="s">
        <v>556</v>
      </c>
      <c r="C383" s="351" t="s">
        <v>268</v>
      </c>
      <c r="D383" s="1383" t="s">
        <v>268</v>
      </c>
      <c r="E383" s="352" t="s">
        <v>268</v>
      </c>
      <c r="F383" s="352" t="s">
        <v>268</v>
      </c>
      <c r="G383" s="352" t="s">
        <v>268</v>
      </c>
      <c r="H383" s="352" t="s">
        <v>268</v>
      </c>
      <c r="I383" s="352" t="s">
        <v>268</v>
      </c>
      <c r="J383" s="353" t="s">
        <v>268</v>
      </c>
      <c r="K383" s="354" t="s">
        <v>257</v>
      </c>
    </row>
    <row r="384" spans="1:11">
      <c r="A384" s="355">
        <v>5091</v>
      </c>
      <c r="B384" s="356" t="s">
        <v>557</v>
      </c>
      <c r="C384" s="351" t="s">
        <v>237</v>
      </c>
      <c r="D384" s="1385" t="s">
        <v>236</v>
      </c>
      <c r="E384" s="353" t="s">
        <v>236</v>
      </c>
      <c r="F384" s="353" t="s">
        <v>236</v>
      </c>
      <c r="G384" s="353" t="s">
        <v>236</v>
      </c>
      <c r="H384" s="353" t="s">
        <v>236</v>
      </c>
      <c r="I384" s="353" t="s">
        <v>236</v>
      </c>
      <c r="J384" s="353" t="s">
        <v>237</v>
      </c>
      <c r="K384" s="355" t="s">
        <v>235</v>
      </c>
    </row>
    <row r="385" spans="1:11">
      <c r="A385" s="355">
        <v>5091</v>
      </c>
      <c r="B385" s="356" t="s">
        <v>558</v>
      </c>
      <c r="C385" s="351" t="s">
        <v>237</v>
      </c>
      <c r="D385" s="1385" t="s">
        <v>236</v>
      </c>
      <c r="E385" s="353" t="s">
        <v>236</v>
      </c>
      <c r="F385" s="353" t="s">
        <v>236</v>
      </c>
      <c r="G385" s="353" t="s">
        <v>236</v>
      </c>
      <c r="H385" s="353" t="s">
        <v>236</v>
      </c>
      <c r="I385" s="353" t="s">
        <v>236</v>
      </c>
      <c r="J385" s="353" t="s">
        <v>237</v>
      </c>
      <c r="K385" s="355" t="s">
        <v>255</v>
      </c>
    </row>
    <row r="386" spans="1:11">
      <c r="A386" s="355">
        <v>5092</v>
      </c>
      <c r="B386" s="356" t="s">
        <v>559</v>
      </c>
      <c r="C386" s="351" t="s">
        <v>236</v>
      </c>
      <c r="D386" s="1385" t="s">
        <v>236</v>
      </c>
      <c r="E386" s="353" t="s">
        <v>236</v>
      </c>
      <c r="F386" s="353" t="s">
        <v>236</v>
      </c>
      <c r="G386" s="353" t="s">
        <v>236</v>
      </c>
      <c r="H386" s="353" t="s">
        <v>236</v>
      </c>
      <c r="I386" s="353" t="s">
        <v>236</v>
      </c>
      <c r="J386" s="353" t="s">
        <v>236</v>
      </c>
      <c r="K386" s="355" t="s">
        <v>235</v>
      </c>
    </row>
    <row r="387" spans="1:11">
      <c r="A387" s="355">
        <v>5093</v>
      </c>
      <c r="B387" s="356" t="s">
        <v>560</v>
      </c>
      <c r="C387" s="351" t="s">
        <v>236</v>
      </c>
      <c r="D387" s="1385" t="s">
        <v>236</v>
      </c>
      <c r="E387" s="353" t="s">
        <v>236</v>
      </c>
      <c r="F387" s="353" t="s">
        <v>236</v>
      </c>
      <c r="G387" s="353" t="s">
        <v>236</v>
      </c>
      <c r="H387" s="353" t="s">
        <v>236</v>
      </c>
      <c r="I387" s="353" t="s">
        <v>236</v>
      </c>
      <c r="J387" s="353" t="s">
        <v>268</v>
      </c>
      <c r="K387" s="355" t="s">
        <v>235</v>
      </c>
    </row>
    <row r="388" spans="1:11" ht="30">
      <c r="A388" s="355">
        <v>5094</v>
      </c>
      <c r="B388" s="356" t="s">
        <v>561</v>
      </c>
      <c r="C388" s="351" t="s">
        <v>237</v>
      </c>
      <c r="D388" s="1385" t="s">
        <v>236</v>
      </c>
      <c r="E388" s="353" t="s">
        <v>236</v>
      </c>
      <c r="F388" s="353" t="s">
        <v>236</v>
      </c>
      <c r="G388" s="353" t="s">
        <v>236</v>
      </c>
      <c r="H388" s="353" t="s">
        <v>236</v>
      </c>
      <c r="I388" s="353" t="s">
        <v>236</v>
      </c>
      <c r="J388" s="353" t="s">
        <v>268</v>
      </c>
      <c r="K388" s="355" t="s">
        <v>235</v>
      </c>
    </row>
    <row r="389" spans="1:11" ht="15.75">
      <c r="A389" s="355">
        <v>5101</v>
      </c>
      <c r="B389" s="356" t="s">
        <v>562</v>
      </c>
      <c r="C389" s="351" t="s">
        <v>236</v>
      </c>
      <c r="D389" s="1384" t="s">
        <v>268</v>
      </c>
      <c r="E389" s="353" t="s">
        <v>235</v>
      </c>
      <c r="F389" s="353" t="s">
        <v>235</v>
      </c>
      <c r="G389" s="353" t="s">
        <v>235</v>
      </c>
      <c r="H389" s="353" t="s">
        <v>235</v>
      </c>
      <c r="I389" s="353" t="s">
        <v>235</v>
      </c>
      <c r="J389" s="353" t="s">
        <v>236</v>
      </c>
      <c r="K389" s="355" t="s">
        <v>235</v>
      </c>
    </row>
    <row r="390" spans="1:11" ht="15.75">
      <c r="A390" s="355">
        <v>5102</v>
      </c>
      <c r="B390" s="356" t="s">
        <v>563</v>
      </c>
      <c r="C390" s="351" t="s">
        <v>236</v>
      </c>
      <c r="D390" s="1384" t="s">
        <v>268</v>
      </c>
      <c r="E390" s="353" t="s">
        <v>235</v>
      </c>
      <c r="F390" s="353" t="s">
        <v>235</v>
      </c>
      <c r="G390" s="353" t="s">
        <v>235</v>
      </c>
      <c r="H390" s="353" t="s">
        <v>235</v>
      </c>
      <c r="I390" s="353" t="s">
        <v>235</v>
      </c>
      <c r="J390" s="353" t="s">
        <v>236</v>
      </c>
      <c r="K390" s="355" t="s">
        <v>235</v>
      </c>
    </row>
    <row r="391" spans="1:11">
      <c r="A391" s="355">
        <v>5103</v>
      </c>
      <c r="B391" s="356" t="s">
        <v>564</v>
      </c>
      <c r="C391" s="351" t="s">
        <v>236</v>
      </c>
      <c r="D391" s="1385" t="s">
        <v>236</v>
      </c>
      <c r="E391" s="353" t="s">
        <v>236</v>
      </c>
      <c r="F391" s="353" t="s">
        <v>236</v>
      </c>
      <c r="G391" s="353" t="s">
        <v>236</v>
      </c>
      <c r="H391" s="353" t="s">
        <v>236</v>
      </c>
      <c r="I391" s="353" t="s">
        <v>236</v>
      </c>
      <c r="J391" s="353" t="s">
        <v>268</v>
      </c>
      <c r="K391" s="355" t="s">
        <v>235</v>
      </c>
    </row>
    <row r="392" spans="1:11">
      <c r="A392" s="355">
        <v>5104</v>
      </c>
      <c r="B392" s="356" t="s">
        <v>565</v>
      </c>
      <c r="C392" s="351" t="s">
        <v>235</v>
      </c>
      <c r="D392" s="1385" t="s">
        <v>235</v>
      </c>
      <c r="E392" s="353" t="s">
        <v>235</v>
      </c>
      <c r="F392" s="353" t="s">
        <v>235</v>
      </c>
      <c r="G392" s="353" t="s">
        <v>268</v>
      </c>
      <c r="H392" s="353" t="s">
        <v>268</v>
      </c>
      <c r="I392" s="353" t="s">
        <v>235</v>
      </c>
      <c r="J392" s="353" t="s">
        <v>268</v>
      </c>
      <c r="K392" s="355" t="s">
        <v>257</v>
      </c>
    </row>
    <row r="393" spans="1:11" ht="30">
      <c r="A393" s="355">
        <v>5105</v>
      </c>
      <c r="B393" s="356" t="s">
        <v>566</v>
      </c>
      <c r="C393" s="351" t="s">
        <v>236</v>
      </c>
      <c r="D393" s="1385" t="s">
        <v>235</v>
      </c>
      <c r="E393" s="353" t="s">
        <v>235</v>
      </c>
      <c r="F393" s="353" t="s">
        <v>235</v>
      </c>
      <c r="G393" s="353" t="s">
        <v>235</v>
      </c>
      <c r="H393" s="353" t="s">
        <v>235</v>
      </c>
      <c r="I393" s="353" t="s">
        <v>235</v>
      </c>
      <c r="J393" s="353" t="s">
        <v>236</v>
      </c>
      <c r="K393" s="355" t="s">
        <v>235</v>
      </c>
    </row>
    <row r="394" spans="1:11" ht="30">
      <c r="A394" s="355">
        <v>5106</v>
      </c>
      <c r="B394" s="356" t="s">
        <v>567</v>
      </c>
      <c r="C394" s="351" t="s">
        <v>236</v>
      </c>
      <c r="D394" s="1385" t="s">
        <v>235</v>
      </c>
      <c r="E394" s="353" t="s">
        <v>235</v>
      </c>
      <c r="F394" s="353" t="s">
        <v>235</v>
      </c>
      <c r="G394" s="353" t="s">
        <v>235</v>
      </c>
      <c r="H394" s="353" t="s">
        <v>235</v>
      </c>
      <c r="I394" s="353" t="s">
        <v>235</v>
      </c>
      <c r="J394" s="353" t="s">
        <v>236</v>
      </c>
      <c r="K394" s="355" t="s">
        <v>235</v>
      </c>
    </row>
    <row r="395" spans="1:11" ht="30">
      <c r="A395" s="355">
        <v>5107</v>
      </c>
      <c r="B395" s="356" t="s">
        <v>568</v>
      </c>
      <c r="C395" s="351" t="s">
        <v>236</v>
      </c>
      <c r="D395" s="1385" t="s">
        <v>236</v>
      </c>
      <c r="E395" s="353" t="s">
        <v>236</v>
      </c>
      <c r="F395" s="353" t="s">
        <v>236</v>
      </c>
      <c r="G395" s="353" t="s">
        <v>236</v>
      </c>
      <c r="H395" s="353" t="s">
        <v>236</v>
      </c>
      <c r="I395" s="353" t="s">
        <v>236</v>
      </c>
      <c r="J395" s="353" t="s">
        <v>268</v>
      </c>
      <c r="K395" s="355" t="s">
        <v>235</v>
      </c>
    </row>
    <row r="396" spans="1:11" ht="30">
      <c r="A396" s="355">
        <v>5108</v>
      </c>
      <c r="B396" s="356" t="s">
        <v>569</v>
      </c>
      <c r="C396" s="351" t="s">
        <v>235</v>
      </c>
      <c r="D396" s="1385" t="s">
        <v>235</v>
      </c>
      <c r="E396" s="353" t="s">
        <v>235</v>
      </c>
      <c r="F396" s="353" t="s">
        <v>235</v>
      </c>
      <c r="G396" s="353" t="s">
        <v>235</v>
      </c>
      <c r="H396" s="353" t="s">
        <v>235</v>
      </c>
      <c r="I396" s="353" t="s">
        <v>235</v>
      </c>
      <c r="J396" s="353" t="s">
        <v>268</v>
      </c>
      <c r="K396" s="355" t="s">
        <v>257</v>
      </c>
    </row>
    <row r="397" spans="1:11">
      <c r="A397" s="350">
        <v>5111</v>
      </c>
      <c r="B397" s="351" t="s">
        <v>570</v>
      </c>
      <c r="C397" s="351" t="s">
        <v>268</v>
      </c>
      <c r="D397" s="1383" t="s">
        <v>268</v>
      </c>
      <c r="E397" s="352" t="s">
        <v>268</v>
      </c>
      <c r="F397" s="352" t="s">
        <v>268</v>
      </c>
      <c r="G397" s="352" t="s">
        <v>268</v>
      </c>
      <c r="H397" s="352" t="s">
        <v>268</v>
      </c>
      <c r="I397" s="352" t="s">
        <v>268</v>
      </c>
      <c r="J397" s="353" t="s">
        <v>268</v>
      </c>
      <c r="K397" s="354" t="s">
        <v>257</v>
      </c>
    </row>
    <row r="398" spans="1:11">
      <c r="A398" s="350">
        <v>5112</v>
      </c>
      <c r="B398" s="351" t="s">
        <v>571</v>
      </c>
      <c r="C398" s="351" t="s">
        <v>268</v>
      </c>
      <c r="D398" s="1383" t="s">
        <v>268</v>
      </c>
      <c r="E398" s="352" t="s">
        <v>268</v>
      </c>
      <c r="F398" s="352" t="s">
        <v>268</v>
      </c>
      <c r="G398" s="352" t="s">
        <v>268</v>
      </c>
      <c r="H398" s="352" t="s">
        <v>268</v>
      </c>
      <c r="I398" s="352" t="s">
        <v>268</v>
      </c>
      <c r="J398" s="353" t="s">
        <v>268</v>
      </c>
      <c r="K398" s="354" t="s">
        <v>257</v>
      </c>
    </row>
    <row r="399" spans="1:11">
      <c r="A399" s="350">
        <v>5113</v>
      </c>
      <c r="B399" s="351" t="s">
        <v>572</v>
      </c>
      <c r="C399" s="351" t="s">
        <v>236</v>
      </c>
      <c r="D399" s="1383" t="s">
        <v>268</v>
      </c>
      <c r="E399" s="351" t="s">
        <v>236</v>
      </c>
      <c r="F399" s="351" t="s">
        <v>236</v>
      </c>
      <c r="G399" s="352" t="s">
        <v>268</v>
      </c>
      <c r="H399" s="351" t="s">
        <v>236</v>
      </c>
      <c r="I399" s="351" t="s">
        <v>236</v>
      </c>
      <c r="J399" s="353" t="s">
        <v>268</v>
      </c>
      <c r="K399" s="354" t="s">
        <v>236</v>
      </c>
    </row>
    <row r="400" spans="1:11">
      <c r="A400" s="350">
        <v>5114</v>
      </c>
      <c r="B400" s="351" t="s">
        <v>573</v>
      </c>
      <c r="C400" s="352" t="s">
        <v>268</v>
      </c>
      <c r="D400" s="1383" t="s">
        <v>268</v>
      </c>
      <c r="E400" s="352" t="s">
        <v>268</v>
      </c>
      <c r="F400" s="352" t="s">
        <v>268</v>
      </c>
      <c r="G400" s="352" t="s">
        <v>268</v>
      </c>
      <c r="H400" s="352" t="s">
        <v>268</v>
      </c>
      <c r="I400" s="352" t="s">
        <v>268</v>
      </c>
      <c r="J400" s="353" t="s">
        <v>268</v>
      </c>
      <c r="K400" s="354" t="s">
        <v>257</v>
      </c>
    </row>
    <row r="401" spans="1:11">
      <c r="A401" s="350">
        <v>5121</v>
      </c>
      <c r="B401" s="351" t="s">
        <v>574</v>
      </c>
      <c r="C401" s="351" t="s">
        <v>268</v>
      </c>
      <c r="D401" s="1383" t="s">
        <v>268</v>
      </c>
      <c r="E401" s="352" t="s">
        <v>237</v>
      </c>
      <c r="F401" s="352" t="s">
        <v>268</v>
      </c>
      <c r="G401" s="352" t="s">
        <v>237</v>
      </c>
      <c r="H401" s="352" t="s">
        <v>237</v>
      </c>
      <c r="I401" s="352" t="s">
        <v>237</v>
      </c>
      <c r="J401" s="353" t="s">
        <v>268</v>
      </c>
      <c r="K401" s="354" t="s">
        <v>255</v>
      </c>
    </row>
    <row r="402" spans="1:11">
      <c r="A402" s="350">
        <v>5122</v>
      </c>
      <c r="B402" s="351" t="s">
        <v>575</v>
      </c>
      <c r="C402" s="351" t="s">
        <v>268</v>
      </c>
      <c r="D402" s="1383" t="s">
        <v>268</v>
      </c>
      <c r="E402" s="352" t="s">
        <v>268</v>
      </c>
      <c r="F402" s="352" t="s">
        <v>268</v>
      </c>
      <c r="G402" s="352" t="s">
        <v>268</v>
      </c>
      <c r="H402" s="352" t="s">
        <v>1182</v>
      </c>
      <c r="I402" s="352" t="s">
        <v>268</v>
      </c>
      <c r="J402" s="353" t="s">
        <v>268</v>
      </c>
      <c r="K402" s="354" t="s">
        <v>255</v>
      </c>
    </row>
    <row r="403" spans="1:11">
      <c r="A403" s="350">
        <v>5123</v>
      </c>
      <c r="B403" s="351" t="s">
        <v>576</v>
      </c>
      <c r="C403" s="351" t="s">
        <v>268</v>
      </c>
      <c r="D403" s="1383" t="s">
        <v>268</v>
      </c>
      <c r="E403" s="352" t="s">
        <v>237</v>
      </c>
      <c r="F403" s="352" t="s">
        <v>268</v>
      </c>
      <c r="G403" s="352" t="s">
        <v>237</v>
      </c>
      <c r="H403" s="352" t="s">
        <v>1182</v>
      </c>
      <c r="I403" s="352" t="s">
        <v>237</v>
      </c>
      <c r="J403" s="353" t="s">
        <v>268</v>
      </c>
      <c r="K403" s="354" t="s">
        <v>257</v>
      </c>
    </row>
    <row r="404" spans="1:11">
      <c r="A404" s="350">
        <v>5124</v>
      </c>
      <c r="B404" s="351" t="s">
        <v>577</v>
      </c>
      <c r="C404" s="351" t="s">
        <v>237</v>
      </c>
      <c r="D404" s="1383" t="s">
        <v>268</v>
      </c>
      <c r="E404" s="352" t="s">
        <v>237</v>
      </c>
      <c r="F404" s="352" t="s">
        <v>268</v>
      </c>
      <c r="G404" s="352" t="s">
        <v>237</v>
      </c>
      <c r="H404" s="352" t="s">
        <v>1182</v>
      </c>
      <c r="I404" s="352" t="s">
        <v>237</v>
      </c>
      <c r="J404" s="353" t="s">
        <v>268</v>
      </c>
      <c r="K404" s="354" t="s">
        <v>255</v>
      </c>
    </row>
    <row r="405" spans="1:11">
      <c r="A405" s="350">
        <v>5126</v>
      </c>
      <c r="B405" s="351" t="s">
        <v>578</v>
      </c>
      <c r="C405" s="351" t="s">
        <v>268</v>
      </c>
      <c r="D405" s="1383" t="s">
        <v>268</v>
      </c>
      <c r="E405" s="352" t="s">
        <v>268</v>
      </c>
      <c r="F405" s="352" t="s">
        <v>268</v>
      </c>
      <c r="G405" s="352" t="s">
        <v>268</v>
      </c>
      <c r="H405" s="352" t="s">
        <v>1182</v>
      </c>
      <c r="I405" s="352" t="s">
        <v>268</v>
      </c>
      <c r="J405" s="353" t="s">
        <v>268</v>
      </c>
      <c r="K405" s="354" t="s">
        <v>257</v>
      </c>
    </row>
    <row r="406" spans="1:11" ht="15.75">
      <c r="A406" s="355">
        <v>5130</v>
      </c>
      <c r="B406" s="356" t="s">
        <v>579</v>
      </c>
      <c r="C406" s="351" t="s">
        <v>236</v>
      </c>
      <c r="D406" s="1387" t="s">
        <v>268</v>
      </c>
      <c r="E406" s="353" t="s">
        <v>237</v>
      </c>
      <c r="F406" s="353" t="s">
        <v>237</v>
      </c>
      <c r="G406" s="353" t="s">
        <v>237</v>
      </c>
      <c r="H406" s="353" t="s">
        <v>237</v>
      </c>
      <c r="I406" s="353" t="s">
        <v>237</v>
      </c>
      <c r="J406" s="353" t="s">
        <v>268</v>
      </c>
      <c r="K406" s="355" t="s">
        <v>235</v>
      </c>
    </row>
    <row r="407" spans="1:11" ht="15.75">
      <c r="A407" s="355">
        <v>5140</v>
      </c>
      <c r="B407" s="356" t="s">
        <v>580</v>
      </c>
      <c r="C407" s="351" t="s">
        <v>237</v>
      </c>
      <c r="D407" s="1387" t="s">
        <v>268</v>
      </c>
      <c r="E407" s="353" t="s">
        <v>237</v>
      </c>
      <c r="F407" s="353" t="s">
        <v>237</v>
      </c>
      <c r="G407" s="353" t="s">
        <v>237</v>
      </c>
      <c r="H407" s="353" t="s">
        <v>237</v>
      </c>
      <c r="I407" s="353" t="s">
        <v>1176</v>
      </c>
      <c r="J407" s="353" t="s">
        <v>237</v>
      </c>
      <c r="K407" s="355" t="s">
        <v>234</v>
      </c>
    </row>
    <row r="408" spans="1:11">
      <c r="A408" s="355">
        <v>5151</v>
      </c>
      <c r="B408" s="356" t="s">
        <v>581</v>
      </c>
      <c r="C408" s="351" t="s">
        <v>237</v>
      </c>
      <c r="D408" s="1385" t="s">
        <v>237</v>
      </c>
      <c r="E408" s="353" t="s">
        <v>237</v>
      </c>
      <c r="F408" s="353" t="s">
        <v>237</v>
      </c>
      <c r="G408" s="353" t="s">
        <v>237</v>
      </c>
      <c r="H408" s="353" t="s">
        <v>237</v>
      </c>
      <c r="I408" s="353" t="s">
        <v>237</v>
      </c>
      <c r="J408" s="353" t="s">
        <v>237</v>
      </c>
      <c r="K408" s="355" t="s">
        <v>234</v>
      </c>
    </row>
    <row r="409" spans="1:11" ht="15.75">
      <c r="A409" s="355">
        <v>5152</v>
      </c>
      <c r="B409" s="356" t="s">
        <v>582</v>
      </c>
      <c r="C409" s="351" t="s">
        <v>236</v>
      </c>
      <c r="D409" s="1387" t="s">
        <v>268</v>
      </c>
      <c r="E409" s="353" t="s">
        <v>237</v>
      </c>
      <c r="F409" s="353" t="s">
        <v>237</v>
      </c>
      <c r="G409" s="353" t="s">
        <v>237</v>
      </c>
      <c r="H409" s="353" t="s">
        <v>237</v>
      </c>
      <c r="I409" s="353" t="s">
        <v>237</v>
      </c>
      <c r="J409" s="353" t="s">
        <v>236</v>
      </c>
      <c r="K409" s="355" t="s">
        <v>234</v>
      </c>
    </row>
    <row r="410" spans="1:11">
      <c r="A410" s="350">
        <v>5153</v>
      </c>
      <c r="B410" s="351" t="s">
        <v>583</v>
      </c>
      <c r="C410" s="351" t="s">
        <v>268</v>
      </c>
      <c r="D410" s="1383" t="s">
        <v>268</v>
      </c>
      <c r="E410" s="352" t="s">
        <v>237</v>
      </c>
      <c r="F410" s="352" t="s">
        <v>237</v>
      </c>
      <c r="G410" s="352" t="s">
        <v>237</v>
      </c>
      <c r="H410" s="352" t="s">
        <v>237</v>
      </c>
      <c r="I410" s="352" t="s">
        <v>237</v>
      </c>
      <c r="J410" s="353" t="s">
        <v>268</v>
      </c>
      <c r="K410" s="354" t="s">
        <v>235</v>
      </c>
    </row>
    <row r="411" spans="1:11">
      <c r="A411" s="355">
        <v>5154</v>
      </c>
      <c r="B411" s="356" t="s">
        <v>584</v>
      </c>
      <c r="C411" s="351" t="s">
        <v>237</v>
      </c>
      <c r="D411" s="1385" t="s">
        <v>237</v>
      </c>
      <c r="E411" s="353" t="s">
        <v>237</v>
      </c>
      <c r="F411" s="353" t="s">
        <v>237</v>
      </c>
      <c r="G411" s="353" t="s">
        <v>237</v>
      </c>
      <c r="H411" s="353" t="s">
        <v>237</v>
      </c>
      <c r="I411" s="353" t="s">
        <v>237</v>
      </c>
      <c r="J411" s="353" t="s">
        <v>268</v>
      </c>
      <c r="K411" s="355" t="s">
        <v>234</v>
      </c>
    </row>
    <row r="412" spans="1:11" ht="15.75">
      <c r="A412" s="355">
        <v>5155</v>
      </c>
      <c r="B412" s="356" t="s">
        <v>585</v>
      </c>
      <c r="C412" s="351" t="s">
        <v>237</v>
      </c>
      <c r="D412" s="1387" t="s">
        <v>268</v>
      </c>
      <c r="E412" s="353" t="s">
        <v>237</v>
      </c>
      <c r="F412" s="353" t="s">
        <v>237</v>
      </c>
      <c r="G412" s="353" t="s">
        <v>237</v>
      </c>
      <c r="H412" s="353" t="s">
        <v>237</v>
      </c>
      <c r="I412" s="353" t="s">
        <v>237</v>
      </c>
      <c r="J412" s="353" t="s">
        <v>237</v>
      </c>
      <c r="K412" s="355" t="s">
        <v>234</v>
      </c>
    </row>
    <row r="413" spans="1:11">
      <c r="A413" s="350">
        <v>5161</v>
      </c>
      <c r="B413" s="351" t="s">
        <v>586</v>
      </c>
      <c r="C413" s="351" t="s">
        <v>268</v>
      </c>
      <c r="D413" s="1383" t="s">
        <v>268</v>
      </c>
      <c r="E413" s="352" t="s">
        <v>268</v>
      </c>
      <c r="F413" s="352" t="s">
        <v>268</v>
      </c>
      <c r="G413" s="352" t="s">
        <v>268</v>
      </c>
      <c r="H413" s="352" t="s">
        <v>268</v>
      </c>
      <c r="I413" s="352" t="s">
        <v>268</v>
      </c>
      <c r="J413" s="353" t="s">
        <v>268</v>
      </c>
      <c r="K413" s="354" t="s">
        <v>235</v>
      </c>
    </row>
    <row r="414" spans="1:11">
      <c r="A414" s="355">
        <v>5162</v>
      </c>
      <c r="B414" s="356" t="s">
        <v>587</v>
      </c>
      <c r="C414" s="351" t="s">
        <v>236</v>
      </c>
      <c r="D414" s="1385" t="s">
        <v>237</v>
      </c>
      <c r="E414" s="353" t="s">
        <v>237</v>
      </c>
      <c r="F414" s="353" t="s">
        <v>237</v>
      </c>
      <c r="G414" s="353" t="s">
        <v>237</v>
      </c>
      <c r="H414" s="353" t="s">
        <v>237</v>
      </c>
      <c r="I414" s="353" t="s">
        <v>237</v>
      </c>
      <c r="J414" s="353" t="s">
        <v>236</v>
      </c>
      <c r="K414" s="355" t="s">
        <v>235</v>
      </c>
    </row>
    <row r="415" spans="1:11">
      <c r="A415" s="355">
        <v>5163</v>
      </c>
      <c r="B415" s="356" t="s">
        <v>588</v>
      </c>
      <c r="C415" s="351" t="s">
        <v>236</v>
      </c>
      <c r="D415" s="1385" t="s">
        <v>236</v>
      </c>
      <c r="E415" s="353" t="s">
        <v>236</v>
      </c>
      <c r="F415" s="353" t="s">
        <v>236</v>
      </c>
      <c r="G415" s="353" t="s">
        <v>236</v>
      </c>
      <c r="H415" s="353" t="s">
        <v>236</v>
      </c>
      <c r="I415" s="353" t="s">
        <v>236</v>
      </c>
      <c r="J415" s="353" t="s">
        <v>236</v>
      </c>
      <c r="K415" s="355" t="s">
        <v>235</v>
      </c>
    </row>
    <row r="416" spans="1:11">
      <c r="A416" s="355">
        <v>5171</v>
      </c>
      <c r="B416" s="356" t="s">
        <v>589</v>
      </c>
      <c r="C416" s="351" t="s">
        <v>237</v>
      </c>
      <c r="D416" s="1385" t="s">
        <v>237</v>
      </c>
      <c r="E416" s="353" t="s">
        <v>237</v>
      </c>
      <c r="F416" s="353" t="s">
        <v>237</v>
      </c>
      <c r="G416" s="353" t="s">
        <v>237</v>
      </c>
      <c r="H416" s="353" t="s">
        <v>237</v>
      </c>
      <c r="I416" s="353" t="s">
        <v>237</v>
      </c>
      <c r="J416" s="353" t="s">
        <v>237</v>
      </c>
      <c r="K416" s="355" t="s">
        <v>234</v>
      </c>
    </row>
    <row r="417" spans="1:11" ht="30">
      <c r="A417" s="355">
        <v>5172</v>
      </c>
      <c r="B417" s="356" t="s">
        <v>590</v>
      </c>
      <c r="C417" s="351" t="s">
        <v>236</v>
      </c>
      <c r="D417" s="1385" t="s">
        <v>236</v>
      </c>
      <c r="E417" s="353" t="s">
        <v>236</v>
      </c>
      <c r="F417" s="353" t="s">
        <v>236</v>
      </c>
      <c r="G417" s="353" t="s">
        <v>236</v>
      </c>
      <c r="H417" s="353" t="s">
        <v>1185</v>
      </c>
      <c r="I417" s="353" t="s">
        <v>236</v>
      </c>
      <c r="J417" s="353" t="s">
        <v>236</v>
      </c>
      <c r="K417" s="355" t="s">
        <v>234</v>
      </c>
    </row>
    <row r="418" spans="1:11" ht="15.75">
      <c r="A418" s="355">
        <v>5180</v>
      </c>
      <c r="B418" s="356" t="s">
        <v>591</v>
      </c>
      <c r="C418" s="351" t="s">
        <v>236</v>
      </c>
      <c r="D418" s="1387" t="s">
        <v>268</v>
      </c>
      <c r="E418" s="353" t="s">
        <v>237</v>
      </c>
      <c r="F418" s="353" t="s">
        <v>237</v>
      </c>
      <c r="G418" s="353" t="s">
        <v>237</v>
      </c>
      <c r="H418" s="353" t="s">
        <v>237</v>
      </c>
      <c r="I418" s="353" t="s">
        <v>237</v>
      </c>
      <c r="J418" s="353" t="s">
        <v>236</v>
      </c>
      <c r="K418" s="355" t="s">
        <v>235</v>
      </c>
    </row>
    <row r="419" spans="1:11">
      <c r="A419" s="350">
        <v>5190</v>
      </c>
      <c r="B419" s="351" t="s">
        <v>592</v>
      </c>
      <c r="C419" s="351" t="s">
        <v>1176</v>
      </c>
      <c r="D419" s="1383" t="s">
        <v>268</v>
      </c>
      <c r="E419" s="352" t="s">
        <v>1176</v>
      </c>
      <c r="F419" s="352" t="s">
        <v>1176</v>
      </c>
      <c r="G419" s="352" t="s">
        <v>1176</v>
      </c>
      <c r="H419" s="352" t="s">
        <v>1176</v>
      </c>
      <c r="I419" s="352" t="s">
        <v>1176</v>
      </c>
      <c r="J419" s="353" t="s">
        <v>1176</v>
      </c>
      <c r="K419" s="354" t="s">
        <v>255</v>
      </c>
    </row>
    <row r="420" spans="1:11" ht="45">
      <c r="A420" s="350">
        <v>5191</v>
      </c>
      <c r="B420" s="351" t="s">
        <v>593</v>
      </c>
      <c r="C420" s="351" t="s">
        <v>268</v>
      </c>
      <c r="D420" s="1383" t="s">
        <v>268</v>
      </c>
      <c r="E420" s="352" t="s">
        <v>1176</v>
      </c>
      <c r="F420" s="352" t="s">
        <v>268</v>
      </c>
      <c r="G420" s="352" t="s">
        <v>268</v>
      </c>
      <c r="H420" s="352" t="s">
        <v>268</v>
      </c>
      <c r="I420" s="352" t="s">
        <v>1176</v>
      </c>
      <c r="J420" s="353" t="s">
        <v>268</v>
      </c>
      <c r="K420" s="354" t="s">
        <v>257</v>
      </c>
    </row>
    <row r="421" spans="1:11" ht="30">
      <c r="A421" s="355">
        <v>5192</v>
      </c>
      <c r="B421" s="356" t="s">
        <v>594</v>
      </c>
      <c r="C421" s="351" t="s">
        <v>236</v>
      </c>
      <c r="D421" s="1385" t="s">
        <v>235</v>
      </c>
      <c r="E421" s="353" t="s">
        <v>235</v>
      </c>
      <c r="F421" s="353" t="s">
        <v>235</v>
      </c>
      <c r="G421" s="353" t="s">
        <v>235</v>
      </c>
      <c r="H421" s="353" t="s">
        <v>235</v>
      </c>
      <c r="I421" s="353" t="s">
        <v>235</v>
      </c>
      <c r="J421" s="353" t="s">
        <v>268</v>
      </c>
      <c r="K421" s="355" t="s">
        <v>255</v>
      </c>
    </row>
    <row r="422" spans="1:11">
      <c r="A422" s="355">
        <v>5193</v>
      </c>
      <c r="B422" s="356" t="s">
        <v>596</v>
      </c>
      <c r="C422" s="351" t="s">
        <v>236</v>
      </c>
      <c r="D422" s="1385" t="s">
        <v>236</v>
      </c>
      <c r="E422" s="353" t="s">
        <v>236</v>
      </c>
      <c r="F422" s="353" t="s">
        <v>236</v>
      </c>
      <c r="G422" s="353" t="s">
        <v>236</v>
      </c>
      <c r="H422" s="353" t="s">
        <v>236</v>
      </c>
      <c r="I422" s="353" t="s">
        <v>236</v>
      </c>
      <c r="J422" s="353" t="s">
        <v>236</v>
      </c>
      <c r="K422" s="355" t="s">
        <v>234</v>
      </c>
    </row>
    <row r="423" spans="1:11">
      <c r="A423" s="355">
        <v>5193</v>
      </c>
      <c r="B423" s="356" t="s">
        <v>597</v>
      </c>
      <c r="C423" s="351" t="s">
        <v>236</v>
      </c>
      <c r="D423" s="1385" t="s">
        <v>236</v>
      </c>
      <c r="E423" s="353" t="s">
        <v>236</v>
      </c>
      <c r="F423" s="353" t="s">
        <v>236</v>
      </c>
      <c r="G423" s="353" t="s">
        <v>236</v>
      </c>
      <c r="H423" s="353" t="s">
        <v>236</v>
      </c>
      <c r="I423" s="353" t="s">
        <v>236</v>
      </c>
      <c r="J423" s="353" t="s">
        <v>236</v>
      </c>
      <c r="K423" s="355" t="s">
        <v>234</v>
      </c>
    </row>
    <row r="424" spans="1:11">
      <c r="A424" s="355">
        <v>5193</v>
      </c>
      <c r="B424" s="356" t="s">
        <v>598</v>
      </c>
      <c r="C424" s="351" t="s">
        <v>236</v>
      </c>
      <c r="D424" s="1385" t="s">
        <v>236</v>
      </c>
      <c r="E424" s="353" t="s">
        <v>236</v>
      </c>
      <c r="F424" s="353" t="s">
        <v>236</v>
      </c>
      <c r="G424" s="353" t="s">
        <v>236</v>
      </c>
      <c r="H424" s="353" t="s">
        <v>236</v>
      </c>
      <c r="I424" s="353" t="s">
        <v>236</v>
      </c>
      <c r="J424" s="353" t="s">
        <v>236</v>
      </c>
      <c r="K424" s="355" t="s">
        <v>234</v>
      </c>
    </row>
    <row r="425" spans="1:11">
      <c r="A425" s="355">
        <v>5193</v>
      </c>
      <c r="B425" s="356" t="s">
        <v>599</v>
      </c>
      <c r="C425" s="351" t="s">
        <v>236</v>
      </c>
      <c r="D425" s="1385" t="s">
        <v>236</v>
      </c>
      <c r="E425" s="353" t="s">
        <v>236</v>
      </c>
      <c r="F425" s="353" t="s">
        <v>236</v>
      </c>
      <c r="G425" s="353" t="s">
        <v>268</v>
      </c>
      <c r="H425" s="353" t="s">
        <v>1176</v>
      </c>
      <c r="I425" s="353" t="s">
        <v>236</v>
      </c>
      <c r="J425" s="353" t="s">
        <v>236</v>
      </c>
      <c r="K425" s="355" t="s">
        <v>255</v>
      </c>
    </row>
    <row r="426" spans="1:11">
      <c r="A426" s="355">
        <v>5193</v>
      </c>
      <c r="B426" s="356" t="s">
        <v>359</v>
      </c>
      <c r="C426" s="351" t="s">
        <v>236</v>
      </c>
      <c r="D426" s="1385" t="s">
        <v>237</v>
      </c>
      <c r="E426" s="353" t="s">
        <v>236</v>
      </c>
      <c r="F426" s="353" t="s">
        <v>236</v>
      </c>
      <c r="G426" s="353" t="s">
        <v>236</v>
      </c>
      <c r="H426" s="353" t="s">
        <v>236</v>
      </c>
      <c r="I426" s="353" t="s">
        <v>236</v>
      </c>
      <c r="J426" s="353" t="s">
        <v>236</v>
      </c>
      <c r="K426" s="355" t="s">
        <v>235</v>
      </c>
    </row>
    <row r="427" spans="1:11">
      <c r="A427" s="355">
        <v>5193</v>
      </c>
      <c r="B427" s="356" t="s">
        <v>595</v>
      </c>
      <c r="C427" s="351" t="s">
        <v>236</v>
      </c>
      <c r="D427" s="1385" t="s">
        <v>236</v>
      </c>
      <c r="E427" s="353" t="s">
        <v>237</v>
      </c>
      <c r="F427" s="353" t="s">
        <v>237</v>
      </c>
      <c r="G427" s="353" t="s">
        <v>237</v>
      </c>
      <c r="H427" s="353" t="s">
        <v>237</v>
      </c>
      <c r="I427" s="353" t="s">
        <v>237</v>
      </c>
      <c r="J427" s="353" t="s">
        <v>236</v>
      </c>
      <c r="K427" s="355" t="s">
        <v>234</v>
      </c>
    </row>
    <row r="428" spans="1:11">
      <c r="A428" s="355">
        <v>5194</v>
      </c>
      <c r="B428" s="356" t="s">
        <v>600</v>
      </c>
      <c r="C428" s="351" t="s">
        <v>236</v>
      </c>
      <c r="D428" s="1385" t="s">
        <v>236</v>
      </c>
      <c r="E428" s="353" t="s">
        <v>236</v>
      </c>
      <c r="F428" s="353" t="s">
        <v>236</v>
      </c>
      <c r="G428" s="353" t="s">
        <v>236</v>
      </c>
      <c r="H428" s="353" t="s">
        <v>236</v>
      </c>
      <c r="I428" s="353" t="s">
        <v>236</v>
      </c>
      <c r="J428" s="353" t="s">
        <v>236</v>
      </c>
      <c r="K428" s="355" t="s">
        <v>257</v>
      </c>
    </row>
    <row r="429" spans="1:11">
      <c r="A429" s="355">
        <v>5195</v>
      </c>
      <c r="B429" s="356" t="s">
        <v>601</v>
      </c>
      <c r="C429" s="351" t="s">
        <v>237</v>
      </c>
      <c r="D429" s="1385" t="s">
        <v>236</v>
      </c>
      <c r="E429" s="353" t="s">
        <v>236</v>
      </c>
      <c r="F429" s="353" t="s">
        <v>236</v>
      </c>
      <c r="G429" s="353" t="s">
        <v>236</v>
      </c>
      <c r="H429" s="353" t="s">
        <v>236</v>
      </c>
      <c r="I429" s="353" t="s">
        <v>236</v>
      </c>
      <c r="J429" s="353" t="s">
        <v>237</v>
      </c>
      <c r="K429" s="355" t="s">
        <v>234</v>
      </c>
    </row>
    <row r="430" spans="1:11">
      <c r="A430" s="355">
        <v>5195</v>
      </c>
      <c r="B430" s="356" t="s">
        <v>602</v>
      </c>
      <c r="C430" s="351" t="s">
        <v>237</v>
      </c>
      <c r="D430" s="1385" t="s">
        <v>236</v>
      </c>
      <c r="E430" s="353" t="s">
        <v>236</v>
      </c>
      <c r="F430" s="353" t="s">
        <v>236</v>
      </c>
      <c r="G430" s="353" t="s">
        <v>236</v>
      </c>
      <c r="H430" s="353" t="s">
        <v>236</v>
      </c>
      <c r="I430" s="353" t="s">
        <v>236</v>
      </c>
      <c r="J430" s="353" t="s">
        <v>237</v>
      </c>
      <c r="K430" s="355" t="s">
        <v>234</v>
      </c>
    </row>
    <row r="431" spans="1:11">
      <c r="A431" s="355">
        <v>5196</v>
      </c>
      <c r="B431" s="356" t="s">
        <v>603</v>
      </c>
      <c r="C431" s="351" t="s">
        <v>236</v>
      </c>
      <c r="D431" s="1385" t="s">
        <v>236</v>
      </c>
      <c r="E431" s="353" t="s">
        <v>236</v>
      </c>
      <c r="F431" s="353" t="s">
        <v>236</v>
      </c>
      <c r="G431" s="353" t="s">
        <v>236</v>
      </c>
      <c r="H431" s="353" t="s">
        <v>236</v>
      </c>
      <c r="I431" s="353" t="s">
        <v>236</v>
      </c>
      <c r="J431" s="353" t="s">
        <v>236</v>
      </c>
      <c r="K431" s="355" t="s">
        <v>255</v>
      </c>
    </row>
    <row r="432" spans="1:11">
      <c r="A432" s="355">
        <v>5211</v>
      </c>
      <c r="B432" s="356" t="s">
        <v>604</v>
      </c>
      <c r="C432" s="351" t="s">
        <v>237</v>
      </c>
      <c r="D432" s="1385" t="s">
        <v>236</v>
      </c>
      <c r="E432" s="353" t="s">
        <v>236</v>
      </c>
      <c r="F432" s="353" t="s">
        <v>236</v>
      </c>
      <c r="G432" s="353" t="s">
        <v>236</v>
      </c>
      <c r="H432" s="353" t="s">
        <v>236</v>
      </c>
      <c r="I432" s="353" t="s">
        <v>236</v>
      </c>
      <c r="J432" s="353" t="s">
        <v>237</v>
      </c>
      <c r="K432" s="355" t="s">
        <v>234</v>
      </c>
    </row>
    <row r="433" spans="1:11">
      <c r="A433" s="355">
        <v>5212</v>
      </c>
      <c r="B433" s="356" t="s">
        <v>605</v>
      </c>
      <c r="C433" s="351" t="s">
        <v>236</v>
      </c>
      <c r="D433" s="1385" t="s">
        <v>236</v>
      </c>
      <c r="E433" s="353" t="s">
        <v>236</v>
      </c>
      <c r="F433" s="353" t="s">
        <v>236</v>
      </c>
      <c r="G433" s="353" t="s">
        <v>236</v>
      </c>
      <c r="H433" s="353" t="s">
        <v>236</v>
      </c>
      <c r="I433" s="353" t="s">
        <v>236</v>
      </c>
      <c r="J433" s="353" t="s">
        <v>236</v>
      </c>
      <c r="K433" s="355" t="s">
        <v>235</v>
      </c>
    </row>
    <row r="434" spans="1:11">
      <c r="A434" s="350">
        <v>5221</v>
      </c>
      <c r="B434" s="351" t="s">
        <v>606</v>
      </c>
      <c r="C434" s="351" t="s">
        <v>268</v>
      </c>
      <c r="D434" s="1383" t="s">
        <v>268</v>
      </c>
      <c r="E434" s="352" t="s">
        <v>268</v>
      </c>
      <c r="F434" s="352" t="s">
        <v>268</v>
      </c>
      <c r="G434" s="352" t="s">
        <v>268</v>
      </c>
      <c r="H434" s="352" t="s">
        <v>268</v>
      </c>
      <c r="I434" s="352" t="s">
        <v>268</v>
      </c>
      <c r="J434" s="353" t="s">
        <v>268</v>
      </c>
      <c r="K434" s="354" t="s">
        <v>235</v>
      </c>
    </row>
    <row r="435" spans="1:11">
      <c r="A435" s="350">
        <v>5222</v>
      </c>
      <c r="B435" s="351" t="s">
        <v>607</v>
      </c>
      <c r="C435" s="351" t="s">
        <v>1176</v>
      </c>
      <c r="D435" s="1383" t="s">
        <v>268</v>
      </c>
      <c r="E435" s="352" t="s">
        <v>1176</v>
      </c>
      <c r="F435" s="352" t="s">
        <v>1176</v>
      </c>
      <c r="G435" s="352" t="s">
        <v>1176</v>
      </c>
      <c r="H435" s="352" t="s">
        <v>1176</v>
      </c>
      <c r="I435" s="352" t="s">
        <v>1176</v>
      </c>
      <c r="J435" s="353" t="s">
        <v>1176</v>
      </c>
      <c r="K435" s="354" t="s">
        <v>235</v>
      </c>
    </row>
    <row r="436" spans="1:11" ht="30">
      <c r="A436" s="355">
        <v>5223</v>
      </c>
      <c r="B436" s="356" t="s">
        <v>608</v>
      </c>
      <c r="C436" s="351" t="s">
        <v>236</v>
      </c>
      <c r="D436" s="1385" t="s">
        <v>236</v>
      </c>
      <c r="E436" s="353" t="s">
        <v>236</v>
      </c>
      <c r="F436" s="353" t="s">
        <v>236</v>
      </c>
      <c r="G436" s="353" t="s">
        <v>236</v>
      </c>
      <c r="H436" s="353" t="s">
        <v>236</v>
      </c>
      <c r="I436" s="353" t="s">
        <v>236</v>
      </c>
      <c r="J436" s="353" t="s">
        <v>236</v>
      </c>
      <c r="K436" s="355" t="s">
        <v>235</v>
      </c>
    </row>
    <row r="437" spans="1:11">
      <c r="A437" s="355">
        <v>5224</v>
      </c>
      <c r="B437" s="356" t="s">
        <v>609</v>
      </c>
      <c r="C437" s="351" t="s">
        <v>236</v>
      </c>
      <c r="D437" s="1385" t="s">
        <v>237</v>
      </c>
      <c r="E437" s="353" t="s">
        <v>237</v>
      </c>
      <c r="F437" s="353" t="s">
        <v>237</v>
      </c>
      <c r="G437" s="353" t="s">
        <v>237</v>
      </c>
      <c r="H437" s="353" t="s">
        <v>237</v>
      </c>
      <c r="I437" s="353" t="s">
        <v>237</v>
      </c>
      <c r="J437" s="353" t="s">
        <v>236</v>
      </c>
      <c r="K437" s="355" t="s">
        <v>235</v>
      </c>
    </row>
    <row r="438" spans="1:11" ht="30">
      <c r="A438" s="355">
        <v>5231</v>
      </c>
      <c r="B438" s="356" t="s">
        <v>610</v>
      </c>
      <c r="C438" s="351" t="s">
        <v>236</v>
      </c>
      <c r="D438" s="1385" t="s">
        <v>236</v>
      </c>
      <c r="E438" s="353" t="s">
        <v>236</v>
      </c>
      <c r="F438" s="353" t="s">
        <v>236</v>
      </c>
      <c r="G438" s="353" t="s">
        <v>236</v>
      </c>
      <c r="H438" s="353" t="s">
        <v>236</v>
      </c>
      <c r="I438" s="353" t="s">
        <v>1176</v>
      </c>
      <c r="J438" s="353" t="s">
        <v>236</v>
      </c>
      <c r="K438" s="355" t="s">
        <v>257</v>
      </c>
    </row>
    <row r="439" spans="1:11">
      <c r="A439" s="355">
        <v>5232</v>
      </c>
      <c r="B439" s="356" t="s">
        <v>611</v>
      </c>
      <c r="C439" s="351" t="s">
        <v>237</v>
      </c>
      <c r="D439" s="1385" t="s">
        <v>237</v>
      </c>
      <c r="E439" s="353" t="s">
        <v>237</v>
      </c>
      <c r="F439" s="353" t="s">
        <v>237</v>
      </c>
      <c r="G439" s="353" t="s">
        <v>237</v>
      </c>
      <c r="H439" s="353" t="s">
        <v>237</v>
      </c>
      <c r="I439" s="353" t="s">
        <v>1176</v>
      </c>
      <c r="J439" s="353" t="s">
        <v>237</v>
      </c>
      <c r="K439" s="355" t="s">
        <v>235</v>
      </c>
    </row>
    <row r="440" spans="1:11">
      <c r="A440" s="355">
        <v>5240</v>
      </c>
      <c r="B440" s="356" t="s">
        <v>612</v>
      </c>
      <c r="C440" s="351" t="s">
        <v>237</v>
      </c>
      <c r="D440" s="1385" t="s">
        <v>236</v>
      </c>
      <c r="E440" s="353" t="s">
        <v>236</v>
      </c>
      <c r="F440" s="353" t="s">
        <v>236</v>
      </c>
      <c r="G440" s="353" t="s">
        <v>236</v>
      </c>
      <c r="H440" s="353" t="s">
        <v>1182</v>
      </c>
      <c r="I440" s="353" t="s">
        <v>1176</v>
      </c>
      <c r="J440" s="353" t="s">
        <v>237</v>
      </c>
      <c r="K440" s="355" t="s">
        <v>235</v>
      </c>
    </row>
    <row r="441" spans="1:11" ht="30">
      <c r="A441" s="355">
        <v>5251</v>
      </c>
      <c r="B441" s="356" t="s">
        <v>613</v>
      </c>
      <c r="C441" s="351" t="s">
        <v>235</v>
      </c>
      <c r="D441" s="1385" t="s">
        <v>235</v>
      </c>
      <c r="E441" s="353" t="s">
        <v>235</v>
      </c>
      <c r="F441" s="353" t="s">
        <v>235</v>
      </c>
      <c r="G441" s="353" t="s">
        <v>235</v>
      </c>
      <c r="H441" s="353" t="s">
        <v>235</v>
      </c>
      <c r="I441" s="353" t="s">
        <v>235</v>
      </c>
      <c r="J441" s="353" t="s">
        <v>235</v>
      </c>
      <c r="K441" s="355" t="s">
        <v>235</v>
      </c>
    </row>
    <row r="442" spans="1:11" ht="30">
      <c r="A442" s="350">
        <v>5252</v>
      </c>
      <c r="B442" s="351" t="s">
        <v>614</v>
      </c>
      <c r="C442" s="351" t="s">
        <v>268</v>
      </c>
      <c r="D442" s="1383" t="s">
        <v>268</v>
      </c>
      <c r="E442" s="352" t="s">
        <v>268</v>
      </c>
      <c r="F442" s="352" t="s">
        <v>1176</v>
      </c>
      <c r="G442" s="352" t="s">
        <v>268</v>
      </c>
      <c r="H442" s="352" t="s">
        <v>268</v>
      </c>
      <c r="I442" s="352" t="s">
        <v>268</v>
      </c>
      <c r="J442" s="353" t="s">
        <v>268</v>
      </c>
      <c r="K442" s="354" t="s">
        <v>257</v>
      </c>
    </row>
    <row r="443" spans="1:11">
      <c r="A443" s="355">
        <v>5253</v>
      </c>
      <c r="B443" s="356" t="s">
        <v>615</v>
      </c>
      <c r="C443" s="351" t="s">
        <v>235</v>
      </c>
      <c r="D443" s="1385" t="s">
        <v>235</v>
      </c>
      <c r="E443" s="353" t="s">
        <v>235</v>
      </c>
      <c r="F443" s="353" t="s">
        <v>235</v>
      </c>
      <c r="G443" s="353" t="s">
        <v>235</v>
      </c>
      <c r="H443" s="353" t="s">
        <v>235</v>
      </c>
      <c r="I443" s="353" t="s">
        <v>235</v>
      </c>
      <c r="J443" s="353" t="s">
        <v>235</v>
      </c>
      <c r="K443" s="355" t="s">
        <v>235</v>
      </c>
    </row>
    <row r="444" spans="1:11">
      <c r="A444" s="355">
        <v>5254</v>
      </c>
      <c r="B444" s="356" t="s">
        <v>616</v>
      </c>
      <c r="C444" s="351" t="s">
        <v>235</v>
      </c>
      <c r="D444" s="1385" t="s">
        <v>237</v>
      </c>
      <c r="E444" s="353" t="s">
        <v>237</v>
      </c>
      <c r="F444" s="353" t="s">
        <v>237</v>
      </c>
      <c r="G444" s="353" t="s">
        <v>1176</v>
      </c>
      <c r="H444" s="353" t="s">
        <v>237</v>
      </c>
      <c r="I444" s="353" t="s">
        <v>237</v>
      </c>
      <c r="J444" s="353" t="s">
        <v>235</v>
      </c>
      <c r="K444" s="355" t="s">
        <v>235</v>
      </c>
    </row>
    <row r="445" spans="1:11" ht="30">
      <c r="A445" s="350">
        <v>5255</v>
      </c>
      <c r="B445" s="351" t="s">
        <v>617</v>
      </c>
      <c r="C445" s="351" t="s">
        <v>256</v>
      </c>
      <c r="D445" s="1383" t="s">
        <v>268</v>
      </c>
      <c r="E445" s="352" t="s">
        <v>236</v>
      </c>
      <c r="F445" s="352" t="s">
        <v>236</v>
      </c>
      <c r="G445" s="352" t="s">
        <v>236</v>
      </c>
      <c r="H445" s="352" t="s">
        <v>236</v>
      </c>
      <c r="I445" s="352" t="s">
        <v>236</v>
      </c>
      <c r="J445" s="353" t="s">
        <v>256</v>
      </c>
      <c r="K445" s="354" t="s">
        <v>235</v>
      </c>
    </row>
    <row r="446" spans="1:11" ht="15.75">
      <c r="A446" s="355">
        <v>5256</v>
      </c>
      <c r="B446" s="356" t="s">
        <v>618</v>
      </c>
      <c r="C446" s="351" t="s">
        <v>236</v>
      </c>
      <c r="D446" s="1384" t="s">
        <v>268</v>
      </c>
      <c r="E446" s="353" t="s">
        <v>236</v>
      </c>
      <c r="F446" s="353" t="s">
        <v>236</v>
      </c>
      <c r="G446" s="353" t="s">
        <v>236</v>
      </c>
      <c r="H446" s="353" t="s">
        <v>236</v>
      </c>
      <c r="I446" s="353" t="s">
        <v>236</v>
      </c>
      <c r="J446" s="353" t="s">
        <v>236</v>
      </c>
      <c r="K446" s="355" t="s">
        <v>255</v>
      </c>
    </row>
    <row r="447" spans="1:11">
      <c r="A447" s="355">
        <v>5257</v>
      </c>
      <c r="B447" s="356" t="s">
        <v>619</v>
      </c>
      <c r="C447" s="351" t="s">
        <v>235</v>
      </c>
      <c r="D447" s="1385" t="s">
        <v>235</v>
      </c>
      <c r="E447" s="353" t="s">
        <v>235</v>
      </c>
      <c r="F447" s="353" t="s">
        <v>235</v>
      </c>
      <c r="G447" s="353" t="s">
        <v>235</v>
      </c>
      <c r="H447" s="353" t="s">
        <v>235</v>
      </c>
      <c r="I447" s="353" t="s">
        <v>235</v>
      </c>
      <c r="J447" s="353" t="s">
        <v>235</v>
      </c>
      <c r="K447" s="355" t="s">
        <v>236</v>
      </c>
    </row>
    <row r="448" spans="1:11" ht="30">
      <c r="A448" s="355">
        <v>5258</v>
      </c>
      <c r="B448" s="356" t="s">
        <v>620</v>
      </c>
      <c r="C448" s="351" t="s">
        <v>235</v>
      </c>
      <c r="D448" s="1385" t="s">
        <v>235</v>
      </c>
      <c r="E448" s="353" t="s">
        <v>235</v>
      </c>
      <c r="F448" s="353" t="s">
        <v>235</v>
      </c>
      <c r="G448" s="353" t="s">
        <v>235</v>
      </c>
      <c r="H448" s="353" t="s">
        <v>235</v>
      </c>
      <c r="I448" s="353" t="s">
        <v>235</v>
      </c>
      <c r="J448" s="353" t="s">
        <v>235</v>
      </c>
      <c r="K448" s="355" t="s">
        <v>235</v>
      </c>
    </row>
    <row r="449" spans="1:11">
      <c r="A449" s="355">
        <v>5259</v>
      </c>
      <c r="B449" s="356" t="s">
        <v>621</v>
      </c>
      <c r="C449" s="351" t="s">
        <v>236</v>
      </c>
      <c r="D449" s="1385" t="s">
        <v>236</v>
      </c>
      <c r="E449" s="353" t="s">
        <v>236</v>
      </c>
      <c r="F449" s="353" t="s">
        <v>236</v>
      </c>
      <c r="G449" s="353" t="s">
        <v>236</v>
      </c>
      <c r="H449" s="353" t="s">
        <v>236</v>
      </c>
      <c r="I449" s="353" t="s">
        <v>236</v>
      </c>
      <c r="J449" s="353" t="s">
        <v>236</v>
      </c>
      <c r="K449" s="355" t="s">
        <v>234</v>
      </c>
    </row>
    <row r="450" spans="1:11">
      <c r="A450" s="355">
        <v>5291</v>
      </c>
      <c r="B450" s="356" t="s">
        <v>622</v>
      </c>
      <c r="C450" s="351" t="s">
        <v>235</v>
      </c>
      <c r="D450" s="1385" t="s">
        <v>235</v>
      </c>
      <c r="E450" s="353" t="s">
        <v>235</v>
      </c>
      <c r="F450" s="353" t="s">
        <v>235</v>
      </c>
      <c r="G450" s="353" t="s">
        <v>235</v>
      </c>
      <c r="H450" s="353" t="s">
        <v>235</v>
      </c>
      <c r="I450" s="353" t="s">
        <v>235</v>
      </c>
      <c r="J450" s="353" t="s">
        <v>235</v>
      </c>
      <c r="K450" s="355" t="s">
        <v>234</v>
      </c>
    </row>
    <row r="451" spans="1:11">
      <c r="A451" s="355">
        <v>5292</v>
      </c>
      <c r="B451" s="356" t="s">
        <v>623</v>
      </c>
      <c r="C451" s="351" t="s">
        <v>235</v>
      </c>
      <c r="D451" s="1385" t="s">
        <v>235</v>
      </c>
      <c r="E451" s="353" t="s">
        <v>235</v>
      </c>
      <c r="F451" s="353" t="s">
        <v>235</v>
      </c>
      <c r="G451" s="353" t="s">
        <v>235</v>
      </c>
      <c r="H451" s="353" t="s">
        <v>235</v>
      </c>
      <c r="I451" s="353" t="s">
        <v>235</v>
      </c>
      <c r="J451" s="353" t="s">
        <v>235</v>
      </c>
      <c r="K451" s="355" t="s">
        <v>234</v>
      </c>
    </row>
    <row r="452" spans="1:11">
      <c r="A452" s="355">
        <v>5301</v>
      </c>
      <c r="B452" s="356" t="s">
        <v>624</v>
      </c>
      <c r="C452" s="351" t="s">
        <v>234</v>
      </c>
      <c r="D452" s="1385" t="s">
        <v>234</v>
      </c>
      <c r="E452" s="353" t="s">
        <v>234</v>
      </c>
      <c r="F452" s="353" t="s">
        <v>234</v>
      </c>
      <c r="G452" s="353" t="s">
        <v>234</v>
      </c>
      <c r="H452" s="353" t="s">
        <v>234</v>
      </c>
      <c r="I452" s="353" t="s">
        <v>234</v>
      </c>
      <c r="J452" s="353" t="s">
        <v>234</v>
      </c>
      <c r="K452" s="355" t="s">
        <v>235</v>
      </c>
    </row>
    <row r="453" spans="1:11">
      <c r="A453" s="355">
        <v>5302</v>
      </c>
      <c r="B453" s="356" t="s">
        <v>625</v>
      </c>
      <c r="C453" s="351" t="s">
        <v>236</v>
      </c>
      <c r="D453" s="1385" t="s">
        <v>236</v>
      </c>
      <c r="E453" s="353" t="s">
        <v>236</v>
      </c>
      <c r="F453" s="353" t="s">
        <v>236</v>
      </c>
      <c r="G453" s="353" t="s">
        <v>236</v>
      </c>
      <c r="H453" s="353" t="s">
        <v>236</v>
      </c>
      <c r="I453" s="353" t="s">
        <v>236</v>
      </c>
      <c r="J453" s="353" t="s">
        <v>236</v>
      </c>
      <c r="K453" s="355" t="s">
        <v>235</v>
      </c>
    </row>
    <row r="454" spans="1:11" ht="30">
      <c r="A454" s="355">
        <v>5311</v>
      </c>
      <c r="B454" s="356" t="s">
        <v>626</v>
      </c>
      <c r="C454" s="351" t="s">
        <v>235</v>
      </c>
      <c r="D454" s="1385" t="s">
        <v>235</v>
      </c>
      <c r="E454" s="353" t="s">
        <v>235</v>
      </c>
      <c r="F454" s="353" t="s">
        <v>235</v>
      </c>
      <c r="G454" s="353" t="s">
        <v>235</v>
      </c>
      <c r="H454" s="353" t="s">
        <v>235</v>
      </c>
      <c r="I454" s="353" t="s">
        <v>235</v>
      </c>
      <c r="J454" s="353" t="s">
        <v>235</v>
      </c>
      <c r="K454" s="355" t="s">
        <v>235</v>
      </c>
    </row>
    <row r="455" spans="1:11">
      <c r="A455" s="350">
        <v>5312</v>
      </c>
      <c r="B455" s="351" t="s">
        <v>627</v>
      </c>
      <c r="C455" s="351" t="s">
        <v>256</v>
      </c>
      <c r="D455" s="1383" t="s">
        <v>268</v>
      </c>
      <c r="E455" s="352" t="s">
        <v>236</v>
      </c>
      <c r="F455" s="352" t="s">
        <v>236</v>
      </c>
      <c r="G455" s="352" t="s">
        <v>236</v>
      </c>
      <c r="H455" s="352" t="s">
        <v>236</v>
      </c>
      <c r="I455" s="352" t="s">
        <v>236</v>
      </c>
      <c r="J455" s="353" t="s">
        <v>256</v>
      </c>
      <c r="K455" s="354" t="s">
        <v>234</v>
      </c>
    </row>
    <row r="456" spans="1:11" ht="30">
      <c r="A456" s="350">
        <v>5313</v>
      </c>
      <c r="B456" s="351" t="s">
        <v>628</v>
      </c>
      <c r="C456" s="351" t="s">
        <v>256</v>
      </c>
      <c r="D456" s="1383" t="s">
        <v>268</v>
      </c>
      <c r="E456" s="352" t="s">
        <v>268</v>
      </c>
      <c r="F456" s="352" t="s">
        <v>268</v>
      </c>
      <c r="G456" s="352" t="s">
        <v>268</v>
      </c>
      <c r="H456" s="352" t="s">
        <v>268</v>
      </c>
      <c r="I456" s="352" t="s">
        <v>268</v>
      </c>
      <c r="J456" s="353" t="s">
        <v>256</v>
      </c>
      <c r="K456" s="354" t="s">
        <v>234</v>
      </c>
    </row>
    <row r="457" spans="1:11" ht="30">
      <c r="A457" s="355">
        <v>5314</v>
      </c>
      <c r="B457" s="356" t="s">
        <v>629</v>
      </c>
      <c r="C457" s="351" t="s">
        <v>234</v>
      </c>
      <c r="D457" s="1385" t="s">
        <v>234</v>
      </c>
      <c r="E457" s="353" t="s">
        <v>234</v>
      </c>
      <c r="F457" s="353" t="s">
        <v>234</v>
      </c>
      <c r="G457" s="353" t="s">
        <v>234</v>
      </c>
      <c r="H457" s="353" t="s">
        <v>234</v>
      </c>
      <c r="I457" s="353" t="s">
        <v>234</v>
      </c>
      <c r="J457" s="353" t="s">
        <v>234</v>
      </c>
      <c r="K457" s="355" t="s">
        <v>235</v>
      </c>
    </row>
    <row r="458" spans="1:11">
      <c r="A458" s="355">
        <v>5321</v>
      </c>
      <c r="B458" s="356" t="s">
        <v>630</v>
      </c>
      <c r="C458" s="351" t="s">
        <v>235</v>
      </c>
      <c r="D458" s="1385" t="s">
        <v>235</v>
      </c>
      <c r="E458" s="353" t="s">
        <v>235</v>
      </c>
      <c r="F458" s="353" t="s">
        <v>235</v>
      </c>
      <c r="G458" s="353" t="s">
        <v>235</v>
      </c>
      <c r="H458" s="353" t="s">
        <v>235</v>
      </c>
      <c r="I458" s="353" t="s">
        <v>235</v>
      </c>
      <c r="J458" s="353" t="s">
        <v>235</v>
      </c>
      <c r="K458" s="355" t="s">
        <v>235</v>
      </c>
    </row>
    <row r="459" spans="1:11">
      <c r="A459" s="355">
        <v>5322</v>
      </c>
      <c r="B459" s="356" t="s">
        <v>631</v>
      </c>
      <c r="C459" s="351" t="s">
        <v>236</v>
      </c>
      <c r="D459" s="1385" t="s">
        <v>236</v>
      </c>
      <c r="E459" s="353" t="s">
        <v>236</v>
      </c>
      <c r="F459" s="353" t="s">
        <v>1176</v>
      </c>
      <c r="G459" s="353" t="s">
        <v>236</v>
      </c>
      <c r="H459" s="353" t="s">
        <v>236</v>
      </c>
      <c r="I459" s="353" t="s">
        <v>1176</v>
      </c>
      <c r="J459" s="353" t="s">
        <v>236</v>
      </c>
      <c r="K459" s="355" t="s">
        <v>255</v>
      </c>
    </row>
    <row r="460" spans="1:11">
      <c r="A460" s="355">
        <v>5331</v>
      </c>
      <c r="B460" s="356" t="s">
        <v>632</v>
      </c>
      <c r="C460" s="351" t="s">
        <v>235</v>
      </c>
      <c r="D460" s="1385" t="s">
        <v>235</v>
      </c>
      <c r="E460" s="353" t="s">
        <v>235</v>
      </c>
      <c r="F460" s="353" t="s">
        <v>235</v>
      </c>
      <c r="G460" s="353" t="s">
        <v>235</v>
      </c>
      <c r="H460" s="353" t="s">
        <v>235</v>
      </c>
      <c r="I460" s="353" t="s">
        <v>235</v>
      </c>
      <c r="J460" s="353" t="s">
        <v>235</v>
      </c>
      <c r="K460" s="355" t="s">
        <v>234</v>
      </c>
    </row>
    <row r="461" spans="1:11">
      <c r="A461" s="355">
        <v>5332</v>
      </c>
      <c r="B461" s="356" t="s">
        <v>633</v>
      </c>
      <c r="C461" s="351" t="s">
        <v>235</v>
      </c>
      <c r="D461" s="1385" t="s">
        <v>235</v>
      </c>
      <c r="E461" s="353" t="s">
        <v>235</v>
      </c>
      <c r="F461" s="353" t="s">
        <v>235</v>
      </c>
      <c r="G461" s="353" t="s">
        <v>235</v>
      </c>
      <c r="H461" s="353" t="s">
        <v>235</v>
      </c>
      <c r="I461" s="353" t="s">
        <v>235</v>
      </c>
      <c r="J461" s="353" t="s">
        <v>235</v>
      </c>
      <c r="K461" s="355" t="s">
        <v>235</v>
      </c>
    </row>
    <row r="462" spans="1:11">
      <c r="A462" s="355">
        <v>5341</v>
      </c>
      <c r="B462" s="356" t="s">
        <v>634</v>
      </c>
      <c r="C462" s="351" t="s">
        <v>236</v>
      </c>
      <c r="D462" s="1385" t="s">
        <v>236</v>
      </c>
      <c r="E462" s="353" t="s">
        <v>236</v>
      </c>
      <c r="F462" s="353" t="s">
        <v>236</v>
      </c>
      <c r="G462" s="353" t="s">
        <v>236</v>
      </c>
      <c r="H462" s="353" t="s">
        <v>236</v>
      </c>
      <c r="I462" s="353" t="s">
        <v>236</v>
      </c>
      <c r="J462" s="353" t="s">
        <v>236</v>
      </c>
      <c r="K462" s="355" t="s">
        <v>255</v>
      </c>
    </row>
    <row r="463" spans="1:11">
      <c r="A463" s="355">
        <v>5342</v>
      </c>
      <c r="B463" s="356" t="s">
        <v>635</v>
      </c>
      <c r="C463" s="351" t="s">
        <v>235</v>
      </c>
      <c r="D463" s="1385" t="s">
        <v>235</v>
      </c>
      <c r="E463" s="353" t="s">
        <v>235</v>
      </c>
      <c r="F463" s="353" t="s">
        <v>235</v>
      </c>
      <c r="G463" s="353" t="s">
        <v>235</v>
      </c>
      <c r="H463" s="353" t="s">
        <v>235</v>
      </c>
      <c r="I463" s="353" t="s">
        <v>235</v>
      </c>
      <c r="J463" s="353" t="s">
        <v>235</v>
      </c>
      <c r="K463" s="355" t="s">
        <v>255</v>
      </c>
    </row>
    <row r="464" spans="1:11">
      <c r="A464" s="355">
        <v>5410</v>
      </c>
      <c r="B464" s="356" t="s">
        <v>636</v>
      </c>
      <c r="C464" s="351" t="s">
        <v>234</v>
      </c>
      <c r="D464" s="1385" t="s">
        <v>234</v>
      </c>
      <c r="E464" s="353" t="s">
        <v>234</v>
      </c>
      <c r="F464" s="353" t="s">
        <v>234</v>
      </c>
      <c r="G464" s="353" t="s">
        <v>234</v>
      </c>
      <c r="H464" s="353" t="s">
        <v>234</v>
      </c>
      <c r="I464" s="353" t="s">
        <v>234</v>
      </c>
      <c r="J464" s="353" t="s">
        <v>234</v>
      </c>
      <c r="K464" s="355" t="s">
        <v>235</v>
      </c>
    </row>
    <row r="465" spans="1:11">
      <c r="A465" s="350">
        <v>5421</v>
      </c>
      <c r="B465" s="351" t="s">
        <v>637</v>
      </c>
      <c r="C465" s="351" t="s">
        <v>1176</v>
      </c>
      <c r="D465" s="1383" t="s">
        <v>268</v>
      </c>
      <c r="E465" s="352" t="s">
        <v>1176</v>
      </c>
      <c r="F465" s="352" t="s">
        <v>1176</v>
      </c>
      <c r="G465" s="352" t="s">
        <v>1176</v>
      </c>
      <c r="H465" s="352" t="s">
        <v>1176</v>
      </c>
      <c r="I465" s="352" t="s">
        <v>1176</v>
      </c>
      <c r="J465" s="353" t="s">
        <v>1176</v>
      </c>
      <c r="K465" s="354" t="s">
        <v>235</v>
      </c>
    </row>
    <row r="466" spans="1:11" ht="30">
      <c r="A466" s="355">
        <v>5422</v>
      </c>
      <c r="B466" s="356" t="s">
        <v>638</v>
      </c>
      <c r="C466" s="351" t="s">
        <v>235</v>
      </c>
      <c r="D466" s="1385" t="s">
        <v>235</v>
      </c>
      <c r="E466" s="353" t="s">
        <v>235</v>
      </c>
      <c r="F466" s="353" t="s">
        <v>235</v>
      </c>
      <c r="G466" s="353" t="s">
        <v>235</v>
      </c>
      <c r="H466" s="353" t="s">
        <v>235</v>
      </c>
      <c r="I466" s="353" t="s">
        <v>235</v>
      </c>
      <c r="J466" s="353" t="s">
        <v>235</v>
      </c>
      <c r="K466" s="355" t="s">
        <v>234</v>
      </c>
    </row>
    <row r="467" spans="1:11">
      <c r="A467" s="355">
        <v>5431</v>
      </c>
      <c r="B467" s="356" t="s">
        <v>639</v>
      </c>
      <c r="C467" s="351" t="s">
        <v>236</v>
      </c>
      <c r="D467" s="1385" t="s">
        <v>236</v>
      </c>
      <c r="E467" s="353" t="s">
        <v>236</v>
      </c>
      <c r="F467" s="353" t="s">
        <v>236</v>
      </c>
      <c r="G467" s="353" t="s">
        <v>236</v>
      </c>
      <c r="H467" s="353" t="s">
        <v>236</v>
      </c>
      <c r="I467" s="353" t="s">
        <v>236</v>
      </c>
      <c r="J467" s="353" t="s">
        <v>236</v>
      </c>
      <c r="K467" s="355" t="s">
        <v>234</v>
      </c>
    </row>
    <row r="468" spans="1:11" ht="15.75">
      <c r="A468" s="350">
        <v>5432</v>
      </c>
      <c r="B468" s="351" t="s">
        <v>640</v>
      </c>
      <c r="C468" s="351" t="s">
        <v>1176</v>
      </c>
      <c r="D468" s="1387" t="s">
        <v>268</v>
      </c>
      <c r="E468" s="352" t="s">
        <v>1176</v>
      </c>
      <c r="F468" s="352" t="s">
        <v>1176</v>
      </c>
      <c r="G468" s="352" t="s">
        <v>1176</v>
      </c>
      <c r="H468" s="352" t="s">
        <v>1176</v>
      </c>
      <c r="I468" s="352" t="s">
        <v>1176</v>
      </c>
      <c r="J468" s="353" t="s">
        <v>1176</v>
      </c>
      <c r="K468" s="354" t="s">
        <v>234</v>
      </c>
    </row>
    <row r="469" spans="1:11">
      <c r="A469" s="355">
        <v>5433</v>
      </c>
      <c r="B469" s="356" t="s">
        <v>641</v>
      </c>
      <c r="C469" s="351" t="s">
        <v>235</v>
      </c>
      <c r="D469" s="1385" t="s">
        <v>235</v>
      </c>
      <c r="E469" s="353" t="s">
        <v>235</v>
      </c>
      <c r="F469" s="353" t="s">
        <v>235</v>
      </c>
      <c r="G469" s="353" t="s">
        <v>235</v>
      </c>
      <c r="H469" s="353" t="s">
        <v>235</v>
      </c>
      <c r="I469" s="353" t="s">
        <v>235</v>
      </c>
      <c r="J469" s="353" t="s">
        <v>235</v>
      </c>
      <c r="K469" s="355" t="s">
        <v>234</v>
      </c>
    </row>
    <row r="470" spans="1:11" ht="15.75">
      <c r="A470" s="355">
        <v>5511</v>
      </c>
      <c r="B470" s="356" t="s">
        <v>642</v>
      </c>
      <c r="C470" s="351" t="s">
        <v>236</v>
      </c>
      <c r="D470" s="1387" t="s">
        <v>268</v>
      </c>
      <c r="E470" s="353" t="s">
        <v>236</v>
      </c>
      <c r="F470" s="353" t="s">
        <v>236</v>
      </c>
      <c r="G470" s="353" t="s">
        <v>236</v>
      </c>
      <c r="H470" s="353" t="s">
        <v>236</v>
      </c>
      <c r="I470" s="353" t="s">
        <v>268</v>
      </c>
      <c r="J470" s="353" t="s">
        <v>268</v>
      </c>
      <c r="K470" s="355" t="s">
        <v>236</v>
      </c>
    </row>
    <row r="471" spans="1:11" ht="15.75">
      <c r="A471" s="355">
        <v>5512</v>
      </c>
      <c r="B471" s="356" t="s">
        <v>643</v>
      </c>
      <c r="C471" s="351" t="s">
        <v>237</v>
      </c>
      <c r="D471" s="1387" t="s">
        <v>268</v>
      </c>
      <c r="E471" s="353" t="s">
        <v>237</v>
      </c>
      <c r="F471" s="353" t="s">
        <v>237</v>
      </c>
      <c r="G471" s="353" t="s">
        <v>237</v>
      </c>
      <c r="H471" s="353" t="s">
        <v>237</v>
      </c>
      <c r="I471" s="353" t="s">
        <v>268</v>
      </c>
      <c r="J471" s="353" t="s">
        <v>268</v>
      </c>
      <c r="K471" s="355" t="s">
        <v>255</v>
      </c>
    </row>
    <row r="472" spans="1:11">
      <c r="A472" s="350">
        <v>5513</v>
      </c>
      <c r="B472" s="351" t="s">
        <v>644</v>
      </c>
      <c r="C472" s="351" t="s">
        <v>1176</v>
      </c>
      <c r="D472" s="1383" t="s">
        <v>268</v>
      </c>
      <c r="E472" s="352" t="s">
        <v>236</v>
      </c>
      <c r="F472" s="352" t="s">
        <v>236</v>
      </c>
      <c r="G472" s="352" t="s">
        <v>236</v>
      </c>
      <c r="H472" s="352" t="s">
        <v>236</v>
      </c>
      <c r="I472" s="352" t="s">
        <v>236</v>
      </c>
      <c r="J472" s="353" t="s">
        <v>1176</v>
      </c>
      <c r="K472" s="354" t="s">
        <v>235</v>
      </c>
    </row>
    <row r="473" spans="1:11" ht="15.75">
      <c r="A473" s="355">
        <v>5514</v>
      </c>
      <c r="B473" s="356" t="s">
        <v>645</v>
      </c>
      <c r="C473" s="351" t="s">
        <v>236</v>
      </c>
      <c r="D473" s="1387" t="s">
        <v>268</v>
      </c>
      <c r="E473" s="353" t="s">
        <v>236</v>
      </c>
      <c r="F473" s="353" t="s">
        <v>236</v>
      </c>
      <c r="G473" s="353" t="s">
        <v>236</v>
      </c>
      <c r="H473" s="353" t="s">
        <v>236</v>
      </c>
      <c r="I473" s="353" t="s">
        <v>236</v>
      </c>
      <c r="J473" s="353" t="s">
        <v>268</v>
      </c>
      <c r="K473" s="355" t="s">
        <v>255</v>
      </c>
    </row>
    <row r="474" spans="1:11" ht="15.75">
      <c r="A474" s="355">
        <v>5515</v>
      </c>
      <c r="B474" s="356" t="s">
        <v>646</v>
      </c>
      <c r="C474" s="351" t="s">
        <v>235</v>
      </c>
      <c r="D474" s="1387" t="s">
        <v>268</v>
      </c>
      <c r="E474" s="353" t="s">
        <v>235</v>
      </c>
      <c r="F474" s="353" t="s">
        <v>235</v>
      </c>
      <c r="G474" s="353" t="s">
        <v>235</v>
      </c>
      <c r="H474" s="353" t="s">
        <v>235</v>
      </c>
      <c r="I474" s="353" t="s">
        <v>235</v>
      </c>
      <c r="J474" s="353" t="s">
        <v>235</v>
      </c>
      <c r="K474" s="355" t="s">
        <v>236</v>
      </c>
    </row>
    <row r="475" spans="1:11" ht="15.75">
      <c r="A475" s="355">
        <v>5516</v>
      </c>
      <c r="B475" s="356" t="s">
        <v>647</v>
      </c>
      <c r="C475" s="351" t="s">
        <v>235</v>
      </c>
      <c r="D475" s="1387" t="s">
        <v>268</v>
      </c>
      <c r="E475" s="353" t="s">
        <v>235</v>
      </c>
      <c r="F475" s="353" t="s">
        <v>235</v>
      </c>
      <c r="G475" s="353" t="s">
        <v>235</v>
      </c>
      <c r="H475" s="353" t="s">
        <v>235</v>
      </c>
      <c r="I475" s="353" t="s">
        <v>235</v>
      </c>
      <c r="J475" s="353" t="s">
        <v>268</v>
      </c>
      <c r="K475" s="355" t="s">
        <v>236</v>
      </c>
    </row>
    <row r="476" spans="1:11">
      <c r="A476" s="350">
        <v>5521</v>
      </c>
      <c r="B476" s="351" t="s">
        <v>648</v>
      </c>
      <c r="C476" s="351" t="s">
        <v>1176</v>
      </c>
      <c r="D476" s="1383" t="s">
        <v>268</v>
      </c>
      <c r="E476" s="352" t="s">
        <v>236</v>
      </c>
      <c r="F476" s="352" t="s">
        <v>236</v>
      </c>
      <c r="G476" s="352" t="s">
        <v>236</v>
      </c>
      <c r="H476" s="352" t="s">
        <v>236</v>
      </c>
      <c r="I476" s="352" t="s">
        <v>236</v>
      </c>
      <c r="J476" s="353" t="s">
        <v>1176</v>
      </c>
      <c r="K476" s="354" t="s">
        <v>255</v>
      </c>
    </row>
    <row r="477" spans="1:11">
      <c r="A477" s="350">
        <v>5522</v>
      </c>
      <c r="B477" s="351" t="s">
        <v>649</v>
      </c>
      <c r="C477" s="351" t="s">
        <v>1176</v>
      </c>
      <c r="D477" s="1383" t="s">
        <v>268</v>
      </c>
      <c r="E477" s="352" t="s">
        <v>236</v>
      </c>
      <c r="F477" s="352" t="s">
        <v>236</v>
      </c>
      <c r="G477" s="352" t="s">
        <v>236</v>
      </c>
      <c r="H477" s="352" t="s">
        <v>236</v>
      </c>
      <c r="I477" s="352" t="s">
        <v>236</v>
      </c>
      <c r="J477" s="353" t="s">
        <v>1176</v>
      </c>
      <c r="K477" s="354" t="s">
        <v>235</v>
      </c>
    </row>
    <row r="478" spans="1:11" ht="30">
      <c r="A478" s="355">
        <v>5523</v>
      </c>
      <c r="B478" s="356" t="s">
        <v>650</v>
      </c>
      <c r="C478" s="351" t="s">
        <v>236</v>
      </c>
      <c r="D478" s="1384" t="s">
        <v>268</v>
      </c>
      <c r="E478" s="353" t="s">
        <v>236</v>
      </c>
      <c r="F478" s="353" t="s">
        <v>236</v>
      </c>
      <c r="G478" s="353" t="s">
        <v>236</v>
      </c>
      <c r="H478" s="353" t="s">
        <v>236</v>
      </c>
      <c r="I478" s="353" t="s">
        <v>236</v>
      </c>
      <c r="J478" s="353" t="s">
        <v>236</v>
      </c>
      <c r="K478" s="355" t="s">
        <v>257</v>
      </c>
    </row>
    <row r="479" spans="1:11">
      <c r="A479" s="355">
        <v>5524</v>
      </c>
      <c r="B479" s="356" t="s">
        <v>651</v>
      </c>
      <c r="C479" s="351" t="s">
        <v>237</v>
      </c>
      <c r="D479" s="1385" t="s">
        <v>237</v>
      </c>
      <c r="E479" s="353" t="s">
        <v>237</v>
      </c>
      <c r="F479" s="353" t="s">
        <v>237</v>
      </c>
      <c r="G479" s="353" t="s">
        <v>237</v>
      </c>
      <c r="H479" s="353" t="s">
        <v>237</v>
      </c>
      <c r="I479" s="353" t="s">
        <v>237</v>
      </c>
      <c r="J479" s="353" t="s">
        <v>237</v>
      </c>
      <c r="K479" s="355" t="s">
        <v>235</v>
      </c>
    </row>
    <row r="480" spans="1:11">
      <c r="A480" s="350">
        <v>5525</v>
      </c>
      <c r="B480" s="351" t="s">
        <v>652</v>
      </c>
      <c r="C480" s="351" t="s">
        <v>1176</v>
      </c>
      <c r="D480" s="1383" t="s">
        <v>268</v>
      </c>
      <c r="E480" s="352" t="s">
        <v>236</v>
      </c>
      <c r="F480" s="352" t="s">
        <v>236</v>
      </c>
      <c r="G480" s="352" t="s">
        <v>236</v>
      </c>
      <c r="H480" s="352" t="s">
        <v>236</v>
      </c>
      <c r="I480" s="352" t="s">
        <v>1176</v>
      </c>
      <c r="J480" s="353" t="s">
        <v>1176</v>
      </c>
      <c r="K480" s="354" t="s">
        <v>235</v>
      </c>
    </row>
    <row r="481" spans="1:11">
      <c r="A481" s="355">
        <v>5526</v>
      </c>
      <c r="B481" s="356" t="s">
        <v>653</v>
      </c>
      <c r="C481" s="351" t="s">
        <v>237</v>
      </c>
      <c r="D481" s="1385" t="s">
        <v>237</v>
      </c>
      <c r="E481" s="353" t="s">
        <v>237</v>
      </c>
      <c r="F481" s="353" t="s">
        <v>237</v>
      </c>
      <c r="G481" s="353" t="s">
        <v>237</v>
      </c>
      <c r="H481" s="353" t="s">
        <v>237</v>
      </c>
      <c r="I481" s="353" t="s">
        <v>237</v>
      </c>
      <c r="J481" s="353" t="s">
        <v>237</v>
      </c>
      <c r="K481" s="355" t="s">
        <v>235</v>
      </c>
    </row>
    <row r="482" spans="1:11" ht="15.75">
      <c r="A482" s="355">
        <v>5527</v>
      </c>
      <c r="B482" s="356" t="s">
        <v>654</v>
      </c>
      <c r="C482" s="351" t="s">
        <v>237</v>
      </c>
      <c r="D482" s="1384" t="s">
        <v>268</v>
      </c>
      <c r="E482" s="353" t="s">
        <v>237</v>
      </c>
      <c r="F482" s="353" t="s">
        <v>237</v>
      </c>
      <c r="G482" s="353" t="s">
        <v>237</v>
      </c>
      <c r="H482" s="353" t="s">
        <v>237</v>
      </c>
      <c r="I482" s="353" t="s">
        <v>237</v>
      </c>
      <c r="J482" s="353" t="s">
        <v>268</v>
      </c>
      <c r="K482" s="355" t="s">
        <v>255</v>
      </c>
    </row>
    <row r="483" spans="1:11" ht="15.75">
      <c r="A483" s="355">
        <v>5531</v>
      </c>
      <c r="B483" s="356" t="s">
        <v>655</v>
      </c>
      <c r="C483" s="351" t="s">
        <v>237</v>
      </c>
      <c r="D483" s="1384" t="s">
        <v>268</v>
      </c>
      <c r="E483" s="353" t="s">
        <v>237</v>
      </c>
      <c r="F483" s="353" t="s">
        <v>237</v>
      </c>
      <c r="G483" s="353" t="s">
        <v>237</v>
      </c>
      <c r="H483" s="353" t="s">
        <v>237</v>
      </c>
      <c r="I483" s="353" t="s">
        <v>237</v>
      </c>
      <c r="J483" s="353" t="s">
        <v>237</v>
      </c>
      <c r="K483" s="355" t="s">
        <v>235</v>
      </c>
    </row>
    <row r="484" spans="1:11">
      <c r="A484" s="350">
        <v>5532</v>
      </c>
      <c r="B484" s="351" t="s">
        <v>656</v>
      </c>
      <c r="C484" s="351" t="s">
        <v>268</v>
      </c>
      <c r="D484" s="1383" t="s">
        <v>268</v>
      </c>
      <c r="E484" s="352" t="s">
        <v>268</v>
      </c>
      <c r="F484" s="352" t="s">
        <v>268</v>
      </c>
      <c r="G484" s="352" t="s">
        <v>268</v>
      </c>
      <c r="H484" s="352" t="s">
        <v>268</v>
      </c>
      <c r="I484" s="352" t="s">
        <v>1176</v>
      </c>
      <c r="J484" s="353" t="s">
        <v>268</v>
      </c>
      <c r="K484" s="354" t="s">
        <v>257</v>
      </c>
    </row>
    <row r="485" spans="1:11">
      <c r="A485" s="355">
        <v>5591</v>
      </c>
      <c r="B485" s="356" t="s">
        <v>657</v>
      </c>
      <c r="C485" s="351" t="s">
        <v>235</v>
      </c>
      <c r="D485" s="1385" t="s">
        <v>235</v>
      </c>
      <c r="E485" s="353" t="s">
        <v>235</v>
      </c>
      <c r="F485" s="353" t="s">
        <v>235</v>
      </c>
      <c r="G485" s="353" t="s">
        <v>235</v>
      </c>
      <c r="H485" s="353" t="s">
        <v>235</v>
      </c>
      <c r="I485" s="353" t="s">
        <v>235</v>
      </c>
      <c r="J485" s="353" t="s">
        <v>268</v>
      </c>
      <c r="K485" s="355" t="s">
        <v>235</v>
      </c>
    </row>
    <row r="486" spans="1:11">
      <c r="A486" s="355">
        <v>5592</v>
      </c>
      <c r="B486" s="356" t="s">
        <v>658</v>
      </c>
      <c r="C486" s="351" t="s">
        <v>235</v>
      </c>
      <c r="D486" s="1385" t="s">
        <v>235</v>
      </c>
      <c r="E486" s="353" t="s">
        <v>235</v>
      </c>
      <c r="F486" s="353" t="s">
        <v>235</v>
      </c>
      <c r="G486" s="353" t="s">
        <v>268</v>
      </c>
      <c r="H486" s="353" t="s">
        <v>235</v>
      </c>
      <c r="I486" s="353" t="s">
        <v>235</v>
      </c>
      <c r="J486" s="353" t="s">
        <v>268</v>
      </c>
      <c r="K486" s="355" t="s">
        <v>257</v>
      </c>
    </row>
    <row r="487" spans="1:11" ht="15.75">
      <c r="A487" s="355">
        <v>5680</v>
      </c>
      <c r="B487" s="356" t="s">
        <v>659</v>
      </c>
      <c r="C487" s="351" t="s">
        <v>237</v>
      </c>
      <c r="D487" s="1387" t="s">
        <v>268</v>
      </c>
      <c r="E487" s="353" t="s">
        <v>268</v>
      </c>
      <c r="F487" s="353" t="s">
        <v>237</v>
      </c>
      <c r="G487" s="353" t="s">
        <v>237</v>
      </c>
      <c r="H487" s="353" t="s">
        <v>1182</v>
      </c>
      <c r="I487" s="353" t="s">
        <v>237</v>
      </c>
      <c r="J487" s="353" t="s">
        <v>237</v>
      </c>
      <c r="K487" s="355" t="s">
        <v>255</v>
      </c>
    </row>
    <row r="488" spans="1:11">
      <c r="A488" s="355">
        <v>5691</v>
      </c>
      <c r="B488" s="356" t="s">
        <v>542</v>
      </c>
      <c r="C488" s="351" t="s">
        <v>236</v>
      </c>
      <c r="D488" s="351" t="s">
        <v>236</v>
      </c>
      <c r="E488" s="353" t="s">
        <v>236</v>
      </c>
      <c r="F488" s="353" t="s">
        <v>236</v>
      </c>
      <c r="G488" s="353" t="s">
        <v>236</v>
      </c>
      <c r="H488" s="353" t="s">
        <v>236</v>
      </c>
      <c r="I488" s="353" t="s">
        <v>236</v>
      </c>
      <c r="J488" s="353" t="s">
        <v>236</v>
      </c>
      <c r="K488" s="355" t="s">
        <v>234</v>
      </c>
    </row>
    <row r="489" spans="1:11" ht="15.75">
      <c r="A489" s="355">
        <v>5692</v>
      </c>
      <c r="B489" s="356" t="s">
        <v>660</v>
      </c>
      <c r="C489" s="351" t="s">
        <v>236</v>
      </c>
      <c r="D489" s="1387" t="s">
        <v>268</v>
      </c>
      <c r="E489" s="353" t="s">
        <v>236</v>
      </c>
      <c r="F489" s="353" t="s">
        <v>236</v>
      </c>
      <c r="G489" s="353" t="s">
        <v>236</v>
      </c>
      <c r="H489" s="353" t="s">
        <v>236</v>
      </c>
      <c r="I489" s="353" t="s">
        <v>236</v>
      </c>
      <c r="J489" s="353" t="s">
        <v>236</v>
      </c>
      <c r="K489" s="355" t="s">
        <v>234</v>
      </c>
    </row>
    <row r="490" spans="1:11">
      <c r="A490" s="350">
        <v>5693</v>
      </c>
      <c r="B490" s="351" t="s">
        <v>661</v>
      </c>
      <c r="C490" s="351" t="s">
        <v>256</v>
      </c>
      <c r="D490" s="1383" t="s">
        <v>268</v>
      </c>
      <c r="E490" s="352" t="s">
        <v>236</v>
      </c>
      <c r="F490" s="352" t="s">
        <v>236</v>
      </c>
      <c r="G490" s="352" t="s">
        <v>236</v>
      </c>
      <c r="H490" s="352" t="s">
        <v>236</v>
      </c>
      <c r="I490" s="352" t="s">
        <v>236</v>
      </c>
      <c r="J490" s="353" t="s">
        <v>256</v>
      </c>
      <c r="K490" s="354" t="s">
        <v>234</v>
      </c>
    </row>
    <row r="491" spans="1:11" ht="15.75">
      <c r="A491" s="355">
        <v>5694</v>
      </c>
      <c r="B491" s="356" t="s">
        <v>662</v>
      </c>
      <c r="C491" s="351" t="s">
        <v>235</v>
      </c>
      <c r="D491" s="1387" t="s">
        <v>268</v>
      </c>
      <c r="E491" s="353" t="s">
        <v>236</v>
      </c>
      <c r="F491" s="353" t="s">
        <v>236</v>
      </c>
      <c r="G491" s="353" t="s">
        <v>236</v>
      </c>
      <c r="H491" s="353" t="s">
        <v>236</v>
      </c>
      <c r="I491" s="353" t="s">
        <v>236</v>
      </c>
      <c r="J491" s="353" t="s">
        <v>235</v>
      </c>
      <c r="K491" s="355" t="s">
        <v>234</v>
      </c>
    </row>
    <row r="492" spans="1:11" ht="15.75">
      <c r="A492" s="355">
        <v>5695</v>
      </c>
      <c r="B492" s="356" t="s">
        <v>663</v>
      </c>
      <c r="C492" s="351" t="s">
        <v>235</v>
      </c>
      <c r="D492" s="1387" t="s">
        <v>268</v>
      </c>
      <c r="E492" s="353" t="s">
        <v>235</v>
      </c>
      <c r="F492" s="353" t="s">
        <v>235</v>
      </c>
      <c r="G492" s="353" t="s">
        <v>235</v>
      </c>
      <c r="H492" s="353" t="s">
        <v>235</v>
      </c>
      <c r="I492" s="353" t="s">
        <v>235</v>
      </c>
      <c r="J492" s="353" t="s">
        <v>235</v>
      </c>
      <c r="K492" s="355" t="s">
        <v>234</v>
      </c>
    </row>
    <row r="493" spans="1:11" ht="30">
      <c r="A493" s="355">
        <v>5711</v>
      </c>
      <c r="B493" s="356" t="s">
        <v>664</v>
      </c>
      <c r="C493" s="351" t="s">
        <v>237</v>
      </c>
      <c r="D493" s="1385" t="s">
        <v>237</v>
      </c>
      <c r="E493" s="353" t="s">
        <v>237</v>
      </c>
      <c r="F493" s="353" t="s">
        <v>237</v>
      </c>
      <c r="G493" s="353" t="s">
        <v>268</v>
      </c>
      <c r="H493" s="353" t="s">
        <v>237</v>
      </c>
      <c r="I493" s="353" t="s">
        <v>237</v>
      </c>
      <c r="J493" s="353" t="s">
        <v>237</v>
      </c>
      <c r="K493" s="355" t="s">
        <v>235</v>
      </c>
    </row>
    <row r="494" spans="1:11">
      <c r="A494" s="355">
        <v>5711</v>
      </c>
      <c r="B494" s="356" t="s">
        <v>665</v>
      </c>
      <c r="C494" s="351" t="s">
        <v>237</v>
      </c>
      <c r="D494" s="1385" t="s">
        <v>237</v>
      </c>
      <c r="E494" s="353" t="s">
        <v>237</v>
      </c>
      <c r="F494" s="353" t="s">
        <v>237</v>
      </c>
      <c r="G494" s="353" t="s">
        <v>237</v>
      </c>
      <c r="H494" s="353" t="s">
        <v>237</v>
      </c>
      <c r="I494" s="353" t="s">
        <v>237</v>
      </c>
      <c r="J494" s="353" t="s">
        <v>237</v>
      </c>
      <c r="K494" s="355" t="s">
        <v>235</v>
      </c>
    </row>
    <row r="495" spans="1:11" ht="30">
      <c r="A495" s="350">
        <v>5712</v>
      </c>
      <c r="B495" s="351" t="s">
        <v>666</v>
      </c>
      <c r="C495" s="351" t="s">
        <v>256</v>
      </c>
      <c r="D495" s="1387" t="s">
        <v>268</v>
      </c>
      <c r="E495" s="352" t="s">
        <v>268</v>
      </c>
      <c r="F495" s="352" t="s">
        <v>268</v>
      </c>
      <c r="G495" s="352" t="s">
        <v>268</v>
      </c>
      <c r="H495" s="352" t="s">
        <v>268</v>
      </c>
      <c r="I495" s="352" t="s">
        <v>268</v>
      </c>
      <c r="J495" s="353" t="s">
        <v>256</v>
      </c>
      <c r="K495" s="354" t="s">
        <v>234</v>
      </c>
    </row>
    <row r="496" spans="1:11" ht="30">
      <c r="A496" s="355">
        <v>5713</v>
      </c>
      <c r="B496" s="356" t="s">
        <v>667</v>
      </c>
      <c r="C496" s="351" t="s">
        <v>236</v>
      </c>
      <c r="D496" s="1387" t="s">
        <v>268</v>
      </c>
      <c r="E496" s="353" t="s">
        <v>236</v>
      </c>
      <c r="F496" s="353" t="s">
        <v>236</v>
      </c>
      <c r="G496" s="353" t="s">
        <v>236</v>
      </c>
      <c r="H496" s="353" t="s">
        <v>236</v>
      </c>
      <c r="I496" s="353" t="s">
        <v>236</v>
      </c>
      <c r="J496" s="353" t="s">
        <v>236</v>
      </c>
      <c r="K496" s="355" t="s">
        <v>235</v>
      </c>
    </row>
    <row r="497" spans="1:11" ht="30">
      <c r="A497" s="350">
        <v>5714</v>
      </c>
      <c r="B497" s="351" t="s">
        <v>668</v>
      </c>
      <c r="C497" s="351" t="s">
        <v>256</v>
      </c>
      <c r="D497" s="351" t="s">
        <v>256</v>
      </c>
      <c r="E497" s="352" t="s">
        <v>236</v>
      </c>
      <c r="F497" s="352" t="s">
        <v>236</v>
      </c>
      <c r="G497" s="352" t="s">
        <v>236</v>
      </c>
      <c r="H497" s="352" t="s">
        <v>236</v>
      </c>
      <c r="I497" s="352" t="s">
        <v>236</v>
      </c>
      <c r="J497" s="353" t="s">
        <v>256</v>
      </c>
      <c r="K497" s="354" t="s">
        <v>234</v>
      </c>
    </row>
    <row r="498" spans="1:11" ht="30">
      <c r="A498" s="355">
        <v>5715</v>
      </c>
      <c r="B498" s="356" t="s">
        <v>669</v>
      </c>
      <c r="C498" s="351" t="s">
        <v>236</v>
      </c>
      <c r="D498" s="1385" t="s">
        <v>236</v>
      </c>
      <c r="E498" s="353" t="s">
        <v>236</v>
      </c>
      <c r="F498" s="353" t="s">
        <v>236</v>
      </c>
      <c r="G498" s="353" t="s">
        <v>236</v>
      </c>
      <c r="H498" s="353" t="s">
        <v>236</v>
      </c>
      <c r="I498" s="353" t="s">
        <v>236</v>
      </c>
      <c r="J498" s="353" t="s">
        <v>236</v>
      </c>
      <c r="K498" s="355" t="s">
        <v>234</v>
      </c>
    </row>
    <row r="499" spans="1:11" ht="45">
      <c r="A499" s="350">
        <v>5716</v>
      </c>
      <c r="B499" s="351" t="s">
        <v>670</v>
      </c>
      <c r="C499" s="351" t="s">
        <v>256</v>
      </c>
      <c r="D499" s="1387" t="s">
        <v>268</v>
      </c>
      <c r="E499" s="352" t="s">
        <v>268</v>
      </c>
      <c r="F499" s="352" t="s">
        <v>268</v>
      </c>
      <c r="G499" s="352" t="s">
        <v>268</v>
      </c>
      <c r="H499" s="352" t="s">
        <v>268</v>
      </c>
      <c r="I499" s="352" t="s">
        <v>268</v>
      </c>
      <c r="J499" s="353" t="s">
        <v>256</v>
      </c>
      <c r="K499" s="354" t="s">
        <v>235</v>
      </c>
    </row>
    <row r="500" spans="1:11" ht="45">
      <c r="A500" s="355">
        <v>5717</v>
      </c>
      <c r="B500" s="356" t="s">
        <v>671</v>
      </c>
      <c r="C500" s="351" t="s">
        <v>236</v>
      </c>
      <c r="D500" s="1385" t="s">
        <v>236</v>
      </c>
      <c r="E500" s="353" t="s">
        <v>236</v>
      </c>
      <c r="F500" s="353" t="s">
        <v>236</v>
      </c>
      <c r="G500" s="353" t="s">
        <v>236</v>
      </c>
      <c r="H500" s="353" t="s">
        <v>236</v>
      </c>
      <c r="I500" s="353" t="s">
        <v>236</v>
      </c>
      <c r="J500" s="353" t="s">
        <v>236</v>
      </c>
      <c r="K500" s="355" t="s">
        <v>235</v>
      </c>
    </row>
    <row r="501" spans="1:11" ht="45">
      <c r="A501" s="350">
        <v>5718</v>
      </c>
      <c r="B501" s="351" t="s">
        <v>672</v>
      </c>
      <c r="C501" s="351" t="s">
        <v>256</v>
      </c>
      <c r="D501" s="1383" t="s">
        <v>268</v>
      </c>
      <c r="E501" s="352" t="s">
        <v>236</v>
      </c>
      <c r="F501" s="352" t="s">
        <v>236</v>
      </c>
      <c r="G501" s="352" t="s">
        <v>236</v>
      </c>
      <c r="H501" s="352" t="s">
        <v>236</v>
      </c>
      <c r="I501" s="352" t="s">
        <v>236</v>
      </c>
      <c r="J501" s="353" t="s">
        <v>256</v>
      </c>
      <c r="K501" s="354" t="s">
        <v>255</v>
      </c>
    </row>
    <row r="502" spans="1:11">
      <c r="A502" s="355">
        <v>5811</v>
      </c>
      <c r="B502" s="356" t="s">
        <v>673</v>
      </c>
      <c r="C502" s="351" t="s">
        <v>235</v>
      </c>
      <c r="D502" s="1385" t="s">
        <v>235</v>
      </c>
      <c r="E502" s="353" t="s">
        <v>235</v>
      </c>
      <c r="F502" s="353" t="s">
        <v>235</v>
      </c>
      <c r="G502" s="353" t="s">
        <v>235</v>
      </c>
      <c r="H502" s="353" t="s">
        <v>235</v>
      </c>
      <c r="I502" s="353" t="s">
        <v>235</v>
      </c>
      <c r="J502" s="353" t="s">
        <v>235</v>
      </c>
      <c r="K502" s="355" t="s">
        <v>235</v>
      </c>
    </row>
    <row r="503" spans="1:11" ht="30">
      <c r="A503" s="355">
        <v>5812</v>
      </c>
      <c r="B503" s="356" t="s">
        <v>674</v>
      </c>
      <c r="C503" s="351" t="s">
        <v>236</v>
      </c>
      <c r="D503" s="1385" t="s">
        <v>236</v>
      </c>
      <c r="E503" s="353" t="s">
        <v>236</v>
      </c>
      <c r="F503" s="353" t="s">
        <v>236</v>
      </c>
      <c r="G503" s="353" t="s">
        <v>236</v>
      </c>
      <c r="H503" s="353" t="s">
        <v>236</v>
      </c>
      <c r="I503" s="353" t="s">
        <v>236</v>
      </c>
      <c r="J503" s="353" t="s">
        <v>236</v>
      </c>
      <c r="K503" s="355" t="s">
        <v>235</v>
      </c>
    </row>
    <row r="504" spans="1:11">
      <c r="A504" s="355">
        <v>5813</v>
      </c>
      <c r="B504" s="356" t="s">
        <v>675</v>
      </c>
      <c r="C504" s="351" t="s">
        <v>236</v>
      </c>
      <c r="D504" s="1385" t="s">
        <v>236</v>
      </c>
      <c r="E504" s="353" t="s">
        <v>236</v>
      </c>
      <c r="F504" s="353" t="s">
        <v>236</v>
      </c>
      <c r="G504" s="353" t="s">
        <v>236</v>
      </c>
      <c r="H504" s="353" t="s">
        <v>236</v>
      </c>
      <c r="I504" s="353" t="s">
        <v>236</v>
      </c>
      <c r="J504" s="353" t="s">
        <v>236</v>
      </c>
      <c r="K504" s="355" t="s">
        <v>235</v>
      </c>
    </row>
    <row r="505" spans="1:11">
      <c r="A505" s="355">
        <v>5814</v>
      </c>
      <c r="B505" s="356" t="s">
        <v>676</v>
      </c>
      <c r="C505" s="351" t="s">
        <v>235</v>
      </c>
      <c r="D505" s="1385" t="s">
        <v>235</v>
      </c>
      <c r="E505" s="353" t="s">
        <v>235</v>
      </c>
      <c r="F505" s="353" t="s">
        <v>235</v>
      </c>
      <c r="G505" s="353" t="s">
        <v>235</v>
      </c>
      <c r="H505" s="353" t="s">
        <v>235</v>
      </c>
      <c r="I505" s="353" t="s">
        <v>235</v>
      </c>
      <c r="J505" s="353" t="s">
        <v>235</v>
      </c>
      <c r="K505" s="355" t="s">
        <v>235</v>
      </c>
    </row>
    <row r="506" spans="1:11" ht="45">
      <c r="A506" s="355">
        <v>5821</v>
      </c>
      <c r="B506" s="356" t="s">
        <v>677</v>
      </c>
      <c r="C506" s="351" t="s">
        <v>236</v>
      </c>
      <c r="D506" s="1385" t="s">
        <v>236</v>
      </c>
      <c r="E506" s="353" t="s">
        <v>236</v>
      </c>
      <c r="F506" s="353" t="s">
        <v>236</v>
      </c>
      <c r="G506" s="353" t="s">
        <v>236</v>
      </c>
      <c r="H506" s="353" t="s">
        <v>236</v>
      </c>
      <c r="I506" s="353" t="s">
        <v>236</v>
      </c>
      <c r="J506" s="353" t="s">
        <v>268</v>
      </c>
      <c r="K506" s="355" t="s">
        <v>255</v>
      </c>
    </row>
    <row r="507" spans="1:11" ht="30">
      <c r="A507" s="355">
        <v>5822</v>
      </c>
      <c r="B507" s="356" t="s">
        <v>678</v>
      </c>
      <c r="C507" s="351" t="s">
        <v>236</v>
      </c>
      <c r="D507" s="1385" t="s">
        <v>236</v>
      </c>
      <c r="E507" s="353" t="s">
        <v>236</v>
      </c>
      <c r="F507" s="352" t="s">
        <v>268</v>
      </c>
      <c r="G507" s="353" t="s">
        <v>236</v>
      </c>
      <c r="H507" s="353" t="s">
        <v>236</v>
      </c>
      <c r="I507" s="353" t="s">
        <v>236</v>
      </c>
      <c r="J507" s="353" t="s">
        <v>268</v>
      </c>
      <c r="K507" s="355" t="s">
        <v>255</v>
      </c>
    </row>
    <row r="508" spans="1:11" ht="30">
      <c r="A508" s="350">
        <v>5823</v>
      </c>
      <c r="B508" s="351" t="s">
        <v>679</v>
      </c>
      <c r="C508" s="351" t="s">
        <v>268</v>
      </c>
      <c r="D508" s="1383" t="s">
        <v>268</v>
      </c>
      <c r="E508" s="352" t="s">
        <v>237</v>
      </c>
      <c r="F508" s="352" t="s">
        <v>268</v>
      </c>
      <c r="G508" s="352" t="s">
        <v>237</v>
      </c>
      <c r="H508" s="352" t="s">
        <v>237</v>
      </c>
      <c r="I508" s="352" t="s">
        <v>237</v>
      </c>
      <c r="J508" s="353" t="s">
        <v>268</v>
      </c>
      <c r="K508" s="354" t="s">
        <v>257</v>
      </c>
    </row>
    <row r="509" spans="1:11">
      <c r="A509" s="355">
        <v>5911</v>
      </c>
      <c r="B509" s="356" t="s">
        <v>680</v>
      </c>
      <c r="C509" s="351" t="s">
        <v>235</v>
      </c>
      <c r="D509" s="1385" t="s">
        <v>235</v>
      </c>
      <c r="E509" s="353" t="s">
        <v>235</v>
      </c>
      <c r="F509" s="353" t="s">
        <v>235</v>
      </c>
      <c r="G509" s="353" t="s">
        <v>235</v>
      </c>
      <c r="H509" s="353" t="s">
        <v>235</v>
      </c>
      <c r="I509" s="353" t="s">
        <v>235</v>
      </c>
      <c r="J509" s="353" t="s">
        <v>235</v>
      </c>
      <c r="K509" s="355" t="s">
        <v>235</v>
      </c>
    </row>
    <row r="510" spans="1:11">
      <c r="A510" s="355">
        <v>5912</v>
      </c>
      <c r="B510" s="356" t="s">
        <v>681</v>
      </c>
      <c r="C510" s="351" t="s">
        <v>235</v>
      </c>
      <c r="D510" s="1385" t="s">
        <v>235</v>
      </c>
      <c r="E510" s="353" t="s">
        <v>235</v>
      </c>
      <c r="F510" s="353" t="s">
        <v>235</v>
      </c>
      <c r="G510" s="353" t="s">
        <v>235</v>
      </c>
      <c r="H510" s="353" t="s">
        <v>235</v>
      </c>
      <c r="I510" s="353" t="s">
        <v>235</v>
      </c>
      <c r="J510" s="353" t="s">
        <v>235</v>
      </c>
      <c r="K510" s="355" t="s">
        <v>235</v>
      </c>
    </row>
    <row r="511" spans="1:11">
      <c r="A511" s="355">
        <v>5920</v>
      </c>
      <c r="B511" s="356" t="s">
        <v>682</v>
      </c>
      <c r="C511" s="351" t="s">
        <v>236</v>
      </c>
      <c r="D511" s="1385" t="s">
        <v>236</v>
      </c>
      <c r="E511" s="353" t="s">
        <v>236</v>
      </c>
      <c r="F511" s="353" t="s">
        <v>236</v>
      </c>
      <c r="G511" s="353" t="s">
        <v>236</v>
      </c>
      <c r="H511" s="353" t="s">
        <v>236</v>
      </c>
      <c r="I511" s="353" t="s">
        <v>236</v>
      </c>
      <c r="J511" s="353" t="s">
        <v>236</v>
      </c>
      <c r="K511" s="355" t="s">
        <v>235</v>
      </c>
    </row>
    <row r="512" spans="1:11">
      <c r="A512" s="350">
        <v>5931</v>
      </c>
      <c r="B512" s="351" t="s">
        <v>683</v>
      </c>
      <c r="C512" s="351" t="s">
        <v>268</v>
      </c>
      <c r="D512" s="1383" t="s">
        <v>268</v>
      </c>
      <c r="E512" s="352" t="s">
        <v>268</v>
      </c>
      <c r="F512" s="352" t="s">
        <v>268</v>
      </c>
      <c r="G512" s="352" t="s">
        <v>268</v>
      </c>
      <c r="H512" s="352" t="s">
        <v>268</v>
      </c>
      <c r="I512" s="352" t="s">
        <v>268</v>
      </c>
      <c r="J512" s="353" t="s">
        <v>268</v>
      </c>
      <c r="K512" s="354" t="s">
        <v>255</v>
      </c>
    </row>
    <row r="513" spans="1:11">
      <c r="A513" s="355">
        <v>5932</v>
      </c>
      <c r="B513" s="356" t="s">
        <v>684</v>
      </c>
      <c r="C513" s="351" t="s">
        <v>235</v>
      </c>
      <c r="D513" s="1385" t="s">
        <v>235</v>
      </c>
      <c r="E513" s="353" t="s">
        <v>235</v>
      </c>
      <c r="F513" s="353" t="s">
        <v>1186</v>
      </c>
      <c r="G513" s="353" t="s">
        <v>235</v>
      </c>
      <c r="H513" s="353" t="s">
        <v>235</v>
      </c>
      <c r="I513" s="353" t="s">
        <v>235</v>
      </c>
      <c r="J513" s="353" t="s">
        <v>235</v>
      </c>
      <c r="K513" s="355" t="s">
        <v>235</v>
      </c>
    </row>
    <row r="514" spans="1:11" ht="30">
      <c r="A514" s="355">
        <v>5933</v>
      </c>
      <c r="B514" s="356" t="s">
        <v>685</v>
      </c>
      <c r="C514" s="351" t="s">
        <v>235</v>
      </c>
      <c r="D514" s="1385" t="s">
        <v>235</v>
      </c>
      <c r="E514" s="353" t="s">
        <v>235</v>
      </c>
      <c r="F514" s="353" t="s">
        <v>235</v>
      </c>
      <c r="G514" s="353" t="s">
        <v>235</v>
      </c>
      <c r="H514" s="353" t="s">
        <v>235</v>
      </c>
      <c r="I514" s="353" t="s">
        <v>235</v>
      </c>
      <c r="J514" s="353" t="s">
        <v>268</v>
      </c>
      <c r="K514" s="355" t="s">
        <v>257</v>
      </c>
    </row>
    <row r="515" spans="1:11">
      <c r="A515" s="355">
        <v>5934</v>
      </c>
      <c r="B515" s="356" t="s">
        <v>686</v>
      </c>
      <c r="C515" s="351" t="s">
        <v>235</v>
      </c>
      <c r="D515" s="1385" t="s">
        <v>235</v>
      </c>
      <c r="E515" s="353" t="s">
        <v>235</v>
      </c>
      <c r="F515" s="353" t="s">
        <v>235</v>
      </c>
      <c r="G515" s="353" t="s">
        <v>235</v>
      </c>
      <c r="H515" s="353" t="s">
        <v>235</v>
      </c>
      <c r="I515" s="353" t="s">
        <v>235</v>
      </c>
      <c r="J515" s="353" t="s">
        <v>235</v>
      </c>
      <c r="K515" s="355" t="s">
        <v>236</v>
      </c>
    </row>
    <row r="516" spans="1:11">
      <c r="A516" s="355">
        <v>5940</v>
      </c>
      <c r="B516" s="356" t="s">
        <v>687</v>
      </c>
      <c r="C516" s="351" t="s">
        <v>237</v>
      </c>
      <c r="D516" s="1385" t="s">
        <v>237</v>
      </c>
      <c r="E516" s="353" t="s">
        <v>237</v>
      </c>
      <c r="F516" s="353" t="s">
        <v>237</v>
      </c>
      <c r="G516" s="353" t="s">
        <v>237</v>
      </c>
      <c r="H516" s="353" t="s">
        <v>237</v>
      </c>
      <c r="I516" s="353" t="s">
        <v>237</v>
      </c>
      <c r="J516" s="353" t="s">
        <v>237</v>
      </c>
      <c r="K516" s="355" t="s">
        <v>235</v>
      </c>
    </row>
    <row r="517" spans="1:11">
      <c r="A517" s="355">
        <v>5960</v>
      </c>
      <c r="B517" s="356" t="s">
        <v>688</v>
      </c>
      <c r="C517" s="351" t="s">
        <v>235</v>
      </c>
      <c r="D517" s="1385" t="s">
        <v>235</v>
      </c>
      <c r="E517" s="353" t="s">
        <v>235</v>
      </c>
      <c r="F517" s="353" t="s">
        <v>235</v>
      </c>
      <c r="G517" s="353" t="s">
        <v>235</v>
      </c>
      <c r="H517" s="353" t="s">
        <v>235</v>
      </c>
      <c r="I517" s="353" t="s">
        <v>235</v>
      </c>
      <c r="J517" s="353" t="s">
        <v>235</v>
      </c>
      <c r="K517" s="355" t="s">
        <v>235</v>
      </c>
    </row>
    <row r="518" spans="1:11">
      <c r="A518" s="355">
        <v>5970</v>
      </c>
      <c r="B518" s="356" t="s">
        <v>689</v>
      </c>
      <c r="C518" s="351" t="s">
        <v>237</v>
      </c>
      <c r="D518" s="1385" t="s">
        <v>237</v>
      </c>
      <c r="E518" s="353" t="s">
        <v>1176</v>
      </c>
      <c r="F518" s="353" t="s">
        <v>237</v>
      </c>
      <c r="G518" s="353" t="s">
        <v>237</v>
      </c>
      <c r="H518" s="353" t="s">
        <v>237</v>
      </c>
      <c r="I518" s="353" t="s">
        <v>1176</v>
      </c>
      <c r="J518" s="353" t="s">
        <v>237</v>
      </c>
      <c r="K518" s="355" t="s">
        <v>234</v>
      </c>
    </row>
    <row r="519" spans="1:11">
      <c r="A519" s="350">
        <v>5981</v>
      </c>
      <c r="B519" s="351" t="s">
        <v>690</v>
      </c>
      <c r="C519" s="351" t="s">
        <v>268</v>
      </c>
      <c r="D519" s="1383" t="s">
        <v>268</v>
      </c>
      <c r="E519" s="352" t="s">
        <v>268</v>
      </c>
      <c r="F519" s="352" t="s">
        <v>268</v>
      </c>
      <c r="G519" s="352" t="s">
        <v>268</v>
      </c>
      <c r="H519" s="352" t="s">
        <v>268</v>
      </c>
      <c r="I519" s="352" t="s">
        <v>268</v>
      </c>
      <c r="J519" s="353" t="s">
        <v>268</v>
      </c>
      <c r="K519" s="354" t="s">
        <v>235</v>
      </c>
    </row>
    <row r="520" spans="1:11">
      <c r="A520" s="350">
        <v>5982</v>
      </c>
      <c r="B520" s="351" t="s">
        <v>691</v>
      </c>
      <c r="C520" s="351" t="s">
        <v>268</v>
      </c>
      <c r="D520" s="1383" t="s">
        <v>268</v>
      </c>
      <c r="E520" s="352" t="s">
        <v>268</v>
      </c>
      <c r="F520" s="352" t="s">
        <v>268</v>
      </c>
      <c r="G520" s="352" t="s">
        <v>268</v>
      </c>
      <c r="H520" s="352" t="s">
        <v>268</v>
      </c>
      <c r="I520" s="352" t="s">
        <v>268</v>
      </c>
      <c r="J520" s="353" t="s">
        <v>268</v>
      </c>
      <c r="K520" s="354" t="s">
        <v>257</v>
      </c>
    </row>
    <row r="521" spans="1:11">
      <c r="A521" s="355">
        <v>5983</v>
      </c>
      <c r="B521" s="356" t="s">
        <v>692</v>
      </c>
      <c r="C521" s="351" t="s">
        <v>235</v>
      </c>
      <c r="D521" s="1385" t="s">
        <v>235</v>
      </c>
      <c r="E521" s="353" t="s">
        <v>235</v>
      </c>
      <c r="F521" s="353" t="s">
        <v>235</v>
      </c>
      <c r="G521" s="353" t="s">
        <v>235</v>
      </c>
      <c r="H521" s="353" t="s">
        <v>235</v>
      </c>
      <c r="I521" s="353" t="s">
        <v>235</v>
      </c>
      <c r="J521" s="353" t="s">
        <v>268</v>
      </c>
      <c r="K521" s="355" t="s">
        <v>234</v>
      </c>
    </row>
    <row r="522" spans="1:11">
      <c r="A522" s="350">
        <v>5984</v>
      </c>
      <c r="B522" s="351" t="s">
        <v>693</v>
      </c>
      <c r="C522" s="351" t="s">
        <v>268</v>
      </c>
      <c r="D522" s="1383" t="s">
        <v>268</v>
      </c>
      <c r="E522" s="352" t="s">
        <v>268</v>
      </c>
      <c r="F522" s="352" t="s">
        <v>268</v>
      </c>
      <c r="G522" s="352" t="s">
        <v>268</v>
      </c>
      <c r="H522" s="352" t="s">
        <v>268</v>
      </c>
      <c r="I522" s="352" t="s">
        <v>268</v>
      </c>
      <c r="J522" s="353" t="s">
        <v>268</v>
      </c>
      <c r="K522" s="354" t="s">
        <v>255</v>
      </c>
    </row>
    <row r="523" spans="1:11">
      <c r="A523" s="355">
        <v>5990</v>
      </c>
      <c r="B523" s="356" t="s">
        <v>694</v>
      </c>
      <c r="C523" s="351" t="s">
        <v>235</v>
      </c>
      <c r="D523" s="1385" t="s">
        <v>235</v>
      </c>
      <c r="E523" s="353" t="s">
        <v>235</v>
      </c>
      <c r="F523" s="353" t="s">
        <v>235</v>
      </c>
      <c r="G523" s="353" t="s">
        <v>235</v>
      </c>
      <c r="H523" s="353" t="s">
        <v>1182</v>
      </c>
      <c r="I523" s="353" t="s">
        <v>235</v>
      </c>
      <c r="J523" s="353" t="s">
        <v>235</v>
      </c>
      <c r="K523" s="355" t="s">
        <v>235</v>
      </c>
    </row>
    <row r="524" spans="1:11">
      <c r="A524" s="355">
        <v>5991</v>
      </c>
      <c r="B524" s="356" t="s">
        <v>695</v>
      </c>
      <c r="C524" s="351" t="s">
        <v>235</v>
      </c>
      <c r="D524" s="1385" t="s">
        <v>235</v>
      </c>
      <c r="E524" s="353" t="s">
        <v>235</v>
      </c>
      <c r="F524" s="353" t="s">
        <v>235</v>
      </c>
      <c r="G524" s="353" t="s">
        <v>235</v>
      </c>
      <c r="H524" s="353" t="s">
        <v>235</v>
      </c>
      <c r="I524" s="353" t="s">
        <v>235</v>
      </c>
      <c r="J524" s="353" t="s">
        <v>235</v>
      </c>
      <c r="K524" s="355" t="s">
        <v>234</v>
      </c>
    </row>
    <row r="525" spans="1:11">
      <c r="A525" s="355">
        <v>5992</v>
      </c>
      <c r="B525" s="356" t="s">
        <v>696</v>
      </c>
      <c r="C525" s="351" t="s">
        <v>235</v>
      </c>
      <c r="D525" s="1385" t="s">
        <v>235</v>
      </c>
      <c r="E525" s="353" t="s">
        <v>235</v>
      </c>
      <c r="F525" s="353" t="s">
        <v>235</v>
      </c>
      <c r="G525" s="353" t="s">
        <v>235</v>
      </c>
      <c r="H525" s="353" t="s">
        <v>235</v>
      </c>
      <c r="I525" s="353" t="s">
        <v>235</v>
      </c>
      <c r="J525" s="353" t="s">
        <v>235</v>
      </c>
      <c r="K525" s="355" t="s">
        <v>235</v>
      </c>
    </row>
    <row r="526" spans="1:11">
      <c r="A526" s="355">
        <v>5993</v>
      </c>
      <c r="B526" s="356" t="s">
        <v>697</v>
      </c>
      <c r="C526" s="351" t="s">
        <v>235</v>
      </c>
      <c r="D526" s="1385" t="s">
        <v>235</v>
      </c>
      <c r="E526" s="353" t="s">
        <v>235</v>
      </c>
      <c r="F526" s="353" t="s">
        <v>235</v>
      </c>
      <c r="G526" s="353" t="s">
        <v>235</v>
      </c>
      <c r="H526" s="353" t="s">
        <v>235</v>
      </c>
      <c r="I526" s="353" t="s">
        <v>235</v>
      </c>
      <c r="J526" s="353" t="s">
        <v>235</v>
      </c>
      <c r="K526" s="355" t="s">
        <v>234</v>
      </c>
    </row>
    <row r="527" spans="1:11">
      <c r="A527" s="355">
        <v>5993</v>
      </c>
      <c r="B527" s="356" t="s">
        <v>698</v>
      </c>
      <c r="C527" s="351" t="s">
        <v>235</v>
      </c>
      <c r="D527" s="1385" t="s">
        <v>236</v>
      </c>
      <c r="E527" s="353" t="s">
        <v>236</v>
      </c>
      <c r="F527" s="353" t="s">
        <v>236</v>
      </c>
      <c r="G527" s="353" t="s">
        <v>236</v>
      </c>
      <c r="H527" s="353" t="s">
        <v>236</v>
      </c>
      <c r="I527" s="353" t="s">
        <v>236</v>
      </c>
      <c r="J527" s="353" t="s">
        <v>235</v>
      </c>
      <c r="K527" s="355" t="s">
        <v>234</v>
      </c>
    </row>
    <row r="528" spans="1:11">
      <c r="A528" s="355">
        <v>5994</v>
      </c>
      <c r="B528" s="356" t="s">
        <v>699</v>
      </c>
      <c r="C528" s="351" t="s">
        <v>235</v>
      </c>
      <c r="D528" s="1385" t="s">
        <v>235</v>
      </c>
      <c r="E528" s="353" t="s">
        <v>235</v>
      </c>
      <c r="F528" s="353" t="s">
        <v>235</v>
      </c>
      <c r="G528" s="353" t="s">
        <v>235</v>
      </c>
      <c r="H528" s="353" t="s">
        <v>235</v>
      </c>
      <c r="I528" s="353" t="s">
        <v>235</v>
      </c>
      <c r="J528" s="353" t="s">
        <v>235</v>
      </c>
      <c r="K528" s="355" t="s">
        <v>234</v>
      </c>
    </row>
    <row r="529" spans="1:11">
      <c r="A529" s="355">
        <v>5995</v>
      </c>
      <c r="B529" s="356" t="s">
        <v>700</v>
      </c>
      <c r="C529" s="351" t="s">
        <v>236</v>
      </c>
      <c r="D529" s="1385" t="s">
        <v>236</v>
      </c>
      <c r="E529" s="353" t="s">
        <v>236</v>
      </c>
      <c r="F529" s="353" t="s">
        <v>236</v>
      </c>
      <c r="G529" s="353" t="s">
        <v>236</v>
      </c>
      <c r="H529" s="353" t="s">
        <v>236</v>
      </c>
      <c r="I529" s="353" t="s">
        <v>236</v>
      </c>
      <c r="J529" s="353" t="s">
        <v>236</v>
      </c>
      <c r="K529" s="355" t="s">
        <v>234</v>
      </c>
    </row>
    <row r="530" spans="1:11">
      <c r="A530" s="355">
        <v>5996</v>
      </c>
      <c r="B530" s="356" t="s">
        <v>701</v>
      </c>
      <c r="C530" s="351" t="s">
        <v>236</v>
      </c>
      <c r="D530" s="1385" t="s">
        <v>236</v>
      </c>
      <c r="E530" s="353" t="s">
        <v>236</v>
      </c>
      <c r="F530" s="353" t="s">
        <v>236</v>
      </c>
      <c r="G530" s="353" t="s">
        <v>236</v>
      </c>
      <c r="H530" s="353" t="s">
        <v>236</v>
      </c>
      <c r="I530" s="353" t="s">
        <v>236</v>
      </c>
      <c r="J530" s="353" t="s">
        <v>236</v>
      </c>
      <c r="K530" s="355" t="s">
        <v>234</v>
      </c>
    </row>
    <row r="531" spans="1:11">
      <c r="A531" s="355">
        <v>5996</v>
      </c>
      <c r="B531" s="356" t="s">
        <v>702</v>
      </c>
      <c r="C531" s="351" t="s">
        <v>236</v>
      </c>
      <c r="D531" s="1385" t="s">
        <v>236</v>
      </c>
      <c r="E531" s="353" t="s">
        <v>236</v>
      </c>
      <c r="F531" s="353" t="s">
        <v>236</v>
      </c>
      <c r="G531" s="353" t="s">
        <v>236</v>
      </c>
      <c r="H531" s="353" t="s">
        <v>236</v>
      </c>
      <c r="I531" s="353" t="s">
        <v>236</v>
      </c>
      <c r="J531" s="353" t="s">
        <v>236</v>
      </c>
      <c r="K531" s="355" t="s">
        <v>234</v>
      </c>
    </row>
    <row r="532" spans="1:11">
      <c r="A532" s="355">
        <v>5996</v>
      </c>
      <c r="B532" s="356" t="s">
        <v>703</v>
      </c>
      <c r="C532" s="351" t="s">
        <v>236</v>
      </c>
      <c r="D532" s="1385" t="s">
        <v>236</v>
      </c>
      <c r="E532" s="353" t="s">
        <v>236</v>
      </c>
      <c r="F532" s="353" t="s">
        <v>236</v>
      </c>
      <c r="G532" s="353" t="s">
        <v>236</v>
      </c>
      <c r="H532" s="353" t="s">
        <v>236</v>
      </c>
      <c r="I532" s="353" t="s">
        <v>236</v>
      </c>
      <c r="J532" s="353" t="s">
        <v>236</v>
      </c>
      <c r="K532" s="355" t="s">
        <v>234</v>
      </c>
    </row>
    <row r="533" spans="1:11">
      <c r="A533" s="355">
        <v>5996</v>
      </c>
      <c r="B533" s="356" t="s">
        <v>704</v>
      </c>
      <c r="C533" s="351" t="s">
        <v>236</v>
      </c>
      <c r="D533" s="1385" t="s">
        <v>236</v>
      </c>
      <c r="E533" s="353" t="s">
        <v>236</v>
      </c>
      <c r="F533" s="353" t="s">
        <v>236</v>
      </c>
      <c r="G533" s="353" t="s">
        <v>236</v>
      </c>
      <c r="H533" s="353" t="s">
        <v>236</v>
      </c>
      <c r="I533" s="353" t="s">
        <v>236</v>
      </c>
      <c r="J533" s="353" t="s">
        <v>236</v>
      </c>
      <c r="K533" s="355" t="s">
        <v>234</v>
      </c>
    </row>
    <row r="534" spans="1:11">
      <c r="A534" s="355">
        <v>5996</v>
      </c>
      <c r="B534" s="356" t="s">
        <v>705</v>
      </c>
      <c r="C534" s="351" t="s">
        <v>236</v>
      </c>
      <c r="D534" s="1385" t="s">
        <v>236</v>
      </c>
      <c r="E534" s="353" t="s">
        <v>236</v>
      </c>
      <c r="F534" s="353" t="s">
        <v>236</v>
      </c>
      <c r="G534" s="353" t="s">
        <v>236</v>
      </c>
      <c r="H534" s="353" t="s">
        <v>236</v>
      </c>
      <c r="I534" s="353" t="s">
        <v>236</v>
      </c>
      <c r="J534" s="353" t="s">
        <v>236</v>
      </c>
      <c r="K534" s="355" t="s">
        <v>234</v>
      </c>
    </row>
    <row r="535" spans="1:11">
      <c r="A535" s="355">
        <v>5996</v>
      </c>
      <c r="B535" s="356" t="s">
        <v>597</v>
      </c>
      <c r="C535" s="351" t="s">
        <v>236</v>
      </c>
      <c r="D535" s="1385" t="s">
        <v>3702</v>
      </c>
      <c r="E535" s="353" t="s">
        <v>236</v>
      </c>
      <c r="F535" s="353" t="s">
        <v>236</v>
      </c>
      <c r="G535" s="353" t="s">
        <v>236</v>
      </c>
      <c r="H535" s="353" t="s">
        <v>236</v>
      </c>
      <c r="I535" s="353" t="s">
        <v>236</v>
      </c>
      <c r="J535" s="353" t="s">
        <v>236</v>
      </c>
      <c r="K535" s="355" t="s">
        <v>235</v>
      </c>
    </row>
    <row r="536" spans="1:11">
      <c r="A536" s="355">
        <v>5996</v>
      </c>
      <c r="B536" s="356" t="s">
        <v>598</v>
      </c>
      <c r="C536" s="351" t="s">
        <v>236</v>
      </c>
      <c r="D536" s="1385" t="s">
        <v>3702</v>
      </c>
      <c r="E536" s="353" t="s">
        <v>236</v>
      </c>
      <c r="F536" s="353" t="s">
        <v>236</v>
      </c>
      <c r="G536" s="353" t="s">
        <v>236</v>
      </c>
      <c r="H536" s="353" t="s">
        <v>236</v>
      </c>
      <c r="I536" s="353" t="s">
        <v>236</v>
      </c>
      <c r="J536" s="353" t="s">
        <v>236</v>
      </c>
      <c r="K536" s="355" t="s">
        <v>255</v>
      </c>
    </row>
    <row r="537" spans="1:11">
      <c r="A537" s="355">
        <v>5997</v>
      </c>
      <c r="B537" s="356" t="s">
        <v>706</v>
      </c>
      <c r="C537" s="351" t="s">
        <v>236</v>
      </c>
      <c r="D537" s="1385" t="s">
        <v>236</v>
      </c>
      <c r="E537" s="353" t="s">
        <v>236</v>
      </c>
      <c r="F537" s="353" t="s">
        <v>236</v>
      </c>
      <c r="G537" s="353" t="s">
        <v>236</v>
      </c>
      <c r="H537" s="353" t="s">
        <v>236</v>
      </c>
      <c r="I537" s="353" t="s">
        <v>236</v>
      </c>
      <c r="J537" s="353" t="s">
        <v>236</v>
      </c>
      <c r="K537" s="355" t="s">
        <v>236</v>
      </c>
    </row>
    <row r="538" spans="1:11">
      <c r="A538" s="355">
        <v>5998</v>
      </c>
      <c r="B538" s="356" t="s">
        <v>707</v>
      </c>
      <c r="C538" s="351" t="s">
        <v>236</v>
      </c>
      <c r="D538" s="1385" t="s">
        <v>236</v>
      </c>
      <c r="E538" s="353" t="s">
        <v>236</v>
      </c>
      <c r="F538" s="353" t="s">
        <v>236</v>
      </c>
      <c r="G538" s="353" t="s">
        <v>236</v>
      </c>
      <c r="H538" s="353" t="s">
        <v>236</v>
      </c>
      <c r="I538" s="353" t="s">
        <v>236</v>
      </c>
      <c r="J538" s="353" t="s">
        <v>236</v>
      </c>
      <c r="K538" s="355" t="s">
        <v>235</v>
      </c>
    </row>
    <row r="539" spans="1:11">
      <c r="A539" s="355">
        <v>5999</v>
      </c>
      <c r="B539" s="356" t="s">
        <v>708</v>
      </c>
      <c r="C539" s="351" t="s">
        <v>236</v>
      </c>
      <c r="D539" s="1385" t="s">
        <v>236</v>
      </c>
      <c r="E539" s="353" t="s">
        <v>236</v>
      </c>
      <c r="F539" s="353" t="s">
        <v>236</v>
      </c>
      <c r="G539" s="353" t="s">
        <v>236</v>
      </c>
      <c r="H539" s="353" t="s">
        <v>236</v>
      </c>
      <c r="I539" s="353" t="s">
        <v>236</v>
      </c>
      <c r="J539" s="353" t="s">
        <v>236</v>
      </c>
      <c r="K539" s="355" t="s">
        <v>234</v>
      </c>
    </row>
    <row r="540" spans="1:11">
      <c r="A540" s="355">
        <v>6021</v>
      </c>
      <c r="B540" s="356" t="s">
        <v>709</v>
      </c>
      <c r="C540" s="351" t="s">
        <v>234</v>
      </c>
      <c r="D540" s="1385" t="s">
        <v>234</v>
      </c>
      <c r="E540" s="353" t="s">
        <v>234</v>
      </c>
      <c r="F540" s="353" t="s">
        <v>234</v>
      </c>
      <c r="G540" s="353" t="s">
        <v>234</v>
      </c>
      <c r="H540" s="353" t="s">
        <v>234</v>
      </c>
      <c r="I540" s="353" t="s">
        <v>234</v>
      </c>
      <c r="J540" s="353" t="s">
        <v>268</v>
      </c>
      <c r="K540" s="355" t="s">
        <v>234</v>
      </c>
    </row>
    <row r="541" spans="1:11">
      <c r="A541" s="355">
        <v>6022</v>
      </c>
      <c r="B541" s="356" t="s">
        <v>710</v>
      </c>
      <c r="C541" s="351" t="s">
        <v>234</v>
      </c>
      <c r="D541" s="1385" t="s">
        <v>234</v>
      </c>
      <c r="E541" s="353" t="s">
        <v>234</v>
      </c>
      <c r="F541" s="353" t="s">
        <v>234</v>
      </c>
      <c r="G541" s="353" t="s">
        <v>234</v>
      </c>
      <c r="H541" s="353" t="s">
        <v>234</v>
      </c>
      <c r="I541" s="353" t="s">
        <v>234</v>
      </c>
      <c r="J541" s="353" t="s">
        <v>268</v>
      </c>
      <c r="K541" s="355" t="s">
        <v>234</v>
      </c>
    </row>
    <row r="542" spans="1:11" ht="30">
      <c r="A542" s="355">
        <v>6023</v>
      </c>
      <c r="B542" s="356" t="s">
        <v>711</v>
      </c>
      <c r="C542" s="351" t="s">
        <v>234</v>
      </c>
      <c r="D542" s="1385" t="s">
        <v>234</v>
      </c>
      <c r="E542" s="353" t="s">
        <v>234</v>
      </c>
      <c r="F542" s="353" t="s">
        <v>234</v>
      </c>
      <c r="G542" s="353" t="s">
        <v>234</v>
      </c>
      <c r="H542" s="353" t="s">
        <v>234</v>
      </c>
      <c r="I542" s="353" t="s">
        <v>234</v>
      </c>
      <c r="J542" s="353" t="s">
        <v>268</v>
      </c>
      <c r="K542" s="355" t="s">
        <v>234</v>
      </c>
    </row>
    <row r="543" spans="1:11" ht="30">
      <c r="A543" s="355">
        <v>6120</v>
      </c>
      <c r="B543" s="356" t="s">
        <v>712</v>
      </c>
      <c r="C543" s="351" t="s">
        <v>234</v>
      </c>
      <c r="D543" s="1385" t="s">
        <v>234</v>
      </c>
      <c r="E543" s="353" t="s">
        <v>234</v>
      </c>
      <c r="F543" s="353" t="s">
        <v>234</v>
      </c>
      <c r="G543" s="353" t="s">
        <v>234</v>
      </c>
      <c r="H543" s="353" t="s">
        <v>234</v>
      </c>
      <c r="I543" s="353" t="s">
        <v>234</v>
      </c>
      <c r="J543" s="353" t="s">
        <v>268</v>
      </c>
      <c r="K543" s="355" t="s">
        <v>234</v>
      </c>
    </row>
    <row r="544" spans="1:11" ht="30">
      <c r="A544" s="350">
        <v>6140</v>
      </c>
      <c r="B544" s="351" t="s">
        <v>713</v>
      </c>
      <c r="C544" s="351" t="s">
        <v>256</v>
      </c>
      <c r="D544" s="1383" t="s">
        <v>268</v>
      </c>
      <c r="E544" s="352" t="s">
        <v>236</v>
      </c>
      <c r="F544" s="352" t="s">
        <v>236</v>
      </c>
      <c r="G544" s="352" t="s">
        <v>236</v>
      </c>
      <c r="H544" s="352" t="s">
        <v>236</v>
      </c>
      <c r="I544" s="352" t="s">
        <v>236</v>
      </c>
      <c r="J544" s="353" t="s">
        <v>268</v>
      </c>
      <c r="K544" s="354" t="s">
        <v>234</v>
      </c>
    </row>
    <row r="545" spans="1:11">
      <c r="A545" s="355">
        <v>6150</v>
      </c>
      <c r="B545" s="356" t="s">
        <v>714</v>
      </c>
      <c r="C545" s="351" t="s">
        <v>234</v>
      </c>
      <c r="D545" s="1385" t="s">
        <v>234</v>
      </c>
      <c r="E545" s="353" t="s">
        <v>234</v>
      </c>
      <c r="F545" s="353" t="s">
        <v>234</v>
      </c>
      <c r="G545" s="353" t="s">
        <v>234</v>
      </c>
      <c r="H545" s="353" t="s">
        <v>234</v>
      </c>
      <c r="I545" s="353" t="s">
        <v>234</v>
      </c>
      <c r="J545" s="353" t="s">
        <v>268</v>
      </c>
      <c r="K545" s="355" t="s">
        <v>234</v>
      </c>
    </row>
    <row r="546" spans="1:11">
      <c r="A546" s="355">
        <v>6210</v>
      </c>
      <c r="B546" s="356" t="s">
        <v>715</v>
      </c>
      <c r="C546" s="351" t="s">
        <v>234</v>
      </c>
      <c r="D546" s="1385" t="s">
        <v>234</v>
      </c>
      <c r="E546" s="353" t="s">
        <v>234</v>
      </c>
      <c r="F546" s="353" t="s">
        <v>234</v>
      </c>
      <c r="G546" s="353" t="s">
        <v>234</v>
      </c>
      <c r="H546" s="353" t="s">
        <v>234</v>
      </c>
      <c r="I546" s="353" t="s">
        <v>234</v>
      </c>
      <c r="J546" s="353" t="s">
        <v>268</v>
      </c>
      <c r="K546" s="355" t="s">
        <v>234</v>
      </c>
    </row>
    <row r="547" spans="1:11">
      <c r="A547" s="355">
        <v>6230</v>
      </c>
      <c r="B547" s="356" t="s">
        <v>716</v>
      </c>
      <c r="C547" s="351" t="s">
        <v>234</v>
      </c>
      <c r="D547" s="1385" t="s">
        <v>234</v>
      </c>
      <c r="E547" s="353" t="s">
        <v>234</v>
      </c>
      <c r="F547" s="353" t="s">
        <v>234</v>
      </c>
      <c r="G547" s="353" t="s">
        <v>234</v>
      </c>
      <c r="H547" s="353" t="s">
        <v>234</v>
      </c>
      <c r="I547" s="353" t="s">
        <v>234</v>
      </c>
      <c r="J547" s="353" t="s">
        <v>234</v>
      </c>
      <c r="K547" s="355" t="s">
        <v>234</v>
      </c>
    </row>
    <row r="548" spans="1:11">
      <c r="A548" s="355">
        <v>6240</v>
      </c>
      <c r="B548" s="356" t="s">
        <v>717</v>
      </c>
      <c r="C548" s="351" t="s">
        <v>234</v>
      </c>
      <c r="D548" s="1385" t="s">
        <v>234</v>
      </c>
      <c r="E548" s="353" t="s">
        <v>234</v>
      </c>
      <c r="F548" s="353" t="s">
        <v>234</v>
      </c>
      <c r="G548" s="353" t="s">
        <v>234</v>
      </c>
      <c r="H548" s="353" t="s">
        <v>234</v>
      </c>
      <c r="I548" s="353" t="s">
        <v>234</v>
      </c>
      <c r="J548" s="353" t="s">
        <v>268</v>
      </c>
      <c r="K548" s="355" t="s">
        <v>234</v>
      </c>
    </row>
    <row r="549" spans="1:11">
      <c r="A549" s="355">
        <v>6250</v>
      </c>
      <c r="B549" s="356" t="s">
        <v>718</v>
      </c>
      <c r="C549" s="351" t="s">
        <v>234</v>
      </c>
      <c r="D549" s="1385" t="s">
        <v>234</v>
      </c>
      <c r="E549" s="353" t="s">
        <v>234</v>
      </c>
      <c r="F549" s="353" t="s">
        <v>234</v>
      </c>
      <c r="G549" s="353" t="s">
        <v>234</v>
      </c>
      <c r="H549" s="353" t="s">
        <v>234</v>
      </c>
      <c r="I549" s="353" t="s">
        <v>234</v>
      </c>
      <c r="J549" s="353" t="s">
        <v>268</v>
      </c>
      <c r="K549" s="355" t="s">
        <v>234</v>
      </c>
    </row>
    <row r="550" spans="1:11">
      <c r="A550" s="355">
        <v>6310</v>
      </c>
      <c r="B550" s="356" t="s">
        <v>719</v>
      </c>
      <c r="C550" s="351" t="s">
        <v>234</v>
      </c>
      <c r="D550" s="1385" t="s">
        <v>234</v>
      </c>
      <c r="E550" s="353" t="s">
        <v>234</v>
      </c>
      <c r="F550" s="353" t="s">
        <v>234</v>
      </c>
      <c r="G550" s="353" t="s">
        <v>234</v>
      </c>
      <c r="H550" s="353" t="s">
        <v>234</v>
      </c>
      <c r="I550" s="353" t="s">
        <v>234</v>
      </c>
      <c r="J550" s="353" t="s">
        <v>234</v>
      </c>
      <c r="K550" s="355" t="s">
        <v>234</v>
      </c>
    </row>
    <row r="551" spans="1:11" ht="30">
      <c r="A551" s="355">
        <v>6380</v>
      </c>
      <c r="B551" s="356" t="s">
        <v>720</v>
      </c>
      <c r="C551" s="351" t="s">
        <v>234</v>
      </c>
      <c r="D551" s="1385" t="s">
        <v>234</v>
      </c>
      <c r="E551" s="353" t="s">
        <v>234</v>
      </c>
      <c r="F551" s="353" t="s">
        <v>234</v>
      </c>
      <c r="G551" s="353" t="s">
        <v>234</v>
      </c>
      <c r="H551" s="353" t="s">
        <v>234</v>
      </c>
      <c r="I551" s="353" t="s">
        <v>234</v>
      </c>
      <c r="J551" s="353" t="s">
        <v>268</v>
      </c>
      <c r="K551" s="355" t="s">
        <v>255</v>
      </c>
    </row>
    <row r="552" spans="1:11" ht="30">
      <c r="A552" s="355">
        <v>6390</v>
      </c>
      <c r="B552" s="356" t="s">
        <v>721</v>
      </c>
      <c r="C552" s="351" t="s">
        <v>234</v>
      </c>
      <c r="D552" s="1385" t="s">
        <v>234</v>
      </c>
      <c r="E552" s="353" t="s">
        <v>234</v>
      </c>
      <c r="F552" s="353" t="s">
        <v>234</v>
      </c>
      <c r="G552" s="353" t="s">
        <v>234</v>
      </c>
      <c r="H552" s="353" t="s">
        <v>234</v>
      </c>
      <c r="I552" s="353" t="s">
        <v>234</v>
      </c>
      <c r="J552" s="353" t="s">
        <v>268</v>
      </c>
      <c r="K552" s="355" t="s">
        <v>255</v>
      </c>
    </row>
    <row r="553" spans="1:11">
      <c r="A553" s="355">
        <v>6411</v>
      </c>
      <c r="B553" s="356" t="s">
        <v>722</v>
      </c>
      <c r="C553" s="351" t="s">
        <v>235</v>
      </c>
      <c r="D553" s="351" t="s">
        <v>235</v>
      </c>
      <c r="E553" s="353" t="s">
        <v>235</v>
      </c>
      <c r="F553" s="353" t="s">
        <v>235</v>
      </c>
      <c r="G553" s="353" t="s">
        <v>235</v>
      </c>
      <c r="H553" s="353" t="s">
        <v>235</v>
      </c>
      <c r="I553" s="353" t="s">
        <v>235</v>
      </c>
      <c r="J553" s="353" t="s">
        <v>235</v>
      </c>
      <c r="K553" s="355" t="s">
        <v>234</v>
      </c>
    </row>
    <row r="554" spans="1:11">
      <c r="A554" s="355">
        <v>6412</v>
      </c>
      <c r="B554" s="356" t="s">
        <v>723</v>
      </c>
      <c r="C554" s="351" t="s">
        <v>234</v>
      </c>
      <c r="D554" s="1385" t="s">
        <v>234</v>
      </c>
      <c r="E554" s="353" t="s">
        <v>234</v>
      </c>
      <c r="F554" s="353" t="s">
        <v>234</v>
      </c>
      <c r="G554" s="353" t="s">
        <v>234</v>
      </c>
      <c r="H554" s="353" t="s">
        <v>234</v>
      </c>
      <c r="I554" s="353" t="s">
        <v>234</v>
      </c>
      <c r="J554" s="353" t="s">
        <v>234</v>
      </c>
      <c r="K554" s="355" t="s">
        <v>234</v>
      </c>
    </row>
    <row r="555" spans="1:11">
      <c r="A555" s="355">
        <v>6413</v>
      </c>
      <c r="B555" s="356" t="s">
        <v>724</v>
      </c>
      <c r="C555" s="351" t="s">
        <v>234</v>
      </c>
      <c r="D555" s="1385" t="s">
        <v>234</v>
      </c>
      <c r="E555" s="353" t="s">
        <v>234</v>
      </c>
      <c r="F555" s="353" t="s">
        <v>234</v>
      </c>
      <c r="G555" s="353" t="s">
        <v>234</v>
      </c>
      <c r="H555" s="353" t="s">
        <v>234</v>
      </c>
      <c r="I555" s="353" t="s">
        <v>234</v>
      </c>
      <c r="J555" s="353" t="s">
        <v>234</v>
      </c>
      <c r="K555" s="355" t="s">
        <v>234</v>
      </c>
    </row>
    <row r="556" spans="1:11">
      <c r="A556" s="355">
        <v>6414</v>
      </c>
      <c r="B556" s="356" t="s">
        <v>725</v>
      </c>
      <c r="C556" s="351" t="s">
        <v>234</v>
      </c>
      <c r="D556" s="1385" t="s">
        <v>234</v>
      </c>
      <c r="E556" s="353" t="s">
        <v>234</v>
      </c>
      <c r="F556" s="353" t="s">
        <v>234</v>
      </c>
      <c r="G556" s="353" t="s">
        <v>234</v>
      </c>
      <c r="H556" s="353" t="s">
        <v>234</v>
      </c>
      <c r="I556" s="353" t="s">
        <v>234</v>
      </c>
      <c r="J556" s="353" t="s">
        <v>234</v>
      </c>
      <c r="K556" s="355" t="s">
        <v>234</v>
      </c>
    </row>
    <row r="557" spans="1:11">
      <c r="A557" s="355">
        <v>6415</v>
      </c>
      <c r="B557" s="356" t="s">
        <v>726</v>
      </c>
      <c r="C557" s="351" t="s">
        <v>234</v>
      </c>
      <c r="D557" s="1385" t="s">
        <v>234</v>
      </c>
      <c r="E557" s="353" t="s">
        <v>234</v>
      </c>
      <c r="F557" s="353" t="s">
        <v>234</v>
      </c>
      <c r="G557" s="353" t="s">
        <v>234</v>
      </c>
      <c r="H557" s="353" t="s">
        <v>234</v>
      </c>
      <c r="I557" s="353" t="s">
        <v>234</v>
      </c>
      <c r="J557" s="353" t="s">
        <v>234</v>
      </c>
      <c r="K557" s="355" t="s">
        <v>234</v>
      </c>
    </row>
    <row r="558" spans="1:11" ht="30">
      <c r="A558" s="355">
        <v>6501</v>
      </c>
      <c r="B558" s="356" t="s">
        <v>727</v>
      </c>
      <c r="C558" s="351" t="s">
        <v>235</v>
      </c>
      <c r="D558" s="1385" t="s">
        <v>234</v>
      </c>
      <c r="E558" s="353" t="s">
        <v>234</v>
      </c>
      <c r="F558" s="353" t="s">
        <v>234</v>
      </c>
      <c r="G558" s="353" t="s">
        <v>234</v>
      </c>
      <c r="H558" s="353" t="s">
        <v>234</v>
      </c>
      <c r="I558" s="353" t="s">
        <v>234</v>
      </c>
      <c r="J558" s="353" t="s">
        <v>235</v>
      </c>
      <c r="K558" s="355" t="s">
        <v>235</v>
      </c>
    </row>
    <row r="559" spans="1:11" ht="30">
      <c r="A559" s="355">
        <v>6502</v>
      </c>
      <c r="B559" s="356" t="s">
        <v>728</v>
      </c>
      <c r="C559" s="351" t="s">
        <v>234</v>
      </c>
      <c r="D559" s="1385" t="s">
        <v>234</v>
      </c>
      <c r="E559" s="353" t="s">
        <v>234</v>
      </c>
      <c r="F559" s="353" t="s">
        <v>234</v>
      </c>
      <c r="G559" s="353" t="s">
        <v>234</v>
      </c>
      <c r="H559" s="353" t="s">
        <v>234</v>
      </c>
      <c r="I559" s="353" t="s">
        <v>234</v>
      </c>
      <c r="J559" s="353" t="s">
        <v>234</v>
      </c>
      <c r="K559" s="355" t="s">
        <v>234</v>
      </c>
    </row>
    <row r="560" spans="1:11" ht="30">
      <c r="A560" s="355">
        <v>6511</v>
      </c>
      <c r="B560" s="356" t="s">
        <v>729</v>
      </c>
      <c r="C560" s="351" t="s">
        <v>235</v>
      </c>
      <c r="D560" s="1385" t="s">
        <v>234</v>
      </c>
      <c r="E560" s="353" t="s">
        <v>234</v>
      </c>
      <c r="F560" s="353" t="s">
        <v>234</v>
      </c>
      <c r="G560" s="353" t="s">
        <v>234</v>
      </c>
      <c r="H560" s="353" t="s">
        <v>234</v>
      </c>
      <c r="I560" s="353" t="s">
        <v>234</v>
      </c>
      <c r="J560" s="353" t="s">
        <v>235</v>
      </c>
      <c r="K560" s="355" t="s">
        <v>235</v>
      </c>
    </row>
    <row r="561" spans="1:11" ht="30">
      <c r="A561" s="355">
        <v>6512</v>
      </c>
      <c r="B561" s="356" t="s">
        <v>730</v>
      </c>
      <c r="C561" s="351" t="s">
        <v>234</v>
      </c>
      <c r="D561" s="1385" t="s">
        <v>234</v>
      </c>
      <c r="E561" s="353" t="s">
        <v>234</v>
      </c>
      <c r="F561" s="353" t="s">
        <v>234</v>
      </c>
      <c r="G561" s="353" t="s">
        <v>234</v>
      </c>
      <c r="H561" s="353" t="s">
        <v>234</v>
      </c>
      <c r="I561" s="353" t="s">
        <v>234</v>
      </c>
      <c r="J561" s="353" t="s">
        <v>234</v>
      </c>
      <c r="K561" s="355" t="s">
        <v>234</v>
      </c>
    </row>
    <row r="562" spans="1:11" ht="30">
      <c r="A562" s="355">
        <v>6520</v>
      </c>
      <c r="B562" s="356" t="s">
        <v>731</v>
      </c>
      <c r="C562" s="351" t="s">
        <v>235</v>
      </c>
      <c r="D562" s="1385" t="s">
        <v>235</v>
      </c>
      <c r="E562" s="353" t="s">
        <v>235</v>
      </c>
      <c r="F562" s="353" t="s">
        <v>235</v>
      </c>
      <c r="G562" s="353" t="s">
        <v>235</v>
      </c>
      <c r="H562" s="353" t="s">
        <v>235</v>
      </c>
      <c r="I562" s="353" t="s">
        <v>235</v>
      </c>
      <c r="J562" s="353" t="s">
        <v>268</v>
      </c>
      <c r="K562" s="355" t="s">
        <v>234</v>
      </c>
    </row>
    <row r="563" spans="1:11">
      <c r="A563" s="355">
        <v>6531</v>
      </c>
      <c r="B563" s="356" t="s">
        <v>732</v>
      </c>
      <c r="C563" s="351" t="s">
        <v>235</v>
      </c>
      <c r="D563" s="1385" t="s">
        <v>235</v>
      </c>
      <c r="E563" s="353" t="s">
        <v>235</v>
      </c>
      <c r="F563" s="353" t="s">
        <v>235</v>
      </c>
      <c r="G563" s="353" t="s">
        <v>235</v>
      </c>
      <c r="H563" s="353" t="s">
        <v>235</v>
      </c>
      <c r="I563" s="353" t="s">
        <v>235</v>
      </c>
      <c r="J563" s="353" t="s">
        <v>235</v>
      </c>
      <c r="K563" s="355" t="s">
        <v>235</v>
      </c>
    </row>
    <row r="564" spans="1:11" ht="30">
      <c r="A564" s="355">
        <v>6532</v>
      </c>
      <c r="B564" s="356" t="s">
        <v>733</v>
      </c>
      <c r="C564" s="351" t="s">
        <v>234</v>
      </c>
      <c r="D564" s="1385" t="s">
        <v>234</v>
      </c>
      <c r="E564" s="353" t="s">
        <v>234</v>
      </c>
      <c r="F564" s="353" t="s">
        <v>234</v>
      </c>
      <c r="G564" s="353" t="s">
        <v>234</v>
      </c>
      <c r="H564" s="353" t="s">
        <v>234</v>
      </c>
      <c r="I564" s="353" t="s">
        <v>234</v>
      </c>
      <c r="J564" s="353" t="s">
        <v>234</v>
      </c>
      <c r="K564" s="355" t="s">
        <v>235</v>
      </c>
    </row>
    <row r="565" spans="1:11">
      <c r="A565" s="355">
        <v>6541</v>
      </c>
      <c r="B565" s="356" t="s">
        <v>734</v>
      </c>
      <c r="C565" s="351" t="s">
        <v>235</v>
      </c>
      <c r="D565" s="1385" t="s">
        <v>235</v>
      </c>
      <c r="E565" s="353" t="s">
        <v>235</v>
      </c>
      <c r="F565" s="353" t="s">
        <v>235</v>
      </c>
      <c r="G565" s="353" t="s">
        <v>235</v>
      </c>
      <c r="H565" s="353" t="s">
        <v>235</v>
      </c>
      <c r="I565" s="353" t="s">
        <v>235</v>
      </c>
      <c r="J565" s="353" t="s">
        <v>235</v>
      </c>
      <c r="K565" s="355" t="s">
        <v>235</v>
      </c>
    </row>
    <row r="566" spans="1:11" ht="30">
      <c r="A566" s="355">
        <v>6542</v>
      </c>
      <c r="B566" s="356" t="s">
        <v>735</v>
      </c>
      <c r="C566" s="351" t="s">
        <v>235</v>
      </c>
      <c r="D566" s="1385" t="s">
        <v>235</v>
      </c>
      <c r="E566" s="353" t="s">
        <v>235</v>
      </c>
      <c r="F566" s="353" t="s">
        <v>235</v>
      </c>
      <c r="G566" s="353" t="s">
        <v>235</v>
      </c>
      <c r="H566" s="353" t="s">
        <v>235</v>
      </c>
      <c r="I566" s="353" t="s">
        <v>235</v>
      </c>
      <c r="J566" s="353" t="s">
        <v>235</v>
      </c>
      <c r="K566" s="355" t="s">
        <v>235</v>
      </c>
    </row>
    <row r="567" spans="1:11">
      <c r="A567" s="355">
        <v>6550</v>
      </c>
      <c r="B567" s="356" t="s">
        <v>736</v>
      </c>
      <c r="C567" s="351" t="s">
        <v>237</v>
      </c>
      <c r="D567" s="1385" t="s">
        <v>237</v>
      </c>
      <c r="E567" s="353" t="s">
        <v>237</v>
      </c>
      <c r="F567" s="353" t="s">
        <v>237</v>
      </c>
      <c r="G567" s="353" t="s">
        <v>237</v>
      </c>
      <c r="H567" s="353" t="s">
        <v>237</v>
      </c>
      <c r="I567" s="353" t="s">
        <v>237</v>
      </c>
      <c r="J567" s="353" t="s">
        <v>237</v>
      </c>
      <c r="K567" s="355" t="s">
        <v>236</v>
      </c>
    </row>
    <row r="568" spans="1:11" ht="30">
      <c r="A568" s="355">
        <v>6580</v>
      </c>
      <c r="B568" s="356" t="s">
        <v>737</v>
      </c>
      <c r="C568" s="351" t="s">
        <v>234</v>
      </c>
      <c r="D568" s="1385" t="s">
        <v>234</v>
      </c>
      <c r="E568" s="353" t="s">
        <v>234</v>
      </c>
      <c r="F568" s="353" t="s">
        <v>234</v>
      </c>
      <c r="G568" s="353" t="s">
        <v>234</v>
      </c>
      <c r="H568" s="353" t="s">
        <v>234</v>
      </c>
      <c r="I568" s="353" t="s">
        <v>234</v>
      </c>
      <c r="J568" s="353" t="s">
        <v>234</v>
      </c>
      <c r="K568" s="355" t="s">
        <v>234</v>
      </c>
    </row>
    <row r="569" spans="1:11">
      <c r="A569" s="355">
        <v>6610</v>
      </c>
      <c r="B569" s="356" t="s">
        <v>738</v>
      </c>
      <c r="C569" s="351" t="s">
        <v>234</v>
      </c>
      <c r="D569" s="1385" t="s">
        <v>234</v>
      </c>
      <c r="E569" s="353" t="s">
        <v>234</v>
      </c>
      <c r="F569" s="353" t="s">
        <v>234</v>
      </c>
      <c r="G569" s="353" t="s">
        <v>234</v>
      </c>
      <c r="H569" s="353" t="s">
        <v>234</v>
      </c>
      <c r="I569" s="353" t="s">
        <v>234</v>
      </c>
      <c r="J569" s="353" t="s">
        <v>234</v>
      </c>
      <c r="K569" s="355" t="s">
        <v>235</v>
      </c>
    </row>
    <row r="570" spans="1:11" ht="30">
      <c r="A570" s="355">
        <v>6621</v>
      </c>
      <c r="B570" s="356" t="s">
        <v>739</v>
      </c>
      <c r="C570" s="351" t="s">
        <v>234</v>
      </c>
      <c r="D570" s="1385" t="s">
        <v>234</v>
      </c>
      <c r="E570" s="353" t="s">
        <v>234</v>
      </c>
      <c r="F570" s="353" t="s">
        <v>234</v>
      </c>
      <c r="G570" s="353" t="s">
        <v>234</v>
      </c>
      <c r="H570" s="353" t="s">
        <v>234</v>
      </c>
      <c r="I570" s="353" t="s">
        <v>234</v>
      </c>
      <c r="J570" s="353" t="s">
        <v>234</v>
      </c>
      <c r="K570" s="355" t="s">
        <v>235</v>
      </c>
    </row>
    <row r="571" spans="1:11" ht="30">
      <c r="A571" s="355">
        <v>6622</v>
      </c>
      <c r="B571" s="356" t="s">
        <v>740</v>
      </c>
      <c r="C571" s="351" t="s">
        <v>235</v>
      </c>
      <c r="D571" s="1385" t="s">
        <v>235</v>
      </c>
      <c r="E571" s="353" t="s">
        <v>235</v>
      </c>
      <c r="F571" s="353" t="s">
        <v>235</v>
      </c>
      <c r="G571" s="353" t="s">
        <v>235</v>
      </c>
      <c r="H571" s="353" t="s">
        <v>235</v>
      </c>
      <c r="I571" s="353" t="s">
        <v>235</v>
      </c>
      <c r="J571" s="353" t="s">
        <v>235</v>
      </c>
      <c r="K571" s="355" t="s">
        <v>235</v>
      </c>
    </row>
    <row r="572" spans="1:11" ht="30">
      <c r="A572" s="355">
        <v>6631</v>
      </c>
      <c r="B572" s="356" t="s">
        <v>741</v>
      </c>
      <c r="C572" s="351" t="s">
        <v>235</v>
      </c>
      <c r="D572" s="1385" t="s">
        <v>235</v>
      </c>
      <c r="E572" s="353" t="s">
        <v>235</v>
      </c>
      <c r="F572" s="353" t="s">
        <v>235</v>
      </c>
      <c r="G572" s="353" t="s">
        <v>235</v>
      </c>
      <c r="H572" s="353" t="s">
        <v>235</v>
      </c>
      <c r="I572" s="353" t="s">
        <v>235</v>
      </c>
      <c r="J572" s="353" t="s">
        <v>235</v>
      </c>
      <c r="K572" s="355" t="s">
        <v>235</v>
      </c>
    </row>
    <row r="573" spans="1:11">
      <c r="A573" s="355">
        <v>6632</v>
      </c>
      <c r="B573" s="356" t="s">
        <v>742</v>
      </c>
      <c r="C573" s="351" t="s">
        <v>235</v>
      </c>
      <c r="D573" s="1385" t="s">
        <v>235</v>
      </c>
      <c r="E573" s="353" t="s">
        <v>235</v>
      </c>
      <c r="F573" s="353" t="s">
        <v>235</v>
      </c>
      <c r="G573" s="353" t="s">
        <v>235</v>
      </c>
      <c r="H573" s="353" t="s">
        <v>235</v>
      </c>
      <c r="I573" s="353" t="s">
        <v>235</v>
      </c>
      <c r="J573" s="353" t="s">
        <v>235</v>
      </c>
      <c r="K573" s="355" t="s">
        <v>235</v>
      </c>
    </row>
    <row r="574" spans="1:11" ht="30">
      <c r="A574" s="355">
        <v>6633</v>
      </c>
      <c r="B574" s="356" t="s">
        <v>743</v>
      </c>
      <c r="C574" s="351" t="s">
        <v>235</v>
      </c>
      <c r="D574" s="1385" t="s">
        <v>235</v>
      </c>
      <c r="E574" s="353" t="s">
        <v>235</v>
      </c>
      <c r="F574" s="353" t="s">
        <v>235</v>
      </c>
      <c r="G574" s="353" t="s">
        <v>235</v>
      </c>
      <c r="H574" s="353" t="s">
        <v>235</v>
      </c>
      <c r="I574" s="353" t="s">
        <v>235</v>
      </c>
      <c r="J574" s="353" t="s">
        <v>235</v>
      </c>
      <c r="K574" s="355" t="s">
        <v>234</v>
      </c>
    </row>
    <row r="575" spans="1:11" ht="30">
      <c r="A575" s="355">
        <v>6641</v>
      </c>
      <c r="B575" s="356" t="s">
        <v>744</v>
      </c>
      <c r="C575" s="351" t="s">
        <v>234</v>
      </c>
      <c r="D575" s="1385" t="s">
        <v>234</v>
      </c>
      <c r="E575" s="353" t="s">
        <v>234</v>
      </c>
      <c r="F575" s="353" t="s">
        <v>234</v>
      </c>
      <c r="G575" s="353" t="s">
        <v>234</v>
      </c>
      <c r="H575" s="353" t="s">
        <v>234</v>
      </c>
      <c r="I575" s="353" t="s">
        <v>234</v>
      </c>
      <c r="J575" s="353" t="s">
        <v>234</v>
      </c>
      <c r="K575" s="355" t="s">
        <v>235</v>
      </c>
    </row>
    <row r="576" spans="1:11" ht="30">
      <c r="A576" s="355">
        <v>6642</v>
      </c>
      <c r="B576" s="356" t="s">
        <v>745</v>
      </c>
      <c r="C576" s="351" t="s">
        <v>235</v>
      </c>
      <c r="D576" s="1385" t="s">
        <v>235</v>
      </c>
      <c r="E576" s="353" t="s">
        <v>235</v>
      </c>
      <c r="F576" s="353" t="s">
        <v>235</v>
      </c>
      <c r="G576" s="353" t="s">
        <v>235</v>
      </c>
      <c r="H576" s="353" t="s">
        <v>235</v>
      </c>
      <c r="I576" s="353" t="s">
        <v>235</v>
      </c>
      <c r="J576" s="353" t="s">
        <v>235</v>
      </c>
      <c r="K576" s="355" t="s">
        <v>235</v>
      </c>
    </row>
    <row r="577" spans="1:11" ht="30">
      <c r="A577" s="355">
        <v>6650</v>
      </c>
      <c r="B577" s="356" t="s">
        <v>746</v>
      </c>
      <c r="C577" s="351" t="s">
        <v>234</v>
      </c>
      <c r="D577" s="1385" t="s">
        <v>234</v>
      </c>
      <c r="E577" s="353" t="s">
        <v>234</v>
      </c>
      <c r="F577" s="353" t="s">
        <v>234</v>
      </c>
      <c r="G577" s="353" t="s">
        <v>234</v>
      </c>
      <c r="H577" s="353" t="s">
        <v>234</v>
      </c>
      <c r="I577" s="353" t="s">
        <v>234</v>
      </c>
      <c r="J577" s="353" t="s">
        <v>234</v>
      </c>
      <c r="K577" s="355" t="s">
        <v>235</v>
      </c>
    </row>
    <row r="578" spans="1:11" ht="30">
      <c r="A578" s="355">
        <v>6660</v>
      </c>
      <c r="B578" s="356" t="s">
        <v>747</v>
      </c>
      <c r="C578" s="351" t="s">
        <v>235</v>
      </c>
      <c r="D578" s="1385" t="s">
        <v>235</v>
      </c>
      <c r="E578" s="353" t="s">
        <v>235</v>
      </c>
      <c r="F578" s="353" t="s">
        <v>235</v>
      </c>
      <c r="G578" s="353" t="s">
        <v>235</v>
      </c>
      <c r="H578" s="353" t="s">
        <v>235</v>
      </c>
      <c r="I578" s="353" t="s">
        <v>235</v>
      </c>
      <c r="J578" s="353" t="s">
        <v>235</v>
      </c>
      <c r="K578" s="355" t="s">
        <v>235</v>
      </c>
    </row>
    <row r="579" spans="1:11">
      <c r="A579" s="355">
        <v>6670</v>
      </c>
      <c r="B579" s="356" t="s">
        <v>748</v>
      </c>
      <c r="C579" s="351" t="s">
        <v>234</v>
      </c>
      <c r="D579" s="1385" t="s">
        <v>234</v>
      </c>
      <c r="E579" s="353" t="s">
        <v>234</v>
      </c>
      <c r="F579" s="353" t="s">
        <v>234</v>
      </c>
      <c r="G579" s="353" t="s">
        <v>234</v>
      </c>
      <c r="H579" s="353" t="s">
        <v>234</v>
      </c>
      <c r="I579" s="353" t="s">
        <v>234</v>
      </c>
      <c r="J579" s="353" t="s">
        <v>234</v>
      </c>
      <c r="K579" s="355" t="s">
        <v>235</v>
      </c>
    </row>
    <row r="580" spans="1:11">
      <c r="A580" s="350">
        <v>7011</v>
      </c>
      <c r="B580" s="351" t="s">
        <v>749</v>
      </c>
      <c r="C580" s="351" t="s">
        <v>256</v>
      </c>
      <c r="D580" s="1383" t="s">
        <v>268</v>
      </c>
      <c r="E580" s="352" t="s">
        <v>234</v>
      </c>
      <c r="F580" s="352" t="s">
        <v>234</v>
      </c>
      <c r="G580" s="352" t="s">
        <v>234</v>
      </c>
      <c r="H580" s="352" t="s">
        <v>234</v>
      </c>
      <c r="I580" s="352" t="s">
        <v>234</v>
      </c>
      <c r="J580" s="353" t="s">
        <v>256</v>
      </c>
      <c r="K580" s="354" t="s">
        <v>255</v>
      </c>
    </row>
    <row r="581" spans="1:11">
      <c r="A581" s="350">
        <v>7012</v>
      </c>
      <c r="B581" s="351" t="s">
        <v>750</v>
      </c>
      <c r="C581" s="351" t="s">
        <v>256</v>
      </c>
      <c r="D581" s="1383" t="s">
        <v>268</v>
      </c>
      <c r="E581" s="352" t="s">
        <v>234</v>
      </c>
      <c r="F581" s="352" t="s">
        <v>234</v>
      </c>
      <c r="G581" s="352" t="s">
        <v>234</v>
      </c>
      <c r="H581" s="352" t="s">
        <v>234</v>
      </c>
      <c r="I581" s="352" t="s">
        <v>234</v>
      </c>
      <c r="J581" s="353" t="s">
        <v>256</v>
      </c>
      <c r="K581" s="354" t="s">
        <v>235</v>
      </c>
    </row>
    <row r="582" spans="1:11">
      <c r="A582" s="350">
        <v>7021</v>
      </c>
      <c r="B582" s="351" t="s">
        <v>751</v>
      </c>
      <c r="C582" s="351" t="s">
        <v>256</v>
      </c>
      <c r="D582" s="1383" t="s">
        <v>268</v>
      </c>
      <c r="E582" s="352" t="s">
        <v>236</v>
      </c>
      <c r="F582" s="352" t="s">
        <v>236</v>
      </c>
      <c r="G582" s="352" t="s">
        <v>236</v>
      </c>
      <c r="H582" s="352" t="s">
        <v>236</v>
      </c>
      <c r="I582" s="352" t="s">
        <v>236</v>
      </c>
      <c r="J582" s="353" t="s">
        <v>268</v>
      </c>
      <c r="K582" s="354" t="s">
        <v>255</v>
      </c>
    </row>
    <row r="583" spans="1:11">
      <c r="A583" s="350">
        <v>7022</v>
      </c>
      <c r="B583" s="351" t="s">
        <v>752</v>
      </c>
      <c r="C583" s="351" t="s">
        <v>256</v>
      </c>
      <c r="D583" s="1383" t="s">
        <v>268</v>
      </c>
      <c r="E583" s="352" t="s">
        <v>236</v>
      </c>
      <c r="F583" s="352" t="s">
        <v>236</v>
      </c>
      <c r="G583" s="352" t="s">
        <v>236</v>
      </c>
      <c r="H583" s="352" t="s">
        <v>236</v>
      </c>
      <c r="I583" s="352" t="s">
        <v>236</v>
      </c>
      <c r="J583" s="353" t="s">
        <v>256</v>
      </c>
      <c r="K583" s="354" t="s">
        <v>236</v>
      </c>
    </row>
    <row r="584" spans="1:11" ht="30">
      <c r="A584" s="355">
        <v>7031</v>
      </c>
      <c r="B584" s="356" t="s">
        <v>753</v>
      </c>
      <c r="C584" s="351" t="s">
        <v>237</v>
      </c>
      <c r="D584" s="1385" t="s">
        <v>237</v>
      </c>
      <c r="E584" s="353" t="s">
        <v>237</v>
      </c>
      <c r="F584" s="353" t="s">
        <v>237</v>
      </c>
      <c r="G584" s="353" t="s">
        <v>237</v>
      </c>
      <c r="H584" s="353" t="s">
        <v>237</v>
      </c>
      <c r="I584" s="353" t="s">
        <v>1176</v>
      </c>
      <c r="J584" s="353" t="s">
        <v>268</v>
      </c>
      <c r="K584" s="355" t="s">
        <v>236</v>
      </c>
    </row>
    <row r="585" spans="1:11" ht="30">
      <c r="A585" s="355">
        <v>7032</v>
      </c>
      <c r="B585" s="356" t="s">
        <v>754</v>
      </c>
      <c r="C585" s="351" t="s">
        <v>237</v>
      </c>
      <c r="D585" s="1385" t="s">
        <v>237</v>
      </c>
      <c r="E585" s="353" t="s">
        <v>237</v>
      </c>
      <c r="F585" s="353" t="s">
        <v>237</v>
      </c>
      <c r="G585" s="353" t="s">
        <v>237</v>
      </c>
      <c r="H585" s="353" t="s">
        <v>237</v>
      </c>
      <c r="I585" s="353" t="s">
        <v>237</v>
      </c>
      <c r="J585" s="353" t="s">
        <v>268</v>
      </c>
      <c r="K585" s="355" t="s">
        <v>257</v>
      </c>
    </row>
    <row r="586" spans="1:11" ht="30">
      <c r="A586" s="350">
        <v>7041</v>
      </c>
      <c r="B586" s="351" t="s">
        <v>755</v>
      </c>
      <c r="C586" s="351" t="s">
        <v>1176</v>
      </c>
      <c r="D586" s="1383" t="s">
        <v>268</v>
      </c>
      <c r="E586" s="352" t="s">
        <v>237</v>
      </c>
      <c r="F586" s="352" t="s">
        <v>1187</v>
      </c>
      <c r="G586" s="352" t="s">
        <v>237</v>
      </c>
      <c r="H586" s="352" t="s">
        <v>237</v>
      </c>
      <c r="I586" s="352" t="s">
        <v>237</v>
      </c>
      <c r="J586" s="353" t="s">
        <v>1176</v>
      </c>
      <c r="K586" s="354" t="s">
        <v>257</v>
      </c>
    </row>
    <row r="587" spans="1:11">
      <c r="A587" s="350">
        <v>7042</v>
      </c>
      <c r="B587" s="351" t="s">
        <v>756</v>
      </c>
      <c r="C587" s="351" t="s">
        <v>1176</v>
      </c>
      <c r="D587" s="1383" t="s">
        <v>268</v>
      </c>
      <c r="E587" s="352" t="s">
        <v>1176</v>
      </c>
      <c r="F587" s="352" t="s">
        <v>1176</v>
      </c>
      <c r="G587" s="352" t="s">
        <v>1176</v>
      </c>
      <c r="H587" s="352" t="s">
        <v>1176</v>
      </c>
      <c r="I587" s="352" t="s">
        <v>1176</v>
      </c>
      <c r="J587" s="353" t="s">
        <v>1176</v>
      </c>
      <c r="K587" s="354" t="s">
        <v>235</v>
      </c>
    </row>
    <row r="588" spans="1:11">
      <c r="A588" s="350">
        <v>7043</v>
      </c>
      <c r="B588" s="351" t="s">
        <v>757</v>
      </c>
      <c r="C588" s="351" t="s">
        <v>1176</v>
      </c>
      <c r="D588" s="1383" t="s">
        <v>268</v>
      </c>
      <c r="E588" s="352" t="s">
        <v>1176</v>
      </c>
      <c r="F588" s="352" t="s">
        <v>1176</v>
      </c>
      <c r="G588" s="352" t="s">
        <v>1176</v>
      </c>
      <c r="H588" s="352" t="s">
        <v>1176</v>
      </c>
      <c r="I588" s="352" t="s">
        <v>1176</v>
      </c>
      <c r="J588" s="353" t="s">
        <v>1176</v>
      </c>
      <c r="K588" s="354" t="s">
        <v>255</v>
      </c>
    </row>
    <row r="589" spans="1:11" ht="15.75">
      <c r="A589" s="355">
        <v>7044</v>
      </c>
      <c r="B589" s="356" t="s">
        <v>758</v>
      </c>
      <c r="C589" s="351" t="s">
        <v>236</v>
      </c>
      <c r="D589" s="1384" t="s">
        <v>268</v>
      </c>
      <c r="E589" s="353" t="s">
        <v>236</v>
      </c>
      <c r="F589" s="353" t="s">
        <v>236</v>
      </c>
      <c r="G589" s="353" t="s">
        <v>236</v>
      </c>
      <c r="H589" s="353" t="s">
        <v>236</v>
      </c>
      <c r="I589" s="353" t="s">
        <v>236</v>
      </c>
      <c r="J589" s="353" t="s">
        <v>236</v>
      </c>
      <c r="K589" s="355" t="s">
        <v>236</v>
      </c>
    </row>
    <row r="590" spans="1:11" ht="30">
      <c r="A590" s="350">
        <v>7051</v>
      </c>
      <c r="B590" s="351" t="s">
        <v>759</v>
      </c>
      <c r="C590" s="351" t="s">
        <v>256</v>
      </c>
      <c r="D590" s="1383" t="s">
        <v>268</v>
      </c>
      <c r="E590" s="352" t="s">
        <v>236</v>
      </c>
      <c r="F590" s="352" t="s">
        <v>236</v>
      </c>
      <c r="G590" s="352" t="s">
        <v>236</v>
      </c>
      <c r="H590" s="352" t="s">
        <v>236</v>
      </c>
      <c r="I590" s="352" t="s">
        <v>236</v>
      </c>
      <c r="J590" s="353" t="s">
        <v>256</v>
      </c>
      <c r="K590" s="354" t="s">
        <v>255</v>
      </c>
    </row>
    <row r="591" spans="1:11" ht="30">
      <c r="A591" s="350">
        <v>7052</v>
      </c>
      <c r="B591" s="351" t="s">
        <v>760</v>
      </c>
      <c r="C591" s="351" t="s">
        <v>256</v>
      </c>
      <c r="D591" s="1383" t="s">
        <v>268</v>
      </c>
      <c r="E591" s="352" t="s">
        <v>235</v>
      </c>
      <c r="F591" s="352" t="s">
        <v>235</v>
      </c>
      <c r="G591" s="352" t="s">
        <v>235</v>
      </c>
      <c r="H591" s="352" t="s">
        <v>235</v>
      </c>
      <c r="I591" s="352" t="s">
        <v>235</v>
      </c>
      <c r="J591" s="353" t="s">
        <v>256</v>
      </c>
      <c r="K591" s="354" t="s">
        <v>236</v>
      </c>
    </row>
    <row r="592" spans="1:11" ht="30">
      <c r="A592" s="350">
        <v>7053</v>
      </c>
      <c r="B592" s="351" t="s">
        <v>761</v>
      </c>
      <c r="C592" s="351" t="s">
        <v>256</v>
      </c>
      <c r="D592" s="1383" t="s">
        <v>268</v>
      </c>
      <c r="E592" s="352" t="s">
        <v>236</v>
      </c>
      <c r="F592" s="352" t="s">
        <v>236</v>
      </c>
      <c r="G592" s="352" t="s">
        <v>236</v>
      </c>
      <c r="H592" s="352" t="s">
        <v>236</v>
      </c>
      <c r="I592" s="352" t="s">
        <v>236</v>
      </c>
      <c r="J592" s="353" t="s">
        <v>256</v>
      </c>
      <c r="K592" s="354" t="s">
        <v>236</v>
      </c>
    </row>
    <row r="593" spans="1:11" ht="15.75">
      <c r="A593" s="355">
        <v>7054</v>
      </c>
      <c r="B593" s="356" t="s">
        <v>762</v>
      </c>
      <c r="C593" s="351" t="s">
        <v>235</v>
      </c>
      <c r="D593" s="1384" t="s">
        <v>268</v>
      </c>
      <c r="E593" s="353" t="s">
        <v>235</v>
      </c>
      <c r="F593" s="353" t="s">
        <v>235</v>
      </c>
      <c r="G593" s="353" t="s">
        <v>235</v>
      </c>
      <c r="H593" s="353" t="s">
        <v>235</v>
      </c>
      <c r="I593" s="353" t="s">
        <v>235</v>
      </c>
      <c r="J593" s="353" t="s">
        <v>235</v>
      </c>
      <c r="K593" s="355" t="s">
        <v>236</v>
      </c>
    </row>
    <row r="594" spans="1:11" ht="30">
      <c r="A594" s="350">
        <v>7061</v>
      </c>
      <c r="B594" s="351" t="s">
        <v>763</v>
      </c>
      <c r="C594" s="351" t="s">
        <v>256</v>
      </c>
      <c r="D594" s="1383" t="s">
        <v>268</v>
      </c>
      <c r="E594" s="352" t="s">
        <v>237</v>
      </c>
      <c r="F594" s="352" t="s">
        <v>237</v>
      </c>
      <c r="G594" s="352" t="s">
        <v>237</v>
      </c>
      <c r="H594" s="352" t="s">
        <v>237</v>
      </c>
      <c r="I594" s="352" t="s">
        <v>237</v>
      </c>
      <c r="J594" s="353" t="s">
        <v>256</v>
      </c>
      <c r="K594" s="354" t="s">
        <v>255</v>
      </c>
    </row>
    <row r="595" spans="1:11" ht="30">
      <c r="A595" s="350">
        <v>7062</v>
      </c>
      <c r="B595" s="351" t="s">
        <v>764</v>
      </c>
      <c r="C595" s="351" t="s">
        <v>256</v>
      </c>
      <c r="D595" s="1383" t="s">
        <v>268</v>
      </c>
      <c r="E595" s="352" t="s">
        <v>237</v>
      </c>
      <c r="F595" s="352" t="s">
        <v>237</v>
      </c>
      <c r="G595" s="352" t="s">
        <v>237</v>
      </c>
      <c r="H595" s="352" t="s">
        <v>237</v>
      </c>
      <c r="I595" s="352" t="s">
        <v>237</v>
      </c>
      <c r="J595" s="353" t="s">
        <v>256</v>
      </c>
      <c r="K595" s="354" t="s">
        <v>236</v>
      </c>
    </row>
    <row r="596" spans="1:11" ht="30">
      <c r="A596" s="350">
        <v>7063</v>
      </c>
      <c r="B596" s="351" t="s">
        <v>765</v>
      </c>
      <c r="C596" s="351" t="s">
        <v>256</v>
      </c>
      <c r="D596" s="1383" t="s">
        <v>268</v>
      </c>
      <c r="E596" s="352" t="s">
        <v>237</v>
      </c>
      <c r="F596" s="352" t="s">
        <v>237</v>
      </c>
      <c r="G596" s="352" t="s">
        <v>237</v>
      </c>
      <c r="H596" s="352" t="s">
        <v>237</v>
      </c>
      <c r="I596" s="352" t="s">
        <v>237</v>
      </c>
      <c r="J596" s="353" t="s">
        <v>256</v>
      </c>
      <c r="K596" s="354" t="s">
        <v>236</v>
      </c>
    </row>
    <row r="597" spans="1:11">
      <c r="A597" s="355">
        <v>7210</v>
      </c>
      <c r="B597" s="356" t="s">
        <v>766</v>
      </c>
      <c r="C597" s="351" t="s">
        <v>236</v>
      </c>
      <c r="D597" s="1385" t="s">
        <v>237</v>
      </c>
      <c r="E597" s="353" t="s">
        <v>237</v>
      </c>
      <c r="F597" s="353" t="s">
        <v>237</v>
      </c>
      <c r="G597" s="353" t="s">
        <v>237</v>
      </c>
      <c r="H597" s="353" t="s">
        <v>237</v>
      </c>
      <c r="I597" s="353" t="s">
        <v>237</v>
      </c>
      <c r="J597" s="353" t="s">
        <v>236</v>
      </c>
      <c r="K597" s="355" t="s">
        <v>236</v>
      </c>
    </row>
    <row r="598" spans="1:11" ht="30">
      <c r="A598" s="355">
        <v>7220</v>
      </c>
      <c r="B598" s="356" t="s">
        <v>767</v>
      </c>
      <c r="C598" s="351" t="s">
        <v>235</v>
      </c>
      <c r="D598" s="1385" t="s">
        <v>237</v>
      </c>
      <c r="E598" s="353" t="s">
        <v>237</v>
      </c>
      <c r="F598" s="353" t="s">
        <v>237</v>
      </c>
      <c r="G598" s="353" t="s">
        <v>237</v>
      </c>
      <c r="H598" s="353" t="s">
        <v>237</v>
      </c>
      <c r="I598" s="353" t="s">
        <v>237</v>
      </c>
      <c r="J598" s="353" t="s">
        <v>235</v>
      </c>
      <c r="K598" s="355" t="s">
        <v>234</v>
      </c>
    </row>
    <row r="599" spans="1:11">
      <c r="A599" s="355">
        <v>7221</v>
      </c>
      <c r="B599" s="356" t="s">
        <v>768</v>
      </c>
      <c r="C599" s="351" t="s">
        <v>235</v>
      </c>
      <c r="D599" s="1385" t="s">
        <v>237</v>
      </c>
      <c r="E599" s="353" t="s">
        <v>237</v>
      </c>
      <c r="F599" s="353" t="s">
        <v>237</v>
      </c>
      <c r="G599" s="353" t="s">
        <v>237</v>
      </c>
      <c r="H599" s="353" t="s">
        <v>237</v>
      </c>
      <c r="I599" s="353" t="s">
        <v>237</v>
      </c>
      <c r="J599" s="353" t="s">
        <v>235</v>
      </c>
      <c r="K599" s="355" t="s">
        <v>234</v>
      </c>
    </row>
    <row r="600" spans="1:11">
      <c r="A600" s="355">
        <v>7222</v>
      </c>
      <c r="B600" s="356" t="s">
        <v>769</v>
      </c>
      <c r="C600" s="1383" t="s">
        <v>268</v>
      </c>
      <c r="D600" s="1383" t="s">
        <v>268</v>
      </c>
      <c r="E600" s="1383" t="s">
        <v>268</v>
      </c>
      <c r="F600" s="1383" t="s">
        <v>268</v>
      </c>
      <c r="G600" s="1383" t="s">
        <v>268</v>
      </c>
      <c r="H600" s="1383" t="s">
        <v>268</v>
      </c>
      <c r="I600" s="1383" t="s">
        <v>268</v>
      </c>
      <c r="J600" s="1383" t="s">
        <v>268</v>
      </c>
      <c r="K600" s="355" t="s">
        <v>234</v>
      </c>
    </row>
    <row r="601" spans="1:11">
      <c r="A601" s="355">
        <v>7261</v>
      </c>
      <c r="B601" s="356" t="s">
        <v>770</v>
      </c>
      <c r="C601" s="351" t="s">
        <v>235</v>
      </c>
      <c r="D601" s="1385" t="s">
        <v>235</v>
      </c>
      <c r="E601" s="353" t="s">
        <v>235</v>
      </c>
      <c r="F601" s="353" t="s">
        <v>235</v>
      </c>
      <c r="G601" s="353" t="s">
        <v>235</v>
      </c>
      <c r="H601" s="353" t="s">
        <v>235</v>
      </c>
      <c r="I601" s="353" t="s">
        <v>235</v>
      </c>
      <c r="J601" s="353" t="s">
        <v>235</v>
      </c>
      <c r="K601" s="355" t="s">
        <v>234</v>
      </c>
    </row>
    <row r="602" spans="1:11">
      <c r="A602" s="355">
        <v>7262</v>
      </c>
      <c r="B602" s="356" t="s">
        <v>771</v>
      </c>
      <c r="C602" s="351" t="s">
        <v>235</v>
      </c>
      <c r="D602" s="1385" t="s">
        <v>235</v>
      </c>
      <c r="E602" s="353" t="s">
        <v>235</v>
      </c>
      <c r="F602" s="353" t="s">
        <v>235</v>
      </c>
      <c r="G602" s="353" t="s">
        <v>235</v>
      </c>
      <c r="H602" s="353" t="s">
        <v>235</v>
      </c>
      <c r="I602" s="353" t="s">
        <v>235</v>
      </c>
      <c r="J602" s="353" t="s">
        <v>235</v>
      </c>
      <c r="K602" s="355" t="s">
        <v>234</v>
      </c>
    </row>
    <row r="603" spans="1:11">
      <c r="A603" s="355">
        <v>7263</v>
      </c>
      <c r="B603" s="356" t="s">
        <v>772</v>
      </c>
      <c r="C603" s="351" t="s">
        <v>235</v>
      </c>
      <c r="D603" s="1385" t="s">
        <v>235</v>
      </c>
      <c r="E603" s="353" t="s">
        <v>235</v>
      </c>
      <c r="F603" s="353" t="s">
        <v>235</v>
      </c>
      <c r="G603" s="353" t="s">
        <v>235</v>
      </c>
      <c r="H603" s="353" t="s">
        <v>235</v>
      </c>
      <c r="I603" s="353" t="s">
        <v>235</v>
      </c>
      <c r="J603" s="353" t="s">
        <v>235</v>
      </c>
      <c r="K603" s="355" t="s">
        <v>234</v>
      </c>
    </row>
    <row r="604" spans="1:11">
      <c r="A604" s="355">
        <v>7291</v>
      </c>
      <c r="B604" s="356" t="s">
        <v>773</v>
      </c>
      <c r="C604" s="351" t="s">
        <v>235</v>
      </c>
      <c r="D604" s="1385" t="s">
        <v>235</v>
      </c>
      <c r="E604" s="353" t="s">
        <v>235</v>
      </c>
      <c r="F604" s="353" t="s">
        <v>235</v>
      </c>
      <c r="G604" s="353" t="s">
        <v>235</v>
      </c>
      <c r="H604" s="353" t="s">
        <v>235</v>
      </c>
      <c r="I604" s="353" t="s">
        <v>235</v>
      </c>
      <c r="J604" s="353" t="s">
        <v>235</v>
      </c>
      <c r="K604" s="355" t="s">
        <v>234</v>
      </c>
    </row>
    <row r="605" spans="1:11">
      <c r="A605" s="355">
        <v>7292</v>
      </c>
      <c r="B605" s="356" t="s">
        <v>774</v>
      </c>
      <c r="C605" s="351" t="s">
        <v>236</v>
      </c>
      <c r="D605" s="1385" t="s">
        <v>236</v>
      </c>
      <c r="E605" s="353" t="s">
        <v>236</v>
      </c>
      <c r="F605" s="353" t="s">
        <v>236</v>
      </c>
      <c r="G605" s="353" t="s">
        <v>236</v>
      </c>
      <c r="H605" s="353" t="s">
        <v>236</v>
      </c>
      <c r="I605" s="353" t="s">
        <v>236</v>
      </c>
      <c r="J605" s="353" t="s">
        <v>236</v>
      </c>
      <c r="K605" s="355" t="s">
        <v>234</v>
      </c>
    </row>
    <row r="606" spans="1:11" ht="30">
      <c r="A606" s="355">
        <v>7293</v>
      </c>
      <c r="B606" s="356" t="s">
        <v>775</v>
      </c>
      <c r="C606" s="351" t="s">
        <v>236</v>
      </c>
      <c r="D606" s="1385" t="s">
        <v>236</v>
      </c>
      <c r="E606" s="353" t="s">
        <v>236</v>
      </c>
      <c r="F606" s="353" t="s">
        <v>236</v>
      </c>
      <c r="G606" s="353" t="s">
        <v>236</v>
      </c>
      <c r="H606" s="353" t="s">
        <v>236</v>
      </c>
      <c r="I606" s="353" t="s">
        <v>236</v>
      </c>
      <c r="J606" s="353" t="s">
        <v>236</v>
      </c>
      <c r="K606" s="355" t="s">
        <v>234</v>
      </c>
    </row>
    <row r="607" spans="1:11">
      <c r="A607" s="355">
        <v>7294</v>
      </c>
      <c r="B607" s="356" t="s">
        <v>776</v>
      </c>
      <c r="C607" s="351" t="s">
        <v>235</v>
      </c>
      <c r="D607" s="1385" t="s">
        <v>235</v>
      </c>
      <c r="E607" s="353" t="s">
        <v>235</v>
      </c>
      <c r="F607" s="353" t="s">
        <v>235</v>
      </c>
      <c r="G607" s="353" t="s">
        <v>235</v>
      </c>
      <c r="H607" s="353" t="s">
        <v>235</v>
      </c>
      <c r="I607" s="353" t="s">
        <v>235</v>
      </c>
      <c r="J607" s="353" t="s">
        <v>268</v>
      </c>
      <c r="K607" s="355" t="s">
        <v>255</v>
      </c>
    </row>
    <row r="608" spans="1:11">
      <c r="A608" s="355">
        <v>7295</v>
      </c>
      <c r="B608" s="356" t="s">
        <v>777</v>
      </c>
      <c r="C608" s="351" t="s">
        <v>236</v>
      </c>
      <c r="D608" s="1385" t="s">
        <v>236</v>
      </c>
      <c r="E608" s="353" t="s">
        <v>236</v>
      </c>
      <c r="F608" s="353" t="s">
        <v>236</v>
      </c>
      <c r="G608" s="353" t="s">
        <v>236</v>
      </c>
      <c r="H608" s="353" t="s">
        <v>236</v>
      </c>
      <c r="I608" s="353" t="s">
        <v>236</v>
      </c>
      <c r="J608" s="353" t="s">
        <v>236</v>
      </c>
      <c r="K608" s="355" t="s">
        <v>234</v>
      </c>
    </row>
    <row r="609" spans="1:11">
      <c r="A609" s="355">
        <v>7296</v>
      </c>
      <c r="B609" s="356" t="s">
        <v>778</v>
      </c>
      <c r="C609" s="351" t="s">
        <v>235</v>
      </c>
      <c r="D609" s="1385" t="s">
        <v>235</v>
      </c>
      <c r="E609" s="353" t="s">
        <v>235</v>
      </c>
      <c r="F609" s="353" t="s">
        <v>235</v>
      </c>
      <c r="G609" s="353" t="s">
        <v>235</v>
      </c>
      <c r="H609" s="353" t="s">
        <v>235</v>
      </c>
      <c r="I609" s="353" t="s">
        <v>235</v>
      </c>
      <c r="J609" s="353" t="s">
        <v>235</v>
      </c>
      <c r="K609" s="355" t="s">
        <v>235</v>
      </c>
    </row>
    <row r="610" spans="1:11">
      <c r="A610" s="350">
        <v>7297</v>
      </c>
      <c r="B610" s="351" t="s">
        <v>779</v>
      </c>
      <c r="C610" s="351" t="s">
        <v>256</v>
      </c>
      <c r="D610" s="1383" t="s">
        <v>268</v>
      </c>
      <c r="E610" s="352" t="s">
        <v>235</v>
      </c>
      <c r="F610" s="352" t="s">
        <v>235</v>
      </c>
      <c r="G610" s="352" t="s">
        <v>235</v>
      </c>
      <c r="H610" s="352" t="s">
        <v>235</v>
      </c>
      <c r="I610" s="352" t="s">
        <v>235</v>
      </c>
      <c r="J610" s="353" t="s">
        <v>268</v>
      </c>
      <c r="K610" s="354" t="s">
        <v>235</v>
      </c>
    </row>
    <row r="611" spans="1:11">
      <c r="A611" s="350">
        <v>7297</v>
      </c>
      <c r="B611" s="351" t="s">
        <v>780</v>
      </c>
      <c r="C611" s="351" t="s">
        <v>256</v>
      </c>
      <c r="D611" s="1383" t="s">
        <v>268</v>
      </c>
      <c r="E611" s="352" t="s">
        <v>235</v>
      </c>
      <c r="F611" s="352" t="s">
        <v>235</v>
      </c>
      <c r="G611" s="352" t="s">
        <v>235</v>
      </c>
      <c r="H611" s="352" t="s">
        <v>235</v>
      </c>
      <c r="I611" s="352" t="s">
        <v>235</v>
      </c>
      <c r="J611" s="353" t="s">
        <v>268</v>
      </c>
      <c r="K611" s="354" t="s">
        <v>257</v>
      </c>
    </row>
    <row r="612" spans="1:11">
      <c r="A612" s="355">
        <v>7298</v>
      </c>
      <c r="B612" s="356" t="s">
        <v>781</v>
      </c>
      <c r="C612" s="351" t="s">
        <v>235</v>
      </c>
      <c r="D612" s="1385" t="s">
        <v>235</v>
      </c>
      <c r="E612" s="353" t="s">
        <v>235</v>
      </c>
      <c r="F612" s="353" t="s">
        <v>235</v>
      </c>
      <c r="G612" s="353" t="s">
        <v>235</v>
      </c>
      <c r="H612" s="353" t="s">
        <v>235</v>
      </c>
      <c r="I612" s="353" t="s">
        <v>235</v>
      </c>
      <c r="J612" s="353" t="s">
        <v>268</v>
      </c>
      <c r="K612" s="355" t="s">
        <v>255</v>
      </c>
    </row>
    <row r="613" spans="1:11">
      <c r="A613" s="355">
        <v>7298</v>
      </c>
      <c r="B613" s="356" t="s">
        <v>782</v>
      </c>
      <c r="C613" s="351" t="s">
        <v>235</v>
      </c>
      <c r="D613" s="1385" t="s">
        <v>235</v>
      </c>
      <c r="E613" s="353" t="s">
        <v>235</v>
      </c>
      <c r="F613" s="353" t="s">
        <v>235</v>
      </c>
      <c r="G613" s="353" t="s">
        <v>235</v>
      </c>
      <c r="H613" s="353" t="s">
        <v>235</v>
      </c>
      <c r="I613" s="353" t="s">
        <v>235</v>
      </c>
      <c r="J613" s="353" t="s">
        <v>268</v>
      </c>
      <c r="K613" s="355" t="s">
        <v>255</v>
      </c>
    </row>
    <row r="614" spans="1:11">
      <c r="A614" s="355">
        <v>7299</v>
      </c>
      <c r="B614" s="356" t="s">
        <v>783</v>
      </c>
      <c r="C614" s="351" t="s">
        <v>234</v>
      </c>
      <c r="D614" s="1385" t="s">
        <v>234</v>
      </c>
      <c r="E614" s="353" t="s">
        <v>234</v>
      </c>
      <c r="F614" s="353" t="s">
        <v>234</v>
      </c>
      <c r="G614" s="353" t="s">
        <v>234</v>
      </c>
      <c r="H614" s="353" t="s">
        <v>234</v>
      </c>
      <c r="I614" s="353" t="s">
        <v>234</v>
      </c>
      <c r="J614" s="353" t="s">
        <v>268</v>
      </c>
      <c r="K614" s="355" t="s">
        <v>257</v>
      </c>
    </row>
    <row r="615" spans="1:11">
      <c r="A615" s="355">
        <v>7301</v>
      </c>
      <c r="B615" s="356" t="s">
        <v>784</v>
      </c>
      <c r="C615" s="351" t="s">
        <v>236</v>
      </c>
      <c r="D615" s="1385" t="s">
        <v>236</v>
      </c>
      <c r="E615" s="353" t="s">
        <v>236</v>
      </c>
      <c r="F615" s="353" t="s">
        <v>236</v>
      </c>
      <c r="G615" s="353" t="s">
        <v>236</v>
      </c>
      <c r="H615" s="353" t="s">
        <v>236</v>
      </c>
      <c r="I615" s="353" t="s">
        <v>236</v>
      </c>
      <c r="J615" s="353" t="s">
        <v>236</v>
      </c>
      <c r="K615" s="355" t="s">
        <v>235</v>
      </c>
    </row>
    <row r="616" spans="1:11">
      <c r="A616" s="355">
        <v>7311</v>
      </c>
      <c r="B616" s="356" t="s">
        <v>785</v>
      </c>
      <c r="C616" s="351" t="s">
        <v>234</v>
      </c>
      <c r="D616" s="1385" t="s">
        <v>234</v>
      </c>
      <c r="E616" s="353" t="s">
        <v>234</v>
      </c>
      <c r="F616" s="353" t="s">
        <v>234</v>
      </c>
      <c r="G616" s="353" t="s">
        <v>234</v>
      </c>
      <c r="H616" s="353" t="s">
        <v>234</v>
      </c>
      <c r="I616" s="353" t="s">
        <v>234</v>
      </c>
      <c r="J616" s="353" t="s">
        <v>234</v>
      </c>
      <c r="K616" s="355" t="s">
        <v>235</v>
      </c>
    </row>
    <row r="617" spans="1:11">
      <c r="A617" s="355">
        <v>7312</v>
      </c>
      <c r="B617" s="357" t="s">
        <v>786</v>
      </c>
      <c r="C617" s="351" t="s">
        <v>234</v>
      </c>
      <c r="D617" s="1385" t="s">
        <v>234</v>
      </c>
      <c r="E617" s="353" t="s">
        <v>234</v>
      </c>
      <c r="F617" s="353" t="s">
        <v>234</v>
      </c>
      <c r="G617" s="353" t="s">
        <v>234</v>
      </c>
      <c r="H617" s="353" t="s">
        <v>234</v>
      </c>
      <c r="I617" s="353" t="s">
        <v>234</v>
      </c>
      <c r="J617" s="353" t="s">
        <v>234</v>
      </c>
      <c r="K617" s="355" t="s">
        <v>236</v>
      </c>
    </row>
    <row r="618" spans="1:11">
      <c r="A618" s="355">
        <v>7313</v>
      </c>
      <c r="B618" s="356" t="s">
        <v>787</v>
      </c>
      <c r="C618" s="351" t="s">
        <v>234</v>
      </c>
      <c r="D618" s="1385" t="s">
        <v>234</v>
      </c>
      <c r="E618" s="353" t="s">
        <v>234</v>
      </c>
      <c r="F618" s="353" t="s">
        <v>234</v>
      </c>
      <c r="G618" s="353" t="s">
        <v>234</v>
      </c>
      <c r="H618" s="353" t="s">
        <v>234</v>
      </c>
      <c r="I618" s="353" t="s">
        <v>234</v>
      </c>
      <c r="J618" s="353" t="s">
        <v>234</v>
      </c>
      <c r="K618" s="355" t="s">
        <v>234</v>
      </c>
    </row>
    <row r="619" spans="1:11">
      <c r="A619" s="355">
        <v>7320</v>
      </c>
      <c r="B619" s="356" t="s">
        <v>788</v>
      </c>
      <c r="C619" s="351" t="s">
        <v>235</v>
      </c>
      <c r="D619" s="1385" t="s">
        <v>235</v>
      </c>
      <c r="E619" s="353" t="s">
        <v>235</v>
      </c>
      <c r="F619" s="353" t="s">
        <v>235</v>
      </c>
      <c r="G619" s="353" t="s">
        <v>235</v>
      </c>
      <c r="H619" s="353" t="s">
        <v>235</v>
      </c>
      <c r="I619" s="353" t="s">
        <v>235</v>
      </c>
      <c r="J619" s="353" t="s">
        <v>235</v>
      </c>
      <c r="K619" s="355" t="s">
        <v>257</v>
      </c>
    </row>
    <row r="620" spans="1:11">
      <c r="A620" s="355">
        <v>7321</v>
      </c>
      <c r="B620" s="356" t="s">
        <v>789</v>
      </c>
      <c r="C620" s="351" t="s">
        <v>235</v>
      </c>
      <c r="D620" s="1385" t="s">
        <v>235</v>
      </c>
      <c r="E620" s="353" t="s">
        <v>235</v>
      </c>
      <c r="F620" s="353" t="s">
        <v>235</v>
      </c>
      <c r="G620" s="353" t="s">
        <v>235</v>
      </c>
      <c r="H620" s="353" t="s">
        <v>235</v>
      </c>
      <c r="I620" s="353" t="s">
        <v>235</v>
      </c>
      <c r="J620" s="353" t="s">
        <v>235</v>
      </c>
      <c r="K620" s="355" t="s">
        <v>235</v>
      </c>
    </row>
    <row r="621" spans="1:11" ht="30">
      <c r="A621" s="355">
        <v>7391</v>
      </c>
      <c r="B621" s="356" t="s">
        <v>790</v>
      </c>
      <c r="C621" s="351" t="s">
        <v>236</v>
      </c>
      <c r="D621" s="1385" t="s">
        <v>236</v>
      </c>
      <c r="E621" s="353" t="s">
        <v>236</v>
      </c>
      <c r="F621" s="353" t="s">
        <v>236</v>
      </c>
      <c r="G621" s="353" t="s">
        <v>236</v>
      </c>
      <c r="H621" s="353" t="s">
        <v>236</v>
      </c>
      <c r="I621" s="353" t="s">
        <v>236</v>
      </c>
      <c r="J621" s="353" t="s">
        <v>268</v>
      </c>
      <c r="K621" s="355" t="s">
        <v>257</v>
      </c>
    </row>
    <row r="622" spans="1:11">
      <c r="A622" s="355">
        <v>7392</v>
      </c>
      <c r="B622" s="356" t="s">
        <v>791</v>
      </c>
      <c r="C622" s="351" t="s">
        <v>235</v>
      </c>
      <c r="D622" s="1385" t="s">
        <v>235</v>
      </c>
      <c r="E622" s="353" t="s">
        <v>235</v>
      </c>
      <c r="F622" s="353" t="s">
        <v>235</v>
      </c>
      <c r="G622" s="353" t="s">
        <v>235</v>
      </c>
      <c r="H622" s="353" t="s">
        <v>235</v>
      </c>
      <c r="I622" s="353" t="s">
        <v>235</v>
      </c>
      <c r="J622" s="353" t="s">
        <v>235</v>
      </c>
      <c r="K622" s="355" t="s">
        <v>236</v>
      </c>
    </row>
    <row r="623" spans="1:11">
      <c r="A623" s="355">
        <v>7393</v>
      </c>
      <c r="B623" s="356" t="s">
        <v>792</v>
      </c>
      <c r="C623" s="351" t="s">
        <v>234</v>
      </c>
      <c r="D623" s="1385" t="s">
        <v>234</v>
      </c>
      <c r="E623" s="353" t="s">
        <v>234</v>
      </c>
      <c r="F623" s="353" t="s">
        <v>234</v>
      </c>
      <c r="G623" s="353" t="s">
        <v>234</v>
      </c>
      <c r="H623" s="353" t="s">
        <v>234</v>
      </c>
      <c r="I623" s="353" t="s">
        <v>234</v>
      </c>
      <c r="J623" s="353" t="s">
        <v>234</v>
      </c>
      <c r="K623" s="355" t="s">
        <v>235</v>
      </c>
    </row>
    <row r="624" spans="1:11">
      <c r="A624" s="355">
        <v>7394</v>
      </c>
      <c r="B624" s="356" t="s">
        <v>793</v>
      </c>
      <c r="C624" s="351" t="s">
        <v>236</v>
      </c>
      <c r="D624" s="1385" t="s">
        <v>236</v>
      </c>
      <c r="E624" s="353" t="s">
        <v>236</v>
      </c>
      <c r="F624" s="353" t="s">
        <v>236</v>
      </c>
      <c r="G624" s="353" t="s">
        <v>236</v>
      </c>
      <c r="H624" s="353" t="s">
        <v>236</v>
      </c>
      <c r="I624" s="353" t="s">
        <v>236</v>
      </c>
      <c r="J624" s="353" t="s">
        <v>236</v>
      </c>
      <c r="K624" s="355" t="s">
        <v>235</v>
      </c>
    </row>
    <row r="625" spans="1:11" ht="30">
      <c r="A625" s="355">
        <v>7395</v>
      </c>
      <c r="B625" s="356" t="s">
        <v>794</v>
      </c>
      <c r="C625" s="351" t="s">
        <v>236</v>
      </c>
      <c r="D625" s="1385" t="s">
        <v>236</v>
      </c>
      <c r="E625" s="353" t="s">
        <v>236</v>
      </c>
      <c r="F625" s="353" t="s">
        <v>236</v>
      </c>
      <c r="G625" s="353" t="s">
        <v>236</v>
      </c>
      <c r="H625" s="353" t="s">
        <v>236</v>
      </c>
      <c r="I625" s="353" t="s">
        <v>236</v>
      </c>
      <c r="J625" s="353" t="s">
        <v>236</v>
      </c>
      <c r="K625" s="355" t="s">
        <v>235</v>
      </c>
    </row>
    <row r="626" spans="1:11" ht="30">
      <c r="A626" s="355">
        <v>7396</v>
      </c>
      <c r="B626" s="356" t="s">
        <v>55</v>
      </c>
      <c r="C626" s="351" t="s">
        <v>234</v>
      </c>
      <c r="D626" s="1385" t="s">
        <v>234</v>
      </c>
      <c r="E626" s="353" t="s">
        <v>234</v>
      </c>
      <c r="F626" s="353" t="s">
        <v>268</v>
      </c>
      <c r="G626" s="353" t="s">
        <v>234</v>
      </c>
      <c r="H626" s="353" t="s">
        <v>234</v>
      </c>
      <c r="I626" s="353" t="s">
        <v>234</v>
      </c>
      <c r="J626" s="353" t="s">
        <v>234</v>
      </c>
      <c r="K626" s="355" t="s">
        <v>255</v>
      </c>
    </row>
    <row r="627" spans="1:11">
      <c r="A627" s="355">
        <v>7400</v>
      </c>
      <c r="B627" s="356" t="s">
        <v>795</v>
      </c>
      <c r="C627" s="351" t="s">
        <v>235</v>
      </c>
      <c r="D627" s="1385" t="s">
        <v>235</v>
      </c>
      <c r="E627" s="353" t="s">
        <v>235</v>
      </c>
      <c r="F627" s="353" t="s">
        <v>235</v>
      </c>
      <c r="G627" s="353" t="s">
        <v>235</v>
      </c>
      <c r="H627" s="353" t="s">
        <v>235</v>
      </c>
      <c r="I627" s="353" t="s">
        <v>235</v>
      </c>
      <c r="J627" s="353" t="s">
        <v>235</v>
      </c>
      <c r="K627" s="355" t="s">
        <v>235</v>
      </c>
    </row>
    <row r="628" spans="1:11">
      <c r="A628" s="350">
        <v>7401</v>
      </c>
      <c r="B628" s="351" t="s">
        <v>796</v>
      </c>
      <c r="C628" s="351" t="s">
        <v>256</v>
      </c>
      <c r="D628" s="1383" t="s">
        <v>268</v>
      </c>
      <c r="E628" s="352" t="s">
        <v>236</v>
      </c>
      <c r="F628" s="352" t="s">
        <v>1188</v>
      </c>
      <c r="G628" s="352" t="s">
        <v>236</v>
      </c>
      <c r="H628" s="352" t="s">
        <v>236</v>
      </c>
      <c r="I628" s="352" t="s">
        <v>236</v>
      </c>
      <c r="J628" s="353" t="s">
        <v>256</v>
      </c>
      <c r="K628" s="354" t="s">
        <v>235</v>
      </c>
    </row>
    <row r="629" spans="1:11">
      <c r="A629" s="355">
        <v>7402</v>
      </c>
      <c r="B629" s="356" t="s">
        <v>797</v>
      </c>
      <c r="C629" s="351" t="s">
        <v>235</v>
      </c>
      <c r="D629" s="1385" t="s">
        <v>235</v>
      </c>
      <c r="E629" s="353" t="s">
        <v>235</v>
      </c>
      <c r="F629" s="353" t="s">
        <v>235</v>
      </c>
      <c r="G629" s="353" t="s">
        <v>235</v>
      </c>
      <c r="H629" s="353" t="s">
        <v>235</v>
      </c>
      <c r="I629" s="353" t="s">
        <v>235</v>
      </c>
      <c r="J629" s="353" t="s">
        <v>235</v>
      </c>
      <c r="K629" s="355" t="s">
        <v>235</v>
      </c>
    </row>
    <row r="630" spans="1:11">
      <c r="A630" s="355">
        <v>7403</v>
      </c>
      <c r="B630" s="356" t="s">
        <v>798</v>
      </c>
      <c r="C630" s="351" t="s">
        <v>234</v>
      </c>
      <c r="D630" s="1385" t="s">
        <v>234</v>
      </c>
      <c r="E630" s="353" t="s">
        <v>234</v>
      </c>
      <c r="F630" s="353" t="s">
        <v>268</v>
      </c>
      <c r="G630" s="353" t="s">
        <v>234</v>
      </c>
      <c r="H630" s="353" t="s">
        <v>234</v>
      </c>
      <c r="I630" s="353" t="s">
        <v>234</v>
      </c>
      <c r="J630" s="353" t="s">
        <v>268</v>
      </c>
      <c r="K630" s="355" t="s">
        <v>257</v>
      </c>
    </row>
    <row r="631" spans="1:11" ht="15.75">
      <c r="A631" s="355">
        <v>7404</v>
      </c>
      <c r="B631" s="356" t="s">
        <v>799</v>
      </c>
      <c r="C631" s="351" t="s">
        <v>236</v>
      </c>
      <c r="D631" s="1387" t="s">
        <v>268</v>
      </c>
      <c r="E631" s="353" t="s">
        <v>236</v>
      </c>
      <c r="F631" s="353" t="s">
        <v>236</v>
      </c>
      <c r="G631" s="353" t="s">
        <v>236</v>
      </c>
      <c r="H631" s="353" t="s">
        <v>236</v>
      </c>
      <c r="I631" s="353" t="s">
        <v>236</v>
      </c>
      <c r="J631" s="353" t="s">
        <v>236</v>
      </c>
      <c r="K631" s="355" t="s">
        <v>235</v>
      </c>
    </row>
    <row r="632" spans="1:11">
      <c r="A632" s="355">
        <v>7405</v>
      </c>
      <c r="B632" s="356" t="s">
        <v>800</v>
      </c>
      <c r="C632" s="351" t="s">
        <v>234</v>
      </c>
      <c r="D632" s="1385" t="s">
        <v>234</v>
      </c>
      <c r="E632" s="353" t="s">
        <v>234</v>
      </c>
      <c r="F632" s="353" t="s">
        <v>234</v>
      </c>
      <c r="G632" s="353" t="s">
        <v>234</v>
      </c>
      <c r="H632" s="353" t="s">
        <v>234</v>
      </c>
      <c r="I632" s="353" t="s">
        <v>234</v>
      </c>
      <c r="J632" s="353" t="s">
        <v>234</v>
      </c>
      <c r="K632" s="355" t="s">
        <v>234</v>
      </c>
    </row>
    <row r="633" spans="1:11">
      <c r="A633" s="355">
        <v>7406</v>
      </c>
      <c r="B633" s="356" t="s">
        <v>801</v>
      </c>
      <c r="C633" s="351" t="s">
        <v>235</v>
      </c>
      <c r="D633" s="1385" t="s">
        <v>235</v>
      </c>
      <c r="E633" s="353" t="s">
        <v>235</v>
      </c>
      <c r="F633" s="353" t="s">
        <v>235</v>
      </c>
      <c r="G633" s="353" t="s">
        <v>235</v>
      </c>
      <c r="H633" s="353" t="s">
        <v>235</v>
      </c>
      <c r="I633" s="353" t="s">
        <v>235</v>
      </c>
      <c r="J633" s="353" t="s">
        <v>235</v>
      </c>
      <c r="K633" s="355" t="s">
        <v>234</v>
      </c>
    </row>
    <row r="634" spans="1:11">
      <c r="A634" s="355">
        <v>7407</v>
      </c>
      <c r="B634" s="356" t="s">
        <v>802</v>
      </c>
      <c r="C634" s="351" t="s">
        <v>234</v>
      </c>
      <c r="D634" s="1385" t="s">
        <v>234</v>
      </c>
      <c r="E634" s="353" t="s">
        <v>234</v>
      </c>
      <c r="F634" s="353" t="s">
        <v>234</v>
      </c>
      <c r="G634" s="353" t="s">
        <v>234</v>
      </c>
      <c r="H634" s="353" t="s">
        <v>234</v>
      </c>
      <c r="I634" s="353" t="s">
        <v>234</v>
      </c>
      <c r="J634" s="353" t="s">
        <v>268</v>
      </c>
      <c r="K634" s="355" t="s">
        <v>257</v>
      </c>
    </row>
    <row r="635" spans="1:11">
      <c r="A635" s="355">
        <v>7408</v>
      </c>
      <c r="B635" s="356" t="s">
        <v>803</v>
      </c>
      <c r="C635" s="351" t="s">
        <v>234</v>
      </c>
      <c r="D635" s="1385" t="s">
        <v>234</v>
      </c>
      <c r="E635" s="353" t="s">
        <v>234</v>
      </c>
      <c r="F635" s="353" t="s">
        <v>1176</v>
      </c>
      <c r="G635" s="353" t="s">
        <v>234</v>
      </c>
      <c r="H635" s="353" t="s">
        <v>234</v>
      </c>
      <c r="I635" s="353" t="s">
        <v>234</v>
      </c>
      <c r="J635" s="353" t="s">
        <v>234</v>
      </c>
      <c r="K635" s="355" t="s">
        <v>235</v>
      </c>
    </row>
    <row r="636" spans="1:11">
      <c r="A636" s="355">
        <v>7409</v>
      </c>
      <c r="B636" s="356" t="s">
        <v>804</v>
      </c>
      <c r="C636" s="351" t="s">
        <v>235</v>
      </c>
      <c r="D636" s="1385" t="s">
        <v>235</v>
      </c>
      <c r="E636" s="353" t="s">
        <v>235</v>
      </c>
      <c r="F636" s="353" t="s">
        <v>235</v>
      </c>
      <c r="G636" s="353" t="s">
        <v>235</v>
      </c>
      <c r="H636" s="353" t="s">
        <v>235</v>
      </c>
      <c r="I636" s="353" t="s">
        <v>235</v>
      </c>
      <c r="J636" s="353" t="s">
        <v>235</v>
      </c>
      <c r="K636" s="355" t="s">
        <v>234</v>
      </c>
    </row>
    <row r="637" spans="1:11">
      <c r="A637" s="355">
        <v>7410</v>
      </c>
      <c r="B637" s="356" t="s">
        <v>805</v>
      </c>
      <c r="C637" s="351" t="s">
        <v>235</v>
      </c>
      <c r="D637" s="1385" t="s">
        <v>235</v>
      </c>
      <c r="E637" s="353" t="s">
        <v>235</v>
      </c>
      <c r="F637" s="353" t="s">
        <v>235</v>
      </c>
      <c r="G637" s="353" t="s">
        <v>235</v>
      </c>
      <c r="H637" s="353" t="s">
        <v>235</v>
      </c>
      <c r="I637" s="353" t="s">
        <v>235</v>
      </c>
      <c r="J637" s="353" t="s">
        <v>268</v>
      </c>
      <c r="K637" s="355" t="s">
        <v>235</v>
      </c>
    </row>
    <row r="638" spans="1:11" ht="30">
      <c r="A638" s="350">
        <v>7411</v>
      </c>
      <c r="B638" s="351" t="s">
        <v>53</v>
      </c>
      <c r="C638" s="351" t="s">
        <v>256</v>
      </c>
      <c r="D638" s="1383" t="s">
        <v>268</v>
      </c>
      <c r="E638" s="352" t="s">
        <v>1176</v>
      </c>
      <c r="F638" s="352" t="s">
        <v>1176</v>
      </c>
      <c r="G638" s="352" t="s">
        <v>1176</v>
      </c>
      <c r="H638" s="352" t="s">
        <v>1176</v>
      </c>
      <c r="I638" s="352" t="s">
        <v>1176</v>
      </c>
      <c r="J638" s="353" t="s">
        <v>268</v>
      </c>
      <c r="K638" s="354" t="s">
        <v>255</v>
      </c>
    </row>
    <row r="639" spans="1:11" ht="30">
      <c r="A639" s="350">
        <v>7412</v>
      </c>
      <c r="B639" s="351" t="s">
        <v>51</v>
      </c>
      <c r="C639" s="351" t="s">
        <v>256</v>
      </c>
      <c r="D639" s="1383" t="s">
        <v>268</v>
      </c>
      <c r="E639" s="352" t="s">
        <v>1176</v>
      </c>
      <c r="F639" s="352" t="s">
        <v>1176</v>
      </c>
      <c r="G639" s="352" t="s">
        <v>1176</v>
      </c>
      <c r="H639" s="352" t="s">
        <v>1176</v>
      </c>
      <c r="I639" s="352" t="s">
        <v>1176</v>
      </c>
      <c r="J639" s="353" t="s">
        <v>268</v>
      </c>
      <c r="K639" s="354" t="s">
        <v>255</v>
      </c>
    </row>
    <row r="640" spans="1:11">
      <c r="A640" s="355">
        <v>7413</v>
      </c>
      <c r="B640" s="356" t="s">
        <v>49</v>
      </c>
      <c r="C640" s="351" t="s">
        <v>237</v>
      </c>
      <c r="D640" s="1385" t="s">
        <v>237</v>
      </c>
      <c r="E640" s="353" t="s">
        <v>237</v>
      </c>
      <c r="F640" s="353" t="s">
        <v>1176</v>
      </c>
      <c r="G640" s="353" t="s">
        <v>237</v>
      </c>
      <c r="H640" s="353" t="s">
        <v>237</v>
      </c>
      <c r="I640" s="353" t="s">
        <v>237</v>
      </c>
      <c r="J640" s="353" t="s">
        <v>268</v>
      </c>
      <c r="K640" s="355" t="s">
        <v>255</v>
      </c>
    </row>
    <row r="641" spans="1:11">
      <c r="A641" s="350">
        <v>7414</v>
      </c>
      <c r="B641" s="351" t="s">
        <v>47</v>
      </c>
      <c r="C641" s="351" t="s">
        <v>256</v>
      </c>
      <c r="D641" s="1383" t="s">
        <v>268</v>
      </c>
      <c r="E641" s="352" t="s">
        <v>236</v>
      </c>
      <c r="F641" s="352" t="s">
        <v>1176</v>
      </c>
      <c r="G641" s="352" t="s">
        <v>236</v>
      </c>
      <c r="H641" s="352" t="s">
        <v>236</v>
      </c>
      <c r="I641" s="352" t="s">
        <v>236</v>
      </c>
      <c r="J641" s="353" t="s">
        <v>268</v>
      </c>
      <c r="K641" s="354" t="s">
        <v>255</v>
      </c>
    </row>
    <row r="642" spans="1:11" ht="30">
      <c r="A642" s="355">
        <v>7415</v>
      </c>
      <c r="B642" s="356" t="s">
        <v>44</v>
      </c>
      <c r="C642" s="351" t="s">
        <v>237</v>
      </c>
      <c r="D642" s="1385" t="s">
        <v>237</v>
      </c>
      <c r="E642" s="353" t="s">
        <v>237</v>
      </c>
      <c r="F642" s="353" t="s">
        <v>1176</v>
      </c>
      <c r="G642" s="353" t="s">
        <v>237</v>
      </c>
      <c r="H642" s="353" t="s">
        <v>237</v>
      </c>
      <c r="I642" s="353" t="s">
        <v>237</v>
      </c>
      <c r="J642" s="353" t="s">
        <v>237</v>
      </c>
      <c r="K642" s="355" t="s">
        <v>255</v>
      </c>
    </row>
    <row r="643" spans="1:11">
      <c r="A643" s="355">
        <v>7416</v>
      </c>
      <c r="B643" s="356" t="s">
        <v>806</v>
      </c>
      <c r="C643" s="351" t="s">
        <v>236</v>
      </c>
      <c r="D643" s="1385" t="s">
        <v>236</v>
      </c>
      <c r="E643" s="353" t="s">
        <v>236</v>
      </c>
      <c r="F643" s="353" t="s">
        <v>268</v>
      </c>
      <c r="G643" s="353" t="s">
        <v>236</v>
      </c>
      <c r="H643" s="353" t="s">
        <v>236</v>
      </c>
      <c r="I643" s="353" t="s">
        <v>236</v>
      </c>
      <c r="J643" s="353" t="s">
        <v>268</v>
      </c>
      <c r="K643" s="355" t="s">
        <v>255</v>
      </c>
    </row>
    <row r="644" spans="1:11">
      <c r="A644" s="355">
        <v>7416</v>
      </c>
      <c r="B644" s="356" t="s">
        <v>807</v>
      </c>
      <c r="C644" s="351" t="s">
        <v>236</v>
      </c>
      <c r="D644" s="1385" t="s">
        <v>236</v>
      </c>
      <c r="E644" s="353" t="s">
        <v>236</v>
      </c>
      <c r="F644" s="353" t="s">
        <v>1176</v>
      </c>
      <c r="G644" s="353" t="s">
        <v>236</v>
      </c>
      <c r="H644" s="353" t="s">
        <v>236</v>
      </c>
      <c r="I644" s="353" t="s">
        <v>236</v>
      </c>
      <c r="J644" s="353" t="s">
        <v>268</v>
      </c>
      <c r="K644" s="355" t="s">
        <v>255</v>
      </c>
    </row>
    <row r="645" spans="1:11">
      <c r="A645" s="355">
        <v>7417</v>
      </c>
      <c r="B645" s="356" t="s">
        <v>808</v>
      </c>
      <c r="C645" s="351" t="s">
        <v>236</v>
      </c>
      <c r="D645" s="1385" t="s">
        <v>236</v>
      </c>
      <c r="E645" s="353" t="s">
        <v>236</v>
      </c>
      <c r="F645" s="353" t="s">
        <v>236</v>
      </c>
      <c r="G645" s="353" t="s">
        <v>236</v>
      </c>
      <c r="H645" s="353" t="s">
        <v>236</v>
      </c>
      <c r="I645" s="353" t="s">
        <v>236</v>
      </c>
      <c r="J645" s="353" t="s">
        <v>236</v>
      </c>
      <c r="K645" s="355" t="s">
        <v>255</v>
      </c>
    </row>
    <row r="646" spans="1:11">
      <c r="A646" s="355">
        <v>7418</v>
      </c>
      <c r="B646" s="356" t="s">
        <v>809</v>
      </c>
      <c r="C646" s="351" t="s">
        <v>235</v>
      </c>
      <c r="D646" s="1385" t="s">
        <v>235</v>
      </c>
      <c r="E646" s="353" t="s">
        <v>235</v>
      </c>
      <c r="F646" s="353" t="s">
        <v>235</v>
      </c>
      <c r="G646" s="353" t="s">
        <v>235</v>
      </c>
      <c r="H646" s="353" t="s">
        <v>235</v>
      </c>
      <c r="I646" s="353" t="s">
        <v>235</v>
      </c>
      <c r="J646" s="353" t="s">
        <v>235</v>
      </c>
      <c r="K646" s="355" t="s">
        <v>235</v>
      </c>
    </row>
    <row r="647" spans="1:11">
      <c r="A647" s="355">
        <v>7541</v>
      </c>
      <c r="B647" s="356" t="s">
        <v>810</v>
      </c>
      <c r="C647" s="351" t="s">
        <v>237</v>
      </c>
      <c r="D647" s="1385" t="s">
        <v>235</v>
      </c>
      <c r="E647" s="353" t="s">
        <v>235</v>
      </c>
      <c r="F647" s="353" t="s">
        <v>235</v>
      </c>
      <c r="G647" s="353" t="s">
        <v>235</v>
      </c>
      <c r="H647" s="353" t="s">
        <v>235</v>
      </c>
      <c r="I647" s="353" t="s">
        <v>235</v>
      </c>
      <c r="J647" s="353" t="s">
        <v>268</v>
      </c>
      <c r="K647" s="355" t="s">
        <v>235</v>
      </c>
    </row>
    <row r="648" spans="1:11">
      <c r="A648" s="355">
        <v>7542</v>
      </c>
      <c r="B648" s="356" t="s">
        <v>811</v>
      </c>
      <c r="C648" s="351" t="s">
        <v>236</v>
      </c>
      <c r="D648" s="1385" t="s">
        <v>236</v>
      </c>
      <c r="E648" s="353" t="s">
        <v>236</v>
      </c>
      <c r="F648" s="353" t="s">
        <v>236</v>
      </c>
      <c r="G648" s="353" t="s">
        <v>236</v>
      </c>
      <c r="H648" s="353" t="s">
        <v>236</v>
      </c>
      <c r="I648" s="353" t="s">
        <v>236</v>
      </c>
      <c r="J648" s="353" t="s">
        <v>236</v>
      </c>
      <c r="K648" s="355" t="s">
        <v>235</v>
      </c>
    </row>
    <row r="649" spans="1:11" ht="15.75">
      <c r="A649" s="355">
        <v>7543</v>
      </c>
      <c r="B649" s="356" t="s">
        <v>812</v>
      </c>
      <c r="C649" s="351" t="s">
        <v>236</v>
      </c>
      <c r="D649" s="1387" t="s">
        <v>268</v>
      </c>
      <c r="E649" s="353" t="s">
        <v>236</v>
      </c>
      <c r="F649" s="353" t="s">
        <v>236</v>
      </c>
      <c r="G649" s="353" t="s">
        <v>236</v>
      </c>
      <c r="H649" s="353" t="s">
        <v>236</v>
      </c>
      <c r="I649" s="353" t="s">
        <v>236</v>
      </c>
      <c r="J649" s="353" t="s">
        <v>268</v>
      </c>
      <c r="K649" s="355" t="s">
        <v>235</v>
      </c>
    </row>
    <row r="650" spans="1:11">
      <c r="A650" s="355">
        <v>7544</v>
      </c>
      <c r="B650" s="356" t="s">
        <v>813</v>
      </c>
      <c r="C650" s="351" t="s">
        <v>236</v>
      </c>
      <c r="D650" s="1385" t="s">
        <v>236</v>
      </c>
      <c r="E650" s="353" t="s">
        <v>236</v>
      </c>
      <c r="F650" s="353" t="s">
        <v>236</v>
      </c>
      <c r="G650" s="353" t="s">
        <v>236</v>
      </c>
      <c r="H650" s="353" t="s">
        <v>236</v>
      </c>
      <c r="I650" s="353" t="s">
        <v>236</v>
      </c>
      <c r="J650" s="353" t="s">
        <v>236</v>
      </c>
      <c r="K650" s="355" t="s">
        <v>235</v>
      </c>
    </row>
    <row r="651" spans="1:11" ht="30">
      <c r="A651" s="355">
        <v>7691</v>
      </c>
      <c r="B651" s="356" t="s">
        <v>814</v>
      </c>
      <c r="C651" s="351" t="s">
        <v>236</v>
      </c>
      <c r="D651" s="1385" t="s">
        <v>236</v>
      </c>
      <c r="E651" s="353" t="s">
        <v>236</v>
      </c>
      <c r="F651" s="353" t="s">
        <v>236</v>
      </c>
      <c r="G651" s="353" t="s">
        <v>236</v>
      </c>
      <c r="H651" s="353" t="s">
        <v>236</v>
      </c>
      <c r="I651" s="353" t="s">
        <v>236</v>
      </c>
      <c r="J651" s="353" t="s">
        <v>236</v>
      </c>
      <c r="K651" s="355" t="s">
        <v>234</v>
      </c>
    </row>
    <row r="652" spans="1:11">
      <c r="A652" s="355">
        <v>7692</v>
      </c>
      <c r="B652" s="356" t="s">
        <v>815</v>
      </c>
      <c r="C652" s="351" t="s">
        <v>236</v>
      </c>
      <c r="D652" s="1385" t="s">
        <v>236</v>
      </c>
      <c r="E652" s="353" t="s">
        <v>236</v>
      </c>
      <c r="F652" s="353" t="s">
        <v>236</v>
      </c>
      <c r="G652" s="353" t="s">
        <v>236</v>
      </c>
      <c r="H652" s="353" t="s">
        <v>236</v>
      </c>
      <c r="I652" s="353" t="s">
        <v>236</v>
      </c>
      <c r="J652" s="353" t="s">
        <v>236</v>
      </c>
      <c r="K652" s="355" t="s">
        <v>234</v>
      </c>
    </row>
    <row r="653" spans="1:11" ht="30">
      <c r="A653" s="355">
        <v>7693</v>
      </c>
      <c r="B653" s="356" t="s">
        <v>816</v>
      </c>
      <c r="C653" s="351" t="s">
        <v>236</v>
      </c>
      <c r="D653" s="1385" t="s">
        <v>236</v>
      </c>
      <c r="E653" s="353" t="s">
        <v>236</v>
      </c>
      <c r="F653" s="353" t="s">
        <v>1176</v>
      </c>
      <c r="G653" s="353" t="s">
        <v>236</v>
      </c>
      <c r="H653" s="353" t="s">
        <v>236</v>
      </c>
      <c r="I653" s="353" t="s">
        <v>236</v>
      </c>
      <c r="J653" s="353" t="s">
        <v>268</v>
      </c>
      <c r="K653" s="355" t="s">
        <v>236</v>
      </c>
    </row>
    <row r="654" spans="1:11" ht="15.75">
      <c r="A654" s="355">
        <v>7694</v>
      </c>
      <c r="B654" s="356" t="s">
        <v>817</v>
      </c>
      <c r="C654" s="351" t="s">
        <v>237</v>
      </c>
      <c r="D654" s="1387" t="s">
        <v>268</v>
      </c>
      <c r="E654" s="353" t="s">
        <v>237</v>
      </c>
      <c r="F654" s="353" t="s">
        <v>237</v>
      </c>
      <c r="G654" s="353" t="s">
        <v>237</v>
      </c>
      <c r="H654" s="353" t="s">
        <v>1182</v>
      </c>
      <c r="I654" s="353" t="s">
        <v>237</v>
      </c>
      <c r="J654" s="353" t="s">
        <v>237</v>
      </c>
      <c r="K654" s="355" t="s">
        <v>235</v>
      </c>
    </row>
    <row r="655" spans="1:11" ht="30">
      <c r="A655" s="355">
        <v>7811</v>
      </c>
      <c r="B655" s="356" t="s">
        <v>818</v>
      </c>
      <c r="C655" s="351" t="s">
        <v>236</v>
      </c>
      <c r="D655" s="1385" t="s">
        <v>236</v>
      </c>
      <c r="E655" s="353" t="s">
        <v>236</v>
      </c>
      <c r="F655" s="353" t="s">
        <v>236</v>
      </c>
      <c r="G655" s="353" t="s">
        <v>236</v>
      </c>
      <c r="H655" s="353" t="s">
        <v>236</v>
      </c>
      <c r="I655" s="353" t="s">
        <v>236</v>
      </c>
      <c r="J655" s="353" t="s">
        <v>268</v>
      </c>
      <c r="K655" s="355" t="s">
        <v>255</v>
      </c>
    </row>
    <row r="656" spans="1:11">
      <c r="A656" s="355">
        <v>7812</v>
      </c>
      <c r="B656" s="356" t="s">
        <v>819</v>
      </c>
      <c r="C656" s="351" t="s">
        <v>236</v>
      </c>
      <c r="D656" s="1385" t="s">
        <v>236</v>
      </c>
      <c r="E656" s="353" t="s">
        <v>236</v>
      </c>
      <c r="F656" s="353" t="s">
        <v>236</v>
      </c>
      <c r="G656" s="353" t="s">
        <v>236</v>
      </c>
      <c r="H656" s="353" t="s">
        <v>236</v>
      </c>
      <c r="I656" s="353" t="s">
        <v>236</v>
      </c>
      <c r="J656" s="353" t="s">
        <v>268</v>
      </c>
      <c r="K656" s="355" t="s">
        <v>255</v>
      </c>
    </row>
    <row r="657" spans="1:11">
      <c r="A657" s="350">
        <v>7831</v>
      </c>
      <c r="B657" s="351" t="s">
        <v>820</v>
      </c>
      <c r="C657" s="351" t="s">
        <v>256</v>
      </c>
      <c r="D657" s="1383" t="s">
        <v>268</v>
      </c>
      <c r="E657" s="352" t="s">
        <v>236</v>
      </c>
      <c r="F657" s="352" t="s">
        <v>236</v>
      </c>
      <c r="G657" s="352" t="s">
        <v>236</v>
      </c>
      <c r="H657" s="352" t="s">
        <v>236</v>
      </c>
      <c r="I657" s="352" t="s">
        <v>236</v>
      </c>
      <c r="J657" s="353" t="s">
        <v>256</v>
      </c>
      <c r="K657" s="354" t="s">
        <v>235</v>
      </c>
    </row>
    <row r="658" spans="1:11" ht="30">
      <c r="A658" s="355">
        <v>7832</v>
      </c>
      <c r="B658" s="356" t="s">
        <v>821</v>
      </c>
      <c r="C658" s="351" t="s">
        <v>235</v>
      </c>
      <c r="D658" s="1384" t="s">
        <v>268</v>
      </c>
      <c r="E658" s="353" t="s">
        <v>235</v>
      </c>
      <c r="F658" s="353" t="s">
        <v>235</v>
      </c>
      <c r="G658" s="353" t="s">
        <v>235</v>
      </c>
      <c r="H658" s="353" t="s">
        <v>235</v>
      </c>
      <c r="I658" s="353" t="s">
        <v>235</v>
      </c>
      <c r="J658" s="353" t="s">
        <v>235</v>
      </c>
      <c r="K658" s="355" t="s">
        <v>255</v>
      </c>
    </row>
    <row r="659" spans="1:11">
      <c r="A659" s="355">
        <v>7840</v>
      </c>
      <c r="B659" s="356" t="s">
        <v>822</v>
      </c>
      <c r="C659" s="351" t="s">
        <v>236</v>
      </c>
      <c r="D659" s="1385" t="s">
        <v>236</v>
      </c>
      <c r="E659" s="353" t="s">
        <v>236</v>
      </c>
      <c r="F659" s="353" t="s">
        <v>236</v>
      </c>
      <c r="G659" s="353" t="s">
        <v>236</v>
      </c>
      <c r="H659" s="353" t="s">
        <v>236</v>
      </c>
      <c r="I659" s="353" t="s">
        <v>236</v>
      </c>
      <c r="J659" s="353" t="s">
        <v>236</v>
      </c>
      <c r="K659" s="355" t="s">
        <v>235</v>
      </c>
    </row>
    <row r="660" spans="1:11">
      <c r="A660" s="355">
        <v>7911</v>
      </c>
      <c r="B660" s="356" t="s">
        <v>823</v>
      </c>
      <c r="C660" s="351" t="s">
        <v>237</v>
      </c>
      <c r="D660" s="1385" t="s">
        <v>237</v>
      </c>
      <c r="E660" s="353" t="s">
        <v>237</v>
      </c>
      <c r="F660" s="353" t="s">
        <v>237</v>
      </c>
      <c r="G660" s="353" t="s">
        <v>237</v>
      </c>
      <c r="H660" s="353" t="s">
        <v>237</v>
      </c>
      <c r="I660" s="353" t="s">
        <v>237</v>
      </c>
      <c r="J660" s="353" t="s">
        <v>237</v>
      </c>
      <c r="K660" s="355" t="s">
        <v>235</v>
      </c>
    </row>
    <row r="661" spans="1:11">
      <c r="A661" s="355">
        <v>7912</v>
      </c>
      <c r="B661" s="356" t="s">
        <v>824</v>
      </c>
      <c r="C661" s="351" t="s">
        <v>236</v>
      </c>
      <c r="D661" s="1385" t="s">
        <v>237</v>
      </c>
      <c r="E661" s="353" t="s">
        <v>237</v>
      </c>
      <c r="F661" s="353" t="s">
        <v>237</v>
      </c>
      <c r="G661" s="353" t="s">
        <v>237</v>
      </c>
      <c r="H661" s="353" t="s">
        <v>237</v>
      </c>
      <c r="I661" s="353" t="s">
        <v>237</v>
      </c>
      <c r="J661" s="353" t="s">
        <v>236</v>
      </c>
      <c r="K661" s="355" t="s">
        <v>236</v>
      </c>
    </row>
    <row r="662" spans="1:11" ht="30">
      <c r="A662" s="350">
        <v>7913</v>
      </c>
      <c r="B662" s="351" t="s">
        <v>825</v>
      </c>
      <c r="C662" s="351" t="s">
        <v>268</v>
      </c>
      <c r="D662" s="1387" t="s">
        <v>268</v>
      </c>
      <c r="E662" s="352" t="s">
        <v>237</v>
      </c>
      <c r="F662" s="352" t="s">
        <v>237</v>
      </c>
      <c r="G662" s="352" t="s">
        <v>237</v>
      </c>
      <c r="H662" s="352" t="s">
        <v>237</v>
      </c>
      <c r="I662" s="352" t="s">
        <v>237</v>
      </c>
      <c r="J662" s="353" t="s">
        <v>268</v>
      </c>
      <c r="K662" s="354" t="s">
        <v>255</v>
      </c>
    </row>
    <row r="663" spans="1:11">
      <c r="A663" s="355">
        <v>7914</v>
      </c>
      <c r="B663" s="356" t="s">
        <v>826</v>
      </c>
      <c r="C663" s="351" t="s">
        <v>234</v>
      </c>
      <c r="D663" s="1385" t="s">
        <v>235</v>
      </c>
      <c r="E663" s="353" t="s">
        <v>235</v>
      </c>
      <c r="F663" s="353" t="s">
        <v>235</v>
      </c>
      <c r="G663" s="353" t="s">
        <v>235</v>
      </c>
      <c r="H663" s="353" t="s">
        <v>235</v>
      </c>
      <c r="I663" s="353" t="s">
        <v>235</v>
      </c>
      <c r="J663" s="353" t="s">
        <v>268</v>
      </c>
      <c r="K663" s="355" t="s">
        <v>255</v>
      </c>
    </row>
    <row r="664" spans="1:11">
      <c r="A664" s="355">
        <v>7915</v>
      </c>
      <c r="B664" s="356" t="s">
        <v>827</v>
      </c>
      <c r="C664" s="351" t="s">
        <v>234</v>
      </c>
      <c r="D664" s="1385" t="s">
        <v>234</v>
      </c>
      <c r="E664" s="353" t="s">
        <v>234</v>
      </c>
      <c r="F664" s="353" t="s">
        <v>234</v>
      </c>
      <c r="G664" s="353" t="s">
        <v>234</v>
      </c>
      <c r="H664" s="353" t="s">
        <v>234</v>
      </c>
      <c r="I664" s="353" t="s">
        <v>234</v>
      </c>
      <c r="J664" s="353" t="s">
        <v>268</v>
      </c>
      <c r="K664" s="355" t="s">
        <v>255</v>
      </c>
    </row>
    <row r="665" spans="1:11">
      <c r="A665" s="355">
        <v>7920</v>
      </c>
      <c r="B665" s="356" t="s">
        <v>828</v>
      </c>
      <c r="C665" s="351" t="s">
        <v>234</v>
      </c>
      <c r="D665" s="1385" t="s">
        <v>234</v>
      </c>
      <c r="E665" s="353" t="s">
        <v>234</v>
      </c>
      <c r="F665" s="353" t="s">
        <v>234</v>
      </c>
      <c r="G665" s="353" t="s">
        <v>234</v>
      </c>
      <c r="H665" s="353" t="s">
        <v>234</v>
      </c>
      <c r="I665" s="353" t="s">
        <v>234</v>
      </c>
      <c r="J665" s="353" t="s">
        <v>234</v>
      </c>
      <c r="K665" s="355" t="s">
        <v>235</v>
      </c>
    </row>
    <row r="666" spans="1:11">
      <c r="A666" s="355">
        <v>7921</v>
      </c>
      <c r="B666" s="356" t="s">
        <v>829</v>
      </c>
      <c r="C666" s="351" t="s">
        <v>237</v>
      </c>
      <c r="D666" s="1385" t="s">
        <v>237</v>
      </c>
      <c r="E666" s="353" t="s">
        <v>1176</v>
      </c>
      <c r="F666" s="353" t="s">
        <v>237</v>
      </c>
      <c r="G666" s="353" t="s">
        <v>237</v>
      </c>
      <c r="H666" s="353" t="s">
        <v>237</v>
      </c>
      <c r="I666" s="353" t="s">
        <v>237</v>
      </c>
      <c r="J666" s="353" t="s">
        <v>268</v>
      </c>
      <c r="K666" s="355" t="s">
        <v>255</v>
      </c>
    </row>
    <row r="667" spans="1:11">
      <c r="A667" s="350">
        <v>7922</v>
      </c>
      <c r="B667" s="351" t="s">
        <v>830</v>
      </c>
      <c r="C667" s="351" t="s">
        <v>268</v>
      </c>
      <c r="D667" s="1383" t="s">
        <v>268</v>
      </c>
      <c r="E667" s="352" t="s">
        <v>268</v>
      </c>
      <c r="F667" s="352" t="s">
        <v>268</v>
      </c>
      <c r="G667" s="352" t="s">
        <v>268</v>
      </c>
      <c r="H667" s="352" t="s">
        <v>268</v>
      </c>
      <c r="I667" s="352" t="s">
        <v>268</v>
      </c>
      <c r="J667" s="353" t="s">
        <v>268</v>
      </c>
      <c r="K667" s="354" t="s">
        <v>257</v>
      </c>
    </row>
    <row r="668" spans="1:11">
      <c r="A668" s="355">
        <v>7923</v>
      </c>
      <c r="B668" s="356" t="s">
        <v>831</v>
      </c>
      <c r="C668" s="351" t="s">
        <v>236</v>
      </c>
      <c r="D668" s="1385" t="s">
        <v>236</v>
      </c>
      <c r="E668" s="353" t="s">
        <v>236</v>
      </c>
      <c r="F668" s="353" t="s">
        <v>236</v>
      </c>
      <c r="G668" s="353" t="s">
        <v>236</v>
      </c>
      <c r="H668" s="353" t="s">
        <v>236</v>
      </c>
      <c r="I668" s="353" t="s">
        <v>236</v>
      </c>
      <c r="J668" s="353" t="s">
        <v>268</v>
      </c>
      <c r="K668" s="355" t="s">
        <v>257</v>
      </c>
    </row>
    <row r="669" spans="1:11">
      <c r="A669" s="355">
        <v>7924</v>
      </c>
      <c r="B669" s="356" t="s">
        <v>832</v>
      </c>
      <c r="C669" s="351" t="s">
        <v>235</v>
      </c>
      <c r="D669" s="1385" t="s">
        <v>235</v>
      </c>
      <c r="E669" s="353" t="s">
        <v>235</v>
      </c>
      <c r="F669" s="353" t="s">
        <v>235</v>
      </c>
      <c r="G669" s="353" t="s">
        <v>235</v>
      </c>
      <c r="H669" s="353" t="s">
        <v>235</v>
      </c>
      <c r="I669" s="353" t="s">
        <v>235</v>
      </c>
      <c r="J669" s="353" t="s">
        <v>268</v>
      </c>
      <c r="K669" s="355" t="s">
        <v>257</v>
      </c>
    </row>
    <row r="670" spans="1:11">
      <c r="A670" s="355">
        <v>7925</v>
      </c>
      <c r="B670" s="356" t="s">
        <v>833</v>
      </c>
      <c r="C670" s="351" t="s">
        <v>236</v>
      </c>
      <c r="D670" s="1385" t="s">
        <v>236</v>
      </c>
      <c r="E670" s="353" t="s">
        <v>236</v>
      </c>
      <c r="F670" s="353" t="s">
        <v>236</v>
      </c>
      <c r="G670" s="353" t="s">
        <v>236</v>
      </c>
      <c r="H670" s="353" t="s">
        <v>236</v>
      </c>
      <c r="I670" s="353" t="s">
        <v>236</v>
      </c>
      <c r="J670" s="353" t="s">
        <v>268</v>
      </c>
      <c r="K670" s="355" t="s">
        <v>257</v>
      </c>
    </row>
    <row r="671" spans="1:11">
      <c r="A671" s="355">
        <v>7926</v>
      </c>
      <c r="B671" s="356" t="s">
        <v>834</v>
      </c>
      <c r="C671" s="351" t="s">
        <v>236</v>
      </c>
      <c r="D671" s="1385" t="s">
        <v>236</v>
      </c>
      <c r="E671" s="353" t="s">
        <v>236</v>
      </c>
      <c r="F671" s="353" t="s">
        <v>236</v>
      </c>
      <c r="G671" s="353" t="s">
        <v>236</v>
      </c>
      <c r="H671" s="353" t="s">
        <v>236</v>
      </c>
      <c r="I671" s="353" t="s">
        <v>236</v>
      </c>
      <c r="J671" s="353" t="s">
        <v>236</v>
      </c>
      <c r="K671" s="355" t="s">
        <v>257</v>
      </c>
    </row>
    <row r="672" spans="1:11" ht="15.75">
      <c r="A672" s="355">
        <v>7927</v>
      </c>
      <c r="B672" s="356" t="s">
        <v>835</v>
      </c>
      <c r="C672" s="351" t="s">
        <v>236</v>
      </c>
      <c r="D672" s="1384" t="s">
        <v>268</v>
      </c>
      <c r="E672" s="353" t="s">
        <v>236</v>
      </c>
      <c r="F672" s="353" t="s">
        <v>236</v>
      </c>
      <c r="G672" s="353" t="s">
        <v>236</v>
      </c>
      <c r="H672" s="353" t="s">
        <v>236</v>
      </c>
      <c r="I672" s="353" t="s">
        <v>236</v>
      </c>
      <c r="J672" s="353" t="s">
        <v>236</v>
      </c>
      <c r="K672" s="355" t="s">
        <v>257</v>
      </c>
    </row>
    <row r="673" spans="1:11" ht="15.75">
      <c r="A673" s="355">
        <v>7928</v>
      </c>
      <c r="B673" s="356" t="s">
        <v>836</v>
      </c>
      <c r="C673" s="351" t="s">
        <v>236</v>
      </c>
      <c r="D673" s="1384" t="s">
        <v>268</v>
      </c>
      <c r="E673" s="353" t="s">
        <v>236</v>
      </c>
      <c r="F673" s="353" t="s">
        <v>236</v>
      </c>
      <c r="G673" s="353" t="s">
        <v>236</v>
      </c>
      <c r="H673" s="353" t="s">
        <v>236</v>
      </c>
      <c r="I673" s="353" t="s">
        <v>256</v>
      </c>
      <c r="J673" s="353" t="s">
        <v>268</v>
      </c>
      <c r="K673" s="355" t="s">
        <v>257</v>
      </c>
    </row>
    <row r="674" spans="1:11" ht="15.75">
      <c r="A674" s="355">
        <v>7929</v>
      </c>
      <c r="B674" s="356" t="s">
        <v>837</v>
      </c>
      <c r="C674" s="351" t="s">
        <v>237</v>
      </c>
      <c r="D674" s="1384" t="s">
        <v>268</v>
      </c>
      <c r="E674" s="353" t="s">
        <v>237</v>
      </c>
      <c r="F674" s="353" t="s">
        <v>237</v>
      </c>
      <c r="G674" s="353" t="s">
        <v>237</v>
      </c>
      <c r="H674" s="353" t="s">
        <v>237</v>
      </c>
      <c r="I674" s="353" t="s">
        <v>237</v>
      </c>
      <c r="J674" s="353" t="s">
        <v>237</v>
      </c>
      <c r="K674" s="355" t="s">
        <v>257</v>
      </c>
    </row>
    <row r="675" spans="1:11">
      <c r="A675" s="355">
        <v>7931</v>
      </c>
      <c r="B675" s="356" t="s">
        <v>838</v>
      </c>
      <c r="C675" s="351" t="s">
        <v>235</v>
      </c>
      <c r="D675" s="1385" t="s">
        <v>235</v>
      </c>
      <c r="E675" s="353" t="s">
        <v>235</v>
      </c>
      <c r="F675" s="353" t="s">
        <v>235</v>
      </c>
      <c r="G675" s="353" t="s">
        <v>235</v>
      </c>
      <c r="H675" s="353" t="s">
        <v>235</v>
      </c>
      <c r="I675" s="353" t="s">
        <v>235</v>
      </c>
      <c r="J675" s="353" t="s">
        <v>235</v>
      </c>
      <c r="K675" s="355" t="s">
        <v>236</v>
      </c>
    </row>
    <row r="676" spans="1:11">
      <c r="A676" s="355">
        <v>7932</v>
      </c>
      <c r="B676" s="356" t="s">
        <v>839</v>
      </c>
      <c r="C676" s="351" t="s">
        <v>235</v>
      </c>
      <c r="D676" s="1385" t="s">
        <v>235</v>
      </c>
      <c r="E676" s="353" t="s">
        <v>235</v>
      </c>
      <c r="F676" s="353" t="s">
        <v>268</v>
      </c>
      <c r="G676" s="353" t="s">
        <v>235</v>
      </c>
      <c r="H676" s="353" t="s">
        <v>235</v>
      </c>
      <c r="I676" s="353" t="s">
        <v>235</v>
      </c>
      <c r="J676" s="353" t="s">
        <v>235</v>
      </c>
      <c r="K676" s="355" t="s">
        <v>236</v>
      </c>
    </row>
    <row r="677" spans="1:11">
      <c r="A677" s="355">
        <v>7933</v>
      </c>
      <c r="B677" s="356" t="s">
        <v>840</v>
      </c>
      <c r="C677" s="351" t="s">
        <v>235</v>
      </c>
      <c r="D677" s="1385" t="s">
        <v>235</v>
      </c>
      <c r="E677" s="353" t="s">
        <v>235</v>
      </c>
      <c r="F677" s="353" t="s">
        <v>235</v>
      </c>
      <c r="G677" s="353" t="s">
        <v>235</v>
      </c>
      <c r="H677" s="353" t="s">
        <v>235</v>
      </c>
      <c r="I677" s="353" t="s">
        <v>235</v>
      </c>
      <c r="J677" s="353" t="s">
        <v>235</v>
      </c>
      <c r="K677" s="355" t="s">
        <v>236</v>
      </c>
    </row>
    <row r="678" spans="1:11">
      <c r="A678" s="350">
        <v>7934</v>
      </c>
      <c r="B678" s="351" t="s">
        <v>841</v>
      </c>
      <c r="C678" s="351" t="s">
        <v>268</v>
      </c>
      <c r="D678" s="1383" t="s">
        <v>268</v>
      </c>
      <c r="E678" s="352" t="s">
        <v>268</v>
      </c>
      <c r="F678" s="352" t="s">
        <v>1176</v>
      </c>
      <c r="G678" s="352" t="s">
        <v>268</v>
      </c>
      <c r="H678" s="352" t="s">
        <v>268</v>
      </c>
      <c r="I678" s="352" t="s">
        <v>1176</v>
      </c>
      <c r="J678" s="353" t="s">
        <v>268</v>
      </c>
      <c r="K678" s="354" t="s">
        <v>257</v>
      </c>
    </row>
    <row r="679" spans="1:11">
      <c r="A679" s="355">
        <v>7935</v>
      </c>
      <c r="B679" s="356" t="s">
        <v>842</v>
      </c>
      <c r="C679" s="351" t="s">
        <v>235</v>
      </c>
      <c r="D679" s="1385" t="s">
        <v>235</v>
      </c>
      <c r="E679" s="353" t="s">
        <v>235</v>
      </c>
      <c r="F679" s="353" t="s">
        <v>235</v>
      </c>
      <c r="G679" s="353" t="s">
        <v>235</v>
      </c>
      <c r="H679" s="353" t="s">
        <v>235</v>
      </c>
      <c r="I679" s="353" t="s">
        <v>235</v>
      </c>
      <c r="J679" s="353" t="s">
        <v>235</v>
      </c>
      <c r="K679" s="355" t="s">
        <v>257</v>
      </c>
    </row>
    <row r="680" spans="1:11">
      <c r="A680" s="355">
        <v>7936</v>
      </c>
      <c r="B680" s="356" t="s">
        <v>843</v>
      </c>
      <c r="C680" s="351" t="s">
        <v>237</v>
      </c>
      <c r="D680" s="1385" t="s">
        <v>237</v>
      </c>
      <c r="E680" s="353" t="s">
        <v>237</v>
      </c>
      <c r="F680" s="353" t="s">
        <v>237</v>
      </c>
      <c r="G680" s="353" t="s">
        <v>237</v>
      </c>
      <c r="H680" s="353" t="s">
        <v>237</v>
      </c>
      <c r="I680" s="353" t="s">
        <v>237</v>
      </c>
      <c r="J680" s="353" t="s">
        <v>237</v>
      </c>
      <c r="K680" s="355" t="s">
        <v>255</v>
      </c>
    </row>
    <row r="681" spans="1:11">
      <c r="A681" s="355">
        <v>7937</v>
      </c>
      <c r="B681" s="356" t="s">
        <v>844</v>
      </c>
      <c r="C681" s="351" t="s">
        <v>235</v>
      </c>
      <c r="D681" s="1385" t="s">
        <v>235</v>
      </c>
      <c r="E681" s="353" t="s">
        <v>235</v>
      </c>
      <c r="F681" s="353" t="s">
        <v>235</v>
      </c>
      <c r="G681" s="353" t="s">
        <v>235</v>
      </c>
      <c r="H681" s="353" t="s">
        <v>235</v>
      </c>
      <c r="I681" s="353" t="s">
        <v>235</v>
      </c>
      <c r="J681" s="353" t="s">
        <v>268</v>
      </c>
      <c r="K681" s="355" t="s">
        <v>255</v>
      </c>
    </row>
    <row r="682" spans="1:11" ht="15.75">
      <c r="A682" s="355">
        <v>7938</v>
      </c>
      <c r="B682" s="356" t="s">
        <v>845</v>
      </c>
      <c r="C682" s="351" t="s">
        <v>235</v>
      </c>
      <c r="D682" s="1384" t="s">
        <v>268</v>
      </c>
      <c r="E682" s="353" t="s">
        <v>235</v>
      </c>
      <c r="F682" s="353" t="s">
        <v>235</v>
      </c>
      <c r="G682" s="353" t="s">
        <v>235</v>
      </c>
      <c r="H682" s="353" t="s">
        <v>235</v>
      </c>
      <c r="I682" s="353" t="s">
        <v>235</v>
      </c>
      <c r="J682" s="353" t="s">
        <v>268</v>
      </c>
      <c r="K682" s="355" t="s">
        <v>257</v>
      </c>
    </row>
    <row r="683" spans="1:11">
      <c r="A683" s="355">
        <v>7939</v>
      </c>
      <c r="B683" s="356" t="s">
        <v>846</v>
      </c>
      <c r="C683" s="351" t="s">
        <v>237</v>
      </c>
      <c r="D683" s="1385" t="s">
        <v>237</v>
      </c>
      <c r="E683" s="353" t="s">
        <v>237</v>
      </c>
      <c r="F683" s="353" t="s">
        <v>237</v>
      </c>
      <c r="G683" s="353" t="s">
        <v>237</v>
      </c>
      <c r="H683" s="353" t="s">
        <v>237</v>
      </c>
      <c r="I683" s="353" t="s">
        <v>237</v>
      </c>
      <c r="J683" s="353" t="s">
        <v>237</v>
      </c>
      <c r="K683" s="355" t="s">
        <v>235</v>
      </c>
    </row>
    <row r="684" spans="1:11">
      <c r="A684" s="355">
        <v>7941</v>
      </c>
      <c r="B684" s="356" t="s">
        <v>847</v>
      </c>
      <c r="C684" s="351" t="s">
        <v>235</v>
      </c>
      <c r="D684" s="1385" t="s">
        <v>235</v>
      </c>
      <c r="E684" s="353" t="s">
        <v>235</v>
      </c>
      <c r="F684" s="353" t="s">
        <v>235</v>
      </c>
      <c r="G684" s="353" t="s">
        <v>235</v>
      </c>
      <c r="H684" s="353" t="s">
        <v>235</v>
      </c>
      <c r="I684" s="353" t="s">
        <v>235</v>
      </c>
      <c r="J684" s="353" t="s">
        <v>235</v>
      </c>
      <c r="K684" s="355" t="s">
        <v>235</v>
      </c>
    </row>
    <row r="685" spans="1:11">
      <c r="A685" s="355">
        <v>7942</v>
      </c>
      <c r="B685" s="356" t="s">
        <v>848</v>
      </c>
      <c r="C685" s="351" t="s">
        <v>235</v>
      </c>
      <c r="D685" s="1385" t="s">
        <v>235</v>
      </c>
      <c r="E685" s="353" t="s">
        <v>235</v>
      </c>
      <c r="F685" s="353" t="s">
        <v>235</v>
      </c>
      <c r="G685" s="353" t="s">
        <v>235</v>
      </c>
      <c r="H685" s="353" t="s">
        <v>235</v>
      </c>
      <c r="I685" s="353" t="s">
        <v>235</v>
      </c>
      <c r="J685" s="353" t="s">
        <v>235</v>
      </c>
      <c r="K685" s="355" t="s">
        <v>255</v>
      </c>
    </row>
    <row r="686" spans="1:11">
      <c r="A686" s="355">
        <v>7960</v>
      </c>
      <c r="B686" s="356" t="s">
        <v>849</v>
      </c>
      <c r="C686" s="351" t="s">
        <v>236</v>
      </c>
      <c r="D686" s="1385" t="s">
        <v>236</v>
      </c>
      <c r="E686" s="353" t="s">
        <v>236</v>
      </c>
      <c r="F686" s="353" t="s">
        <v>1189</v>
      </c>
      <c r="G686" s="353" t="s">
        <v>236</v>
      </c>
      <c r="H686" s="353" t="s">
        <v>236</v>
      </c>
      <c r="I686" s="353" t="s">
        <v>236</v>
      </c>
      <c r="J686" s="353" t="s">
        <v>268</v>
      </c>
      <c r="K686" s="355" t="s">
        <v>257</v>
      </c>
    </row>
    <row r="687" spans="1:11">
      <c r="A687" s="355">
        <v>7970</v>
      </c>
      <c r="B687" s="356" t="s">
        <v>850</v>
      </c>
      <c r="C687" s="351" t="s">
        <v>235</v>
      </c>
      <c r="D687" s="1385" t="s">
        <v>235</v>
      </c>
      <c r="E687" s="353" t="s">
        <v>235</v>
      </c>
      <c r="F687" s="353" t="s">
        <v>235</v>
      </c>
      <c r="G687" s="353" t="s">
        <v>235</v>
      </c>
      <c r="H687" s="353" t="s">
        <v>235</v>
      </c>
      <c r="I687" s="353" t="s">
        <v>235</v>
      </c>
      <c r="J687" s="353" t="s">
        <v>268</v>
      </c>
      <c r="K687" s="355" t="s">
        <v>234</v>
      </c>
    </row>
    <row r="688" spans="1:11">
      <c r="A688" s="355">
        <v>7980</v>
      </c>
      <c r="B688" s="356" t="s">
        <v>851</v>
      </c>
      <c r="C688" s="351" t="s">
        <v>236</v>
      </c>
      <c r="D688" s="1385" t="s">
        <v>236</v>
      </c>
      <c r="E688" s="353" t="s">
        <v>236</v>
      </c>
      <c r="F688" s="353" t="s">
        <v>236</v>
      </c>
      <c r="G688" s="353" t="s">
        <v>236</v>
      </c>
      <c r="H688" s="353" t="s">
        <v>236</v>
      </c>
      <c r="I688" s="353" t="s">
        <v>236</v>
      </c>
      <c r="J688" s="353" t="s">
        <v>236</v>
      </c>
      <c r="K688" s="355" t="s">
        <v>257</v>
      </c>
    </row>
    <row r="689" spans="1:11" ht="30">
      <c r="A689" s="350">
        <v>7981</v>
      </c>
      <c r="B689" s="351" t="s">
        <v>852</v>
      </c>
      <c r="C689" s="351" t="s">
        <v>268</v>
      </c>
      <c r="D689" s="1383" t="s">
        <v>268</v>
      </c>
      <c r="E689" s="352" t="s">
        <v>268</v>
      </c>
      <c r="F689" s="352" t="s">
        <v>268</v>
      </c>
      <c r="G689" s="352" t="s">
        <v>268</v>
      </c>
      <c r="H689" s="352" t="s">
        <v>268</v>
      </c>
      <c r="I689" s="352" t="s">
        <v>256</v>
      </c>
      <c r="J689" s="353" t="s">
        <v>268</v>
      </c>
      <c r="K689" s="354" t="s">
        <v>257</v>
      </c>
    </row>
    <row r="690" spans="1:11">
      <c r="A690" s="350">
        <v>7982</v>
      </c>
      <c r="B690" s="351" t="s">
        <v>853</v>
      </c>
      <c r="C690" s="351" t="s">
        <v>268</v>
      </c>
      <c r="D690" s="1383" t="s">
        <v>268</v>
      </c>
      <c r="E690" s="352" t="s">
        <v>268</v>
      </c>
      <c r="F690" s="352" t="s">
        <v>268</v>
      </c>
      <c r="G690" s="352" t="s">
        <v>268</v>
      </c>
      <c r="H690" s="352" t="s">
        <v>268</v>
      </c>
      <c r="I690" s="352" t="s">
        <v>268</v>
      </c>
      <c r="J690" s="353" t="s">
        <v>268</v>
      </c>
      <c r="K690" s="354" t="s">
        <v>257</v>
      </c>
    </row>
    <row r="691" spans="1:11">
      <c r="A691" s="355">
        <v>7983</v>
      </c>
      <c r="B691" s="356" t="s">
        <v>854</v>
      </c>
      <c r="C691" s="351" t="s">
        <v>235</v>
      </c>
      <c r="D691" s="1385" t="s">
        <v>235</v>
      </c>
      <c r="E691" s="353" t="s">
        <v>235</v>
      </c>
      <c r="F691" s="353" t="s">
        <v>235</v>
      </c>
      <c r="G691" s="353" t="s">
        <v>235</v>
      </c>
      <c r="H691" s="353" t="s">
        <v>235</v>
      </c>
      <c r="I691" s="353" t="s">
        <v>235</v>
      </c>
      <c r="J691" s="353" t="s">
        <v>235</v>
      </c>
      <c r="K691" s="355" t="s">
        <v>257</v>
      </c>
    </row>
    <row r="692" spans="1:11" ht="15.75">
      <c r="A692" s="355">
        <v>7984</v>
      </c>
      <c r="B692" s="356" t="s">
        <v>855</v>
      </c>
      <c r="C692" s="351" t="s">
        <v>235</v>
      </c>
      <c r="D692" s="1384" t="s">
        <v>268</v>
      </c>
      <c r="E692" s="353" t="s">
        <v>235</v>
      </c>
      <c r="F692" s="353" t="s">
        <v>235</v>
      </c>
      <c r="G692" s="353" t="s">
        <v>235</v>
      </c>
      <c r="H692" s="353" t="s">
        <v>235</v>
      </c>
      <c r="I692" s="353" t="s">
        <v>235</v>
      </c>
      <c r="J692" s="353" t="s">
        <v>268</v>
      </c>
      <c r="K692" s="355" t="s">
        <v>257</v>
      </c>
    </row>
    <row r="693" spans="1:11" ht="15.75">
      <c r="A693" s="355">
        <v>7985</v>
      </c>
      <c r="B693" s="356" t="s">
        <v>856</v>
      </c>
      <c r="C693" s="351" t="s">
        <v>236</v>
      </c>
      <c r="D693" s="1384" t="s">
        <v>268</v>
      </c>
      <c r="E693" s="353" t="s">
        <v>236</v>
      </c>
      <c r="F693" s="353" t="s">
        <v>236</v>
      </c>
      <c r="G693" s="353" t="s">
        <v>236</v>
      </c>
      <c r="H693" s="353" t="s">
        <v>236</v>
      </c>
      <c r="I693" s="353" t="s">
        <v>236</v>
      </c>
      <c r="J693" s="353" t="s">
        <v>236</v>
      </c>
      <c r="K693" s="355" t="s">
        <v>255</v>
      </c>
    </row>
    <row r="694" spans="1:11" ht="15.75">
      <c r="A694" s="355">
        <v>7986</v>
      </c>
      <c r="B694" s="356" t="s">
        <v>857</v>
      </c>
      <c r="C694" s="351" t="s">
        <v>237</v>
      </c>
      <c r="D694" s="1387" t="s">
        <v>268</v>
      </c>
      <c r="E694" s="353" t="s">
        <v>1176</v>
      </c>
      <c r="F694" s="353" t="s">
        <v>1176</v>
      </c>
      <c r="G694" s="353" t="s">
        <v>1176</v>
      </c>
      <c r="H694" s="353" t="s">
        <v>1176</v>
      </c>
      <c r="I694" s="353" t="s">
        <v>1176</v>
      </c>
      <c r="J694" s="353" t="s">
        <v>268</v>
      </c>
      <c r="K694" s="355" t="s">
        <v>257</v>
      </c>
    </row>
    <row r="695" spans="1:11">
      <c r="A695" s="350">
        <v>7987</v>
      </c>
      <c r="B695" s="351" t="s">
        <v>858</v>
      </c>
      <c r="C695" s="351" t="s">
        <v>256</v>
      </c>
      <c r="D695" s="1383" t="s">
        <v>268</v>
      </c>
      <c r="E695" s="352" t="s">
        <v>268</v>
      </c>
      <c r="F695" s="352" t="s">
        <v>268</v>
      </c>
      <c r="G695" s="352" t="s">
        <v>268</v>
      </c>
      <c r="H695" s="352" t="s">
        <v>268</v>
      </c>
      <c r="I695" s="352" t="s">
        <v>268</v>
      </c>
      <c r="J695" s="353" t="s">
        <v>256</v>
      </c>
      <c r="K695" s="354" t="s">
        <v>257</v>
      </c>
    </row>
    <row r="696" spans="1:11">
      <c r="A696" s="355">
        <v>7988</v>
      </c>
      <c r="B696" s="356" t="s">
        <v>859</v>
      </c>
      <c r="C696" s="351" t="s">
        <v>236</v>
      </c>
      <c r="D696" s="1385" t="s">
        <v>236</v>
      </c>
      <c r="E696" s="353" t="s">
        <v>236</v>
      </c>
      <c r="F696" s="353" t="s">
        <v>236</v>
      </c>
      <c r="G696" s="353" t="s">
        <v>236</v>
      </c>
      <c r="H696" s="353" t="s">
        <v>236</v>
      </c>
      <c r="I696" s="353" t="s">
        <v>236</v>
      </c>
      <c r="J696" s="353" t="s">
        <v>236</v>
      </c>
      <c r="K696" s="355" t="s">
        <v>257</v>
      </c>
    </row>
    <row r="697" spans="1:11">
      <c r="A697" s="350">
        <v>7989</v>
      </c>
      <c r="B697" s="351" t="s">
        <v>860</v>
      </c>
      <c r="C697" s="351" t="s">
        <v>268</v>
      </c>
      <c r="D697" s="1383" t="s">
        <v>268</v>
      </c>
      <c r="E697" s="352" t="s">
        <v>268</v>
      </c>
      <c r="F697" s="352" t="s">
        <v>268</v>
      </c>
      <c r="G697" s="352" t="s">
        <v>268</v>
      </c>
      <c r="H697" s="352" t="s">
        <v>268</v>
      </c>
      <c r="I697" s="352" t="s">
        <v>268</v>
      </c>
      <c r="J697" s="353" t="s">
        <v>268</v>
      </c>
      <c r="K697" s="354" t="s">
        <v>257</v>
      </c>
    </row>
    <row r="698" spans="1:11">
      <c r="A698" s="355">
        <v>7991</v>
      </c>
      <c r="B698" s="356" t="s">
        <v>861</v>
      </c>
      <c r="C698" s="351" t="s">
        <v>235</v>
      </c>
      <c r="D698" s="1385" t="s">
        <v>235</v>
      </c>
      <c r="E698" s="353" t="s">
        <v>235</v>
      </c>
      <c r="F698" s="353" t="s">
        <v>235</v>
      </c>
      <c r="G698" s="353" t="s">
        <v>235</v>
      </c>
      <c r="H698" s="353" t="s">
        <v>235</v>
      </c>
      <c r="I698" s="353" t="s">
        <v>235</v>
      </c>
      <c r="J698" s="353" t="s">
        <v>268</v>
      </c>
      <c r="K698" s="355" t="s">
        <v>236</v>
      </c>
    </row>
    <row r="699" spans="1:11">
      <c r="A699" s="355">
        <v>7992</v>
      </c>
      <c r="B699" s="356" t="s">
        <v>862</v>
      </c>
      <c r="C699" s="351" t="s">
        <v>235</v>
      </c>
      <c r="D699" s="1385" t="s">
        <v>235</v>
      </c>
      <c r="E699" s="353" t="s">
        <v>235</v>
      </c>
      <c r="F699" s="353" t="s">
        <v>235</v>
      </c>
      <c r="G699" s="353" t="s">
        <v>235</v>
      </c>
      <c r="H699" s="353" t="s">
        <v>235</v>
      </c>
      <c r="I699" s="353" t="s">
        <v>235</v>
      </c>
      <c r="J699" s="353" t="s">
        <v>235</v>
      </c>
      <c r="K699" s="355" t="s">
        <v>236</v>
      </c>
    </row>
    <row r="700" spans="1:11">
      <c r="A700" s="350">
        <v>7993</v>
      </c>
      <c r="B700" s="351" t="s">
        <v>863</v>
      </c>
      <c r="C700" s="351" t="s">
        <v>268</v>
      </c>
      <c r="D700" s="1383" t="s">
        <v>268</v>
      </c>
      <c r="E700" s="352" t="s">
        <v>268</v>
      </c>
      <c r="F700" s="352" t="s">
        <v>268</v>
      </c>
      <c r="G700" s="352" t="s">
        <v>268</v>
      </c>
      <c r="H700" s="352" t="s">
        <v>268</v>
      </c>
      <c r="I700" s="352" t="s">
        <v>268</v>
      </c>
      <c r="J700" s="353" t="s">
        <v>268</v>
      </c>
      <c r="K700" s="354" t="s">
        <v>255</v>
      </c>
    </row>
    <row r="701" spans="1:11">
      <c r="A701" s="355">
        <v>7994</v>
      </c>
      <c r="B701" s="356" t="s">
        <v>60</v>
      </c>
      <c r="C701" s="351" t="s">
        <v>236</v>
      </c>
      <c r="D701" s="1383" t="s">
        <v>235</v>
      </c>
      <c r="E701" s="353" t="s">
        <v>235</v>
      </c>
      <c r="F701" s="353" t="s">
        <v>235</v>
      </c>
      <c r="G701" s="353" t="s">
        <v>235</v>
      </c>
      <c r="H701" s="353" t="s">
        <v>235</v>
      </c>
      <c r="I701" s="353" t="s">
        <v>235</v>
      </c>
      <c r="J701" s="353" t="s">
        <v>268</v>
      </c>
      <c r="K701" s="355" t="s">
        <v>257</v>
      </c>
    </row>
    <row r="702" spans="1:11">
      <c r="A702" s="355">
        <v>7995</v>
      </c>
      <c r="B702" s="356" t="s">
        <v>864</v>
      </c>
      <c r="C702" s="351" t="s">
        <v>236</v>
      </c>
      <c r="D702" s="1385" t="s">
        <v>237</v>
      </c>
      <c r="E702" s="353" t="s">
        <v>237</v>
      </c>
      <c r="F702" s="353" t="s">
        <v>237</v>
      </c>
      <c r="G702" s="353" t="s">
        <v>237</v>
      </c>
      <c r="H702" s="353" t="s">
        <v>237</v>
      </c>
      <c r="I702" s="353" t="s">
        <v>237</v>
      </c>
      <c r="J702" s="353" t="s">
        <v>236</v>
      </c>
      <c r="K702" s="355" t="s">
        <v>255</v>
      </c>
    </row>
    <row r="703" spans="1:11">
      <c r="A703" s="355">
        <v>7996</v>
      </c>
      <c r="B703" s="356" t="s">
        <v>865</v>
      </c>
      <c r="C703" s="351" t="s">
        <v>236</v>
      </c>
      <c r="D703" s="1385" t="s">
        <v>236</v>
      </c>
      <c r="E703" s="353" t="s">
        <v>236</v>
      </c>
      <c r="F703" s="353" t="s">
        <v>236</v>
      </c>
      <c r="G703" s="353" t="s">
        <v>236</v>
      </c>
      <c r="H703" s="353" t="s">
        <v>236</v>
      </c>
      <c r="I703" s="353" t="s">
        <v>236</v>
      </c>
      <c r="J703" s="353" t="s">
        <v>268</v>
      </c>
      <c r="K703" s="355" t="s">
        <v>257</v>
      </c>
    </row>
    <row r="704" spans="1:11">
      <c r="A704" s="355">
        <v>7997</v>
      </c>
      <c r="B704" s="356" t="s">
        <v>866</v>
      </c>
      <c r="C704" s="351" t="s">
        <v>236</v>
      </c>
      <c r="D704" s="1385" t="s">
        <v>236</v>
      </c>
      <c r="E704" s="353" t="s">
        <v>236</v>
      </c>
      <c r="F704" s="353" t="s">
        <v>236</v>
      </c>
      <c r="G704" s="353" t="s">
        <v>236</v>
      </c>
      <c r="H704" s="353" t="s">
        <v>236</v>
      </c>
      <c r="I704" s="353" t="s">
        <v>236</v>
      </c>
      <c r="J704" s="353" t="s">
        <v>236</v>
      </c>
      <c r="K704" s="355" t="s">
        <v>257</v>
      </c>
    </row>
    <row r="705" spans="1:11">
      <c r="A705" s="355">
        <v>7998</v>
      </c>
      <c r="B705" s="356" t="s">
        <v>867</v>
      </c>
      <c r="C705" s="351" t="s">
        <v>236</v>
      </c>
      <c r="D705" s="1385" t="s">
        <v>236</v>
      </c>
      <c r="E705" s="353" t="s">
        <v>236</v>
      </c>
      <c r="F705" s="353" t="s">
        <v>236</v>
      </c>
      <c r="G705" s="353" t="s">
        <v>236</v>
      </c>
      <c r="H705" s="353" t="s">
        <v>236</v>
      </c>
      <c r="I705" s="353" t="s">
        <v>236</v>
      </c>
      <c r="J705" s="353" t="s">
        <v>268</v>
      </c>
      <c r="K705" s="355" t="s">
        <v>257</v>
      </c>
    </row>
    <row r="706" spans="1:11">
      <c r="A706" s="355">
        <v>7999</v>
      </c>
      <c r="B706" s="356" t="s">
        <v>868</v>
      </c>
      <c r="C706" s="351" t="s">
        <v>235</v>
      </c>
      <c r="D706" s="1385" t="s">
        <v>235</v>
      </c>
      <c r="E706" s="353" t="s">
        <v>235</v>
      </c>
      <c r="F706" s="353" t="s">
        <v>235</v>
      </c>
      <c r="G706" s="353" t="s">
        <v>235</v>
      </c>
      <c r="H706" s="353" t="s">
        <v>235</v>
      </c>
      <c r="I706" s="353" t="s">
        <v>235</v>
      </c>
      <c r="J706" s="353" t="s">
        <v>235</v>
      </c>
      <c r="K706" s="355" t="s">
        <v>255</v>
      </c>
    </row>
    <row r="707" spans="1:11">
      <c r="A707" s="355">
        <v>8010</v>
      </c>
      <c r="B707" s="356" t="s">
        <v>869</v>
      </c>
      <c r="C707" s="351" t="s">
        <v>235</v>
      </c>
      <c r="D707" s="1385" t="s">
        <v>235</v>
      </c>
      <c r="E707" s="353" t="s">
        <v>235</v>
      </c>
      <c r="F707" s="353" t="s">
        <v>235</v>
      </c>
      <c r="G707" s="353" t="s">
        <v>235</v>
      </c>
      <c r="H707" s="353" t="s">
        <v>235</v>
      </c>
      <c r="I707" s="353" t="s">
        <v>235</v>
      </c>
      <c r="J707" s="353" t="s">
        <v>235</v>
      </c>
      <c r="K707" s="355" t="s">
        <v>235</v>
      </c>
    </row>
    <row r="708" spans="1:11">
      <c r="A708" s="355">
        <v>8011</v>
      </c>
      <c r="B708" s="356" t="s">
        <v>870</v>
      </c>
      <c r="C708" s="351" t="s">
        <v>235</v>
      </c>
      <c r="D708" s="1385" t="s">
        <v>235</v>
      </c>
      <c r="E708" s="353" t="s">
        <v>235</v>
      </c>
      <c r="F708" s="353" t="s">
        <v>235</v>
      </c>
      <c r="G708" s="353" t="s">
        <v>235</v>
      </c>
      <c r="H708" s="353" t="s">
        <v>235</v>
      </c>
      <c r="I708" s="353" t="s">
        <v>235</v>
      </c>
      <c r="J708" s="353" t="s">
        <v>268</v>
      </c>
      <c r="K708" s="355" t="s">
        <v>234</v>
      </c>
    </row>
    <row r="709" spans="1:11">
      <c r="A709" s="355">
        <v>8012</v>
      </c>
      <c r="B709" s="356" t="s">
        <v>871</v>
      </c>
      <c r="C709" s="351" t="s">
        <v>235</v>
      </c>
      <c r="D709" s="1385" t="s">
        <v>235</v>
      </c>
      <c r="E709" s="353" t="s">
        <v>235</v>
      </c>
      <c r="F709" s="353" t="s">
        <v>235</v>
      </c>
      <c r="G709" s="353" t="s">
        <v>235</v>
      </c>
      <c r="H709" s="353" t="s">
        <v>235</v>
      </c>
      <c r="I709" s="353" t="s">
        <v>235</v>
      </c>
      <c r="J709" s="353" t="s">
        <v>235</v>
      </c>
      <c r="K709" s="355" t="s">
        <v>234</v>
      </c>
    </row>
    <row r="710" spans="1:11">
      <c r="A710" s="355">
        <v>8013</v>
      </c>
      <c r="B710" s="356" t="s">
        <v>872</v>
      </c>
      <c r="C710" s="351" t="s">
        <v>235</v>
      </c>
      <c r="D710" s="1385" t="s">
        <v>235</v>
      </c>
      <c r="E710" s="353" t="s">
        <v>235</v>
      </c>
      <c r="F710" s="353" t="s">
        <v>235</v>
      </c>
      <c r="G710" s="353" t="s">
        <v>235</v>
      </c>
      <c r="H710" s="353" t="s">
        <v>235</v>
      </c>
      <c r="I710" s="353" t="s">
        <v>235</v>
      </c>
      <c r="J710" s="353" t="s">
        <v>235</v>
      </c>
      <c r="K710" s="355" t="s">
        <v>255</v>
      </c>
    </row>
    <row r="711" spans="1:11">
      <c r="A711" s="355">
        <v>8014</v>
      </c>
      <c r="B711" s="356" t="s">
        <v>873</v>
      </c>
      <c r="C711" s="351" t="s">
        <v>235</v>
      </c>
      <c r="D711" s="1385" t="s">
        <v>235</v>
      </c>
      <c r="E711" s="353" t="s">
        <v>235</v>
      </c>
      <c r="F711" s="353" t="s">
        <v>235</v>
      </c>
      <c r="G711" s="353" t="s">
        <v>235</v>
      </c>
      <c r="H711" s="353" t="s">
        <v>235</v>
      </c>
      <c r="I711" s="353" t="s">
        <v>235</v>
      </c>
      <c r="J711" s="353" t="s">
        <v>235</v>
      </c>
      <c r="K711" s="355" t="s">
        <v>234</v>
      </c>
    </row>
    <row r="712" spans="1:11" ht="30">
      <c r="A712" s="355">
        <v>8015</v>
      </c>
      <c r="B712" s="356" t="s">
        <v>874</v>
      </c>
      <c r="C712" s="351" t="s">
        <v>235</v>
      </c>
      <c r="D712" s="1385" t="s">
        <v>235</v>
      </c>
      <c r="E712" s="353" t="s">
        <v>235</v>
      </c>
      <c r="F712" s="353" t="s">
        <v>235</v>
      </c>
      <c r="G712" s="353" t="s">
        <v>235</v>
      </c>
      <c r="H712" s="353" t="s">
        <v>235</v>
      </c>
      <c r="I712" s="353" t="s">
        <v>235</v>
      </c>
      <c r="J712" s="353" t="s">
        <v>235</v>
      </c>
      <c r="K712" s="355" t="s">
        <v>255</v>
      </c>
    </row>
    <row r="713" spans="1:11">
      <c r="A713" s="355">
        <v>8016</v>
      </c>
      <c r="B713" s="356" t="s">
        <v>875</v>
      </c>
      <c r="C713" s="351" t="s">
        <v>235</v>
      </c>
      <c r="D713" s="1385" t="s">
        <v>235</v>
      </c>
      <c r="E713" s="353" t="s">
        <v>235</v>
      </c>
      <c r="F713" s="353" t="s">
        <v>235</v>
      </c>
      <c r="G713" s="353" t="s">
        <v>235</v>
      </c>
      <c r="H713" s="353" t="s">
        <v>235</v>
      </c>
      <c r="I713" s="353" t="s">
        <v>235</v>
      </c>
      <c r="J713" s="353" t="s">
        <v>235</v>
      </c>
      <c r="K713" s="355" t="s">
        <v>234</v>
      </c>
    </row>
    <row r="714" spans="1:11">
      <c r="A714" s="355">
        <v>8017</v>
      </c>
      <c r="B714" s="356" t="s">
        <v>876</v>
      </c>
      <c r="C714" s="351" t="s">
        <v>235</v>
      </c>
      <c r="D714" s="1385" t="s">
        <v>235</v>
      </c>
      <c r="E714" s="353" t="s">
        <v>235</v>
      </c>
      <c r="F714" s="353" t="s">
        <v>235</v>
      </c>
      <c r="G714" s="353" t="s">
        <v>235</v>
      </c>
      <c r="H714" s="353" t="s">
        <v>235</v>
      </c>
      <c r="I714" s="353" t="s">
        <v>235</v>
      </c>
      <c r="J714" s="353" t="s">
        <v>235</v>
      </c>
      <c r="K714" s="355" t="s">
        <v>257</v>
      </c>
    </row>
    <row r="715" spans="1:11">
      <c r="A715" s="355">
        <v>8018</v>
      </c>
      <c r="B715" s="356" t="s">
        <v>877</v>
      </c>
      <c r="C715" s="351" t="s">
        <v>235</v>
      </c>
      <c r="D715" s="1385" t="s">
        <v>235</v>
      </c>
      <c r="E715" s="353" t="s">
        <v>235</v>
      </c>
      <c r="F715" s="353" t="s">
        <v>235</v>
      </c>
      <c r="G715" s="353" t="s">
        <v>235</v>
      </c>
      <c r="H715" s="353" t="s">
        <v>235</v>
      </c>
      <c r="I715" s="353" t="s">
        <v>235</v>
      </c>
      <c r="J715" s="353" t="s">
        <v>235</v>
      </c>
      <c r="K715" s="355" t="s">
        <v>234</v>
      </c>
    </row>
    <row r="716" spans="1:11">
      <c r="A716" s="355">
        <v>8019</v>
      </c>
      <c r="B716" s="356" t="s">
        <v>878</v>
      </c>
      <c r="C716" s="351" t="s">
        <v>235</v>
      </c>
      <c r="D716" s="1385" t="s">
        <v>235</v>
      </c>
      <c r="E716" s="353" t="s">
        <v>235</v>
      </c>
      <c r="F716" s="353" t="s">
        <v>235</v>
      </c>
      <c r="G716" s="353" t="s">
        <v>235</v>
      </c>
      <c r="H716" s="353" t="s">
        <v>235</v>
      </c>
      <c r="I716" s="353" t="s">
        <v>235</v>
      </c>
      <c r="J716" s="353" t="s">
        <v>235</v>
      </c>
      <c r="K716" s="355" t="s">
        <v>235</v>
      </c>
    </row>
    <row r="717" spans="1:11">
      <c r="A717" s="355">
        <v>8021</v>
      </c>
      <c r="B717" s="356" t="s">
        <v>879</v>
      </c>
      <c r="C717" s="351" t="s">
        <v>235</v>
      </c>
      <c r="D717" s="1385" t="s">
        <v>235</v>
      </c>
      <c r="E717" s="353" t="s">
        <v>235</v>
      </c>
      <c r="F717" s="353" t="s">
        <v>235</v>
      </c>
      <c r="G717" s="353" t="s">
        <v>235</v>
      </c>
      <c r="H717" s="353" t="s">
        <v>235</v>
      </c>
      <c r="I717" s="353" t="s">
        <v>235</v>
      </c>
      <c r="J717" s="353" t="s">
        <v>235</v>
      </c>
      <c r="K717" s="355" t="s">
        <v>255</v>
      </c>
    </row>
    <row r="718" spans="1:11">
      <c r="A718" s="355">
        <v>8022</v>
      </c>
      <c r="B718" s="356" t="s">
        <v>880</v>
      </c>
      <c r="C718" s="351" t="s">
        <v>235</v>
      </c>
      <c r="D718" s="1385" t="s">
        <v>235</v>
      </c>
      <c r="E718" s="353" t="s">
        <v>235</v>
      </c>
      <c r="F718" s="353" t="s">
        <v>235</v>
      </c>
      <c r="G718" s="353" t="s">
        <v>235</v>
      </c>
      <c r="H718" s="353" t="s">
        <v>235</v>
      </c>
      <c r="I718" s="353" t="s">
        <v>235</v>
      </c>
      <c r="J718" s="353" t="s">
        <v>235</v>
      </c>
      <c r="K718" s="355" t="s">
        <v>255</v>
      </c>
    </row>
    <row r="719" spans="1:11">
      <c r="A719" s="355">
        <v>8023</v>
      </c>
      <c r="B719" s="356" t="s">
        <v>881</v>
      </c>
      <c r="C719" s="351" t="s">
        <v>235</v>
      </c>
      <c r="D719" s="1385" t="s">
        <v>235</v>
      </c>
      <c r="E719" s="353" t="s">
        <v>235</v>
      </c>
      <c r="F719" s="353" t="s">
        <v>235</v>
      </c>
      <c r="G719" s="353" t="s">
        <v>235</v>
      </c>
      <c r="H719" s="353" t="s">
        <v>235</v>
      </c>
      <c r="I719" s="353" t="s">
        <v>235</v>
      </c>
      <c r="J719" s="353" t="s">
        <v>235</v>
      </c>
      <c r="K719" s="355" t="s">
        <v>255</v>
      </c>
    </row>
    <row r="720" spans="1:11">
      <c r="A720" s="355">
        <v>8024</v>
      </c>
      <c r="B720" s="356" t="s">
        <v>882</v>
      </c>
      <c r="C720" s="351" t="s">
        <v>235</v>
      </c>
      <c r="D720" s="1385" t="s">
        <v>235</v>
      </c>
      <c r="E720" s="353" t="s">
        <v>235</v>
      </c>
      <c r="F720" s="353" t="s">
        <v>235</v>
      </c>
      <c r="G720" s="353" t="s">
        <v>235</v>
      </c>
      <c r="H720" s="353" t="s">
        <v>235</v>
      </c>
      <c r="I720" s="353" t="s">
        <v>235</v>
      </c>
      <c r="J720" s="353" t="s">
        <v>235</v>
      </c>
      <c r="K720" s="355" t="s">
        <v>255</v>
      </c>
    </row>
    <row r="721" spans="1:11">
      <c r="A721" s="355">
        <v>8025</v>
      </c>
      <c r="B721" s="356" t="s">
        <v>883</v>
      </c>
      <c r="C721" s="351" t="s">
        <v>235</v>
      </c>
      <c r="D721" s="1385" t="s">
        <v>235</v>
      </c>
      <c r="E721" s="353" t="s">
        <v>235</v>
      </c>
      <c r="F721" s="353" t="s">
        <v>235</v>
      </c>
      <c r="G721" s="353" t="s">
        <v>235</v>
      </c>
      <c r="H721" s="353" t="s">
        <v>235</v>
      </c>
      <c r="I721" s="353" t="s">
        <v>235</v>
      </c>
      <c r="J721" s="353" t="s">
        <v>235</v>
      </c>
      <c r="K721" s="355" t="s">
        <v>255</v>
      </c>
    </row>
    <row r="722" spans="1:11">
      <c r="A722" s="355">
        <v>8026</v>
      </c>
      <c r="B722" s="356" t="s">
        <v>884</v>
      </c>
      <c r="C722" s="351" t="s">
        <v>235</v>
      </c>
      <c r="D722" s="1385" t="s">
        <v>235</v>
      </c>
      <c r="E722" s="353" t="s">
        <v>235</v>
      </c>
      <c r="F722" s="353" t="s">
        <v>235</v>
      </c>
      <c r="G722" s="353" t="s">
        <v>235</v>
      </c>
      <c r="H722" s="353" t="s">
        <v>235</v>
      </c>
      <c r="I722" s="353" t="s">
        <v>235</v>
      </c>
      <c r="J722" s="353" t="s">
        <v>235</v>
      </c>
      <c r="K722" s="355" t="s">
        <v>255</v>
      </c>
    </row>
    <row r="723" spans="1:11">
      <c r="A723" s="355">
        <v>8027</v>
      </c>
      <c r="B723" s="356" t="s">
        <v>885</v>
      </c>
      <c r="C723" s="351" t="s">
        <v>235</v>
      </c>
      <c r="D723" s="1385" t="s">
        <v>235</v>
      </c>
      <c r="E723" s="353" t="s">
        <v>235</v>
      </c>
      <c r="F723" s="353" t="s">
        <v>235</v>
      </c>
      <c r="G723" s="353" t="s">
        <v>235</v>
      </c>
      <c r="H723" s="353" t="s">
        <v>235</v>
      </c>
      <c r="I723" s="353" t="s">
        <v>235</v>
      </c>
      <c r="J723" s="353" t="s">
        <v>235</v>
      </c>
      <c r="K723" s="355" t="s">
        <v>235</v>
      </c>
    </row>
    <row r="724" spans="1:11">
      <c r="A724" s="355">
        <v>8028</v>
      </c>
      <c r="B724" s="356" t="s">
        <v>886</v>
      </c>
      <c r="C724" s="351" t="s">
        <v>235</v>
      </c>
      <c r="D724" s="1385" t="s">
        <v>235</v>
      </c>
      <c r="E724" s="353" t="s">
        <v>235</v>
      </c>
      <c r="F724" s="353" t="s">
        <v>235</v>
      </c>
      <c r="G724" s="353" t="s">
        <v>235</v>
      </c>
      <c r="H724" s="353" t="s">
        <v>235</v>
      </c>
      <c r="I724" s="353" t="s">
        <v>235</v>
      </c>
      <c r="J724" s="353" t="s">
        <v>235</v>
      </c>
      <c r="K724" s="355" t="s">
        <v>257</v>
      </c>
    </row>
    <row r="725" spans="1:11">
      <c r="A725" s="350">
        <v>8029</v>
      </c>
      <c r="B725" s="351" t="s">
        <v>887</v>
      </c>
      <c r="C725" s="351" t="s">
        <v>256</v>
      </c>
      <c r="D725" s="1383" t="s">
        <v>268</v>
      </c>
      <c r="E725" s="352" t="s">
        <v>236</v>
      </c>
      <c r="F725" s="352" t="s">
        <v>1190</v>
      </c>
      <c r="G725" s="352" t="s">
        <v>236</v>
      </c>
      <c r="H725" s="352" t="s">
        <v>236</v>
      </c>
      <c r="I725" s="352" t="s">
        <v>236</v>
      </c>
      <c r="J725" s="353" t="s">
        <v>268</v>
      </c>
      <c r="K725" s="354" t="s">
        <v>255</v>
      </c>
    </row>
    <row r="726" spans="1:11">
      <c r="A726" s="355">
        <v>8061</v>
      </c>
      <c r="B726" s="356" t="s">
        <v>888</v>
      </c>
      <c r="C726" s="351" t="s">
        <v>234</v>
      </c>
      <c r="D726" s="1385" t="s">
        <v>234</v>
      </c>
      <c r="E726" s="353" t="s">
        <v>234</v>
      </c>
      <c r="F726" s="353" t="s">
        <v>234</v>
      </c>
      <c r="G726" s="353" t="s">
        <v>234</v>
      </c>
      <c r="H726" s="353" t="s">
        <v>234</v>
      </c>
      <c r="I726" s="353" t="s">
        <v>234</v>
      </c>
      <c r="J726" s="353" t="s">
        <v>268</v>
      </c>
      <c r="K726" s="355" t="s">
        <v>257</v>
      </c>
    </row>
    <row r="727" spans="1:11">
      <c r="A727" s="355">
        <v>8062</v>
      </c>
      <c r="B727" s="356" t="s">
        <v>889</v>
      </c>
      <c r="C727" s="351" t="s">
        <v>235</v>
      </c>
      <c r="D727" s="1385" t="s">
        <v>235</v>
      </c>
      <c r="E727" s="353" t="s">
        <v>235</v>
      </c>
      <c r="F727" s="353" t="s">
        <v>235</v>
      </c>
      <c r="G727" s="353" t="s">
        <v>235</v>
      </c>
      <c r="H727" s="353" t="s">
        <v>235</v>
      </c>
      <c r="I727" s="353" t="s">
        <v>235</v>
      </c>
      <c r="J727" s="353" t="s">
        <v>235</v>
      </c>
      <c r="K727" s="355" t="s">
        <v>255</v>
      </c>
    </row>
    <row r="728" spans="1:11" ht="30">
      <c r="A728" s="355">
        <v>8063</v>
      </c>
      <c r="B728" s="356" t="s">
        <v>890</v>
      </c>
      <c r="C728" s="351" t="s">
        <v>235</v>
      </c>
      <c r="D728" s="1385" t="s">
        <v>235</v>
      </c>
      <c r="E728" s="353" t="s">
        <v>235</v>
      </c>
      <c r="F728" s="353" t="s">
        <v>235</v>
      </c>
      <c r="G728" s="353" t="s">
        <v>235</v>
      </c>
      <c r="H728" s="353" t="s">
        <v>235</v>
      </c>
      <c r="I728" s="353" t="s">
        <v>235</v>
      </c>
      <c r="J728" s="353" t="s">
        <v>268</v>
      </c>
      <c r="K728" s="355" t="s">
        <v>257</v>
      </c>
    </row>
    <row r="729" spans="1:11">
      <c r="A729" s="355">
        <v>8064</v>
      </c>
      <c r="B729" s="356" t="s">
        <v>891</v>
      </c>
      <c r="C729" s="351" t="s">
        <v>235</v>
      </c>
      <c r="D729" s="1385" t="s">
        <v>235</v>
      </c>
      <c r="E729" s="353" t="s">
        <v>235</v>
      </c>
      <c r="F729" s="353" t="s">
        <v>235</v>
      </c>
      <c r="G729" s="353" t="s">
        <v>235</v>
      </c>
      <c r="H729" s="353" t="s">
        <v>1182</v>
      </c>
      <c r="I729" s="353" t="s">
        <v>235</v>
      </c>
      <c r="J729" s="353" t="s">
        <v>268</v>
      </c>
      <c r="K729" s="355" t="s">
        <v>257</v>
      </c>
    </row>
    <row r="730" spans="1:11">
      <c r="A730" s="355">
        <v>8065</v>
      </c>
      <c r="B730" s="356" t="s">
        <v>892</v>
      </c>
      <c r="C730" s="351" t="s">
        <v>236</v>
      </c>
      <c r="D730" s="1385" t="s">
        <v>236</v>
      </c>
      <c r="E730" s="353" t="s">
        <v>236</v>
      </c>
      <c r="F730" s="353" t="s">
        <v>236</v>
      </c>
      <c r="G730" s="353" t="s">
        <v>236</v>
      </c>
      <c r="H730" s="353" t="s">
        <v>236</v>
      </c>
      <c r="I730" s="353" t="s">
        <v>236</v>
      </c>
      <c r="J730" s="353" t="s">
        <v>268</v>
      </c>
      <c r="K730" s="355" t="s">
        <v>234</v>
      </c>
    </row>
    <row r="731" spans="1:11">
      <c r="A731" s="350">
        <v>8066</v>
      </c>
      <c r="B731" s="351" t="s">
        <v>893</v>
      </c>
      <c r="C731" s="351" t="s">
        <v>1176</v>
      </c>
      <c r="D731" s="1383" t="s">
        <v>268</v>
      </c>
      <c r="E731" s="352" t="s">
        <v>1176</v>
      </c>
      <c r="F731" s="352" t="s">
        <v>1176</v>
      </c>
      <c r="G731" s="352" t="s">
        <v>1176</v>
      </c>
      <c r="H731" s="352" t="s">
        <v>1182</v>
      </c>
      <c r="I731" s="352" t="s">
        <v>268</v>
      </c>
      <c r="J731" s="353" t="s">
        <v>268</v>
      </c>
      <c r="K731" s="354" t="s">
        <v>257</v>
      </c>
    </row>
    <row r="732" spans="1:11">
      <c r="A732" s="355">
        <v>8072</v>
      </c>
      <c r="B732" s="356" t="s">
        <v>894</v>
      </c>
      <c r="C732" s="351" t="s">
        <v>236</v>
      </c>
      <c r="D732" s="1385" t="s">
        <v>236</v>
      </c>
      <c r="E732" s="353" t="s">
        <v>236</v>
      </c>
      <c r="F732" s="353" t="s">
        <v>268</v>
      </c>
      <c r="G732" s="353" t="s">
        <v>236</v>
      </c>
      <c r="H732" s="353" t="s">
        <v>236</v>
      </c>
      <c r="I732" s="353" t="s">
        <v>236</v>
      </c>
      <c r="J732" s="353" t="s">
        <v>268</v>
      </c>
      <c r="K732" s="355" t="s">
        <v>257</v>
      </c>
    </row>
    <row r="733" spans="1:11">
      <c r="A733" s="350">
        <v>8073</v>
      </c>
      <c r="B733" s="351" t="s">
        <v>895</v>
      </c>
      <c r="C733" s="351" t="s">
        <v>1176</v>
      </c>
      <c r="D733" s="1383" t="s">
        <v>268</v>
      </c>
      <c r="E733" s="352" t="s">
        <v>1176</v>
      </c>
      <c r="F733" s="352" t="s">
        <v>1176</v>
      </c>
      <c r="G733" s="352" t="s">
        <v>1176</v>
      </c>
      <c r="H733" s="352" t="s">
        <v>1176</v>
      </c>
      <c r="I733" s="352" t="s">
        <v>1176</v>
      </c>
      <c r="J733" s="353" t="s">
        <v>268</v>
      </c>
      <c r="K733" s="354" t="s">
        <v>257</v>
      </c>
    </row>
    <row r="734" spans="1:11">
      <c r="A734" s="350">
        <v>8074</v>
      </c>
      <c r="B734" s="351" t="s">
        <v>896</v>
      </c>
      <c r="C734" s="351" t="s">
        <v>1176</v>
      </c>
      <c r="D734" s="1383" t="s">
        <v>268</v>
      </c>
      <c r="E734" s="352" t="s">
        <v>1176</v>
      </c>
      <c r="F734" s="352" t="s">
        <v>1176</v>
      </c>
      <c r="G734" s="352" t="s">
        <v>1176</v>
      </c>
      <c r="H734" s="352" t="s">
        <v>1176</v>
      </c>
      <c r="I734" s="352" t="s">
        <v>1176</v>
      </c>
      <c r="J734" s="353" t="s">
        <v>268</v>
      </c>
      <c r="K734" s="354" t="s">
        <v>257</v>
      </c>
    </row>
    <row r="735" spans="1:11">
      <c r="A735" s="355">
        <v>8075</v>
      </c>
      <c r="B735" s="356" t="s">
        <v>897</v>
      </c>
      <c r="C735" s="351" t="s">
        <v>236</v>
      </c>
      <c r="D735" s="1385" t="s">
        <v>236</v>
      </c>
      <c r="E735" s="353" t="s">
        <v>236</v>
      </c>
      <c r="F735" s="353" t="s">
        <v>236</v>
      </c>
      <c r="G735" s="353" t="s">
        <v>1176</v>
      </c>
      <c r="H735" s="353" t="s">
        <v>236</v>
      </c>
      <c r="I735" s="353" t="s">
        <v>236</v>
      </c>
      <c r="J735" s="353" t="s">
        <v>268</v>
      </c>
      <c r="K735" s="355" t="s">
        <v>257</v>
      </c>
    </row>
    <row r="736" spans="1:11">
      <c r="A736" s="355">
        <v>8076</v>
      </c>
      <c r="B736" s="356" t="s">
        <v>898</v>
      </c>
      <c r="C736" s="351" t="s">
        <v>235</v>
      </c>
      <c r="D736" s="1385" t="s">
        <v>237</v>
      </c>
      <c r="E736" s="353" t="s">
        <v>237</v>
      </c>
      <c r="F736" s="353" t="s">
        <v>237</v>
      </c>
      <c r="G736" s="353" t="s">
        <v>268</v>
      </c>
      <c r="H736" s="353" t="s">
        <v>237</v>
      </c>
      <c r="I736" s="353" t="s">
        <v>237</v>
      </c>
      <c r="J736" s="353" t="s">
        <v>268</v>
      </c>
      <c r="K736" s="355" t="s">
        <v>257</v>
      </c>
    </row>
    <row r="737" spans="1:11">
      <c r="A737" s="355">
        <v>8080</v>
      </c>
      <c r="B737" s="356" t="s">
        <v>899</v>
      </c>
      <c r="C737" s="351" t="s">
        <v>235</v>
      </c>
      <c r="D737" s="1385" t="s">
        <v>235</v>
      </c>
      <c r="E737" s="353" t="s">
        <v>235</v>
      </c>
      <c r="F737" s="353" t="s">
        <v>235</v>
      </c>
      <c r="G737" s="353" t="s">
        <v>235</v>
      </c>
      <c r="H737" s="353" t="s">
        <v>235</v>
      </c>
      <c r="I737" s="353" t="s">
        <v>235</v>
      </c>
      <c r="J737" s="353" t="s">
        <v>235</v>
      </c>
      <c r="K737" s="355" t="s">
        <v>257</v>
      </c>
    </row>
    <row r="738" spans="1:11">
      <c r="A738" s="355">
        <v>8081</v>
      </c>
      <c r="B738" s="356" t="s">
        <v>900</v>
      </c>
      <c r="C738" s="351" t="s">
        <v>234</v>
      </c>
      <c r="D738" s="1385" t="s">
        <v>234</v>
      </c>
      <c r="E738" s="353" t="s">
        <v>234</v>
      </c>
      <c r="F738" s="353" t="s">
        <v>234</v>
      </c>
      <c r="G738" s="353" t="s">
        <v>234</v>
      </c>
      <c r="H738" s="353" t="s">
        <v>234</v>
      </c>
      <c r="I738" s="353" t="s">
        <v>234</v>
      </c>
      <c r="J738" s="353" t="s">
        <v>268</v>
      </c>
      <c r="K738" s="355" t="s">
        <v>257</v>
      </c>
    </row>
    <row r="739" spans="1:11">
      <c r="A739" s="355">
        <v>8082</v>
      </c>
      <c r="B739" s="356" t="s">
        <v>901</v>
      </c>
      <c r="C739" s="351" t="s">
        <v>234</v>
      </c>
      <c r="D739" s="1385" t="s">
        <v>234</v>
      </c>
      <c r="E739" s="353" t="s">
        <v>234</v>
      </c>
      <c r="F739" s="353" t="s">
        <v>234</v>
      </c>
      <c r="G739" s="353" t="s">
        <v>234</v>
      </c>
      <c r="H739" s="353" t="s">
        <v>234</v>
      </c>
      <c r="I739" s="353" t="s">
        <v>234</v>
      </c>
      <c r="J739" s="353" t="s">
        <v>268</v>
      </c>
      <c r="K739" s="355" t="s">
        <v>257</v>
      </c>
    </row>
    <row r="740" spans="1:11">
      <c r="A740" s="355">
        <v>8083</v>
      </c>
      <c r="B740" s="356" t="s">
        <v>902</v>
      </c>
      <c r="C740" s="351" t="s">
        <v>235</v>
      </c>
      <c r="D740" s="1385" t="s">
        <v>235</v>
      </c>
      <c r="E740" s="353" t="s">
        <v>235</v>
      </c>
      <c r="F740" s="353" t="s">
        <v>235</v>
      </c>
      <c r="G740" s="353" t="s">
        <v>235</v>
      </c>
      <c r="H740" s="353" t="s">
        <v>235</v>
      </c>
      <c r="I740" s="353" t="s">
        <v>235</v>
      </c>
      <c r="J740" s="353" t="s">
        <v>235</v>
      </c>
      <c r="K740" s="355" t="s">
        <v>235</v>
      </c>
    </row>
    <row r="741" spans="1:11" ht="45">
      <c r="A741" s="355">
        <v>8084</v>
      </c>
      <c r="B741" s="356" t="s">
        <v>903</v>
      </c>
      <c r="C741" s="351" t="s">
        <v>235</v>
      </c>
      <c r="D741" s="1385" t="s">
        <v>236</v>
      </c>
      <c r="E741" s="353" t="s">
        <v>236</v>
      </c>
      <c r="F741" s="353" t="s">
        <v>236</v>
      </c>
      <c r="G741" s="353" t="s">
        <v>236</v>
      </c>
      <c r="H741" s="353" t="s">
        <v>236</v>
      </c>
      <c r="I741" s="353" t="s">
        <v>236</v>
      </c>
      <c r="J741" s="353" t="s">
        <v>235</v>
      </c>
      <c r="K741" s="355" t="s">
        <v>255</v>
      </c>
    </row>
    <row r="742" spans="1:11">
      <c r="A742" s="355">
        <v>8085</v>
      </c>
      <c r="B742" s="356" t="s">
        <v>904</v>
      </c>
      <c r="C742" s="351" t="s">
        <v>236</v>
      </c>
      <c r="D742" s="1385" t="s">
        <v>236</v>
      </c>
      <c r="E742" s="353" t="s">
        <v>236</v>
      </c>
      <c r="F742" s="353" t="s">
        <v>236</v>
      </c>
      <c r="G742" s="353" t="s">
        <v>236</v>
      </c>
      <c r="H742" s="353" t="s">
        <v>236</v>
      </c>
      <c r="I742" s="353" t="s">
        <v>236</v>
      </c>
      <c r="J742" s="353" t="s">
        <v>236</v>
      </c>
      <c r="K742" s="355" t="s">
        <v>255</v>
      </c>
    </row>
    <row r="743" spans="1:11">
      <c r="A743" s="355">
        <v>8111</v>
      </c>
      <c r="B743" s="356" t="s">
        <v>905</v>
      </c>
      <c r="C743" s="351" t="s">
        <v>234</v>
      </c>
      <c r="D743" s="1385" t="s">
        <v>234</v>
      </c>
      <c r="E743" s="353" t="s">
        <v>234</v>
      </c>
      <c r="F743" s="353" t="s">
        <v>234</v>
      </c>
      <c r="G743" s="353" t="s">
        <v>234</v>
      </c>
      <c r="H743" s="353" t="s">
        <v>234</v>
      </c>
      <c r="I743" s="353" t="s">
        <v>234</v>
      </c>
      <c r="J743" s="353" t="s">
        <v>234</v>
      </c>
      <c r="K743" s="355" t="s">
        <v>234</v>
      </c>
    </row>
    <row r="744" spans="1:11">
      <c r="A744" s="355">
        <v>8112</v>
      </c>
      <c r="B744" s="356" t="s">
        <v>906</v>
      </c>
      <c r="C744" s="351" t="s">
        <v>234</v>
      </c>
      <c r="D744" s="1385" t="s">
        <v>234</v>
      </c>
      <c r="E744" s="353" t="s">
        <v>234</v>
      </c>
      <c r="F744" s="353" t="s">
        <v>234</v>
      </c>
      <c r="G744" s="353" t="s">
        <v>234</v>
      </c>
      <c r="H744" s="353" t="s">
        <v>234</v>
      </c>
      <c r="I744" s="353" t="s">
        <v>234</v>
      </c>
      <c r="J744" s="353" t="s">
        <v>234</v>
      </c>
      <c r="K744" s="355" t="s">
        <v>234</v>
      </c>
    </row>
    <row r="745" spans="1:11">
      <c r="A745" s="355">
        <v>8291</v>
      </c>
      <c r="B745" s="356" t="s">
        <v>907</v>
      </c>
      <c r="C745" s="351" t="s">
        <v>234</v>
      </c>
      <c r="D745" s="1385" t="s">
        <v>234</v>
      </c>
      <c r="E745" s="353" t="s">
        <v>234</v>
      </c>
      <c r="F745" s="353" t="s">
        <v>234</v>
      </c>
      <c r="G745" s="353" t="s">
        <v>234</v>
      </c>
      <c r="H745" s="353" t="s">
        <v>234</v>
      </c>
      <c r="I745" s="353" t="s">
        <v>234</v>
      </c>
      <c r="J745" s="353" t="s">
        <v>234</v>
      </c>
      <c r="K745" s="355" t="s">
        <v>234</v>
      </c>
    </row>
    <row r="746" spans="1:11">
      <c r="A746" s="355">
        <v>8292</v>
      </c>
      <c r="B746" s="356" t="s">
        <v>908</v>
      </c>
      <c r="C746" s="351" t="s">
        <v>234</v>
      </c>
      <c r="D746" s="1385" t="s">
        <v>234</v>
      </c>
      <c r="E746" s="353" t="s">
        <v>234</v>
      </c>
      <c r="F746" s="353" t="s">
        <v>234</v>
      </c>
      <c r="G746" s="353" t="s">
        <v>268</v>
      </c>
      <c r="H746" s="353" t="s">
        <v>234</v>
      </c>
      <c r="I746" s="353" t="s">
        <v>234</v>
      </c>
      <c r="J746" s="353" t="s">
        <v>234</v>
      </c>
      <c r="K746" s="355" t="s">
        <v>235</v>
      </c>
    </row>
    <row r="747" spans="1:11">
      <c r="A747" s="355">
        <v>8292</v>
      </c>
      <c r="B747" s="356" t="s">
        <v>909</v>
      </c>
      <c r="C747" s="351" t="s">
        <v>234</v>
      </c>
      <c r="D747" s="1385" t="s">
        <v>234</v>
      </c>
      <c r="E747" s="353" t="s">
        <v>234</v>
      </c>
      <c r="F747" s="353" t="s">
        <v>234</v>
      </c>
      <c r="G747" s="353" t="s">
        <v>1176</v>
      </c>
      <c r="H747" s="353" t="s">
        <v>234</v>
      </c>
      <c r="I747" s="353" t="s">
        <v>234</v>
      </c>
      <c r="J747" s="353" t="s">
        <v>234</v>
      </c>
      <c r="K747" s="355" t="s">
        <v>235</v>
      </c>
    </row>
    <row r="748" spans="1:11">
      <c r="A748" s="355">
        <v>8293</v>
      </c>
      <c r="B748" s="356" t="s">
        <v>910</v>
      </c>
      <c r="C748" s="351" t="s">
        <v>236</v>
      </c>
      <c r="D748" s="1385" t="s">
        <v>236</v>
      </c>
      <c r="E748" s="353" t="s">
        <v>236</v>
      </c>
      <c r="F748" s="353" t="s">
        <v>236</v>
      </c>
      <c r="G748" s="353" t="s">
        <v>236</v>
      </c>
      <c r="H748" s="353" t="s">
        <v>236</v>
      </c>
      <c r="I748" s="353" t="s">
        <v>236</v>
      </c>
      <c r="J748" s="353" t="s">
        <v>268</v>
      </c>
      <c r="K748" s="355" t="s">
        <v>257</v>
      </c>
    </row>
    <row r="749" spans="1:11">
      <c r="A749" s="355">
        <v>8301</v>
      </c>
      <c r="B749" s="356" t="s">
        <v>911</v>
      </c>
      <c r="C749" s="351" t="s">
        <v>234</v>
      </c>
      <c r="D749" s="1385" t="s">
        <v>234</v>
      </c>
      <c r="E749" s="353" t="s">
        <v>234</v>
      </c>
      <c r="F749" s="353" t="s">
        <v>234</v>
      </c>
      <c r="G749" s="353" t="s">
        <v>234</v>
      </c>
      <c r="H749" s="353" t="s">
        <v>234</v>
      </c>
      <c r="I749" s="353" t="s">
        <v>234</v>
      </c>
      <c r="J749" s="353" t="s">
        <v>268</v>
      </c>
      <c r="K749" s="355" t="s">
        <v>257</v>
      </c>
    </row>
    <row r="750" spans="1:11">
      <c r="A750" s="355">
        <v>8302</v>
      </c>
      <c r="B750" s="356" t="s">
        <v>912</v>
      </c>
      <c r="C750" s="351" t="s">
        <v>235</v>
      </c>
      <c r="D750" s="1385" t="s">
        <v>235</v>
      </c>
      <c r="E750" s="353" t="s">
        <v>235</v>
      </c>
      <c r="F750" s="353" t="s">
        <v>235</v>
      </c>
      <c r="G750" s="353" t="s">
        <v>235</v>
      </c>
      <c r="H750" s="353" t="s">
        <v>235</v>
      </c>
      <c r="I750" s="353" t="s">
        <v>235</v>
      </c>
      <c r="J750" s="353" t="s">
        <v>268</v>
      </c>
      <c r="K750" s="355" t="s">
        <v>257</v>
      </c>
    </row>
    <row r="751" spans="1:11">
      <c r="A751" s="355">
        <v>8303</v>
      </c>
      <c r="B751" s="356" t="s">
        <v>913</v>
      </c>
      <c r="C751" s="351" t="s">
        <v>235</v>
      </c>
      <c r="D751" s="1385" t="s">
        <v>235</v>
      </c>
      <c r="E751" s="353" t="s">
        <v>235</v>
      </c>
      <c r="F751" s="353" t="s">
        <v>235</v>
      </c>
      <c r="G751" s="353" t="s">
        <v>235</v>
      </c>
      <c r="H751" s="353" t="s">
        <v>235</v>
      </c>
      <c r="I751" s="353" t="s">
        <v>235</v>
      </c>
      <c r="J751" s="353" t="s">
        <v>268</v>
      </c>
      <c r="K751" s="355" t="s">
        <v>257</v>
      </c>
    </row>
    <row r="752" spans="1:11">
      <c r="A752" s="355">
        <v>8304</v>
      </c>
      <c r="B752" s="356" t="s">
        <v>914</v>
      </c>
      <c r="C752" s="351" t="s">
        <v>235</v>
      </c>
      <c r="D752" s="1385" t="s">
        <v>235</v>
      </c>
      <c r="E752" s="353" t="s">
        <v>235</v>
      </c>
      <c r="F752" s="353" t="s">
        <v>235</v>
      </c>
      <c r="G752" s="353" t="s">
        <v>235</v>
      </c>
      <c r="H752" s="353" t="s">
        <v>235</v>
      </c>
      <c r="I752" s="353" t="s">
        <v>235</v>
      </c>
      <c r="J752" s="353" t="s">
        <v>268</v>
      </c>
      <c r="K752" s="355" t="s">
        <v>257</v>
      </c>
    </row>
    <row r="753" spans="1:11" ht="30">
      <c r="A753" s="355">
        <v>8310</v>
      </c>
      <c r="B753" s="356" t="s">
        <v>915</v>
      </c>
      <c r="C753" s="351" t="s">
        <v>235</v>
      </c>
      <c r="D753" s="1385" t="s">
        <v>235</v>
      </c>
      <c r="E753" s="353" t="s">
        <v>235</v>
      </c>
      <c r="F753" s="353" t="s">
        <v>235</v>
      </c>
      <c r="G753" s="353" t="s">
        <v>235</v>
      </c>
      <c r="H753" s="353" t="s">
        <v>235</v>
      </c>
      <c r="I753" s="353" t="s">
        <v>235</v>
      </c>
      <c r="J753" s="353" t="s">
        <v>268</v>
      </c>
      <c r="K753" s="355" t="s">
        <v>257</v>
      </c>
    </row>
    <row r="754" spans="1:11">
      <c r="A754" s="355">
        <v>8322</v>
      </c>
      <c r="B754" s="356" t="s">
        <v>917</v>
      </c>
      <c r="C754" s="351" t="s">
        <v>234</v>
      </c>
      <c r="D754" s="1385" t="s">
        <v>234</v>
      </c>
      <c r="E754" s="353" t="s">
        <v>234</v>
      </c>
      <c r="F754" s="353" t="s">
        <v>234</v>
      </c>
      <c r="G754" s="353" t="s">
        <v>234</v>
      </c>
      <c r="H754" s="353" t="s">
        <v>234</v>
      </c>
      <c r="I754" s="353" t="s">
        <v>234</v>
      </c>
      <c r="J754" s="353" t="s">
        <v>234</v>
      </c>
      <c r="K754" s="355" t="s">
        <v>255</v>
      </c>
    </row>
    <row r="755" spans="1:11">
      <c r="A755" s="355">
        <v>8322</v>
      </c>
      <c r="B755" s="356" t="s">
        <v>916</v>
      </c>
      <c r="C755" s="351" t="s">
        <v>234</v>
      </c>
      <c r="D755" s="1385" t="s">
        <v>235</v>
      </c>
      <c r="E755" s="353" t="s">
        <v>235</v>
      </c>
      <c r="F755" s="353" t="s">
        <v>235</v>
      </c>
      <c r="G755" s="353" t="s">
        <v>235</v>
      </c>
      <c r="H755" s="353" t="s">
        <v>235</v>
      </c>
      <c r="I755" s="353" t="s">
        <v>235</v>
      </c>
      <c r="J755" s="353" t="s">
        <v>234</v>
      </c>
      <c r="K755" s="355" t="s">
        <v>255</v>
      </c>
    </row>
    <row r="756" spans="1:11">
      <c r="A756" s="355">
        <v>8323</v>
      </c>
      <c r="B756" s="356" t="s">
        <v>918</v>
      </c>
      <c r="C756" s="351" t="s">
        <v>235</v>
      </c>
      <c r="D756" s="1385" t="s">
        <v>235</v>
      </c>
      <c r="E756" s="353" t="s">
        <v>235</v>
      </c>
      <c r="F756" s="353" t="s">
        <v>235</v>
      </c>
      <c r="G756" s="353" t="s">
        <v>235</v>
      </c>
      <c r="H756" s="353" t="s">
        <v>235</v>
      </c>
      <c r="I756" s="353" t="s">
        <v>235</v>
      </c>
      <c r="J756" s="353" t="s">
        <v>268</v>
      </c>
      <c r="K756" s="355" t="s">
        <v>234</v>
      </c>
    </row>
    <row r="757" spans="1:11">
      <c r="A757" s="355">
        <v>8324</v>
      </c>
      <c r="B757" s="356" t="s">
        <v>919</v>
      </c>
      <c r="C757" s="351" t="s">
        <v>235</v>
      </c>
      <c r="D757" s="1385" t="s">
        <v>235</v>
      </c>
      <c r="E757" s="353" t="s">
        <v>235</v>
      </c>
      <c r="F757" s="353" t="s">
        <v>235</v>
      </c>
      <c r="G757" s="353" t="s">
        <v>235</v>
      </c>
      <c r="H757" s="353" t="s">
        <v>235</v>
      </c>
      <c r="I757" s="353" t="s">
        <v>235</v>
      </c>
      <c r="J757" s="353" t="s">
        <v>268</v>
      </c>
      <c r="K757" s="355" t="s">
        <v>257</v>
      </c>
    </row>
    <row r="758" spans="1:11">
      <c r="A758" s="355">
        <v>8620</v>
      </c>
      <c r="B758" s="356" t="s">
        <v>920</v>
      </c>
      <c r="C758" s="351" t="s">
        <v>235</v>
      </c>
      <c r="D758" s="1385" t="s">
        <v>235</v>
      </c>
      <c r="E758" s="353" t="s">
        <v>235</v>
      </c>
      <c r="F758" s="353" t="s">
        <v>235</v>
      </c>
      <c r="G758" s="353" t="s">
        <v>235</v>
      </c>
      <c r="H758" s="353" t="s">
        <v>235</v>
      </c>
      <c r="I758" s="353" t="s">
        <v>235</v>
      </c>
      <c r="J758" s="353" t="s">
        <v>235</v>
      </c>
      <c r="K758" s="355" t="s">
        <v>255</v>
      </c>
    </row>
    <row r="759" spans="1:11">
      <c r="A759" s="355">
        <v>8630</v>
      </c>
      <c r="B759" s="356" t="s">
        <v>921</v>
      </c>
      <c r="C759" s="351" t="s">
        <v>235</v>
      </c>
      <c r="D759" s="1385" t="s">
        <v>235</v>
      </c>
      <c r="E759" s="353" t="s">
        <v>235</v>
      </c>
      <c r="F759" s="353" t="s">
        <v>235</v>
      </c>
      <c r="G759" s="353" t="s">
        <v>235</v>
      </c>
      <c r="H759" s="353" t="s">
        <v>235</v>
      </c>
      <c r="I759" s="353" t="s">
        <v>235</v>
      </c>
      <c r="J759" s="353" t="s">
        <v>268</v>
      </c>
      <c r="K759" s="355" t="s">
        <v>257</v>
      </c>
    </row>
    <row r="760" spans="1:11">
      <c r="A760" s="355">
        <v>8641</v>
      </c>
      <c r="B760" s="356" t="s">
        <v>922</v>
      </c>
      <c r="C760" s="351" t="s">
        <v>236</v>
      </c>
      <c r="D760" s="1385" t="s">
        <v>236</v>
      </c>
      <c r="E760" s="353" t="s">
        <v>236</v>
      </c>
      <c r="F760" s="353" t="s">
        <v>236</v>
      </c>
      <c r="G760" s="353" t="s">
        <v>236</v>
      </c>
      <c r="H760" s="353" t="s">
        <v>236</v>
      </c>
      <c r="I760" s="353" t="s">
        <v>236</v>
      </c>
      <c r="J760" s="353" t="s">
        <v>268</v>
      </c>
      <c r="K760" s="355" t="s">
        <v>257</v>
      </c>
    </row>
    <row r="761" spans="1:11">
      <c r="A761" s="355">
        <v>8642</v>
      </c>
      <c r="B761" s="356" t="s">
        <v>923</v>
      </c>
      <c r="C761" s="351" t="s">
        <v>235</v>
      </c>
      <c r="D761" s="1385" t="s">
        <v>237</v>
      </c>
      <c r="E761" s="353" t="s">
        <v>237</v>
      </c>
      <c r="F761" s="353" t="s">
        <v>237</v>
      </c>
      <c r="G761" s="353" t="s">
        <v>237</v>
      </c>
      <c r="H761" s="353" t="s">
        <v>237</v>
      </c>
      <c r="I761" s="353" t="s">
        <v>237</v>
      </c>
      <c r="J761" s="353" t="s">
        <v>268</v>
      </c>
      <c r="K761" s="355" t="s">
        <v>257</v>
      </c>
    </row>
    <row r="762" spans="1:11">
      <c r="A762" s="355">
        <v>8643</v>
      </c>
      <c r="B762" s="356" t="s">
        <v>924</v>
      </c>
      <c r="C762" s="351" t="s">
        <v>236</v>
      </c>
      <c r="D762" s="1385" t="s">
        <v>236</v>
      </c>
      <c r="E762" s="353" t="s">
        <v>236</v>
      </c>
      <c r="F762" s="353" t="s">
        <v>236</v>
      </c>
      <c r="G762" s="353" t="s">
        <v>236</v>
      </c>
      <c r="H762" s="353" t="s">
        <v>236</v>
      </c>
      <c r="I762" s="353" t="s">
        <v>236</v>
      </c>
      <c r="J762" s="353" t="s">
        <v>236</v>
      </c>
      <c r="K762" s="355" t="s">
        <v>257</v>
      </c>
    </row>
    <row r="763" spans="1:11" ht="30">
      <c r="A763" s="355">
        <v>8644</v>
      </c>
      <c r="B763" s="356" t="s">
        <v>925</v>
      </c>
      <c r="C763" s="351" t="s">
        <v>236</v>
      </c>
      <c r="D763" s="1385" t="s">
        <v>236</v>
      </c>
      <c r="E763" s="353" t="s">
        <v>236</v>
      </c>
      <c r="F763" s="353" t="s">
        <v>236</v>
      </c>
      <c r="G763" s="353" t="s">
        <v>236</v>
      </c>
      <c r="H763" s="353" t="s">
        <v>236</v>
      </c>
      <c r="I763" s="353" t="s">
        <v>236</v>
      </c>
      <c r="J763" s="353" t="s">
        <v>236</v>
      </c>
      <c r="K763" s="355" t="s">
        <v>236</v>
      </c>
    </row>
    <row r="764" spans="1:11" ht="30">
      <c r="A764" s="355">
        <v>8650</v>
      </c>
      <c r="B764" s="356" t="s">
        <v>926</v>
      </c>
      <c r="C764" s="351" t="s">
        <v>235</v>
      </c>
      <c r="D764" s="1385" t="s">
        <v>235</v>
      </c>
      <c r="E764" s="353" t="s">
        <v>235</v>
      </c>
      <c r="F764" s="353" t="s">
        <v>235</v>
      </c>
      <c r="G764" s="353" t="s">
        <v>235</v>
      </c>
      <c r="H764" s="353" t="s">
        <v>235</v>
      </c>
      <c r="I764" s="353" t="s">
        <v>235</v>
      </c>
      <c r="J764" s="353" t="s">
        <v>268</v>
      </c>
      <c r="K764" s="355" t="s">
        <v>236</v>
      </c>
    </row>
    <row r="765" spans="1:11" ht="30">
      <c r="A765" s="355">
        <v>8660</v>
      </c>
      <c r="B765" s="356" t="s">
        <v>927</v>
      </c>
      <c r="C765" s="351" t="s">
        <v>235</v>
      </c>
      <c r="D765" s="1385" t="s">
        <v>235</v>
      </c>
      <c r="E765" s="353" t="s">
        <v>235</v>
      </c>
      <c r="F765" s="353" t="s">
        <v>235</v>
      </c>
      <c r="G765" s="353" t="s">
        <v>235</v>
      </c>
      <c r="H765" s="353" t="s">
        <v>235</v>
      </c>
      <c r="I765" s="353" t="s">
        <v>235</v>
      </c>
      <c r="J765" s="353" t="s">
        <v>268</v>
      </c>
      <c r="K765" s="355" t="s">
        <v>236</v>
      </c>
    </row>
    <row r="766" spans="1:11">
      <c r="A766" s="355">
        <v>8661</v>
      </c>
      <c r="B766" s="356" t="s">
        <v>928</v>
      </c>
      <c r="C766" s="351" t="s">
        <v>236</v>
      </c>
      <c r="D766" s="1385" t="s">
        <v>236</v>
      </c>
      <c r="E766" s="353" t="s">
        <v>236</v>
      </c>
      <c r="F766" s="353" t="s">
        <v>236</v>
      </c>
      <c r="G766" s="353" t="s">
        <v>236</v>
      </c>
      <c r="H766" s="353" t="s">
        <v>236</v>
      </c>
      <c r="I766" s="353" t="s">
        <v>236</v>
      </c>
      <c r="J766" s="353" t="s">
        <v>268</v>
      </c>
      <c r="K766" s="355" t="s">
        <v>257</v>
      </c>
    </row>
    <row r="767" spans="1:11" ht="15.75">
      <c r="A767" s="355">
        <v>8671</v>
      </c>
      <c r="B767" s="356" t="s">
        <v>929</v>
      </c>
      <c r="C767" s="351" t="s">
        <v>236</v>
      </c>
      <c r="D767" s="1384" t="s">
        <v>268</v>
      </c>
      <c r="E767" s="353" t="s">
        <v>236</v>
      </c>
      <c r="F767" s="353" t="s">
        <v>236</v>
      </c>
      <c r="G767" s="353" t="s">
        <v>268</v>
      </c>
      <c r="H767" s="353" t="s">
        <v>236</v>
      </c>
      <c r="I767" s="353" t="s">
        <v>236</v>
      </c>
      <c r="J767" s="353" t="s">
        <v>236</v>
      </c>
      <c r="K767" s="355" t="s">
        <v>255</v>
      </c>
    </row>
    <row r="768" spans="1:11" ht="15.75">
      <c r="A768" s="355">
        <v>8672</v>
      </c>
      <c r="B768" s="356" t="s">
        <v>930</v>
      </c>
      <c r="C768" s="351" t="s">
        <v>235</v>
      </c>
      <c r="D768" s="1384" t="s">
        <v>268</v>
      </c>
      <c r="E768" s="353" t="s">
        <v>235</v>
      </c>
      <c r="F768" s="353" t="s">
        <v>235</v>
      </c>
      <c r="G768" s="353" t="s">
        <v>235</v>
      </c>
      <c r="H768" s="353" t="s">
        <v>235</v>
      </c>
      <c r="I768" s="353" t="s">
        <v>235</v>
      </c>
      <c r="J768" s="353" t="s">
        <v>235</v>
      </c>
      <c r="K768" s="355" t="s">
        <v>257</v>
      </c>
    </row>
    <row r="769" spans="1:11" ht="30">
      <c r="A769" s="355">
        <v>8673</v>
      </c>
      <c r="B769" s="356" t="s">
        <v>931</v>
      </c>
      <c r="C769" s="351" t="s">
        <v>235</v>
      </c>
      <c r="D769" s="1385" t="s">
        <v>235</v>
      </c>
      <c r="E769" s="353" t="s">
        <v>235</v>
      </c>
      <c r="F769" s="353" t="s">
        <v>235</v>
      </c>
      <c r="G769" s="353" t="s">
        <v>235</v>
      </c>
      <c r="H769" s="353" t="s">
        <v>235</v>
      </c>
      <c r="I769" s="353" t="s">
        <v>235</v>
      </c>
      <c r="J769" s="353" t="s">
        <v>235</v>
      </c>
      <c r="K769" s="355" t="s">
        <v>257</v>
      </c>
    </row>
    <row r="770" spans="1:11" ht="30">
      <c r="A770" s="355">
        <v>8910</v>
      </c>
      <c r="B770" s="356" t="s">
        <v>932</v>
      </c>
      <c r="C770" s="351" t="s">
        <v>234</v>
      </c>
      <c r="D770" s="1385" t="s">
        <v>234</v>
      </c>
      <c r="E770" s="353" t="s">
        <v>234</v>
      </c>
      <c r="F770" s="353" t="s">
        <v>234</v>
      </c>
      <c r="G770" s="353" t="s">
        <v>234</v>
      </c>
      <c r="H770" s="353" t="s">
        <v>234</v>
      </c>
      <c r="I770" s="353" t="s">
        <v>234</v>
      </c>
      <c r="J770" s="353" t="s">
        <v>268</v>
      </c>
      <c r="K770" s="355" t="s">
        <v>234</v>
      </c>
    </row>
    <row r="771" spans="1:11">
      <c r="A771" s="355">
        <v>8911</v>
      </c>
      <c r="B771" s="356" t="s">
        <v>933</v>
      </c>
      <c r="C771" s="351" t="s">
        <v>234</v>
      </c>
      <c r="D771" s="1385" t="s">
        <v>234</v>
      </c>
      <c r="E771" s="353" t="s">
        <v>234</v>
      </c>
      <c r="F771" s="353" t="s">
        <v>234</v>
      </c>
      <c r="G771" s="353" t="s">
        <v>234</v>
      </c>
      <c r="H771" s="353" t="s">
        <v>234</v>
      </c>
      <c r="I771" s="353" t="s">
        <v>234</v>
      </c>
      <c r="J771" s="353" t="s">
        <v>234</v>
      </c>
      <c r="K771" s="355" t="s">
        <v>257</v>
      </c>
    </row>
    <row r="772" spans="1:11">
      <c r="A772" s="355">
        <v>8912</v>
      </c>
      <c r="B772" s="356" t="s">
        <v>934</v>
      </c>
      <c r="C772" s="351" t="s">
        <v>234</v>
      </c>
      <c r="D772" s="1385" t="s">
        <v>234</v>
      </c>
      <c r="E772" s="353" t="s">
        <v>234</v>
      </c>
      <c r="F772" s="353" t="s">
        <v>234</v>
      </c>
      <c r="G772" s="353" t="s">
        <v>234</v>
      </c>
      <c r="H772" s="353" t="s">
        <v>234</v>
      </c>
      <c r="I772" s="353" t="s">
        <v>234</v>
      </c>
      <c r="J772" s="353" t="s">
        <v>234</v>
      </c>
      <c r="K772" s="355" t="s">
        <v>234</v>
      </c>
    </row>
    <row r="773" spans="1:11">
      <c r="A773" s="355">
        <v>8913</v>
      </c>
      <c r="B773" s="356" t="s">
        <v>935</v>
      </c>
      <c r="C773" s="351" t="s">
        <v>235</v>
      </c>
      <c r="D773" s="1385" t="s">
        <v>235</v>
      </c>
      <c r="E773" s="353" t="s">
        <v>235</v>
      </c>
      <c r="F773" s="353" t="s">
        <v>235</v>
      </c>
      <c r="G773" s="353" t="s">
        <v>235</v>
      </c>
      <c r="H773" s="353" t="s">
        <v>235</v>
      </c>
      <c r="I773" s="353" t="s">
        <v>235</v>
      </c>
      <c r="J773" s="353" t="s">
        <v>268</v>
      </c>
      <c r="K773" s="355" t="s">
        <v>257</v>
      </c>
    </row>
    <row r="774" spans="1:11">
      <c r="A774" s="355">
        <v>8914</v>
      </c>
      <c r="B774" s="356" t="s">
        <v>936</v>
      </c>
      <c r="C774" s="351" t="s">
        <v>235</v>
      </c>
      <c r="D774" s="1385" t="s">
        <v>235</v>
      </c>
      <c r="E774" s="353" t="s">
        <v>235</v>
      </c>
      <c r="F774" s="353" t="s">
        <v>235</v>
      </c>
      <c r="G774" s="353" t="s">
        <v>235</v>
      </c>
      <c r="H774" s="353" t="s">
        <v>235</v>
      </c>
      <c r="I774" s="353" t="s">
        <v>235</v>
      </c>
      <c r="J774" s="353" t="s">
        <v>235</v>
      </c>
      <c r="K774" s="355" t="s">
        <v>236</v>
      </c>
    </row>
    <row r="775" spans="1:11">
      <c r="A775" s="355">
        <v>8915</v>
      </c>
      <c r="B775" s="356" t="s">
        <v>937</v>
      </c>
      <c r="C775" s="351" t="s">
        <v>234</v>
      </c>
      <c r="D775" s="1385" t="s">
        <v>234</v>
      </c>
      <c r="E775" s="353" t="s">
        <v>234</v>
      </c>
      <c r="F775" s="353" t="s">
        <v>234</v>
      </c>
      <c r="G775" s="353" t="s">
        <v>234</v>
      </c>
      <c r="H775" s="353" t="s">
        <v>234</v>
      </c>
      <c r="I775" s="353" t="s">
        <v>234</v>
      </c>
      <c r="J775" s="353" t="s">
        <v>234</v>
      </c>
      <c r="K775" s="355" t="s">
        <v>234</v>
      </c>
    </row>
    <row r="776" spans="1:11">
      <c r="A776" s="355">
        <v>8916</v>
      </c>
      <c r="B776" s="356" t="s">
        <v>938</v>
      </c>
      <c r="C776" s="351" t="s">
        <v>234</v>
      </c>
      <c r="D776" s="1385" t="s">
        <v>234</v>
      </c>
      <c r="E776" s="353" t="s">
        <v>234</v>
      </c>
      <c r="F776" s="353" t="s">
        <v>234</v>
      </c>
      <c r="G776" s="353" t="s">
        <v>234</v>
      </c>
      <c r="H776" s="353" t="s">
        <v>234</v>
      </c>
      <c r="I776" s="353" t="s">
        <v>234</v>
      </c>
      <c r="J776" s="353" t="s">
        <v>234</v>
      </c>
      <c r="K776" s="355" t="s">
        <v>234</v>
      </c>
    </row>
    <row r="777" spans="1:11" ht="30">
      <c r="A777" s="355">
        <v>8917</v>
      </c>
      <c r="B777" s="356" t="s">
        <v>939</v>
      </c>
      <c r="C777" s="351" t="s">
        <v>234</v>
      </c>
      <c r="D777" s="1385" t="s">
        <v>234</v>
      </c>
      <c r="E777" s="353" t="s">
        <v>234</v>
      </c>
      <c r="F777" s="353" t="s">
        <v>234</v>
      </c>
      <c r="G777" s="353" t="s">
        <v>234</v>
      </c>
      <c r="H777" s="353" t="s">
        <v>234</v>
      </c>
      <c r="I777" s="353" t="s">
        <v>234</v>
      </c>
      <c r="J777" s="353" t="s">
        <v>234</v>
      </c>
      <c r="K777" s="355" t="s">
        <v>234</v>
      </c>
    </row>
    <row r="778" spans="1:11">
      <c r="A778" s="355">
        <v>8918</v>
      </c>
      <c r="B778" s="356" t="s">
        <v>940</v>
      </c>
      <c r="C778" s="351" t="s">
        <v>234</v>
      </c>
      <c r="D778" s="1385" t="s">
        <v>234</v>
      </c>
      <c r="E778" s="353" t="s">
        <v>234</v>
      </c>
      <c r="F778" s="353" t="s">
        <v>234</v>
      </c>
      <c r="G778" s="353" t="s">
        <v>234</v>
      </c>
      <c r="H778" s="353" t="s">
        <v>234</v>
      </c>
      <c r="I778" s="353" t="s">
        <v>234</v>
      </c>
      <c r="J778" s="353" t="s">
        <v>268</v>
      </c>
      <c r="K778" s="355" t="s">
        <v>257</v>
      </c>
    </row>
    <row r="779" spans="1:11">
      <c r="A779" s="350">
        <v>8940</v>
      </c>
      <c r="B779" s="351" t="s">
        <v>941</v>
      </c>
      <c r="C779" s="351" t="s">
        <v>1176</v>
      </c>
      <c r="D779" s="1383" t="s">
        <v>268</v>
      </c>
      <c r="E779" s="352" t="s">
        <v>1176</v>
      </c>
      <c r="F779" s="352" t="s">
        <v>1176</v>
      </c>
      <c r="G779" s="352" t="s">
        <v>1176</v>
      </c>
      <c r="H779" s="352" t="s">
        <v>1176</v>
      </c>
      <c r="I779" s="352" t="s">
        <v>1176</v>
      </c>
      <c r="J779" s="353" t="s">
        <v>268</v>
      </c>
      <c r="K779" s="354" t="s">
        <v>257</v>
      </c>
    </row>
    <row r="780" spans="1:11">
      <c r="A780" s="350">
        <v>8941</v>
      </c>
      <c r="B780" s="351" t="s">
        <v>942</v>
      </c>
      <c r="C780" s="351" t="s">
        <v>1176</v>
      </c>
      <c r="D780" s="1383" t="s">
        <v>268</v>
      </c>
      <c r="E780" s="352" t="s">
        <v>1176</v>
      </c>
      <c r="F780" s="352" t="s">
        <v>1176</v>
      </c>
      <c r="G780" s="352" t="s">
        <v>1176</v>
      </c>
      <c r="H780" s="352" t="s">
        <v>1176</v>
      </c>
      <c r="I780" s="352" t="s">
        <v>1176</v>
      </c>
      <c r="J780" s="353" t="s">
        <v>268</v>
      </c>
      <c r="K780" s="354" t="s">
        <v>257</v>
      </c>
    </row>
    <row r="781" spans="1:11">
      <c r="A781" s="350">
        <v>8942</v>
      </c>
      <c r="B781" s="351" t="s">
        <v>943</v>
      </c>
      <c r="C781" s="351" t="s">
        <v>1176</v>
      </c>
      <c r="D781" s="1383" t="s">
        <v>268</v>
      </c>
      <c r="E781" s="352" t="s">
        <v>1176</v>
      </c>
      <c r="F781" s="352" t="s">
        <v>1176</v>
      </c>
      <c r="G781" s="352" t="s">
        <v>1176</v>
      </c>
      <c r="H781" s="352" t="s">
        <v>1176</v>
      </c>
      <c r="I781" s="352" t="s">
        <v>1176</v>
      </c>
      <c r="J781" s="353" t="s">
        <v>268</v>
      </c>
      <c r="K781" s="354" t="s">
        <v>257</v>
      </c>
    </row>
    <row r="782" spans="1:11">
      <c r="A782" s="350">
        <v>8943</v>
      </c>
      <c r="B782" s="351" t="s">
        <v>944</v>
      </c>
      <c r="C782" s="351" t="s">
        <v>1176</v>
      </c>
      <c r="D782" s="1383" t="s">
        <v>268</v>
      </c>
      <c r="E782" s="352" t="s">
        <v>1176</v>
      </c>
      <c r="F782" s="352" t="s">
        <v>1176</v>
      </c>
      <c r="G782" s="352" t="s">
        <v>1176</v>
      </c>
      <c r="H782" s="352" t="s">
        <v>1176</v>
      </c>
      <c r="I782" s="352" t="s">
        <v>1176</v>
      </c>
      <c r="J782" s="353" t="s">
        <v>268</v>
      </c>
      <c r="K782" s="354" t="s">
        <v>257</v>
      </c>
    </row>
    <row r="783" spans="1:11">
      <c r="A783" s="350">
        <v>8944</v>
      </c>
      <c r="B783" s="351" t="s">
        <v>945</v>
      </c>
      <c r="C783" s="351" t="s">
        <v>1176</v>
      </c>
      <c r="D783" s="1383" t="s">
        <v>268</v>
      </c>
      <c r="E783" s="352" t="s">
        <v>1176</v>
      </c>
      <c r="F783" s="352" t="s">
        <v>1176</v>
      </c>
      <c r="G783" s="352" t="s">
        <v>1176</v>
      </c>
      <c r="H783" s="352" t="s">
        <v>1176</v>
      </c>
      <c r="I783" s="352" t="s">
        <v>1176</v>
      </c>
      <c r="J783" s="353" t="s">
        <v>268</v>
      </c>
      <c r="K783" s="354" t="s">
        <v>257</v>
      </c>
    </row>
    <row r="784" spans="1:11">
      <c r="A784" s="350">
        <v>8945</v>
      </c>
      <c r="B784" s="351" t="s">
        <v>946</v>
      </c>
      <c r="C784" s="351" t="s">
        <v>1176</v>
      </c>
      <c r="D784" s="1383" t="s">
        <v>268</v>
      </c>
      <c r="E784" s="352" t="s">
        <v>1176</v>
      </c>
      <c r="F784" s="352" t="s">
        <v>1176</v>
      </c>
      <c r="G784" s="352" t="s">
        <v>1176</v>
      </c>
      <c r="H784" s="352" t="s">
        <v>1176</v>
      </c>
      <c r="I784" s="352" t="s">
        <v>1176</v>
      </c>
      <c r="J784" s="353" t="s">
        <v>268</v>
      </c>
      <c r="K784" s="354" t="s">
        <v>257</v>
      </c>
    </row>
    <row r="785" spans="1:11" ht="30">
      <c r="A785" s="350">
        <v>8946</v>
      </c>
      <c r="B785" s="351" t="s">
        <v>947</v>
      </c>
      <c r="C785" s="351" t="s">
        <v>1176</v>
      </c>
      <c r="D785" s="1383" t="s">
        <v>268</v>
      </c>
      <c r="E785" s="352" t="s">
        <v>1176</v>
      </c>
      <c r="F785" s="352" t="s">
        <v>1176</v>
      </c>
      <c r="G785" s="352" t="s">
        <v>1176</v>
      </c>
      <c r="H785" s="352" t="s">
        <v>1176</v>
      </c>
      <c r="I785" s="352" t="s">
        <v>1176</v>
      </c>
      <c r="J785" s="353" t="s">
        <v>268</v>
      </c>
      <c r="K785" s="354" t="s">
        <v>257</v>
      </c>
    </row>
    <row r="786" spans="1:11">
      <c r="A786" s="350">
        <v>8947</v>
      </c>
      <c r="B786" s="351" t="s">
        <v>948</v>
      </c>
      <c r="C786" s="351" t="s">
        <v>1176</v>
      </c>
      <c r="D786" s="1383" t="s">
        <v>268</v>
      </c>
      <c r="E786" s="352" t="s">
        <v>1176</v>
      </c>
      <c r="F786" s="352" t="s">
        <v>1176</v>
      </c>
      <c r="G786" s="352" t="s">
        <v>1176</v>
      </c>
      <c r="H786" s="352" t="s">
        <v>1176</v>
      </c>
      <c r="I786" s="352" t="s">
        <v>1176</v>
      </c>
      <c r="J786" s="353" t="s">
        <v>268</v>
      </c>
      <c r="K786" s="354" t="s">
        <v>257</v>
      </c>
    </row>
    <row r="787" spans="1:11">
      <c r="A787" s="350">
        <v>8948</v>
      </c>
      <c r="B787" s="351" t="s">
        <v>949</v>
      </c>
      <c r="C787" s="351" t="s">
        <v>1176</v>
      </c>
      <c r="D787" s="1383" t="s">
        <v>268</v>
      </c>
      <c r="E787" s="352" t="s">
        <v>1176</v>
      </c>
      <c r="F787" s="352" t="s">
        <v>1176</v>
      </c>
      <c r="G787" s="352" t="s">
        <v>1176</v>
      </c>
      <c r="H787" s="352" t="s">
        <v>1176</v>
      </c>
      <c r="I787" s="352" t="s">
        <v>1176</v>
      </c>
      <c r="J787" s="353" t="s">
        <v>268</v>
      </c>
      <c r="K787" s="354" t="s">
        <v>257</v>
      </c>
    </row>
    <row r="788" spans="1:11">
      <c r="A788" s="350">
        <v>8949</v>
      </c>
      <c r="B788" s="351" t="s">
        <v>950</v>
      </c>
      <c r="C788" s="351" t="s">
        <v>1176</v>
      </c>
      <c r="D788" s="1383" t="s">
        <v>268</v>
      </c>
      <c r="E788" s="352" t="s">
        <v>1176</v>
      </c>
      <c r="F788" s="352" t="s">
        <v>1176</v>
      </c>
      <c r="G788" s="352" t="s">
        <v>1176</v>
      </c>
      <c r="H788" s="352" t="s">
        <v>1176</v>
      </c>
      <c r="I788" s="352" t="s">
        <v>1176</v>
      </c>
      <c r="J788" s="353" t="s">
        <v>268</v>
      </c>
      <c r="K788" s="354" t="s">
        <v>257</v>
      </c>
    </row>
    <row r="789" spans="1:11" ht="15.75">
      <c r="A789" s="358">
        <v>8950</v>
      </c>
      <c r="B789" s="359" t="s">
        <v>951</v>
      </c>
      <c r="C789" s="351" t="s">
        <v>1176</v>
      </c>
      <c r="D789" s="1383" t="s">
        <v>268</v>
      </c>
      <c r="E789" s="360" t="s">
        <v>1176</v>
      </c>
      <c r="F789" s="353" t="s">
        <v>268</v>
      </c>
      <c r="G789" s="360" t="s">
        <v>1176</v>
      </c>
      <c r="H789" s="360" t="s">
        <v>1176</v>
      </c>
      <c r="I789" s="360" t="s">
        <v>1176</v>
      </c>
      <c r="J789" s="353" t="s">
        <v>268</v>
      </c>
      <c r="K789" s="354" t="s">
        <v>257</v>
      </c>
    </row>
  </sheetData>
  <autoFilter ref="A1:K789" xr:uid="{00000000-0009-0000-0000-000016000000}"/>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2"/>
  <dimension ref="A3:Y49"/>
  <sheetViews>
    <sheetView showGridLines="0" topLeftCell="A8" workbookViewId="0">
      <selection activeCell="J27" sqref="J27"/>
    </sheetView>
  </sheetViews>
  <sheetFormatPr defaultColWidth="9.140625" defaultRowHeight="15"/>
  <cols>
    <col min="1" max="1" width="18.140625" customWidth="1"/>
    <col min="2" max="2" width="28.140625" customWidth="1"/>
    <col min="3" max="12" width="11.5703125" customWidth="1"/>
  </cols>
  <sheetData>
    <row r="3" spans="1:25">
      <c r="B3" t="s">
        <v>3924</v>
      </c>
      <c r="C3" s="1661">
        <v>0.15</v>
      </c>
    </row>
    <row r="4" spans="1:25">
      <c r="O4" s="361" t="s">
        <v>3913</v>
      </c>
    </row>
    <row r="5" spans="1:25">
      <c r="A5" s="1518" t="s">
        <v>3321</v>
      </c>
      <c r="B5" s="1518"/>
      <c r="C5" s="1518"/>
      <c r="D5" s="1518"/>
      <c r="E5" s="1518"/>
      <c r="F5" s="1518"/>
      <c r="G5" s="1519"/>
      <c r="H5" s="1519"/>
      <c r="I5" s="1519"/>
      <c r="J5" s="1520"/>
      <c r="K5" s="1520"/>
      <c r="L5" s="1520"/>
      <c r="N5" s="1518" t="s">
        <v>3321</v>
      </c>
      <c r="O5" s="1518"/>
      <c r="P5" s="1518"/>
      <c r="Q5" s="1518"/>
      <c r="R5" s="1518"/>
      <c r="S5" s="1518"/>
      <c r="T5" s="1519"/>
      <c r="U5" s="1519"/>
      <c r="V5" s="1519"/>
      <c r="W5" s="1520"/>
      <c r="X5" s="1520"/>
      <c r="Y5" s="1520"/>
    </row>
    <row r="6" spans="1:25">
      <c r="A6" s="1521"/>
      <c r="B6" s="1521"/>
      <c r="C6" s="3603" t="s">
        <v>3781</v>
      </c>
      <c r="D6" s="3604"/>
      <c r="E6" s="3604"/>
      <c r="F6" s="3604"/>
      <c r="G6" s="3604"/>
      <c r="H6" s="3604"/>
      <c r="I6" s="3604"/>
      <c r="J6" s="3604"/>
      <c r="K6" s="3604"/>
      <c r="L6" s="3605"/>
      <c r="N6" s="1521"/>
      <c r="O6" s="1521"/>
      <c r="P6" s="3603" t="s">
        <v>3781</v>
      </c>
      <c r="Q6" s="3604"/>
      <c r="R6" s="3604"/>
      <c r="S6" s="3604"/>
      <c r="T6" s="3604"/>
      <c r="U6" s="3604"/>
      <c r="V6" s="3604"/>
      <c r="W6" s="3604"/>
      <c r="X6" s="3604"/>
      <c r="Y6" s="3605"/>
    </row>
    <row r="7" spans="1:25" ht="60">
      <c r="A7" s="1522" t="s">
        <v>3315</v>
      </c>
      <c r="B7" s="1522"/>
      <c r="C7" s="1529" t="s">
        <v>3782</v>
      </c>
      <c r="D7" s="1529" t="s">
        <v>3782</v>
      </c>
      <c r="E7" s="1529" t="s">
        <v>3782</v>
      </c>
      <c r="F7" s="1536" t="s">
        <v>3782</v>
      </c>
      <c r="G7" s="1540" t="s">
        <v>3783</v>
      </c>
      <c r="H7" s="1530" t="s">
        <v>3783</v>
      </c>
      <c r="I7" s="1531" t="s">
        <v>3783</v>
      </c>
      <c r="J7" s="1532" t="s">
        <v>3784</v>
      </c>
      <c r="K7" s="1532" t="s">
        <v>3784</v>
      </c>
      <c r="L7" s="1532" t="s">
        <v>3784</v>
      </c>
      <c r="N7" s="1522" t="s">
        <v>3315</v>
      </c>
      <c r="O7" s="1522"/>
      <c r="P7" s="1529" t="s">
        <v>3782</v>
      </c>
      <c r="Q7" s="1529" t="s">
        <v>3782</v>
      </c>
      <c r="R7" s="1529" t="s">
        <v>3782</v>
      </c>
      <c r="S7" s="1536" t="s">
        <v>3782</v>
      </c>
      <c r="T7" s="1540" t="s">
        <v>3783</v>
      </c>
      <c r="U7" s="1530" t="s">
        <v>3783</v>
      </c>
      <c r="V7" s="1531" t="s">
        <v>3783</v>
      </c>
      <c r="W7" s="1532" t="s">
        <v>3784</v>
      </c>
      <c r="X7" s="1532" t="s">
        <v>3784</v>
      </c>
      <c r="Y7" s="1532" t="s">
        <v>3784</v>
      </c>
    </row>
    <row r="8" spans="1:25">
      <c r="A8" s="1525"/>
      <c r="B8" s="1525"/>
      <c r="C8" s="1694" t="s">
        <v>3948</v>
      </c>
      <c r="D8" s="1694" t="s">
        <v>3949</v>
      </c>
      <c r="E8" s="1694" t="s">
        <v>3946</v>
      </c>
      <c r="F8" s="1695" t="s">
        <v>3950</v>
      </c>
      <c r="G8" s="1694" t="s">
        <v>3947</v>
      </c>
      <c r="H8" s="1696" t="s">
        <v>3951</v>
      </c>
      <c r="I8" s="1697" t="s">
        <v>3952</v>
      </c>
      <c r="J8" s="1697" t="s">
        <v>3953</v>
      </c>
      <c r="K8" s="1697" t="s">
        <v>3954</v>
      </c>
      <c r="L8" s="1697" t="s">
        <v>3955</v>
      </c>
      <c r="N8" s="1525"/>
      <c r="O8" s="1525"/>
      <c r="P8" s="1526">
        <v>1</v>
      </c>
      <c r="Q8" s="1526">
        <v>2</v>
      </c>
      <c r="R8" s="1526">
        <v>3</v>
      </c>
      <c r="S8" s="1537">
        <v>4</v>
      </c>
      <c r="T8" s="1526">
        <v>5</v>
      </c>
      <c r="U8" s="1527">
        <v>6</v>
      </c>
      <c r="V8" s="1528">
        <v>7</v>
      </c>
      <c r="W8" s="1528">
        <v>8</v>
      </c>
      <c r="X8" s="1528">
        <v>9</v>
      </c>
      <c r="Y8" s="1528">
        <v>10</v>
      </c>
    </row>
    <row r="9" spans="1:25">
      <c r="A9" s="1662">
        <v>1</v>
      </c>
      <c r="B9" s="1663" t="s">
        <v>1155</v>
      </c>
      <c r="C9" s="1664">
        <f>(1+$C$3)*P9</f>
        <v>0.1265</v>
      </c>
      <c r="D9" s="1664">
        <f t="shared" ref="D9:L9" si="0">(1+$C$3)*Q9</f>
        <v>0.1265</v>
      </c>
      <c r="E9" s="1664">
        <f t="shared" si="0"/>
        <v>0.1265</v>
      </c>
      <c r="F9" s="1664">
        <f t="shared" si="0"/>
        <v>0.1265</v>
      </c>
      <c r="G9" s="1665">
        <f t="shared" si="0"/>
        <v>0.161</v>
      </c>
      <c r="H9" s="1665">
        <f t="shared" si="0"/>
        <v>0.161</v>
      </c>
      <c r="I9" s="1665">
        <f t="shared" si="0"/>
        <v>0.161</v>
      </c>
      <c r="J9" s="1665">
        <f t="shared" si="0"/>
        <v>0.21849999999999997</v>
      </c>
      <c r="K9" s="1665">
        <f t="shared" si="0"/>
        <v>0.21849999999999997</v>
      </c>
      <c r="L9" s="1665">
        <f t="shared" si="0"/>
        <v>0.21849999999999997</v>
      </c>
      <c r="N9" s="1662">
        <v>1</v>
      </c>
      <c r="O9" s="1663" t="s">
        <v>1155</v>
      </c>
      <c r="P9" s="1664">
        <v>0.11</v>
      </c>
      <c r="Q9" s="1664">
        <v>0.11</v>
      </c>
      <c r="R9" s="1664">
        <v>0.11</v>
      </c>
      <c r="S9" s="1664">
        <v>0.11</v>
      </c>
      <c r="T9" s="1665">
        <v>0.14000000000000001</v>
      </c>
      <c r="U9" s="1665">
        <v>0.14000000000000001</v>
      </c>
      <c r="V9" s="1665">
        <v>0.14000000000000001</v>
      </c>
      <c r="W9" s="1665">
        <v>0.19</v>
      </c>
      <c r="X9" s="1665">
        <v>0.19</v>
      </c>
      <c r="Y9" s="1665">
        <v>0.19</v>
      </c>
    </row>
    <row r="10" spans="1:25">
      <c r="A10" s="1662" t="s">
        <v>3785</v>
      </c>
      <c r="B10" s="1666" t="s">
        <v>1194</v>
      </c>
      <c r="C10" s="1664">
        <f t="shared" ref="C10:C14" si="1">(1+$C$3)*P10</f>
        <v>0.16789999999999997</v>
      </c>
      <c r="D10" s="1664">
        <f t="shared" ref="D10:D14" si="2">(1+$C$3)*Q10</f>
        <v>0.16789999999999997</v>
      </c>
      <c r="E10" s="1664">
        <f t="shared" ref="E10:E14" si="3">(1+$C$3)*R10</f>
        <v>0.16789999999999997</v>
      </c>
      <c r="F10" s="1664">
        <f t="shared" ref="F10:F14" si="4">(1+$C$3)*S10</f>
        <v>0.16789999999999997</v>
      </c>
      <c r="G10" s="1665">
        <f t="shared" ref="G10:G14" si="5">(1+$C$3)*T10</f>
        <v>0.21849999999999997</v>
      </c>
      <c r="H10" s="1665">
        <f t="shared" ref="H10:H14" si="6">(1+$C$3)*U10</f>
        <v>0.21849999999999997</v>
      </c>
      <c r="I10" s="1665">
        <f t="shared" ref="I10:I14" si="7">(1+$C$3)*V10</f>
        <v>0.21849999999999997</v>
      </c>
      <c r="J10" s="1665">
        <f t="shared" ref="J10:J14" si="8">(1+$C$3)*W10</f>
        <v>0.27599999999999997</v>
      </c>
      <c r="K10" s="1665">
        <f t="shared" ref="K10:K14" si="9">(1+$C$3)*X10</f>
        <v>0.27599999999999997</v>
      </c>
      <c r="L10" s="1665">
        <f t="shared" ref="L10:L14" si="10">(1+$C$3)*Y10</f>
        <v>0.27599999999999997</v>
      </c>
      <c r="N10" s="1662" t="s">
        <v>3785</v>
      </c>
      <c r="O10" s="1666" t="s">
        <v>1194</v>
      </c>
      <c r="P10" s="1664">
        <v>0.14599999999999999</v>
      </c>
      <c r="Q10" s="1664">
        <v>0.14599999999999999</v>
      </c>
      <c r="R10" s="1664">
        <v>0.14599999999999999</v>
      </c>
      <c r="S10" s="1664">
        <v>0.14599999999999999</v>
      </c>
      <c r="T10" s="1665">
        <v>0.19</v>
      </c>
      <c r="U10" s="1665">
        <v>0.19</v>
      </c>
      <c r="V10" s="1665">
        <v>0.19</v>
      </c>
      <c r="W10" s="1665">
        <v>0.24</v>
      </c>
      <c r="X10" s="1665">
        <v>0.24</v>
      </c>
      <c r="Y10" s="1665">
        <v>0.24</v>
      </c>
    </row>
    <row r="11" spans="1:25">
      <c r="A11" s="1662" t="s">
        <v>3785</v>
      </c>
      <c r="B11" s="1666" t="s">
        <v>1195</v>
      </c>
      <c r="C11" s="1664">
        <f t="shared" si="1"/>
        <v>0.16789999999999997</v>
      </c>
      <c r="D11" s="1664">
        <f t="shared" si="2"/>
        <v>0.16789999999999997</v>
      </c>
      <c r="E11" s="1664">
        <f t="shared" si="3"/>
        <v>0.16789999999999997</v>
      </c>
      <c r="F11" s="1664">
        <f t="shared" si="4"/>
        <v>0.16789999999999997</v>
      </c>
      <c r="G11" s="1665">
        <f t="shared" si="5"/>
        <v>0.21849999999999997</v>
      </c>
      <c r="H11" s="1665">
        <f t="shared" si="6"/>
        <v>0.21849999999999997</v>
      </c>
      <c r="I11" s="1665">
        <f t="shared" si="7"/>
        <v>0.21849999999999997</v>
      </c>
      <c r="J11" s="1665">
        <f t="shared" si="8"/>
        <v>0.27599999999999997</v>
      </c>
      <c r="K11" s="1665">
        <f t="shared" si="9"/>
        <v>0.27599999999999997</v>
      </c>
      <c r="L11" s="1665">
        <f t="shared" si="10"/>
        <v>0.27599999999999997</v>
      </c>
      <c r="N11" s="1662" t="s">
        <v>3785</v>
      </c>
      <c r="O11" s="1666" t="s">
        <v>1195</v>
      </c>
      <c r="P11" s="1664">
        <v>0.14599999999999999</v>
      </c>
      <c r="Q11" s="1664">
        <v>0.14599999999999999</v>
      </c>
      <c r="R11" s="1664">
        <v>0.14599999999999999</v>
      </c>
      <c r="S11" s="1664">
        <v>0.14599999999999999</v>
      </c>
      <c r="T11" s="1665">
        <v>0.19</v>
      </c>
      <c r="U11" s="1665">
        <v>0.19</v>
      </c>
      <c r="V11" s="1665">
        <v>0.19</v>
      </c>
      <c r="W11" s="1665">
        <v>0.24</v>
      </c>
      <c r="X11" s="1665">
        <v>0.24</v>
      </c>
      <c r="Y11" s="1665">
        <v>0.24</v>
      </c>
    </row>
    <row r="12" spans="1:25">
      <c r="A12" s="1662">
        <v>4</v>
      </c>
      <c r="B12" s="1541" t="s">
        <v>1161</v>
      </c>
      <c r="C12" s="1664">
        <f t="shared" si="1"/>
        <v>0.29899999999999999</v>
      </c>
      <c r="D12" s="1664">
        <f t="shared" si="2"/>
        <v>0.29899999999999999</v>
      </c>
      <c r="E12" s="1664">
        <f t="shared" si="3"/>
        <v>0.29899999999999999</v>
      </c>
      <c r="F12" s="1664">
        <f t="shared" si="4"/>
        <v>0.29899999999999999</v>
      </c>
      <c r="G12" s="1665">
        <f t="shared" si="5"/>
        <v>0.35649999999999998</v>
      </c>
      <c r="H12" s="1665">
        <f t="shared" si="6"/>
        <v>0.35649999999999998</v>
      </c>
      <c r="I12" s="1665">
        <f t="shared" si="7"/>
        <v>0.35649999999999998</v>
      </c>
      <c r="J12" s="1665">
        <f t="shared" si="8"/>
        <v>0.5635</v>
      </c>
      <c r="K12" s="1665">
        <f t="shared" si="9"/>
        <v>0.5635</v>
      </c>
      <c r="L12" s="1665">
        <f t="shared" si="10"/>
        <v>0.5635</v>
      </c>
      <c r="N12" s="1662">
        <v>4</v>
      </c>
      <c r="O12" s="1541" t="s">
        <v>1161</v>
      </c>
      <c r="P12" s="1664">
        <v>0.26</v>
      </c>
      <c r="Q12" s="1664">
        <v>0.26</v>
      </c>
      <c r="R12" s="1664">
        <v>0.26</v>
      </c>
      <c r="S12" s="1664">
        <v>0.26</v>
      </c>
      <c r="T12" s="1665">
        <v>0.31</v>
      </c>
      <c r="U12" s="1665">
        <v>0.31</v>
      </c>
      <c r="V12" s="1665">
        <v>0.31</v>
      </c>
      <c r="W12" s="1665">
        <v>0.49</v>
      </c>
      <c r="X12" s="1665">
        <v>0.49</v>
      </c>
      <c r="Y12" s="1665">
        <v>0.49</v>
      </c>
    </row>
    <row r="13" spans="1:25">
      <c r="A13" s="1662" t="s">
        <v>3786</v>
      </c>
      <c r="B13" s="1663" t="s">
        <v>1162</v>
      </c>
      <c r="C13" s="1664">
        <f t="shared" si="1"/>
        <v>0.33349999999999996</v>
      </c>
      <c r="D13" s="1664">
        <f t="shared" si="2"/>
        <v>0.33349999999999996</v>
      </c>
      <c r="E13" s="1664">
        <f t="shared" si="3"/>
        <v>0.33349999999999996</v>
      </c>
      <c r="F13" s="1664">
        <f t="shared" si="4"/>
        <v>0.33349999999999996</v>
      </c>
      <c r="G13" s="1665">
        <f t="shared" si="5"/>
        <v>0.39100000000000001</v>
      </c>
      <c r="H13" s="1665">
        <f t="shared" si="6"/>
        <v>0.39100000000000001</v>
      </c>
      <c r="I13" s="1665">
        <f t="shared" si="7"/>
        <v>0.39100000000000001</v>
      </c>
      <c r="J13" s="1665">
        <f t="shared" si="8"/>
        <v>0.63249999999999995</v>
      </c>
      <c r="K13" s="1665">
        <f t="shared" si="9"/>
        <v>0.63249999999999995</v>
      </c>
      <c r="L13" s="1665">
        <f t="shared" si="10"/>
        <v>0.63249999999999995</v>
      </c>
      <c r="N13" s="1662" t="s">
        <v>3786</v>
      </c>
      <c r="O13" s="1663" t="s">
        <v>1162</v>
      </c>
      <c r="P13" s="1664">
        <v>0.28999999999999998</v>
      </c>
      <c r="Q13" s="1664">
        <v>0.28999999999999998</v>
      </c>
      <c r="R13" s="1664">
        <v>0.28999999999999998</v>
      </c>
      <c r="S13" s="1664">
        <v>0.28999999999999998</v>
      </c>
      <c r="T13" s="1665">
        <v>0.34</v>
      </c>
      <c r="U13" s="1665">
        <v>0.34</v>
      </c>
      <c r="V13" s="1665">
        <v>0.34</v>
      </c>
      <c r="W13" s="1665">
        <v>0.55000000000000004</v>
      </c>
      <c r="X13" s="1665">
        <v>0.55000000000000004</v>
      </c>
      <c r="Y13" s="1665">
        <v>0.55000000000000004</v>
      </c>
    </row>
    <row r="14" spans="1:25">
      <c r="A14" s="1662" t="s">
        <v>3786</v>
      </c>
      <c r="B14" s="1541" t="s">
        <v>1150</v>
      </c>
      <c r="C14" s="1664">
        <f t="shared" si="1"/>
        <v>0.33349999999999996</v>
      </c>
      <c r="D14" s="1664">
        <f t="shared" si="2"/>
        <v>0.33349999999999996</v>
      </c>
      <c r="E14" s="1664">
        <f t="shared" si="3"/>
        <v>0.33349999999999996</v>
      </c>
      <c r="F14" s="1664">
        <f t="shared" si="4"/>
        <v>0.33349999999999996</v>
      </c>
      <c r="G14" s="1665">
        <f t="shared" si="5"/>
        <v>0.39100000000000001</v>
      </c>
      <c r="H14" s="1665">
        <f t="shared" si="6"/>
        <v>0.39100000000000001</v>
      </c>
      <c r="I14" s="1665">
        <f t="shared" si="7"/>
        <v>0.39100000000000001</v>
      </c>
      <c r="J14" s="1665">
        <f t="shared" si="8"/>
        <v>0.63249999999999995</v>
      </c>
      <c r="K14" s="1665">
        <f t="shared" si="9"/>
        <v>0.63249999999999995</v>
      </c>
      <c r="L14" s="1665">
        <f t="shared" si="10"/>
        <v>0.63249999999999995</v>
      </c>
      <c r="N14" s="1662" t="s">
        <v>3786</v>
      </c>
      <c r="O14" s="1541" t="s">
        <v>1150</v>
      </c>
      <c r="P14" s="1664">
        <v>0.28999999999999998</v>
      </c>
      <c r="Q14" s="1664">
        <v>0.28999999999999998</v>
      </c>
      <c r="R14" s="1664">
        <v>0.28999999999999998</v>
      </c>
      <c r="S14" s="1664">
        <v>0.28999999999999998</v>
      </c>
      <c r="T14" s="1665">
        <v>0.34</v>
      </c>
      <c r="U14" s="1665">
        <v>0.34</v>
      </c>
      <c r="V14" s="1665">
        <v>0.34</v>
      </c>
      <c r="W14" s="1665">
        <v>0.55000000000000004</v>
      </c>
      <c r="X14" s="1665">
        <v>0.55000000000000004</v>
      </c>
      <c r="Y14" s="1665">
        <v>0.55000000000000004</v>
      </c>
    </row>
    <row r="16" spans="1:25">
      <c r="B16" s="1711" t="s">
        <v>3924</v>
      </c>
      <c r="C16" s="1661">
        <v>0.15</v>
      </c>
    </row>
    <row r="17" spans="1:23">
      <c r="A17" t="s">
        <v>3321</v>
      </c>
      <c r="C17">
        <v>0.2</v>
      </c>
      <c r="G17" s="1520"/>
      <c r="H17" s="1520"/>
      <c r="I17" s="1520"/>
      <c r="J17" s="1520"/>
      <c r="K17" s="1520"/>
      <c r="L17" s="1520"/>
    </row>
    <row r="18" spans="1:23">
      <c r="A18" s="1521" t="s">
        <v>3787</v>
      </c>
      <c r="B18" s="1521"/>
      <c r="C18" s="1533" t="s">
        <v>3788</v>
      </c>
      <c r="D18" s="1534"/>
      <c r="E18" s="1534"/>
      <c r="F18" s="1534"/>
      <c r="G18" s="1534"/>
      <c r="H18" s="1534"/>
      <c r="I18" s="1534"/>
      <c r="J18" s="1534"/>
      <c r="K18" s="1534"/>
      <c r="L18" s="1535"/>
      <c r="N18" s="2604" t="s">
        <v>3788</v>
      </c>
      <c r="O18" s="2605"/>
      <c r="P18" s="2605"/>
      <c r="Q18" s="2605"/>
      <c r="R18" s="2605"/>
      <c r="S18" s="2605"/>
      <c r="T18" s="2605"/>
      <c r="U18" s="2605"/>
      <c r="V18" s="2605"/>
      <c r="W18" s="2606"/>
    </row>
    <row r="19" spans="1:23" ht="60">
      <c r="A19" s="1522" t="s">
        <v>3315</v>
      </c>
      <c r="B19" s="1522"/>
      <c r="C19" s="1546" t="s">
        <v>3782</v>
      </c>
      <c r="D19" s="1546" t="s">
        <v>3782</v>
      </c>
      <c r="E19" s="1546" t="s">
        <v>3782</v>
      </c>
      <c r="F19" s="1546" t="s">
        <v>3782</v>
      </c>
      <c r="G19" s="1547" t="s">
        <v>3783</v>
      </c>
      <c r="H19" s="1547" t="s">
        <v>3783</v>
      </c>
      <c r="I19" s="1547" t="s">
        <v>3783</v>
      </c>
      <c r="J19" s="1548" t="s">
        <v>3784</v>
      </c>
      <c r="K19" s="1548" t="s">
        <v>3784</v>
      </c>
      <c r="L19" s="1548" t="s">
        <v>3784</v>
      </c>
      <c r="N19" s="1546" t="s">
        <v>3782</v>
      </c>
      <c r="O19" s="1546" t="s">
        <v>3782</v>
      </c>
      <c r="P19" s="1546" t="s">
        <v>3782</v>
      </c>
      <c r="Q19" s="1546" t="s">
        <v>3782</v>
      </c>
      <c r="R19" s="1547" t="s">
        <v>3783</v>
      </c>
      <c r="S19" s="1547" t="s">
        <v>3783</v>
      </c>
      <c r="T19" s="1547" t="s">
        <v>3783</v>
      </c>
      <c r="U19" s="1548" t="s">
        <v>3784</v>
      </c>
      <c r="V19" s="1548" t="s">
        <v>3784</v>
      </c>
      <c r="W19" s="1548" t="s">
        <v>3784</v>
      </c>
    </row>
    <row r="20" spans="1:23">
      <c r="A20" s="1522"/>
      <c r="B20" s="1525"/>
      <c r="C20" s="1694" t="s">
        <v>3948</v>
      </c>
      <c r="D20" s="1694" t="s">
        <v>3949</v>
      </c>
      <c r="E20" s="1694" t="s">
        <v>3946</v>
      </c>
      <c r="F20" s="1695" t="s">
        <v>3950</v>
      </c>
      <c r="G20" s="1694" t="s">
        <v>3947</v>
      </c>
      <c r="H20" s="1696" t="s">
        <v>3951</v>
      </c>
      <c r="I20" s="1697" t="s">
        <v>3952</v>
      </c>
      <c r="J20" s="1697" t="s">
        <v>3953</v>
      </c>
      <c r="K20" s="1697" t="s">
        <v>3954</v>
      </c>
      <c r="L20" s="1697" t="s">
        <v>3955</v>
      </c>
      <c r="N20" s="1694" t="s">
        <v>3948</v>
      </c>
      <c r="O20" s="1694" t="s">
        <v>3949</v>
      </c>
      <c r="P20" s="1694" t="s">
        <v>3946</v>
      </c>
      <c r="Q20" s="1695" t="s">
        <v>3950</v>
      </c>
      <c r="R20" s="1694" t="s">
        <v>3947</v>
      </c>
      <c r="S20" s="1696" t="s">
        <v>3951</v>
      </c>
      <c r="T20" s="1697" t="s">
        <v>3952</v>
      </c>
      <c r="U20" s="1697" t="s">
        <v>3953</v>
      </c>
      <c r="V20" s="1697" t="s">
        <v>3954</v>
      </c>
      <c r="W20" s="1697" t="s">
        <v>3955</v>
      </c>
    </row>
    <row r="21" spans="1:23">
      <c r="A21" s="67">
        <v>1</v>
      </c>
      <c r="B21" s="1542" t="s">
        <v>1155</v>
      </c>
      <c r="C21" s="1523">
        <f>N21*(1+$C$16)</f>
        <v>0.22999999999999998</v>
      </c>
      <c r="D21" s="1523">
        <f t="shared" ref="D21:L26" si="11">O21*(1+$C$16)</f>
        <v>0.22999999999999998</v>
      </c>
      <c r="E21" s="1523">
        <f t="shared" si="11"/>
        <v>0.22999999999999998</v>
      </c>
      <c r="F21" s="1523">
        <f t="shared" si="11"/>
        <v>0.22999999999999998</v>
      </c>
      <c r="G21" s="1523">
        <f t="shared" si="11"/>
        <v>0.26449999999999996</v>
      </c>
      <c r="H21" s="1523">
        <f t="shared" si="11"/>
        <v>0.26449999999999996</v>
      </c>
      <c r="I21" s="1523">
        <f t="shared" si="11"/>
        <v>0.26449999999999996</v>
      </c>
      <c r="J21" s="1523">
        <f t="shared" si="11"/>
        <v>0.33349999999999996</v>
      </c>
      <c r="K21" s="1523">
        <f t="shared" si="11"/>
        <v>0.33349999999999996</v>
      </c>
      <c r="L21" s="1523">
        <f t="shared" si="11"/>
        <v>0.33349999999999996</v>
      </c>
      <c r="N21" s="1523">
        <v>0.2</v>
      </c>
      <c r="O21" s="1523">
        <v>0.2</v>
      </c>
      <c r="P21" s="1523">
        <v>0.2</v>
      </c>
      <c r="Q21" s="1523">
        <v>0.2</v>
      </c>
      <c r="R21" s="1538">
        <v>0.22999999999999998</v>
      </c>
      <c r="S21" s="1538">
        <v>0.22999999999999998</v>
      </c>
      <c r="T21" s="1538">
        <v>0.22999999999999998</v>
      </c>
      <c r="U21" s="1549">
        <v>0.28999999999999998</v>
      </c>
      <c r="V21" s="1549">
        <v>0.28999999999999998</v>
      </c>
      <c r="W21" s="1549">
        <v>0.28999999999999998</v>
      </c>
    </row>
    <row r="22" spans="1:23">
      <c r="A22" s="67" t="s">
        <v>3785</v>
      </c>
      <c r="B22" s="1543" t="s">
        <v>1194</v>
      </c>
      <c r="C22" s="1523">
        <f t="shared" ref="C22:C26" si="12">N22*(1+$C$16)</f>
        <v>0.29899999999999999</v>
      </c>
      <c r="D22" s="1523">
        <f t="shared" si="11"/>
        <v>0.29899999999999999</v>
      </c>
      <c r="E22" s="1523">
        <f t="shared" si="11"/>
        <v>0.29899999999999999</v>
      </c>
      <c r="F22" s="1523">
        <f t="shared" si="11"/>
        <v>0.29899999999999999</v>
      </c>
      <c r="G22" s="1523">
        <f t="shared" si="11"/>
        <v>0.33349999999999996</v>
      </c>
      <c r="H22" s="1523">
        <f t="shared" si="11"/>
        <v>0.33349999999999996</v>
      </c>
      <c r="I22" s="1523">
        <f t="shared" si="11"/>
        <v>0.33349999999999996</v>
      </c>
      <c r="J22" s="1523">
        <f t="shared" si="11"/>
        <v>0.40249999999999997</v>
      </c>
      <c r="K22" s="1523">
        <f t="shared" si="11"/>
        <v>0.40249999999999997</v>
      </c>
      <c r="L22" s="1523">
        <f t="shared" si="11"/>
        <v>0.40249999999999997</v>
      </c>
      <c r="N22" s="1523">
        <v>0.26</v>
      </c>
      <c r="O22" s="1523">
        <v>0.26</v>
      </c>
      <c r="P22" s="1523">
        <v>0.26</v>
      </c>
      <c r="Q22" s="1523">
        <v>0.26</v>
      </c>
      <c r="R22" s="1538">
        <v>0.28999999999999998</v>
      </c>
      <c r="S22" s="1538">
        <v>0.28999999999999998</v>
      </c>
      <c r="T22" s="1538">
        <v>0.28999999999999998</v>
      </c>
      <c r="U22" s="1549">
        <v>0.35</v>
      </c>
      <c r="V22" s="1549">
        <v>0.35</v>
      </c>
      <c r="W22" s="1549">
        <v>0.35</v>
      </c>
    </row>
    <row r="23" spans="1:23">
      <c r="A23" s="67" t="s">
        <v>3785</v>
      </c>
      <c r="B23" s="1543" t="s">
        <v>1195</v>
      </c>
      <c r="C23" s="1523">
        <f t="shared" si="12"/>
        <v>0.29899999999999999</v>
      </c>
      <c r="D23" s="1523">
        <f t="shared" si="11"/>
        <v>0.29899999999999999</v>
      </c>
      <c r="E23" s="1523">
        <f t="shared" si="11"/>
        <v>0.29899999999999999</v>
      </c>
      <c r="F23" s="1523">
        <f t="shared" si="11"/>
        <v>0.29899999999999999</v>
      </c>
      <c r="G23" s="1523">
        <f t="shared" si="11"/>
        <v>0.33349999999999996</v>
      </c>
      <c r="H23" s="1523">
        <f t="shared" si="11"/>
        <v>0.33349999999999996</v>
      </c>
      <c r="I23" s="1523">
        <f t="shared" si="11"/>
        <v>0.33349999999999996</v>
      </c>
      <c r="J23" s="1523">
        <f t="shared" si="11"/>
        <v>0.40249999999999997</v>
      </c>
      <c r="K23" s="1523">
        <f t="shared" si="11"/>
        <v>0.40249999999999997</v>
      </c>
      <c r="L23" s="1523">
        <f t="shared" si="11"/>
        <v>0.40249999999999997</v>
      </c>
      <c r="N23" s="1523">
        <v>0.26</v>
      </c>
      <c r="O23" s="1523">
        <v>0.26</v>
      </c>
      <c r="P23" s="1523">
        <v>0.26</v>
      </c>
      <c r="Q23" s="1523">
        <v>0.26</v>
      </c>
      <c r="R23" s="1538">
        <v>0.28999999999999998</v>
      </c>
      <c r="S23" s="1538">
        <v>0.28999999999999998</v>
      </c>
      <c r="T23" s="1538">
        <v>0.28999999999999998</v>
      </c>
      <c r="U23" s="1549">
        <v>0.35</v>
      </c>
      <c r="V23" s="1549">
        <v>0.35</v>
      </c>
      <c r="W23" s="1549">
        <v>0.35</v>
      </c>
    </row>
    <row r="24" spans="1:23">
      <c r="A24" s="67">
        <v>4</v>
      </c>
      <c r="B24" s="1544" t="s">
        <v>1161</v>
      </c>
      <c r="C24" s="1523">
        <f t="shared" si="12"/>
        <v>0.43699999999999994</v>
      </c>
      <c r="D24" s="1523">
        <f t="shared" si="11"/>
        <v>0.43699999999999994</v>
      </c>
      <c r="E24" s="1523">
        <f t="shared" si="11"/>
        <v>0.43699999999999994</v>
      </c>
      <c r="F24" s="1523">
        <f t="shared" si="11"/>
        <v>0.43699999999999994</v>
      </c>
      <c r="G24" s="1523">
        <f t="shared" si="11"/>
        <v>0.50600000000000001</v>
      </c>
      <c r="H24" s="1523">
        <f t="shared" si="11"/>
        <v>0.50600000000000001</v>
      </c>
      <c r="I24" s="1523">
        <f t="shared" si="11"/>
        <v>0.50600000000000001</v>
      </c>
      <c r="J24" s="1523">
        <f t="shared" si="11"/>
        <v>0.74749999999999994</v>
      </c>
      <c r="K24" s="1523">
        <f t="shared" si="11"/>
        <v>0.74749999999999994</v>
      </c>
      <c r="L24" s="1523">
        <f t="shared" si="11"/>
        <v>0.74749999999999994</v>
      </c>
      <c r="N24" s="1523">
        <v>0.38</v>
      </c>
      <c r="O24" s="1523">
        <v>0.38</v>
      </c>
      <c r="P24" s="1523">
        <v>0.38</v>
      </c>
      <c r="Q24" s="1523">
        <v>0.38</v>
      </c>
      <c r="R24" s="1538">
        <v>0.44</v>
      </c>
      <c r="S24" s="1538">
        <v>0.44</v>
      </c>
      <c r="T24" s="1538">
        <v>0.44</v>
      </c>
      <c r="U24" s="1549">
        <v>0.65</v>
      </c>
      <c r="V24" s="1549">
        <v>0.65</v>
      </c>
      <c r="W24" s="1549">
        <v>0.65</v>
      </c>
    </row>
    <row r="25" spans="1:23">
      <c r="A25" s="68" t="s">
        <v>3786</v>
      </c>
      <c r="B25" s="1545" t="s">
        <v>1162</v>
      </c>
      <c r="C25" s="1524">
        <f t="shared" si="12"/>
        <v>0.47149999999999992</v>
      </c>
      <c r="D25" s="1524">
        <f t="shared" si="11"/>
        <v>0.47149999999999992</v>
      </c>
      <c r="E25" s="1524">
        <f t="shared" si="11"/>
        <v>0.47149999999999992</v>
      </c>
      <c r="F25" s="1524">
        <f t="shared" si="11"/>
        <v>0.47149999999999992</v>
      </c>
      <c r="G25" s="1524">
        <f t="shared" si="11"/>
        <v>0.55199999999999982</v>
      </c>
      <c r="H25" s="1524">
        <f t="shared" si="11"/>
        <v>0.55199999999999982</v>
      </c>
      <c r="I25" s="1524">
        <f t="shared" si="11"/>
        <v>0.55199999999999982</v>
      </c>
      <c r="J25" s="1524">
        <f t="shared" si="11"/>
        <v>0.83949999999999991</v>
      </c>
      <c r="K25" s="1524">
        <f t="shared" si="11"/>
        <v>0.83949999999999991</v>
      </c>
      <c r="L25" s="1524">
        <f t="shared" si="11"/>
        <v>0.83949999999999991</v>
      </c>
      <c r="N25" s="1524">
        <v>0.41</v>
      </c>
      <c r="O25" s="1524">
        <v>0.41</v>
      </c>
      <c r="P25" s="1524">
        <v>0.41</v>
      </c>
      <c r="Q25" s="1524">
        <v>0.41</v>
      </c>
      <c r="R25" s="1539">
        <v>0.47999999999999993</v>
      </c>
      <c r="S25" s="1539">
        <v>0.47999999999999993</v>
      </c>
      <c r="T25" s="1539">
        <v>0.47999999999999993</v>
      </c>
      <c r="U25" s="1550">
        <v>0.73</v>
      </c>
      <c r="V25" s="1550">
        <v>0.73</v>
      </c>
      <c r="W25" s="1550">
        <v>0.73</v>
      </c>
    </row>
    <row r="26" spans="1:23">
      <c r="A26" s="68" t="s">
        <v>3786</v>
      </c>
      <c r="B26" s="1541" t="s">
        <v>1150</v>
      </c>
      <c r="C26" s="1524">
        <f t="shared" si="12"/>
        <v>0.47149999999999992</v>
      </c>
      <c r="D26" s="1524">
        <f t="shared" si="11"/>
        <v>0.47149999999999992</v>
      </c>
      <c r="E26" s="1524">
        <f t="shared" si="11"/>
        <v>0.47149999999999992</v>
      </c>
      <c r="F26" s="1524">
        <f t="shared" si="11"/>
        <v>0.47149999999999992</v>
      </c>
      <c r="G26" s="1524">
        <f t="shared" si="11"/>
        <v>0.55199999999999982</v>
      </c>
      <c r="H26" s="1524">
        <f t="shared" si="11"/>
        <v>0.55199999999999982</v>
      </c>
      <c r="I26" s="1524">
        <f t="shared" si="11"/>
        <v>0.55199999999999982</v>
      </c>
      <c r="J26" s="1524">
        <f t="shared" si="11"/>
        <v>0.83949999999999991</v>
      </c>
      <c r="K26" s="1524">
        <f t="shared" si="11"/>
        <v>0.83949999999999991</v>
      </c>
      <c r="L26" s="1524">
        <f>W26*(1+$C$16)</f>
        <v>0.83949999999999991</v>
      </c>
      <c r="N26" s="1524">
        <v>0.41</v>
      </c>
      <c r="O26" s="1524">
        <v>0.41</v>
      </c>
      <c r="P26" s="1524">
        <v>0.41</v>
      </c>
      <c r="Q26" s="1524">
        <v>0.41</v>
      </c>
      <c r="R26" s="1539">
        <v>0.47999999999999993</v>
      </c>
      <c r="S26" s="1539">
        <v>0.47999999999999993</v>
      </c>
      <c r="T26" s="1539">
        <v>0.47999999999999993</v>
      </c>
      <c r="U26" s="1550">
        <v>0.73</v>
      </c>
      <c r="V26" s="1550">
        <v>0.73</v>
      </c>
      <c r="W26" s="1550">
        <v>0.73</v>
      </c>
    </row>
    <row r="27" spans="1:23">
      <c r="J27" s="3056"/>
    </row>
    <row r="31" spans="1:23">
      <c r="B31" s="1459" t="s">
        <v>3999</v>
      </c>
      <c r="I31" s="1459" t="s">
        <v>4000</v>
      </c>
    </row>
    <row r="32" spans="1:23">
      <c r="B32" s="1459"/>
    </row>
    <row r="33" spans="2:3">
      <c r="B33">
        <v>1531</v>
      </c>
      <c r="C33" s="1711" t="s">
        <v>4001</v>
      </c>
    </row>
    <row r="34" spans="2:3">
      <c r="B34">
        <v>1532</v>
      </c>
      <c r="C34" s="1711" t="s">
        <v>4001</v>
      </c>
    </row>
    <row r="35" spans="2:3">
      <c r="B35">
        <v>1533</v>
      </c>
      <c r="C35" s="1711" t="s">
        <v>4001</v>
      </c>
    </row>
    <row r="36" spans="2:3">
      <c r="B36">
        <v>1536</v>
      </c>
      <c r="C36" s="1711" t="s">
        <v>4001</v>
      </c>
    </row>
    <row r="37" spans="2:3">
      <c r="B37">
        <v>1537</v>
      </c>
      <c r="C37" s="1711" t="s">
        <v>4001</v>
      </c>
    </row>
    <row r="38" spans="2:3">
      <c r="B38">
        <v>1712</v>
      </c>
      <c r="C38" s="1711" t="s">
        <v>4001</v>
      </c>
    </row>
    <row r="39" spans="2:3">
      <c r="B39">
        <v>1719</v>
      </c>
      <c r="C39" s="1711" t="s">
        <v>4001</v>
      </c>
    </row>
    <row r="40" spans="2:3">
      <c r="B40">
        <v>1741</v>
      </c>
      <c r="C40" s="1711" t="s">
        <v>4001</v>
      </c>
    </row>
    <row r="41" spans="2:3">
      <c r="B41">
        <v>1742</v>
      </c>
      <c r="C41" s="1711" t="s">
        <v>4001</v>
      </c>
    </row>
    <row r="42" spans="2:3">
      <c r="B42">
        <v>1751</v>
      </c>
      <c r="C42" s="1711" t="s">
        <v>4001</v>
      </c>
    </row>
    <row r="43" spans="2:3">
      <c r="B43">
        <v>1752</v>
      </c>
      <c r="C43" s="1711" t="s">
        <v>4001</v>
      </c>
    </row>
    <row r="44" spans="2:3">
      <c r="B44">
        <v>1761</v>
      </c>
      <c r="C44" s="1711" t="s">
        <v>4001</v>
      </c>
    </row>
    <row r="45" spans="2:3">
      <c r="B45">
        <v>1762</v>
      </c>
      <c r="C45" s="1711" t="s">
        <v>4001</v>
      </c>
    </row>
    <row r="46" spans="2:3">
      <c r="B46">
        <v>1763</v>
      </c>
      <c r="C46" s="1711" t="s">
        <v>4001</v>
      </c>
    </row>
    <row r="47" spans="2:3">
      <c r="B47">
        <v>1764</v>
      </c>
      <c r="C47" s="1711" t="s">
        <v>4001</v>
      </c>
    </row>
    <row r="48" spans="2:3">
      <c r="B48">
        <v>1765</v>
      </c>
      <c r="C48" s="1711" t="s">
        <v>4001</v>
      </c>
    </row>
    <row r="49" spans="2:3">
      <c r="B49">
        <v>7395</v>
      </c>
      <c r="C49" s="1711" t="s">
        <v>4001</v>
      </c>
    </row>
  </sheetData>
  <mergeCells count="2">
    <mergeCell ref="C6:L6"/>
    <mergeCell ref="P6:Y6"/>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9">
    <tabColor rgb="FFFFC000"/>
  </sheetPr>
  <dimension ref="C1:L39"/>
  <sheetViews>
    <sheetView showGridLines="0" zoomScaleNormal="100" workbookViewId="0">
      <selection activeCell="D51" sqref="D51"/>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str">
        <f>LEFT('Input Property info '!D10,3)</f>
        <v>0</v>
      </c>
      <c r="J3" s="521"/>
    </row>
    <row r="4" spans="3:11" s="518" customFormat="1" ht="17.25" customHeight="1">
      <c r="C4" s="522" t="s">
        <v>259</v>
      </c>
      <c r="D4" s="1009" t="e">
        <f>VLOOKUP(LEFT($D$3,1),'PCODES EQ'!$O$2:$P$19,2,FALSE)</f>
        <v>#N/A</v>
      </c>
    </row>
    <row r="5" spans="3:11" s="518" customFormat="1" ht="17.25" customHeight="1">
      <c r="C5" s="522"/>
      <c r="D5" s="1009"/>
    </row>
    <row r="6" spans="3:11" s="523" customFormat="1" ht="17.25" hidden="1" customHeight="1" outlineLevel="1">
      <c r="D6" s="1010"/>
    </row>
    <row r="7" spans="3:11" s="518" customFormat="1" ht="17.25" customHeight="1" collapsed="1">
      <c r="C7" s="520" t="s">
        <v>1300</v>
      </c>
      <c r="D7" s="1007">
        <f>'Input Property info '!$K$10</f>
        <v>0</v>
      </c>
    </row>
    <row r="8" spans="3:11" s="518" customFormat="1" ht="17.25" customHeight="1">
      <c r="C8" s="520" t="s">
        <v>1301</v>
      </c>
      <c r="D8" s="1007" t="str">
        <f>'Input '!G72</f>
        <v>Fire Resistive</v>
      </c>
    </row>
    <row r="9" spans="3:11" ht="17.25" customHeight="1">
      <c r="C9" s="524" t="s">
        <v>1302</v>
      </c>
      <c r="D9" s="1007">
        <f>'Input '!$G$88</f>
        <v>0</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f>Property!$I$89</f>
        <v>0</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#N/A</v>
      </c>
      <c r="G21" s="532" t="e">
        <f>VLOOKUP(PostalCode,'PCODES EQ'!C:J,8,FALSE)</f>
        <v>#N/A</v>
      </c>
      <c r="H21" s="533" t="e">
        <f>VLOOKUP(PostalCode,'PCODES EQ'!C:K,9,FALSE)</f>
        <v>#N/A</v>
      </c>
      <c r="I21" s="533"/>
      <c r="J21" s="534"/>
      <c r="K21" s="533" t="s">
        <v>1318</v>
      </c>
    </row>
    <row r="22" spans="3:12" s="518" customFormat="1" ht="17.25" customHeight="1">
      <c r="D22" s="535" t="s">
        <v>1319</v>
      </c>
      <c r="F22" s="536" t="e">
        <f ca="1">INDIRECT($F$21&amp;"!F4")</f>
        <v>#N/A</v>
      </c>
      <c r="G22" s="536" t="e">
        <f ca="1">INDIRECT(G$21&amp;"!F4")</f>
        <v>#N/A</v>
      </c>
      <c r="H22" s="536"/>
      <c r="I22" s="536" t="e">
        <f>IF(D4="BC","Refer","Follow")</f>
        <v>#N/A</v>
      </c>
      <c r="J22" s="536" t="s">
        <v>1320</v>
      </c>
      <c r="K22" s="536" t="e">
        <f>Algorithm_Temple!F4</f>
        <v>#N/A</v>
      </c>
    </row>
    <row r="23" spans="3:12" s="518" customFormat="1" ht="17.25" hidden="1" customHeight="1" outlineLevel="1">
      <c r="D23" s="535" t="s">
        <v>1321</v>
      </c>
      <c r="F23" s="537" t="e">
        <f ca="1">INDIRECT($F$21&amp;"!F6")</f>
        <v>#N/A</v>
      </c>
      <c r="G23" s="537" t="e">
        <f ca="1">INDIRECT($G$21&amp;"!F6")</f>
        <v>#N/A</v>
      </c>
      <c r="H23" s="537" t="e">
        <f ca="1">INDIRECT(H$21&amp;"!F6")</f>
        <v>#N/A</v>
      </c>
      <c r="I23" s="537" t="e">
        <f>IF(D4="BC","Refer","Follow")</f>
        <v>#N/A</v>
      </c>
      <c r="J23" s="536"/>
      <c r="K23" s="537">
        <f ca="1">INDIRECT(K$21&amp;"!F6")</f>
        <v>1</v>
      </c>
    </row>
    <row r="24" spans="3:12" ht="17.25" customHeight="1" collapsed="1">
      <c r="D24" s="538" t="s">
        <v>1322</v>
      </c>
      <c r="F24" s="539" t="str">
        <f ca="1">IF(Totalinsuredvalue&lt;500000.01,"% deductible to be applied",INDIRECT($F$21&amp;"!F5"))</f>
        <v>% deductible to be applied</v>
      </c>
      <c r="G24" s="539" t="e">
        <f ca="1">INDIRECT($G$21&amp;"!F5")</f>
        <v>#N/A</v>
      </c>
      <c r="H24" s="539"/>
      <c r="I24" s="539" t="e">
        <f>IF(D4="BC","Refer","Follow")</f>
        <v>#N/A</v>
      </c>
      <c r="J24" s="540" t="s">
        <v>1320</v>
      </c>
      <c r="K24" s="539" t="e">
        <f>Algorithm_Temple!F5</f>
        <v>#N/A</v>
      </c>
    </row>
    <row r="25" spans="3:12" ht="17.25" customHeight="1" thickBot="1">
      <c r="D25" s="541" t="s">
        <v>1231</v>
      </c>
      <c r="F25" s="542" t="e">
        <f ca="1">INDIRECT($F$21&amp;"!F2")</f>
        <v>#N/A</v>
      </c>
      <c r="G25" s="542" t="e">
        <f ca="1">INDIRECT($G$21&amp;"!F2")</f>
        <v>#N/A</v>
      </c>
      <c r="H25" s="542" t="e">
        <f ca="1">INDIRECT(H$21&amp;"!F2")</f>
        <v>#N/A</v>
      </c>
      <c r="I25" s="542" t="e">
        <f>IF(D4="BC","Refer","Follow")</f>
        <v>#N/A</v>
      </c>
      <c r="J25" s="542" t="s">
        <v>1320</v>
      </c>
      <c r="K25" s="542" t="s">
        <v>1320</v>
      </c>
      <c r="L25" s="543"/>
    </row>
    <row r="26" spans="3:12" s="544" customFormat="1" ht="29.25" customHeight="1" thickTop="1">
      <c r="D26" s="545" t="s">
        <v>1323</v>
      </c>
      <c r="F26" s="546" t="e">
        <f ca="1">IF(F25="Refer","Refer",F23*F25)</f>
        <v>#N/A</v>
      </c>
      <c r="G26" s="546" t="e">
        <f ca="1">IF(G25="Refer","Refer",G23*G25)</f>
        <v>#N/A</v>
      </c>
      <c r="H26" s="546"/>
      <c r="I26" s="546" t="e">
        <f>IF(I25="Refer","Refer",I25)</f>
        <v>#N/A</v>
      </c>
      <c r="J26" s="546" t="s">
        <v>1320</v>
      </c>
      <c r="K26" s="546" t="s">
        <v>1320</v>
      </c>
    </row>
    <row r="27" spans="3:12" ht="17.25" customHeight="1">
      <c r="C27" s="527"/>
      <c r="F27" s="547"/>
      <c r="G27" s="547"/>
      <c r="H27" s="547"/>
      <c r="I27" s="547"/>
      <c r="J27" s="547"/>
      <c r="K27" s="547"/>
    </row>
    <row r="28" spans="3:12" s="549" customFormat="1" ht="17.25" customHeight="1">
      <c r="C28" s="520" t="s">
        <v>1324</v>
      </c>
      <c r="D28" s="548">
        <f>SUM(F28:K28)</f>
        <v>1</v>
      </c>
      <c r="F28" s="550">
        <v>1</v>
      </c>
      <c r="G28" s="550">
        <v>0</v>
      </c>
      <c r="H28" s="550">
        <v>0</v>
      </c>
      <c r="I28" s="550">
        <v>0</v>
      </c>
      <c r="J28" s="550"/>
      <c r="K28" s="550"/>
    </row>
    <row r="29" spans="3:12" ht="17.25" customHeight="1">
      <c r="F29" s="547"/>
      <c r="G29" s="547"/>
      <c r="H29" s="547"/>
      <c r="I29" s="547"/>
      <c r="J29" s="547"/>
      <c r="K29" s="547"/>
    </row>
    <row r="30" spans="3:12" s="552" customFormat="1" ht="20.25" customHeight="1">
      <c r="C30" s="3606" t="s">
        <v>1325</v>
      </c>
      <c r="D30" s="551" t="s">
        <v>1326</v>
      </c>
      <c r="F30" s="553" t="e">
        <f ca="1">IF(F28=0,0,F22)</f>
        <v>#N/A</v>
      </c>
      <c r="G30" s="553">
        <f>IF(G28=0,0,G22)</f>
        <v>0</v>
      </c>
      <c r="H30" s="553">
        <f>IF(H28=0,0,H22)</f>
        <v>0</v>
      </c>
      <c r="I30" s="553">
        <f>IF($I$28=0,0,IF(I22="Refer","Refer",IF(I22="follow",MAX(F22:H22),MAX(F30:G30))))</f>
        <v>0</v>
      </c>
      <c r="J30" s="553">
        <f>IF($J$28=0,0,IF(J22="Refer","Refer",IF(J22="follow",MAX(F22:G22),MAX(F30:G30))))</f>
        <v>0</v>
      </c>
      <c r="K30" s="553">
        <f>IF($K$28=0,0,IF(SUM(F28:H28)&gt;0,IF(K22="follow",H22,IF(K22&gt;=H22,K22,MAX(F30:H30))),K22))</f>
        <v>0</v>
      </c>
    </row>
    <row r="31" spans="3:12" s="552" customFormat="1" ht="20.25" customHeight="1">
      <c r="C31" s="3606"/>
      <c r="D31" s="551" t="s">
        <v>1327</v>
      </c>
      <c r="F31" s="554" t="str">
        <f ca="1">IF(F28=0,0,F24)</f>
        <v>% deductible to be applied</v>
      </c>
      <c r="G31" s="554">
        <f>IF(G28=0,0,G24)</f>
        <v>0</v>
      </c>
      <c r="H31" s="554">
        <f>IF(H28=0,0,H24)</f>
        <v>0</v>
      </c>
      <c r="I31" s="554">
        <f>IF($I$28=0,0,IF(I24="Refer","Refer",IF(I23="follow",MAX(F24:G24),MAX(F31:G31))))</f>
        <v>0</v>
      </c>
      <c r="J31" s="554">
        <f>IF($J$28=0,0,IF(J24="Refer","Refer",IF(J23="follow",MAX(F24:G24),MAX(F31:G31))))</f>
        <v>0</v>
      </c>
      <c r="K31" s="555">
        <f>IF($K$28=0,0,IF(SUM(F28:H28)&gt;0,IF(K24="follow",H24,IF(K24&gt;=H24,K24,MAX(F31:H31))),K24))</f>
        <v>0</v>
      </c>
    </row>
    <row r="32" spans="3:12" s="552" customFormat="1" ht="20.25" customHeight="1">
      <c r="C32" s="3606"/>
      <c r="D32" s="551" t="s">
        <v>1328</v>
      </c>
      <c r="F32" s="556" t="e">
        <f ca="1">IF(F28=0,0,F26)</f>
        <v>#N/A</v>
      </c>
      <c r="G32" s="556">
        <f>IF(G28=0,0,G26)</f>
        <v>0</v>
      </c>
      <c r="H32" s="556">
        <f>IF(H28=0,0,H26)</f>
        <v>0</v>
      </c>
      <c r="I32" s="557">
        <f>IF($I$28=0,0,IF(I24="Refer","Refer",IF(I24="follow",MIN(F26:G26),MAX(F32:G32))))</f>
        <v>0</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 ca="1">IF(I30="refer", "Refer", MAX($F$30:$K$30))</f>
        <v>#N/A</v>
      </c>
    </row>
    <row r="36" spans="3:11" ht="19.5" customHeight="1">
      <c r="C36" s="3607"/>
      <c r="D36" s="564" t="s">
        <v>1327</v>
      </c>
      <c r="F36" s="1015">
        <f ca="1">IF(I31="refer", "Refer", MAX($F$31:$K$31))</f>
        <v>0</v>
      </c>
    </row>
    <row r="37" spans="3:11" ht="19.5" customHeight="1">
      <c r="C37" s="3607"/>
      <c r="D37" s="564" t="s">
        <v>1328</v>
      </c>
      <c r="F37" s="1016" t="e">
        <f ca="1">IF(I32="refer", "Refer", IF(G32="refer","Refer",MAX($F$32:$K$32)))</f>
        <v>#N/A</v>
      </c>
    </row>
    <row r="39" spans="3:11">
      <c r="F39" s="1019" t="e">
        <f ca="1">F35*100&amp;"% "&amp;"Min $ "&amp;LEFT(F36,3)&amp;",000"</f>
        <v>#N/A</v>
      </c>
    </row>
  </sheetData>
  <autoFilter ref="C1" xr:uid="{00000000-0009-0000-0000-00001D000000}"/>
  <dataConsolidate/>
  <mergeCells count="2">
    <mergeCell ref="C30:C32"/>
    <mergeCell ref="C35:C37"/>
  </mergeCells>
  <conditionalFormatting sqref="D4:D5">
    <cfRule type="expression" dxfId="19" priority="2">
      <formula>#REF!=FALSE</formula>
    </cfRule>
  </conditionalFormatting>
  <conditionalFormatting sqref="F35:F37 F30:K32">
    <cfRule type="cellIs" dxfId="18" priority="1" operator="equal">
      <formula>0</formula>
    </cfRule>
  </conditionalFormatting>
  <pageMargins left="0.7" right="0.7" top="0.75" bottom="0.75" header="0.3" footer="0.3"/>
  <pageSetup scale="60"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0">
    <tabColor rgb="FFFFC000"/>
  </sheetPr>
  <dimension ref="C1:L39"/>
  <sheetViews>
    <sheetView showGridLines="0" zoomScaleNormal="100" workbookViewId="0">
      <selection activeCell="F28" sqref="F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str">
        <f>LEFT('Input Property info '!D11,3)</f>
        <v/>
      </c>
      <c r="J3" s="521"/>
    </row>
    <row r="4" spans="3:11" s="518" customFormat="1" ht="17.25" customHeight="1">
      <c r="C4" s="522" t="s">
        <v>259</v>
      </c>
      <c r="D4" s="1009" t="e">
        <f>VLOOKUP(LEFT($D$3,1),'PCODES EQ'!$O$2:$P$19,2,FALSE)</f>
        <v>#N/A</v>
      </c>
    </row>
    <row r="5" spans="3:11" s="518" customFormat="1" ht="17.25" customHeight="1">
      <c r="C5" s="522"/>
      <c r="D5" s="1009"/>
    </row>
    <row r="6" spans="3:11" s="523" customFormat="1" ht="17.25" hidden="1" customHeight="1" outlineLevel="1">
      <c r="D6" s="1010"/>
    </row>
    <row r="7" spans="3:11" s="518" customFormat="1" ht="17.25" customHeight="1" collapsed="1">
      <c r="C7" s="520" t="s">
        <v>1300</v>
      </c>
      <c r="D7" s="1007">
        <f>'Input Property info '!$K$11</f>
        <v>0</v>
      </c>
    </row>
    <row r="8" spans="3:11" s="518" customFormat="1" ht="17.25" customHeight="1">
      <c r="C8" s="520" t="s">
        <v>1301</v>
      </c>
      <c r="D8" s="1007" t="str">
        <f>'Input Property info '!T11</f>
        <v>Frame</v>
      </c>
    </row>
    <row r="9" spans="3:11" ht="17.25" customHeight="1">
      <c r="C9" s="524" t="s">
        <v>1302</v>
      </c>
      <c r="D9" s="1007">
        <f>'Input Property info '!$I$11</f>
        <v>0</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f>Property!$I$90</f>
        <v>0</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hidden="1" customHeight="1" outlineLevel="1">
      <c r="C21" s="530" t="s">
        <v>1317</v>
      </c>
      <c r="F21" s="532" t="e">
        <f>VLOOKUP(PostalCode,'PCODES EQ'!C:J,7,FALSE)</f>
        <v>#N/A</v>
      </c>
      <c r="G21" s="532" t="e">
        <f>VLOOKUP(PostalCode,'PCODES EQ'!C:J,8,FALSE)</f>
        <v>#N/A</v>
      </c>
      <c r="H21" s="533" t="e">
        <f>VLOOKUP(PostalCode,'PCODES EQ'!C:K,9,FALSE)</f>
        <v>#N/A</v>
      </c>
      <c r="I21" s="533"/>
      <c r="J21" s="534"/>
      <c r="K21" s="533" t="s">
        <v>1318</v>
      </c>
    </row>
    <row r="22" spans="3:12" s="518" customFormat="1" ht="17.25" customHeight="1" collapsed="1">
      <c r="D22" s="535" t="s">
        <v>1319</v>
      </c>
      <c r="F22" s="536" t="e">
        <f ca="1">INDIRECT($F$21&amp;"!F4")</f>
        <v>#N/A</v>
      </c>
      <c r="G22" s="536" t="e">
        <f ca="1">INDIRECT(G$21&amp;"!F4")</f>
        <v>#N/A</v>
      </c>
      <c r="H22" s="536"/>
      <c r="I22" s="536" t="e">
        <f>IF(D4="BC","Refer","Follow")</f>
        <v>#N/A</v>
      </c>
      <c r="J22" s="536" t="s">
        <v>1320</v>
      </c>
      <c r="K22" s="536" t="e">
        <f>Algorithm_Temple!F4</f>
        <v>#N/A</v>
      </c>
    </row>
    <row r="23" spans="3:12" s="518" customFormat="1" ht="17.25" hidden="1" customHeight="1" outlineLevel="1">
      <c r="D23" s="535" t="s">
        <v>1321</v>
      </c>
      <c r="F23" s="537" t="e">
        <f ca="1">INDIRECT($F$21&amp;"!F6")</f>
        <v>#N/A</v>
      </c>
      <c r="G23" s="537" t="e">
        <f ca="1">INDIRECT($G$21&amp;"!F6")</f>
        <v>#N/A</v>
      </c>
      <c r="H23" s="537" t="e">
        <f ca="1">INDIRECT(H$21&amp;"!F6")</f>
        <v>#N/A</v>
      </c>
      <c r="I23" s="537" t="e">
        <f>IF(D4="BC","Refer","Follow")</f>
        <v>#N/A</v>
      </c>
      <c r="J23" s="536"/>
      <c r="K23" s="537">
        <f ca="1">INDIRECT(K$21&amp;"!F6")</f>
        <v>1</v>
      </c>
    </row>
    <row r="24" spans="3:12" ht="17.25" customHeight="1" collapsed="1">
      <c r="D24" s="538" t="s">
        <v>1322</v>
      </c>
      <c r="F24" s="539" t="str">
        <f ca="1">IF(Totalinsuredvalue&lt;500000.01,"% deductible to be applied",INDIRECT($F$21&amp;"!F5"))</f>
        <v>% deductible to be applied</v>
      </c>
      <c r="G24" s="539" t="e">
        <f ca="1">INDIRECT($G$21&amp;"!F5")</f>
        <v>#N/A</v>
      </c>
      <c r="H24" s="539"/>
      <c r="I24" s="539" t="e">
        <f>IF(D4="BC","Refer","Follow")</f>
        <v>#N/A</v>
      </c>
      <c r="J24" s="540" t="s">
        <v>1320</v>
      </c>
      <c r="K24" s="539" t="e">
        <f>Algorithm_Temple!F5</f>
        <v>#N/A</v>
      </c>
    </row>
    <row r="25" spans="3:12" ht="17.25" customHeight="1" thickBot="1">
      <c r="D25" s="541" t="s">
        <v>1231</v>
      </c>
      <c r="F25" s="542" t="e">
        <f ca="1">INDIRECT($F$21&amp;"!F2")</f>
        <v>#N/A</v>
      </c>
      <c r="G25" s="542" t="e">
        <f ca="1">INDIRECT($G$21&amp;"!F2")</f>
        <v>#N/A</v>
      </c>
      <c r="H25" s="542" t="e">
        <f ca="1">INDIRECT(H$21&amp;"!F2")</f>
        <v>#N/A</v>
      </c>
      <c r="I25" s="542" t="e">
        <f>IF(D4="BC","Refer","Follow")</f>
        <v>#N/A</v>
      </c>
      <c r="J25" s="542" t="s">
        <v>1320</v>
      </c>
      <c r="K25" s="542" t="s">
        <v>1320</v>
      </c>
      <c r="L25" s="543"/>
    </row>
    <row r="26" spans="3:12" s="544" customFormat="1" ht="29.25" customHeight="1" thickTop="1">
      <c r="D26" s="545" t="s">
        <v>1323</v>
      </c>
      <c r="F26" s="546" t="e">
        <f ca="1">IF(F25="Refer","Refer",F23*F25)</f>
        <v>#N/A</v>
      </c>
      <c r="G26" s="546" t="e">
        <f ca="1">IF(G25="Refer","Refer",G23*G25)</f>
        <v>#N/A</v>
      </c>
      <c r="H26" s="546"/>
      <c r="I26" s="546" t="e">
        <f>IF(I25="Refer","Refer",I25)</f>
        <v>#N/A</v>
      </c>
      <c r="J26" s="546" t="s">
        <v>1320</v>
      </c>
      <c r="K26" s="546" t="s">
        <v>1320</v>
      </c>
    </row>
    <row r="27" spans="3:12" ht="17.25" customHeight="1">
      <c r="C27" s="527"/>
      <c r="F27" s="547"/>
      <c r="G27" s="547"/>
      <c r="H27" s="547"/>
      <c r="I27" s="547"/>
      <c r="J27" s="547"/>
      <c r="K27" s="547"/>
    </row>
    <row r="28" spans="3:12" s="549" customFormat="1" ht="17.25" customHeight="1">
      <c r="C28" s="520" t="s">
        <v>1324</v>
      </c>
      <c r="D28" s="548">
        <f>SUM(F28:K28)</f>
        <v>1</v>
      </c>
      <c r="F28" s="550">
        <v>1</v>
      </c>
      <c r="G28" s="550">
        <v>0</v>
      </c>
      <c r="H28" s="550">
        <v>0</v>
      </c>
      <c r="I28" s="550">
        <v>0</v>
      </c>
      <c r="J28" s="550"/>
      <c r="K28" s="550"/>
    </row>
    <row r="29" spans="3:12" ht="17.25" customHeight="1">
      <c r="F29" s="547"/>
      <c r="G29" s="547"/>
      <c r="H29" s="547"/>
      <c r="I29" s="547"/>
      <c r="J29" s="547"/>
      <c r="K29" s="547"/>
    </row>
    <row r="30" spans="3:12" s="552" customFormat="1" ht="20.25" customHeight="1">
      <c r="C30" s="3606" t="s">
        <v>1325</v>
      </c>
      <c r="D30" s="551" t="s">
        <v>1326</v>
      </c>
      <c r="F30" s="553" t="e">
        <f ca="1">IF(F28=0,0,F22)</f>
        <v>#N/A</v>
      </c>
      <c r="G30" s="553">
        <f>IF(G28=0,0,G22)</f>
        <v>0</v>
      </c>
      <c r="H30" s="553">
        <f>IF(H28=0,0,H22)</f>
        <v>0</v>
      </c>
      <c r="I30" s="553">
        <f>IF($I$28=0,0,IF(I22="Refer","Refer",IF(I22="follow",MAX(F22:H22),MAX(F30:G30))))</f>
        <v>0</v>
      </c>
      <c r="J30" s="553">
        <f>IF($J$28=0,0,IF(J22="Refer","Refer",IF(J22="follow",MAX(F22:G22),MAX(F30:G30))))</f>
        <v>0</v>
      </c>
      <c r="K30" s="553">
        <f>IF($K$28=0,0,IF(SUM(F28:H28)&gt;0,IF(K22="follow",H22,IF(K22&gt;=H22,K22,MAX(F30:H30))),K22))</f>
        <v>0</v>
      </c>
    </row>
    <row r="31" spans="3:12" s="552" customFormat="1" ht="20.25" customHeight="1">
      <c r="C31" s="3606"/>
      <c r="D31" s="551" t="s">
        <v>1327</v>
      </c>
      <c r="F31" s="554" t="str">
        <f ca="1">IF(F28=0,0,F24)</f>
        <v>% deductible to be applied</v>
      </c>
      <c r="G31" s="554">
        <f>IF(G28=0,0,G24)</f>
        <v>0</v>
      </c>
      <c r="H31" s="554">
        <f>IF(H28=0,0,H24)</f>
        <v>0</v>
      </c>
      <c r="I31" s="554">
        <f>IF($I$28=0,0,IF(I24="Refer","Refer",IF(I23="follow",MAX(F24:G24),MAX(F31:G31))))</f>
        <v>0</v>
      </c>
      <c r="J31" s="554">
        <f>IF($J$28=0,0,IF(J24="Refer","Refer",IF(J23="follow",MAX(F24:G24),MAX(F31:G31))))</f>
        <v>0</v>
      </c>
      <c r="K31" s="555">
        <f>IF($K$28=0,0,IF(SUM(F28:H28)&gt;0,IF(K24="follow",H24,IF(K24&gt;=H24,K24,MAX(F31:H31))),K24))</f>
        <v>0</v>
      </c>
    </row>
    <row r="32" spans="3:12" s="552" customFormat="1" ht="20.25" customHeight="1">
      <c r="C32" s="3606"/>
      <c r="D32" s="551" t="s">
        <v>1328</v>
      </c>
      <c r="F32" s="556" t="e">
        <f ca="1">IF(F28=0,0,F26)</f>
        <v>#N/A</v>
      </c>
      <c r="G32" s="556">
        <f>IF(G28=0,0,G26)</f>
        <v>0</v>
      </c>
      <c r="H32" s="556">
        <f>IF(H28=0,0,H26)</f>
        <v>0</v>
      </c>
      <c r="I32" s="557">
        <f>IF($I$28=0,0,IF(I24="Refer","Refer",IF(I24="follow",MIN(F26:G26),MAX(F32:G32))))</f>
        <v>0</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 ca="1">IF(I30="refer", "Refer", MAX($F$30:$K$30))</f>
        <v>#N/A</v>
      </c>
    </row>
    <row r="36" spans="3:11" ht="19.5" customHeight="1">
      <c r="C36" s="3607"/>
      <c r="D36" s="564" t="s">
        <v>1327</v>
      </c>
      <c r="F36" s="1015">
        <f ca="1">IF(I31="refer", "Refer", MAX($F$31:$K$31))</f>
        <v>0</v>
      </c>
    </row>
    <row r="37" spans="3:11" ht="19.5" customHeight="1">
      <c r="C37" s="3607"/>
      <c r="D37" s="564" t="s">
        <v>1328</v>
      </c>
      <c r="F37" s="1016" t="e">
        <f ca="1">IF(I32="refer", "Refer", IF(G32="refer","Refer",MAX($F$32:$K$32)))</f>
        <v>#N/A</v>
      </c>
    </row>
    <row r="39" spans="3:11">
      <c r="F39" s="1019" t="e">
        <f ca="1">F35*100&amp;"% "&amp;"Min $ "&amp;LEFT(F36,3)&amp;",000"</f>
        <v>#N/A</v>
      </c>
    </row>
  </sheetData>
  <autoFilter ref="C1" xr:uid="{00000000-0009-0000-0000-00001E000000}"/>
  <dataConsolidate/>
  <mergeCells count="2">
    <mergeCell ref="C30:C32"/>
    <mergeCell ref="C35:C37"/>
  </mergeCells>
  <conditionalFormatting sqref="D4:D5">
    <cfRule type="expression" dxfId="17" priority="2">
      <formula>#REF!=FALSE</formula>
    </cfRule>
  </conditionalFormatting>
  <conditionalFormatting sqref="F35:F37 F30:K32">
    <cfRule type="cellIs" dxfId="16" priority="1" operator="equal">
      <formula>0</formula>
    </cfRule>
  </conditionalFormatting>
  <pageMargins left="0.7" right="0.7" top="0.75" bottom="0.75" header="0.3" footer="0.3"/>
  <pageSetup scale="60"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tabColor rgb="FFFFC000"/>
  </sheetPr>
  <dimension ref="C1:L39"/>
  <sheetViews>
    <sheetView showGridLines="0" zoomScaleNormal="100" workbookViewId="0">
      <selection activeCell="F28" sqref="F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str">
        <f>LEFT('Input Property info '!D12,3)</f>
        <v/>
      </c>
      <c r="J3" s="521"/>
    </row>
    <row r="4" spans="3:11" s="518" customFormat="1" ht="17.25" customHeight="1">
      <c r="C4" s="522" t="s">
        <v>259</v>
      </c>
      <c r="D4" s="1009" t="e">
        <f>VLOOKUP(LEFT($D$3,1),'PCODES EQ'!$O$2:$P$19,2,FALSE)</f>
        <v>#N/A</v>
      </c>
    </row>
    <row r="5" spans="3:11" s="518" customFormat="1" ht="17.25" customHeight="1">
      <c r="C5" s="522"/>
      <c r="D5" s="1009"/>
    </row>
    <row r="6" spans="3:11" s="523" customFormat="1" ht="17.25" customHeight="1" outlineLevel="1">
      <c r="D6" s="1010"/>
    </row>
    <row r="7" spans="3:11" s="518" customFormat="1" ht="17.25" customHeight="1">
      <c r="C7" s="520" t="s">
        <v>1300</v>
      </c>
      <c r="D7" s="1007">
        <f>'Input Property info '!$K$12</f>
        <v>0</v>
      </c>
    </row>
    <row r="8" spans="3:11" s="518" customFormat="1" ht="17.25" customHeight="1">
      <c r="C8" s="520" t="s">
        <v>1301</v>
      </c>
      <c r="D8" s="1007" t="str">
        <f>'Input Property info '!T12</f>
        <v>Frame</v>
      </c>
    </row>
    <row r="9" spans="3:11" ht="17.25" customHeight="1">
      <c r="C9" s="524" t="s">
        <v>1302</v>
      </c>
      <c r="D9" s="1007">
        <f>'Input Property info '!$I$12</f>
        <v>0</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f>Property!$I$91</f>
        <v>0</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#N/A</v>
      </c>
      <c r="G21" s="532" t="e">
        <f>VLOOKUP(PostalCode,'PCODES EQ'!C:J,8,FALSE)</f>
        <v>#N/A</v>
      </c>
      <c r="H21" s="533" t="e">
        <f>VLOOKUP(PostalCode,'PCODES EQ'!C:K,9,FALSE)</f>
        <v>#N/A</v>
      </c>
      <c r="I21" s="533"/>
      <c r="J21" s="534"/>
      <c r="K21" s="533" t="s">
        <v>1318</v>
      </c>
    </row>
    <row r="22" spans="3:12" s="518" customFormat="1" ht="17.25" customHeight="1">
      <c r="D22" s="535" t="s">
        <v>1319</v>
      </c>
      <c r="F22" s="536" t="e">
        <f ca="1">INDIRECT($F$21&amp;"!F4")</f>
        <v>#N/A</v>
      </c>
      <c r="G22" s="536" t="e">
        <f ca="1">INDIRECT(G$21&amp;"!F4")</f>
        <v>#N/A</v>
      </c>
      <c r="H22" s="536"/>
      <c r="I22" s="536" t="e">
        <f>IF(D4="BC","Refer","Follow")</f>
        <v>#N/A</v>
      </c>
      <c r="J22" s="536" t="s">
        <v>1320</v>
      </c>
      <c r="K22" s="536" t="e">
        <f>Algorithm_Temple!F4</f>
        <v>#N/A</v>
      </c>
    </row>
    <row r="23" spans="3:12" s="518" customFormat="1" ht="17.25" customHeight="1" outlineLevel="1">
      <c r="D23" s="535" t="s">
        <v>1321</v>
      </c>
      <c r="F23" s="537" t="e">
        <f ca="1">INDIRECT($F$21&amp;"!F6")</f>
        <v>#N/A</v>
      </c>
      <c r="G23" s="537" t="e">
        <f ca="1">INDIRECT($G$21&amp;"!F6")</f>
        <v>#N/A</v>
      </c>
      <c r="H23" s="537" t="e">
        <f ca="1">INDIRECT(H$21&amp;"!F6")</f>
        <v>#N/A</v>
      </c>
      <c r="I23" s="537" t="e">
        <f>IF(D4="BC","Refer","Follow")</f>
        <v>#N/A</v>
      </c>
      <c r="J23" s="536"/>
      <c r="K23" s="537">
        <f ca="1">INDIRECT(K$21&amp;"!F6")</f>
        <v>1</v>
      </c>
    </row>
    <row r="24" spans="3:12" ht="17.25" customHeight="1">
      <c r="D24" s="538" t="s">
        <v>1322</v>
      </c>
      <c r="F24" s="539" t="str">
        <f ca="1">IF(Totalinsuredvalue&lt;500000.01,"% deductible to be applied",INDIRECT($F$21&amp;"!F5"))</f>
        <v>% deductible to be applied</v>
      </c>
      <c r="G24" s="539" t="e">
        <f ca="1">INDIRECT($G$21&amp;"!F5")</f>
        <v>#N/A</v>
      </c>
      <c r="H24" s="539"/>
      <c r="I24" s="539" t="e">
        <f>IF(D4="BC","Refer","Follow")</f>
        <v>#N/A</v>
      </c>
      <c r="J24" s="540" t="s">
        <v>1320</v>
      </c>
      <c r="K24" s="539" t="e">
        <f>Algorithm_Temple!F5</f>
        <v>#N/A</v>
      </c>
    </row>
    <row r="25" spans="3:12" ht="17.25" customHeight="1" thickBot="1">
      <c r="D25" s="541" t="s">
        <v>1231</v>
      </c>
      <c r="F25" s="542" t="e">
        <f ca="1">INDIRECT($F$21&amp;"!F2")</f>
        <v>#N/A</v>
      </c>
      <c r="G25" s="542" t="e">
        <f ca="1">INDIRECT($G$21&amp;"!F2")</f>
        <v>#N/A</v>
      </c>
      <c r="H25" s="542" t="e">
        <f ca="1">INDIRECT(H$21&amp;"!F2")</f>
        <v>#N/A</v>
      </c>
      <c r="I25" s="542" t="e">
        <f>IF(D4="BC","Refer","Follow")</f>
        <v>#N/A</v>
      </c>
      <c r="J25" s="542" t="s">
        <v>1320</v>
      </c>
      <c r="K25" s="542" t="s">
        <v>1320</v>
      </c>
      <c r="L25" s="543"/>
    </row>
    <row r="26" spans="3:12" s="544" customFormat="1" ht="29.25" customHeight="1" thickTop="1">
      <c r="D26" s="545" t="s">
        <v>1323</v>
      </c>
      <c r="F26" s="546" t="e">
        <f ca="1">IF(F25="Refer","Refer",F23*F25)</f>
        <v>#N/A</v>
      </c>
      <c r="G26" s="546" t="e">
        <f ca="1">IF(G25="Refer","Refer",G23*G25)</f>
        <v>#N/A</v>
      </c>
      <c r="H26" s="546"/>
      <c r="I26" s="546" t="e">
        <f>IF(I25="Refer","Refer",I25)</f>
        <v>#N/A</v>
      </c>
      <c r="J26" s="546" t="s">
        <v>1320</v>
      </c>
      <c r="K26" s="546" t="s">
        <v>1320</v>
      </c>
    </row>
    <row r="27" spans="3:12" ht="17.25" customHeight="1">
      <c r="C27" s="527"/>
      <c r="F27" s="547"/>
      <c r="G27" s="547"/>
      <c r="H27" s="547"/>
      <c r="I27" s="547"/>
      <c r="J27" s="547"/>
      <c r="K27" s="547"/>
    </row>
    <row r="28" spans="3:12" s="549" customFormat="1" ht="17.25" customHeight="1">
      <c r="C28" s="520" t="s">
        <v>1324</v>
      </c>
      <c r="D28" s="548">
        <f>SUM(F28:K28)</f>
        <v>1</v>
      </c>
      <c r="F28" s="550">
        <v>1</v>
      </c>
      <c r="G28" s="550">
        <v>0</v>
      </c>
      <c r="H28" s="550">
        <v>0</v>
      </c>
      <c r="I28" s="550">
        <v>0</v>
      </c>
      <c r="J28" s="550"/>
      <c r="K28" s="550"/>
    </row>
    <row r="29" spans="3:12" ht="17.25" customHeight="1">
      <c r="F29" s="547"/>
      <c r="G29" s="547"/>
      <c r="H29" s="547"/>
      <c r="I29" s="547"/>
      <c r="J29" s="547"/>
      <c r="K29" s="547"/>
    </row>
    <row r="30" spans="3:12" s="552" customFormat="1" ht="20.25" customHeight="1">
      <c r="C30" s="3606" t="s">
        <v>1325</v>
      </c>
      <c r="D30" s="551" t="s">
        <v>1326</v>
      </c>
      <c r="F30" s="553" t="e">
        <f ca="1">IF(F28=0,0,F22)</f>
        <v>#N/A</v>
      </c>
      <c r="G30" s="553">
        <f>IF(G28=0,0,G22)</f>
        <v>0</v>
      </c>
      <c r="H30" s="553">
        <f>IF(H28=0,0,H22)</f>
        <v>0</v>
      </c>
      <c r="I30" s="553">
        <f>IF($I$28=0,0,IF(I22="Refer","Refer",IF(I22="follow",MAX(F22:H22),MAX(F30:G30))))</f>
        <v>0</v>
      </c>
      <c r="J30" s="553">
        <f>IF($J$28=0,0,IF(J22="Refer","Refer",IF(J22="follow",MAX(F22:G22),MAX(F30:G30))))</f>
        <v>0</v>
      </c>
      <c r="K30" s="553">
        <f>IF($K$28=0,0,IF(SUM(F28:H28)&gt;0,IF(K22="follow",H22,IF(K22&gt;=H22,K22,MAX(F30:H30))),K22))</f>
        <v>0</v>
      </c>
    </row>
    <row r="31" spans="3:12" s="552" customFormat="1" ht="20.25" customHeight="1">
      <c r="C31" s="3606"/>
      <c r="D31" s="551" t="s">
        <v>1327</v>
      </c>
      <c r="F31" s="554" t="str">
        <f ca="1">IF(F28=0,0,F24)</f>
        <v>% deductible to be applied</v>
      </c>
      <c r="G31" s="554">
        <f>IF(G28=0,0,G24)</f>
        <v>0</v>
      </c>
      <c r="H31" s="554">
        <f>IF(H28=0,0,H24)</f>
        <v>0</v>
      </c>
      <c r="I31" s="554">
        <f>IF($I$28=0,0,IF(I24="Refer","Refer",IF(I23="follow",MAX(F24:G24),MAX(F31:G31))))</f>
        <v>0</v>
      </c>
      <c r="J31" s="554">
        <f>IF($J$28=0,0,IF(J24="Refer","Refer",IF(J23="follow",MAX(F24:G24),MAX(F31:G31))))</f>
        <v>0</v>
      </c>
      <c r="K31" s="555">
        <f>IF($K$28=0,0,IF(SUM(F28:H28)&gt;0,IF(K24="follow",H24,IF(K24&gt;=H24,K24,MAX(F31:H31))),K24))</f>
        <v>0</v>
      </c>
    </row>
    <row r="32" spans="3:12" s="552" customFormat="1" ht="20.25" customHeight="1">
      <c r="C32" s="3606"/>
      <c r="D32" s="551" t="s">
        <v>1328</v>
      </c>
      <c r="F32" s="556" t="e">
        <f ca="1">IF(F28=0,0,F26)</f>
        <v>#N/A</v>
      </c>
      <c r="G32" s="556">
        <f>IF(G28=0,0,G26)</f>
        <v>0</v>
      </c>
      <c r="H32" s="556">
        <f>IF(H28=0,0,H26)</f>
        <v>0</v>
      </c>
      <c r="I32" s="557">
        <f>IF($I$28=0,0,IF(I24="Refer","Refer",IF(I24="follow",MIN(F26:G26),MAX(F32:G32))))</f>
        <v>0</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 ca="1">IF(I30="refer", "Refer", MAX($F$30:$K$30))</f>
        <v>#N/A</v>
      </c>
    </row>
    <row r="36" spans="3:11" ht="19.5" customHeight="1">
      <c r="C36" s="3607"/>
      <c r="D36" s="564" t="s">
        <v>1327</v>
      </c>
      <c r="F36" s="1015">
        <f ca="1">IF(I31="refer", "Refer", MAX($F$31:$K$31))</f>
        <v>0</v>
      </c>
    </row>
    <row r="37" spans="3:11" ht="19.5" customHeight="1">
      <c r="C37" s="3607"/>
      <c r="D37" s="564" t="s">
        <v>1328</v>
      </c>
      <c r="F37" s="1016" t="e">
        <f ca="1">IF(I32="refer", "Refer", IF(G32="refer","Refer",MAX($F$32:$K$32)))</f>
        <v>#N/A</v>
      </c>
    </row>
    <row r="39" spans="3:11">
      <c r="F39" s="1019" t="e">
        <f ca="1">F35*100&amp;"% "&amp;"Min $ "&amp;LEFT(F36,3)&amp;",000"</f>
        <v>#N/A</v>
      </c>
    </row>
  </sheetData>
  <autoFilter ref="C1" xr:uid="{00000000-0009-0000-0000-00001F000000}"/>
  <dataConsolidate/>
  <mergeCells count="2">
    <mergeCell ref="C30:C32"/>
    <mergeCell ref="C35:C37"/>
  </mergeCells>
  <conditionalFormatting sqref="D4:D5">
    <cfRule type="expression" dxfId="15" priority="2">
      <formula>#REF!=FALSE</formula>
    </cfRule>
  </conditionalFormatting>
  <conditionalFormatting sqref="F35:F37 F30:K32">
    <cfRule type="cellIs" dxfId="14" priority="1" operator="equal">
      <formula>0</formula>
    </cfRule>
  </conditionalFormatting>
  <pageMargins left="0.7" right="0.7" top="0.75" bottom="0.75" header="0.3" footer="0.3"/>
  <pageSetup scale="60"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rgb="FFFFC000"/>
  </sheetPr>
  <dimension ref="C1:L39"/>
  <sheetViews>
    <sheetView showGridLines="0" zoomScaleNormal="100" workbookViewId="0">
      <selection activeCell="F28" sqref="F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str">
        <f>LEFT('Input Property info '!D13,3)</f>
        <v/>
      </c>
      <c r="J3" s="521"/>
    </row>
    <row r="4" spans="3:11" s="518" customFormat="1" ht="17.25" customHeight="1">
      <c r="C4" s="522" t="s">
        <v>259</v>
      </c>
      <c r="D4" s="1009" t="e">
        <f>VLOOKUP(LEFT($D$3,1),'PCODES EQ'!$O$2:$P$19,2,FALSE)</f>
        <v>#N/A</v>
      </c>
    </row>
    <row r="5" spans="3:11" s="518" customFormat="1" ht="17.25" customHeight="1">
      <c r="C5" s="522"/>
      <c r="D5" s="1009"/>
    </row>
    <row r="6" spans="3:11" s="523" customFormat="1" ht="17.25" customHeight="1" outlineLevel="1">
      <c r="D6" s="1010"/>
    </row>
    <row r="7" spans="3:11" s="518" customFormat="1" ht="17.25" customHeight="1">
      <c r="C7" s="520" t="s">
        <v>1300</v>
      </c>
      <c r="D7" s="1007">
        <f>'Input Property info '!$K$13</f>
        <v>0</v>
      </c>
    </row>
    <row r="8" spans="3:11" s="518" customFormat="1" ht="17.25" customHeight="1">
      <c r="C8" s="520" t="s">
        <v>1301</v>
      </c>
      <c r="D8" s="1007" t="str">
        <f>'Input Property info '!T13</f>
        <v>Frame</v>
      </c>
    </row>
    <row r="9" spans="3:11" ht="17.25" customHeight="1">
      <c r="C9" s="524" t="s">
        <v>1302</v>
      </c>
      <c r="D9" s="1007">
        <f>'Input Property info '!$I$13</f>
        <v>0</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f>Property!$I$92</f>
        <v>0</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#N/A</v>
      </c>
      <c r="G21" s="532" t="e">
        <f>VLOOKUP(PostalCode,'PCODES EQ'!C:J,8,FALSE)</f>
        <v>#N/A</v>
      </c>
      <c r="H21" s="533" t="e">
        <f>VLOOKUP(PostalCode,'PCODES EQ'!C:K,9,FALSE)</f>
        <v>#N/A</v>
      </c>
      <c r="I21" s="533"/>
      <c r="J21" s="534"/>
      <c r="K21" s="533" t="s">
        <v>1318</v>
      </c>
    </row>
    <row r="22" spans="3:12" s="518" customFormat="1" ht="17.25" customHeight="1">
      <c r="D22" s="535" t="s">
        <v>1319</v>
      </c>
      <c r="F22" s="536" t="e">
        <f ca="1">INDIRECT($F$21&amp;"!F4")</f>
        <v>#N/A</v>
      </c>
      <c r="G22" s="536" t="e">
        <f ca="1">INDIRECT(G$21&amp;"!F4")</f>
        <v>#N/A</v>
      </c>
      <c r="H22" s="536"/>
      <c r="I22" s="536" t="e">
        <f>IF(D4="BC","Refer","Follow")</f>
        <v>#N/A</v>
      </c>
      <c r="J22" s="536" t="s">
        <v>1320</v>
      </c>
      <c r="K22" s="536" t="e">
        <f>Algorithm_Temple!F4</f>
        <v>#N/A</v>
      </c>
    </row>
    <row r="23" spans="3:12" s="518" customFormat="1" ht="17.25" customHeight="1" outlineLevel="1">
      <c r="D23" s="535" t="s">
        <v>1321</v>
      </c>
      <c r="F23" s="537" t="e">
        <f ca="1">INDIRECT($F$21&amp;"!F6")</f>
        <v>#N/A</v>
      </c>
      <c r="G23" s="537" t="e">
        <f ca="1">INDIRECT($G$21&amp;"!F6")</f>
        <v>#N/A</v>
      </c>
      <c r="H23" s="537" t="e">
        <f ca="1">INDIRECT(H$21&amp;"!F6")</f>
        <v>#N/A</v>
      </c>
      <c r="I23" s="537" t="e">
        <f>IF(D4="BC","Refer","Follow")</f>
        <v>#N/A</v>
      </c>
      <c r="J23" s="536"/>
      <c r="K23" s="537">
        <f ca="1">INDIRECT(K$21&amp;"!F6")</f>
        <v>1</v>
      </c>
    </row>
    <row r="24" spans="3:12" ht="17.25" customHeight="1">
      <c r="D24" s="538" t="s">
        <v>1322</v>
      </c>
      <c r="F24" s="539" t="str">
        <f ca="1">IF(Totalinsuredvalue&lt;500000.01,"% deductible to be applied",INDIRECT($F$21&amp;"!F5"))</f>
        <v>% deductible to be applied</v>
      </c>
      <c r="G24" s="539" t="e">
        <f ca="1">INDIRECT($G$21&amp;"!F5")</f>
        <v>#N/A</v>
      </c>
      <c r="H24" s="539"/>
      <c r="I24" s="539" t="e">
        <f>IF(D4="BC","Refer","Follow")</f>
        <v>#N/A</v>
      </c>
      <c r="J24" s="540" t="s">
        <v>1320</v>
      </c>
      <c r="K24" s="539" t="e">
        <f>Algorithm_Temple!F5</f>
        <v>#N/A</v>
      </c>
    </row>
    <row r="25" spans="3:12" ht="17.25" customHeight="1" thickBot="1">
      <c r="D25" s="541" t="s">
        <v>1231</v>
      </c>
      <c r="F25" s="542" t="e">
        <f ca="1">INDIRECT($F$21&amp;"!F2")</f>
        <v>#N/A</v>
      </c>
      <c r="G25" s="542" t="e">
        <f ca="1">INDIRECT($G$21&amp;"!F2")</f>
        <v>#N/A</v>
      </c>
      <c r="H25" s="542" t="e">
        <f ca="1">INDIRECT(H$21&amp;"!F2")</f>
        <v>#N/A</v>
      </c>
      <c r="I25" s="542" t="e">
        <f>IF(D4="BC","Refer","Follow")</f>
        <v>#N/A</v>
      </c>
      <c r="J25" s="542" t="s">
        <v>1320</v>
      </c>
      <c r="K25" s="542" t="s">
        <v>1320</v>
      </c>
      <c r="L25" s="543"/>
    </row>
    <row r="26" spans="3:12" s="544" customFormat="1" ht="29.25" customHeight="1" thickTop="1">
      <c r="D26" s="545" t="s">
        <v>1323</v>
      </c>
      <c r="F26" s="546" t="e">
        <f ca="1">IF(F25="Refer","Refer",F23*F25)</f>
        <v>#N/A</v>
      </c>
      <c r="G26" s="546" t="e">
        <f ca="1">IF(G25="Refer","Refer",G23*G25)</f>
        <v>#N/A</v>
      </c>
      <c r="H26" s="546"/>
      <c r="I26" s="546" t="e">
        <f>IF(I25="Refer","Refer",I25)</f>
        <v>#N/A</v>
      </c>
      <c r="J26" s="546" t="s">
        <v>1320</v>
      </c>
      <c r="K26" s="546" t="s">
        <v>1320</v>
      </c>
    </row>
    <row r="27" spans="3:12" ht="17.25" customHeight="1">
      <c r="C27" s="527"/>
      <c r="F27" s="547"/>
      <c r="G27" s="547"/>
      <c r="H27" s="547"/>
      <c r="I27" s="547"/>
      <c r="J27" s="547"/>
      <c r="K27" s="547"/>
    </row>
    <row r="28" spans="3:12" s="549" customFormat="1" ht="17.25" customHeight="1">
      <c r="C28" s="520" t="s">
        <v>1324</v>
      </c>
      <c r="D28" s="548">
        <f>SUM(F28:K28)</f>
        <v>1</v>
      </c>
      <c r="F28" s="550">
        <v>1</v>
      </c>
      <c r="G28" s="550">
        <v>0</v>
      </c>
      <c r="H28" s="550">
        <v>0</v>
      </c>
      <c r="I28" s="550">
        <v>0</v>
      </c>
      <c r="J28" s="550"/>
      <c r="K28" s="550"/>
    </row>
    <row r="29" spans="3:12" ht="17.25" customHeight="1">
      <c r="F29" s="547"/>
      <c r="G29" s="547"/>
      <c r="H29" s="547"/>
      <c r="I29" s="547"/>
      <c r="J29" s="547"/>
      <c r="K29" s="547"/>
    </row>
    <row r="30" spans="3:12" s="552" customFormat="1" ht="20.25" customHeight="1">
      <c r="C30" s="3606" t="s">
        <v>1325</v>
      </c>
      <c r="D30" s="551" t="s">
        <v>1326</v>
      </c>
      <c r="F30" s="553" t="e">
        <f ca="1">IF(F28=0,0,F22)</f>
        <v>#N/A</v>
      </c>
      <c r="G30" s="553">
        <f>IF(G28=0,0,G22)</f>
        <v>0</v>
      </c>
      <c r="H30" s="553">
        <f>IF(H28=0,0,H22)</f>
        <v>0</v>
      </c>
      <c r="I30" s="553">
        <f>IF($I$28=0,0,IF(I22="Refer","Refer",IF(I22="follow",MAX(F22:H22),MAX(F30:G30))))</f>
        <v>0</v>
      </c>
      <c r="J30" s="553">
        <f>IF($J$28=0,0,IF(J22="Refer","Refer",IF(J22="follow",MAX(F22:G22),MAX(F30:G30))))</f>
        <v>0</v>
      </c>
      <c r="K30" s="553">
        <f>IF($K$28=0,0,IF(SUM(F28:H28)&gt;0,IF(K22="follow",H22,IF(K22&gt;=H22,K22,MAX(F30:H30))),K22))</f>
        <v>0</v>
      </c>
    </row>
    <row r="31" spans="3:12" s="552" customFormat="1" ht="20.25" customHeight="1">
      <c r="C31" s="3606"/>
      <c r="D31" s="551" t="s">
        <v>1327</v>
      </c>
      <c r="F31" s="554" t="str">
        <f ca="1">IF(F28=0,0,F24)</f>
        <v>% deductible to be applied</v>
      </c>
      <c r="G31" s="554">
        <f>IF(G28=0,0,G24)</f>
        <v>0</v>
      </c>
      <c r="H31" s="554">
        <f>IF(H28=0,0,H24)</f>
        <v>0</v>
      </c>
      <c r="I31" s="554">
        <f>IF($I$28=0,0,IF(I24="Refer","Refer",IF(I23="follow",MAX(F24:G24),MAX(F31:G31))))</f>
        <v>0</v>
      </c>
      <c r="J31" s="554">
        <f>IF($J$28=0,0,IF(J24="Refer","Refer",IF(J23="follow",MAX(F24:G24),MAX(F31:G31))))</f>
        <v>0</v>
      </c>
      <c r="K31" s="555">
        <f>IF($K$28=0,0,IF(SUM(F28:H28)&gt;0,IF(K24="follow",H24,IF(K24&gt;=H24,K24,MAX(F31:H31))),K24))</f>
        <v>0</v>
      </c>
    </row>
    <row r="32" spans="3:12" s="552" customFormat="1" ht="20.25" customHeight="1">
      <c r="C32" s="3606"/>
      <c r="D32" s="551" t="s">
        <v>1328</v>
      </c>
      <c r="F32" s="556" t="e">
        <f ca="1">IF(F28=0,0,F26)</f>
        <v>#N/A</v>
      </c>
      <c r="G32" s="556">
        <f>IF(G28=0,0,G26)</f>
        <v>0</v>
      </c>
      <c r="H32" s="556">
        <f>IF(H28=0,0,H26)</f>
        <v>0</v>
      </c>
      <c r="I32" s="557">
        <f>IF($I$28=0,0,IF(I24="Refer","Refer",IF(I24="follow",MIN(F26:G26),MAX(F32:G32))))</f>
        <v>0</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 ca="1">IF(I30="refer", "Refer", MAX($F$30:$K$30))</f>
        <v>#N/A</v>
      </c>
    </row>
    <row r="36" spans="3:11" ht="19.5" customHeight="1">
      <c r="C36" s="3607"/>
      <c r="D36" s="564" t="s">
        <v>1327</v>
      </c>
      <c r="F36" s="1015">
        <f ca="1">IF(I31="refer", "Refer", MAX($F$31:$K$31))</f>
        <v>0</v>
      </c>
    </row>
    <row r="37" spans="3:11" ht="19.5" customHeight="1">
      <c r="C37" s="3607"/>
      <c r="D37" s="564" t="s">
        <v>1328</v>
      </c>
      <c r="F37" s="1016" t="e">
        <f ca="1">IF(I32="refer", "Refer", IF(G32="refer","Refer",MAX($F$32:$K$32)))</f>
        <v>#N/A</v>
      </c>
    </row>
    <row r="39" spans="3:11">
      <c r="F39" s="1019" t="e">
        <f ca="1">F35*100&amp;"% "&amp;"Min $ "&amp;LEFT(F36,3)&amp;",000"</f>
        <v>#N/A</v>
      </c>
    </row>
  </sheetData>
  <autoFilter ref="C1" xr:uid="{00000000-0009-0000-0000-000020000000}"/>
  <dataConsolidate/>
  <mergeCells count="2">
    <mergeCell ref="C30:C32"/>
    <mergeCell ref="C35:C37"/>
  </mergeCells>
  <conditionalFormatting sqref="D4:D5">
    <cfRule type="expression" dxfId="13" priority="2">
      <formula>#REF!=FALSE</formula>
    </cfRule>
  </conditionalFormatting>
  <conditionalFormatting sqref="F35:F37 F30:K32">
    <cfRule type="cellIs" dxfId="12" priority="1" operator="equal">
      <formula>0</formula>
    </cfRule>
  </conditionalFormatting>
  <pageMargins left="0.7" right="0.7" top="0.75" bottom="0.75" header="0.3" footer="0.3"/>
  <pageSetup scale="60"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tabColor rgb="FFFFC000"/>
  </sheetPr>
  <dimension ref="C1:L39"/>
  <sheetViews>
    <sheetView showGridLines="0" zoomScaleNormal="100" workbookViewId="0">
      <selection activeCell="F28" sqref="F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str">
        <f>LEFT('Input Property info '!D14,3)</f>
        <v/>
      </c>
      <c r="J3" s="521"/>
    </row>
    <row r="4" spans="3:11" s="518" customFormat="1" ht="17.25" customHeight="1">
      <c r="C4" s="522" t="s">
        <v>259</v>
      </c>
      <c r="D4" s="1009" t="e">
        <f>VLOOKUP(LEFT($D$3,1),'PCODES EQ'!$O$2:$P$19,2,FALSE)</f>
        <v>#N/A</v>
      </c>
    </row>
    <row r="5" spans="3:11" s="518" customFormat="1" ht="17.25" customHeight="1">
      <c r="C5" s="522"/>
      <c r="D5" s="1009"/>
    </row>
    <row r="6" spans="3:11" s="523" customFormat="1" ht="17.25" customHeight="1" outlineLevel="1">
      <c r="D6" s="1010"/>
    </row>
    <row r="7" spans="3:11" s="518" customFormat="1" ht="17.25" customHeight="1">
      <c r="C7" s="520" t="s">
        <v>1300</v>
      </c>
      <c r="D7" s="1007">
        <f>'Input Property info '!$K$14</f>
        <v>0</v>
      </c>
    </row>
    <row r="8" spans="3:11" s="518" customFormat="1" ht="17.25" customHeight="1">
      <c r="C8" s="520" t="s">
        <v>1301</v>
      </c>
      <c r="D8" s="1007" t="str">
        <f>'Input Property info '!T14</f>
        <v>Frame</v>
      </c>
    </row>
    <row r="9" spans="3:11" ht="17.25" customHeight="1">
      <c r="C9" s="524" t="s">
        <v>1302</v>
      </c>
      <c r="D9" s="1007">
        <f>'Input Property info '!$I$14</f>
        <v>0</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f>Property!$I$93</f>
        <v>0</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#N/A</v>
      </c>
      <c r="G21" s="532" t="e">
        <f>VLOOKUP(PostalCode,'PCODES EQ'!C:J,8,FALSE)</f>
        <v>#N/A</v>
      </c>
      <c r="H21" s="533" t="e">
        <f>VLOOKUP(PostalCode,'PCODES EQ'!C:K,9,FALSE)</f>
        <v>#N/A</v>
      </c>
      <c r="I21" s="533"/>
      <c r="J21" s="534"/>
      <c r="K21" s="533" t="s">
        <v>1318</v>
      </c>
    </row>
    <row r="22" spans="3:12" s="518" customFormat="1" ht="17.25" customHeight="1">
      <c r="D22" s="535" t="s">
        <v>1319</v>
      </c>
      <c r="F22" s="536" t="e">
        <f ca="1">INDIRECT($F$21&amp;"!F4")</f>
        <v>#N/A</v>
      </c>
      <c r="G22" s="536" t="e">
        <f ca="1">INDIRECT(G$21&amp;"!F4")</f>
        <v>#N/A</v>
      </c>
      <c r="H22" s="536"/>
      <c r="I22" s="536" t="e">
        <f>IF(D4="BC","Refer","Follow")</f>
        <v>#N/A</v>
      </c>
      <c r="J22" s="536" t="s">
        <v>1320</v>
      </c>
      <c r="K22" s="536" t="e">
        <f>Algorithm_Temple!F4</f>
        <v>#N/A</v>
      </c>
    </row>
    <row r="23" spans="3:12" s="518" customFormat="1" ht="17.25" customHeight="1" outlineLevel="1">
      <c r="D23" s="535" t="s">
        <v>1321</v>
      </c>
      <c r="F23" s="537" t="e">
        <f ca="1">INDIRECT($F$21&amp;"!F6")</f>
        <v>#N/A</v>
      </c>
      <c r="G23" s="537" t="e">
        <f ca="1">INDIRECT($G$21&amp;"!F6")</f>
        <v>#N/A</v>
      </c>
      <c r="H23" s="537" t="e">
        <f ca="1">INDIRECT(H$21&amp;"!F6")</f>
        <v>#N/A</v>
      </c>
      <c r="I23" s="537" t="e">
        <f>IF(D4="BC","Refer","Follow")</f>
        <v>#N/A</v>
      </c>
      <c r="J23" s="536"/>
      <c r="K23" s="537">
        <f ca="1">INDIRECT(K$21&amp;"!F6")</f>
        <v>1</v>
      </c>
    </row>
    <row r="24" spans="3:12" ht="17.25" customHeight="1">
      <c r="D24" s="538" t="s">
        <v>1322</v>
      </c>
      <c r="F24" s="539" t="str">
        <f ca="1">IF(Totalinsuredvalue&lt;500000.01,"% deductible to be applied",INDIRECT($F$21&amp;"!F5"))</f>
        <v>% deductible to be applied</v>
      </c>
      <c r="G24" s="539" t="e">
        <f ca="1">INDIRECT($G$21&amp;"!F5")</f>
        <v>#N/A</v>
      </c>
      <c r="H24" s="539"/>
      <c r="I24" s="539" t="e">
        <f>IF(D4="BC","Refer","Follow")</f>
        <v>#N/A</v>
      </c>
      <c r="J24" s="540" t="s">
        <v>1320</v>
      </c>
      <c r="K24" s="539" t="e">
        <f>Algorithm_Temple!F5</f>
        <v>#N/A</v>
      </c>
    </row>
    <row r="25" spans="3:12" ht="17.25" customHeight="1" thickBot="1">
      <c r="D25" s="541" t="s">
        <v>1231</v>
      </c>
      <c r="F25" s="542" t="e">
        <f ca="1">INDIRECT($F$21&amp;"!F2")</f>
        <v>#N/A</v>
      </c>
      <c r="G25" s="542" t="e">
        <f ca="1">INDIRECT($G$21&amp;"!F2")</f>
        <v>#N/A</v>
      </c>
      <c r="H25" s="542" t="e">
        <f ca="1">INDIRECT(H$21&amp;"!F2")</f>
        <v>#N/A</v>
      </c>
      <c r="I25" s="542" t="e">
        <f>IF(D4="BC","Refer","Follow")</f>
        <v>#N/A</v>
      </c>
      <c r="J25" s="542" t="s">
        <v>1320</v>
      </c>
      <c r="K25" s="542" t="s">
        <v>1320</v>
      </c>
      <c r="L25" s="543"/>
    </row>
    <row r="26" spans="3:12" s="544" customFormat="1" ht="29.25" customHeight="1" thickTop="1">
      <c r="D26" s="545" t="s">
        <v>1323</v>
      </c>
      <c r="F26" s="546" t="e">
        <f ca="1">IF(F25="Refer","Refer",F23*F25)</f>
        <v>#N/A</v>
      </c>
      <c r="G26" s="546" t="e">
        <f ca="1">IF(G25="Refer","Refer",G23*G25)</f>
        <v>#N/A</v>
      </c>
      <c r="H26" s="546"/>
      <c r="I26" s="546" t="e">
        <f>IF(I25="Refer","Refer",I25)</f>
        <v>#N/A</v>
      </c>
      <c r="J26" s="546" t="s">
        <v>1320</v>
      </c>
      <c r="K26" s="546" t="s">
        <v>1320</v>
      </c>
    </row>
    <row r="27" spans="3:12" ht="17.25" customHeight="1">
      <c r="C27" s="527"/>
      <c r="F27" s="547"/>
      <c r="G27" s="547"/>
      <c r="H27" s="547"/>
      <c r="I27" s="547"/>
      <c r="J27" s="547"/>
      <c r="K27" s="547"/>
    </row>
    <row r="28" spans="3:12" s="549" customFormat="1" ht="17.25" customHeight="1">
      <c r="C28" s="520" t="s">
        <v>1324</v>
      </c>
      <c r="D28" s="548">
        <f>SUM(F28:K28)</f>
        <v>2</v>
      </c>
      <c r="F28" s="550">
        <v>1</v>
      </c>
      <c r="G28" s="550">
        <v>1</v>
      </c>
      <c r="H28" s="550">
        <v>0</v>
      </c>
      <c r="I28" s="550">
        <v>0</v>
      </c>
      <c r="J28" s="550"/>
      <c r="K28" s="550"/>
    </row>
    <row r="29" spans="3:12" ht="17.25" customHeight="1">
      <c r="F29" s="547"/>
      <c r="G29" s="547"/>
      <c r="H29" s="547"/>
      <c r="I29" s="547"/>
      <c r="J29" s="547"/>
      <c r="K29" s="547"/>
    </row>
    <row r="30" spans="3:12" s="552" customFormat="1" ht="20.25" customHeight="1">
      <c r="C30" s="3606" t="s">
        <v>1325</v>
      </c>
      <c r="D30" s="551" t="s">
        <v>1326</v>
      </c>
      <c r="F30" s="553" t="e">
        <f ca="1">IF(F28=0,0,F22)</f>
        <v>#N/A</v>
      </c>
      <c r="G30" s="553" t="e">
        <f ca="1">IF(G28=0,0,G22)</f>
        <v>#N/A</v>
      </c>
      <c r="H30" s="553">
        <f>IF(H28=0,0,H22)</f>
        <v>0</v>
      </c>
      <c r="I30" s="553">
        <f>IF($I$28=0,0,IF(I22="Refer","Refer",IF(I22="follow",MAX(F22:H22),MAX(F30:G30))))</f>
        <v>0</v>
      </c>
      <c r="J30" s="553">
        <f>IF($J$28=0,0,IF(J22="Refer","Refer",IF(J22="follow",MAX(F22:G22),MAX(F30:G30))))</f>
        <v>0</v>
      </c>
      <c r="K30" s="553">
        <f>IF($K$28=0,0,IF(SUM(F28:H28)&gt;0,IF(K22="follow",H22,IF(K22&gt;=H22,K22,MAX(F30:H30))),K22))</f>
        <v>0</v>
      </c>
    </row>
    <row r="31" spans="3:12" s="552" customFormat="1" ht="20.25" customHeight="1">
      <c r="C31" s="3606"/>
      <c r="D31" s="551" t="s">
        <v>1327</v>
      </c>
      <c r="F31" s="554" t="str">
        <f ca="1">IF(F28=0,0,F24)</f>
        <v>% deductible to be applied</v>
      </c>
      <c r="G31" s="554" t="e">
        <f ca="1">IF(G28=0,0,G24)</f>
        <v>#N/A</v>
      </c>
      <c r="H31" s="554">
        <f>IF(H28=0,0,H24)</f>
        <v>0</v>
      </c>
      <c r="I31" s="554">
        <f>IF($I$28=0,0,IF(I24="Refer","Refer",IF(I23="follow",MAX(F24:G24),MAX(F31:G31))))</f>
        <v>0</v>
      </c>
      <c r="J31" s="554">
        <f>IF($J$28=0,0,IF(J24="Refer","Refer",IF(J23="follow",MAX(F24:G24),MAX(F31:G31))))</f>
        <v>0</v>
      </c>
      <c r="K31" s="555">
        <f>IF($K$28=0,0,IF(SUM(F28:H28)&gt;0,IF(K24="follow",H24,IF(K24&gt;=H24,K24,MAX(F31:H31))),K24))</f>
        <v>0</v>
      </c>
    </row>
    <row r="32" spans="3:12" s="552" customFormat="1" ht="20.25" customHeight="1">
      <c r="C32" s="3606"/>
      <c r="D32" s="551" t="s">
        <v>1328</v>
      </c>
      <c r="F32" s="556" t="e">
        <f ca="1">IF(F28=0,0,F26)</f>
        <v>#N/A</v>
      </c>
      <c r="G32" s="556" t="e">
        <f ca="1">IF(G28=0,0,G26)</f>
        <v>#N/A</v>
      </c>
      <c r="H32" s="556">
        <f>IF(H28=0,0,H26)</f>
        <v>0</v>
      </c>
      <c r="I32" s="557">
        <f>IF($I$28=0,0,IF(I24="Refer","Refer",IF(I24="follow",MIN(F26:G26),MAX(F32:G32))))</f>
        <v>0</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 ca="1">IF(I30="refer", "Refer", MAX($F$30:$K$30))</f>
        <v>#N/A</v>
      </c>
    </row>
    <row r="36" spans="3:11" ht="19.5" customHeight="1">
      <c r="C36" s="3607"/>
      <c r="D36" s="564" t="s">
        <v>1327</v>
      </c>
      <c r="F36" s="1015" t="e">
        <f ca="1">IF(I31="refer", "Refer", MAX($F$31:$K$31))</f>
        <v>#N/A</v>
      </c>
    </row>
    <row r="37" spans="3:11" ht="19.5" customHeight="1">
      <c r="C37" s="3607"/>
      <c r="D37" s="564" t="s">
        <v>1328</v>
      </c>
      <c r="F37" s="1016" t="e">
        <f ca="1">IF(I32="refer", "Refer", IF(G32="refer","Refer",MAX($F$32:$K$32)))</f>
        <v>#N/A</v>
      </c>
    </row>
    <row r="39" spans="3:11">
      <c r="F39" s="1019" t="e">
        <f ca="1">F35*100&amp;"% "&amp;"Min $ "&amp;LEFT(F36,3)&amp;",000"</f>
        <v>#N/A</v>
      </c>
    </row>
  </sheetData>
  <autoFilter ref="C1" xr:uid="{00000000-0009-0000-0000-000021000000}"/>
  <dataConsolidate/>
  <mergeCells count="2">
    <mergeCell ref="C30:C32"/>
    <mergeCell ref="C35:C37"/>
  </mergeCells>
  <conditionalFormatting sqref="D4:D5">
    <cfRule type="expression" dxfId="11" priority="2">
      <formula>#REF!=FALSE</formula>
    </cfRule>
  </conditionalFormatting>
  <conditionalFormatting sqref="F35:F37 F30:K32">
    <cfRule type="cellIs" dxfId="10" priority="1" operator="equal">
      <formula>0</formula>
    </cfRule>
  </conditionalFormatting>
  <pageMargins left="0.7" right="0.7" top="0.75" bottom="0.75" header="0.3" footer="0.3"/>
  <pageSetup scale="60"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4">
    <tabColor rgb="FFFFC000"/>
  </sheetPr>
  <dimension ref="C1:L39"/>
  <sheetViews>
    <sheetView showGridLines="0" zoomScaleNormal="100" workbookViewId="0">
      <selection activeCell="F28" sqref="F28:K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e">
        <f>LEFT('Input Property info '!#REF!,3)</f>
        <v>#REF!</v>
      </c>
      <c r="J3" s="521"/>
    </row>
    <row r="4" spans="3:11" s="518" customFormat="1" ht="17.25" customHeight="1">
      <c r="C4" s="522" t="s">
        <v>259</v>
      </c>
      <c r="D4" s="1009" t="e">
        <f>VLOOKUP(LEFT($D$3,1),'PCODES EQ'!$O$2:$P$19,2,FALSE)</f>
        <v>#REF!</v>
      </c>
    </row>
    <row r="5" spans="3:11" s="518" customFormat="1" ht="17.25" customHeight="1">
      <c r="C5" s="522"/>
      <c r="D5" s="1009"/>
    </row>
    <row r="6" spans="3:11" s="523" customFormat="1" ht="17.25" customHeight="1" outlineLevel="1">
      <c r="D6" s="1010"/>
    </row>
    <row r="7" spans="3:11" s="518" customFormat="1" ht="17.25" customHeight="1">
      <c r="C7" s="520" t="s">
        <v>1300</v>
      </c>
      <c r="D7" s="1007" t="e">
        <f>'Input Property info '!#REF!</f>
        <v>#REF!</v>
      </c>
    </row>
    <row r="8" spans="3:11" s="518" customFormat="1" ht="17.25" customHeight="1">
      <c r="C8" s="520" t="s">
        <v>1301</v>
      </c>
      <c r="D8" s="1007" t="e">
        <f>'Input Property info '!#REF!</f>
        <v>#REF!</v>
      </c>
    </row>
    <row r="9" spans="3:11" ht="17.25" customHeight="1">
      <c r="C9" s="524" t="s">
        <v>1302</v>
      </c>
      <c r="D9" s="1007" t="e">
        <f>'Input Property info '!#REF!</f>
        <v>#REF!</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t="e">
        <f>Property!#REF!</f>
        <v>#REF!</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#N/A</v>
      </c>
      <c r="G21" s="532" t="e">
        <f>VLOOKUP(PostalCode,'PCODES EQ'!C:J,8,FALSE)</f>
        <v>#N/A</v>
      </c>
      <c r="H21" s="533" t="e">
        <f>VLOOKUP(PostalCode,'PCODES EQ'!C:K,9,FALSE)</f>
        <v>#N/A</v>
      </c>
      <c r="I21" s="533"/>
      <c r="J21" s="534"/>
      <c r="K21" s="533" t="s">
        <v>1318</v>
      </c>
    </row>
    <row r="22" spans="3:12" s="518" customFormat="1" ht="17.25" customHeight="1">
      <c r="D22" s="535" t="s">
        <v>1319</v>
      </c>
      <c r="F22" s="536" t="e">
        <f ca="1">INDIRECT($F$21&amp;"!F4")</f>
        <v>#N/A</v>
      </c>
      <c r="G22" s="536" t="e">
        <f ca="1">INDIRECT(G$21&amp;"!F4")</f>
        <v>#N/A</v>
      </c>
      <c r="H22" s="536"/>
      <c r="I22" s="536" t="e">
        <f>IF(D4="BC","Refer","Follow")</f>
        <v>#REF!</v>
      </c>
      <c r="J22" s="536" t="s">
        <v>1320</v>
      </c>
      <c r="K22" s="536" t="e">
        <f>Algorithm_Temple!F4</f>
        <v>#N/A</v>
      </c>
    </row>
    <row r="23" spans="3:12" s="518" customFormat="1" ht="17.25" customHeight="1" outlineLevel="1">
      <c r="D23" s="535" t="s">
        <v>1321</v>
      </c>
      <c r="F23" s="537" t="e">
        <f ca="1">INDIRECT($F$21&amp;"!F6")</f>
        <v>#N/A</v>
      </c>
      <c r="G23" s="537" t="e">
        <f ca="1">INDIRECT($G$21&amp;"!F6")</f>
        <v>#N/A</v>
      </c>
      <c r="H23" s="537" t="e">
        <f ca="1">INDIRECT(H$21&amp;"!F6")</f>
        <v>#N/A</v>
      </c>
      <c r="I23" s="537" t="e">
        <f>IF(D4="BC","Refer","Follow")</f>
        <v>#REF!</v>
      </c>
      <c r="J23" s="536"/>
      <c r="K23" s="537">
        <f ca="1">INDIRECT(K$21&amp;"!F6")</f>
        <v>1</v>
      </c>
    </row>
    <row r="24" spans="3:12" ht="17.25" customHeight="1">
      <c r="D24" s="538" t="s">
        <v>1322</v>
      </c>
      <c r="F24" s="539" t="str">
        <f ca="1">IF(Totalinsuredvalue&lt;500000.01,"% deductible to be applied",INDIRECT($F$21&amp;"!F5"))</f>
        <v>% deductible to be applied</v>
      </c>
      <c r="G24" s="539" t="e">
        <f ca="1">INDIRECT($G$21&amp;"!F5")</f>
        <v>#N/A</v>
      </c>
      <c r="H24" s="539"/>
      <c r="I24" s="539" t="e">
        <f>IF(D4="BC","Refer","Follow")</f>
        <v>#REF!</v>
      </c>
      <c r="J24" s="540" t="s">
        <v>1320</v>
      </c>
      <c r="K24" s="539" t="e">
        <f>Algorithm_Temple!F5</f>
        <v>#N/A</v>
      </c>
    </row>
    <row r="25" spans="3:12" ht="17.25" customHeight="1" thickBot="1">
      <c r="D25" s="541" t="s">
        <v>1231</v>
      </c>
      <c r="F25" s="542" t="e">
        <f ca="1">INDIRECT($F$21&amp;"!F2")</f>
        <v>#N/A</v>
      </c>
      <c r="G25" s="542" t="e">
        <f ca="1">INDIRECT($G$21&amp;"!F2")</f>
        <v>#N/A</v>
      </c>
      <c r="H25" s="542" t="e">
        <f ca="1">INDIRECT(H$21&amp;"!F2")</f>
        <v>#N/A</v>
      </c>
      <c r="I25" s="542" t="e">
        <f>IF(D4="BC","Refer","Follow")</f>
        <v>#REF!</v>
      </c>
      <c r="J25" s="542" t="s">
        <v>1320</v>
      </c>
      <c r="K25" s="542" t="s">
        <v>1320</v>
      </c>
      <c r="L25" s="543"/>
    </row>
    <row r="26" spans="3:12" s="544" customFormat="1" ht="29.25" customHeight="1" thickTop="1">
      <c r="D26" s="545" t="s">
        <v>1323</v>
      </c>
      <c r="F26" s="546" t="e">
        <f ca="1">IF(F25="Refer","Refer",F23*F25)</f>
        <v>#N/A</v>
      </c>
      <c r="G26" s="546" t="e">
        <f ca="1">IF(G25="Refer","Refer",G23*G25)</f>
        <v>#N/A</v>
      </c>
      <c r="H26" s="546"/>
      <c r="I26" s="546" t="e">
        <f>IF(I25="Refer","Refer",I25)</f>
        <v>#REF!</v>
      </c>
      <c r="J26" s="546" t="s">
        <v>1320</v>
      </c>
      <c r="K26" s="546" t="s">
        <v>1320</v>
      </c>
    </row>
    <row r="27" spans="3:12" ht="17.25" customHeight="1">
      <c r="C27" s="527"/>
      <c r="F27" s="547"/>
      <c r="G27" s="547"/>
      <c r="H27" s="547"/>
      <c r="I27" s="547"/>
      <c r="J27" s="547"/>
      <c r="K27" s="547"/>
    </row>
    <row r="28" spans="3:12" s="549" customFormat="1" ht="17.25" customHeight="1">
      <c r="C28" s="520" t="s">
        <v>1324</v>
      </c>
      <c r="D28" s="548" t="e">
        <f>SUM(F28:K28)</f>
        <v>#REF!</v>
      </c>
      <c r="F28" s="550"/>
      <c r="G28" s="550">
        <v>1</v>
      </c>
      <c r="H28" s="550">
        <v>0</v>
      </c>
      <c r="I28" s="550" t="e">
        <f>Property!#REF!</f>
        <v>#REF!</v>
      </c>
      <c r="J28" s="550"/>
      <c r="K28" s="550"/>
    </row>
    <row r="29" spans="3:12" ht="17.25" customHeight="1">
      <c r="F29" s="547"/>
      <c r="G29" s="547"/>
      <c r="H29" s="547"/>
      <c r="I29" s="547"/>
      <c r="J29" s="547"/>
      <c r="K29" s="547"/>
    </row>
    <row r="30" spans="3:12" s="552" customFormat="1" ht="20.25" customHeight="1">
      <c r="C30" s="3606" t="s">
        <v>1325</v>
      </c>
      <c r="D30" s="551" t="s">
        <v>1326</v>
      </c>
      <c r="F30" s="553">
        <f>IF(F28=0,0,F22)</f>
        <v>0</v>
      </c>
      <c r="G30" s="553" t="e">
        <f ca="1">IF(G28=0,0,G22)</f>
        <v>#N/A</v>
      </c>
      <c r="H30" s="553">
        <f>IF(H28=0,0,H22)</f>
        <v>0</v>
      </c>
      <c r="I30" s="553" t="e">
        <f>IF($I$28=0,0,IF(I22="Refer","Refer",IF(I22="follow",MAX(F22:H22),MAX(F30:G30))))</f>
        <v>#REF!</v>
      </c>
      <c r="J30" s="553">
        <f>IF($J$28=0,0,IF(J22="Refer","Refer",IF(J22="follow",MAX(F22:G22),MAX(F30:G30))))</f>
        <v>0</v>
      </c>
      <c r="K30" s="553">
        <f>IF($K$28=0,0,IF(SUM(F28:H28)&gt;0,IF(K22="follow",H22,IF(K22&gt;=H22,K22,MAX(F30:H30))),K22))</f>
        <v>0</v>
      </c>
    </row>
    <row r="31" spans="3:12" s="552" customFormat="1" ht="20.25" customHeight="1">
      <c r="C31" s="3606"/>
      <c r="D31" s="551" t="s">
        <v>1327</v>
      </c>
      <c r="F31" s="554">
        <f>IF(F28=0,0,F24)</f>
        <v>0</v>
      </c>
      <c r="G31" s="554" t="e">
        <f ca="1">IF(G28=0,0,G24)</f>
        <v>#N/A</v>
      </c>
      <c r="H31" s="554">
        <f>IF(H28=0,0,H24)</f>
        <v>0</v>
      </c>
      <c r="I31" s="554" t="e">
        <f>IF($I$28=0,0,IF(I24="Refer","Refer",IF(I23="follow",MAX(F24:G24),MAX(F31:G31))))</f>
        <v>#REF!</v>
      </c>
      <c r="J31" s="554">
        <f>IF($J$28=0,0,IF(J24="Refer","Refer",IF(J23="follow",MAX(F24:G24),MAX(F31:G31))))</f>
        <v>0</v>
      </c>
      <c r="K31" s="555">
        <f>IF($K$28=0,0,IF(SUM(F28:H28)&gt;0,IF(K24="follow",H24,IF(K24&gt;=H24,K24,MAX(F31:H31))),K24))</f>
        <v>0</v>
      </c>
    </row>
    <row r="32" spans="3:12" s="552" customFormat="1" ht="20.25" customHeight="1">
      <c r="C32" s="3606"/>
      <c r="D32" s="551" t="s">
        <v>1328</v>
      </c>
      <c r="F32" s="556">
        <f>IF(F28=0,0,F26)</f>
        <v>0</v>
      </c>
      <c r="G32" s="556" t="e">
        <f ca="1">IF(G28=0,0,G26)</f>
        <v>#N/A</v>
      </c>
      <c r="H32" s="556">
        <f>IF(H28=0,0,H26)</f>
        <v>0</v>
      </c>
      <c r="I32" s="557" t="e">
        <f>IF($I$28=0,0,IF(I24="Refer","Refer",IF(I24="follow",MIN(F26:G26),MAX(F32:G32))))</f>
        <v>#REF!</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IF(I30="refer", "Refer", MAX($F$30:$K$30))</f>
        <v>#REF!</v>
      </c>
    </row>
    <row r="36" spans="3:11" ht="19.5" customHeight="1">
      <c r="C36" s="3607"/>
      <c r="D36" s="564" t="s">
        <v>1327</v>
      </c>
      <c r="F36" s="1015" t="e">
        <f>IF(I31="refer", "Refer", MAX($F$31:$K$31))</f>
        <v>#REF!</v>
      </c>
    </row>
    <row r="37" spans="3:11" ht="19.5" customHeight="1">
      <c r="C37" s="3607"/>
      <c r="D37" s="564" t="s">
        <v>1328</v>
      </c>
      <c r="F37" s="1016" t="e">
        <f>IF(I32="refer", "Refer", IF(G32="refer","Refer",MAX($F$32:$K$32)))</f>
        <v>#REF!</v>
      </c>
    </row>
    <row r="39" spans="3:11">
      <c r="F39" s="1019" t="e">
        <f>F35*100&amp;"% "&amp;"Min $ "&amp;LEFT(F36,3)&amp;",000"</f>
        <v>#REF!</v>
      </c>
    </row>
  </sheetData>
  <autoFilter ref="C1" xr:uid="{00000000-0009-0000-0000-000022000000}"/>
  <dataConsolidate/>
  <mergeCells count="2">
    <mergeCell ref="C30:C32"/>
    <mergeCell ref="C35:C37"/>
  </mergeCells>
  <conditionalFormatting sqref="D4:D5">
    <cfRule type="expression" dxfId="9" priority="2">
      <formula>#REF!=FALSE</formula>
    </cfRule>
  </conditionalFormatting>
  <conditionalFormatting sqref="F35:F37 F30:K32">
    <cfRule type="cellIs" dxfId="8" priority="1" operator="equal">
      <formula>0</formula>
    </cfRule>
  </conditionalFormatting>
  <pageMargins left="0.7" right="0.7" top="0.75" bottom="0.75" header="0.3" footer="0.3"/>
  <pageSetup scale="60"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tabColor rgb="FFFFC000"/>
  </sheetPr>
  <dimension ref="C1:L39"/>
  <sheetViews>
    <sheetView showGridLines="0" zoomScaleNormal="100" workbookViewId="0">
      <selection activeCell="F28" sqref="F28:K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e">
        <f>LEFT('Input Property info '!#REF!,3)</f>
        <v>#REF!</v>
      </c>
      <c r="J3" s="521"/>
    </row>
    <row r="4" spans="3:11" s="518" customFormat="1" ht="17.25" customHeight="1">
      <c r="C4" s="522" t="s">
        <v>259</v>
      </c>
      <c r="D4" s="1009" t="e">
        <f>VLOOKUP(LEFT($D$3,1),'PCODES EQ'!$O$2:$P$19,2,FALSE)</f>
        <v>#REF!</v>
      </c>
    </row>
    <row r="5" spans="3:11" s="518" customFormat="1" ht="17.25" customHeight="1">
      <c r="C5" s="522"/>
      <c r="D5" s="1009"/>
    </row>
    <row r="6" spans="3:11" s="523" customFormat="1" ht="17.25" customHeight="1" outlineLevel="1">
      <c r="D6" s="1010"/>
    </row>
    <row r="7" spans="3:11" s="518" customFormat="1" ht="17.25" customHeight="1">
      <c r="C7" s="520" t="s">
        <v>1300</v>
      </c>
      <c r="D7" s="1007" t="e">
        <f>'Input Property info '!#REF!</f>
        <v>#REF!</v>
      </c>
    </row>
    <row r="8" spans="3:11" s="518" customFormat="1" ht="17.25" customHeight="1">
      <c r="C8" s="520" t="s">
        <v>1301</v>
      </c>
      <c r="D8" s="1007" t="e">
        <f>'Input Property info '!#REF!</f>
        <v>#REF!</v>
      </c>
    </row>
    <row r="9" spans="3:11" ht="17.25" customHeight="1">
      <c r="C9" s="524" t="s">
        <v>1302</v>
      </c>
      <c r="D9" s="1007" t="e">
        <f>'Input Property info '!#REF!</f>
        <v>#REF!</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t="e">
        <f>Property!#REF!</f>
        <v>#REF!</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#REF!</v>
      </c>
      <c r="G21" s="532" t="e">
        <f>VLOOKUP(PostalCode,'PCODES EQ'!C:J,8,FALSE)</f>
        <v>#REF!</v>
      </c>
      <c r="H21" s="533" t="e">
        <f>VLOOKUP(PostalCode,'PCODES EQ'!C:K,9,FALSE)</f>
        <v>#REF!</v>
      </c>
      <c r="I21" s="533"/>
      <c r="J21" s="534"/>
      <c r="K21" s="533" t="s">
        <v>1318</v>
      </c>
    </row>
    <row r="22" spans="3:12" s="518" customFormat="1" ht="17.25" customHeight="1">
      <c r="D22" s="535" t="s">
        <v>1319</v>
      </c>
      <c r="F22" s="536" t="e">
        <f ca="1">INDIRECT($F$21&amp;"!F4")</f>
        <v>#REF!</v>
      </c>
      <c r="G22" s="536" t="e">
        <f ca="1">INDIRECT(G$21&amp;"!F4")</f>
        <v>#REF!</v>
      </c>
      <c r="H22" s="536"/>
      <c r="I22" s="536" t="e">
        <f>IF(D4="BC","Refer","Follow")</f>
        <v>#REF!</v>
      </c>
      <c r="J22" s="536" t="s">
        <v>1320</v>
      </c>
      <c r="K22" s="536" t="e">
        <f>Algorithm_Temple!F4</f>
        <v>#N/A</v>
      </c>
    </row>
    <row r="23" spans="3:12" s="518" customFormat="1" ht="17.25" customHeight="1" outlineLevel="1">
      <c r="D23" s="535" t="s">
        <v>1321</v>
      </c>
      <c r="F23" s="537" t="e">
        <f ca="1">INDIRECT($F$21&amp;"!F6")</f>
        <v>#REF!</v>
      </c>
      <c r="G23" s="537" t="e">
        <f ca="1">INDIRECT($G$21&amp;"!F6")</f>
        <v>#REF!</v>
      </c>
      <c r="H23" s="537" t="e">
        <f ca="1">INDIRECT(H$21&amp;"!F6")</f>
        <v>#REF!</v>
      </c>
      <c r="I23" s="537" t="e">
        <f>IF(D4="BC","Refer","Follow")</f>
        <v>#REF!</v>
      </c>
      <c r="J23" s="536"/>
      <c r="K23" s="537">
        <f ca="1">INDIRECT(K$21&amp;"!F6")</f>
        <v>1</v>
      </c>
    </row>
    <row r="24" spans="3:12" ht="17.25" customHeight="1">
      <c r="D24" s="538" t="s">
        <v>1322</v>
      </c>
      <c r="F24" s="539" t="e">
        <f ca="1">IF(Totalinsuredvalue&lt;500000.01,"% deductible to be applied",INDIRECT($F$21&amp;"!F5"))</f>
        <v>#REF!</v>
      </c>
      <c r="G24" s="539" t="e">
        <f ca="1">INDIRECT($G$21&amp;"!F5")</f>
        <v>#REF!</v>
      </c>
      <c r="H24" s="539"/>
      <c r="I24" s="539" t="e">
        <f>IF(D4="BC","Refer","Follow")</f>
        <v>#REF!</v>
      </c>
      <c r="J24" s="540" t="s">
        <v>1320</v>
      </c>
      <c r="K24" s="539" t="e">
        <f>Algorithm_Temple!F5</f>
        <v>#N/A</v>
      </c>
    </row>
    <row r="25" spans="3:12" ht="17.25" customHeight="1" thickBot="1">
      <c r="D25" s="541" t="s">
        <v>1231</v>
      </c>
      <c r="F25" s="542" t="e">
        <f ca="1">INDIRECT($F$21&amp;"!F2")</f>
        <v>#REF!</v>
      </c>
      <c r="G25" s="542" t="e">
        <f ca="1">INDIRECT($G$21&amp;"!F2")</f>
        <v>#REF!</v>
      </c>
      <c r="H25" s="542" t="e">
        <f ca="1">INDIRECT(H$21&amp;"!F2")</f>
        <v>#REF!</v>
      </c>
      <c r="I25" s="542" t="e">
        <f>IF(D4="BC","Refer","Follow")</f>
        <v>#REF!</v>
      </c>
      <c r="J25" s="542" t="s">
        <v>1320</v>
      </c>
      <c r="K25" s="542" t="s">
        <v>1320</v>
      </c>
      <c r="L25" s="543"/>
    </row>
    <row r="26" spans="3:12" s="544" customFormat="1" ht="29.25" customHeight="1" thickTop="1">
      <c r="D26" s="545" t="s">
        <v>1323</v>
      </c>
      <c r="F26" s="546" t="e">
        <f ca="1">IF(F25="Refer","Refer",F23*F25)</f>
        <v>#REF!</v>
      </c>
      <c r="G26" s="546" t="e">
        <f ca="1">IF(G25="Refer","Refer",G23*G25)</f>
        <v>#REF!</v>
      </c>
      <c r="H26" s="546"/>
      <c r="I26" s="546" t="e">
        <f>IF(I25="Refer","Refer",I25)</f>
        <v>#REF!</v>
      </c>
      <c r="J26" s="546" t="s">
        <v>1320</v>
      </c>
      <c r="K26" s="546" t="s">
        <v>1320</v>
      </c>
    </row>
    <row r="27" spans="3:12" ht="17.25" customHeight="1">
      <c r="C27" s="527"/>
      <c r="F27" s="547"/>
      <c r="G27" s="547"/>
      <c r="H27" s="547"/>
      <c r="I27" s="547"/>
      <c r="J27" s="547"/>
      <c r="K27" s="547"/>
    </row>
    <row r="28" spans="3:12" s="549" customFormat="1" ht="17.25" customHeight="1">
      <c r="C28" s="520" t="s">
        <v>1324</v>
      </c>
      <c r="D28" s="548" t="e">
        <f>SUM(F28:K28)</f>
        <v>#REF!</v>
      </c>
      <c r="F28" s="550"/>
      <c r="G28" s="550">
        <v>1</v>
      </c>
      <c r="H28" s="550">
        <v>0</v>
      </c>
      <c r="I28" s="550" t="e">
        <f>Property!#REF!</f>
        <v>#REF!</v>
      </c>
      <c r="J28" s="550"/>
      <c r="K28" s="550"/>
    </row>
    <row r="29" spans="3:12" ht="17.25" customHeight="1">
      <c r="F29" s="547"/>
      <c r="G29" s="547"/>
      <c r="H29" s="547"/>
      <c r="I29" s="547"/>
      <c r="J29" s="547"/>
      <c r="K29" s="547"/>
    </row>
    <row r="30" spans="3:12" s="552" customFormat="1" ht="20.25" customHeight="1">
      <c r="C30" s="3606" t="s">
        <v>1325</v>
      </c>
      <c r="D30" s="551" t="s">
        <v>1326</v>
      </c>
      <c r="F30" s="553">
        <f>IF(F28=0,0,F22)</f>
        <v>0</v>
      </c>
      <c r="G30" s="553" t="e">
        <f ca="1">IF(G28=0,0,G22)</f>
        <v>#REF!</v>
      </c>
      <c r="H30" s="553">
        <f>IF(H28=0,0,H22)</f>
        <v>0</v>
      </c>
      <c r="I30" s="553" t="e">
        <f>IF($I$28=0,0,IF(I22="Refer","Refer",IF(I22="follow",MAX(F22:H22),MAX(F30:G30))))</f>
        <v>#REF!</v>
      </c>
      <c r="J30" s="553">
        <f>IF($J$28=0,0,IF(J22="Refer","Refer",IF(J22="follow",MAX(F22:G22),MAX(F30:G30))))</f>
        <v>0</v>
      </c>
      <c r="K30" s="553">
        <f>IF($K$28=0,0,IF(SUM(F28:H28)&gt;0,IF(K22="follow",H22,IF(K22&gt;=H22,K22,MAX(F30:H30))),K22))</f>
        <v>0</v>
      </c>
    </row>
    <row r="31" spans="3:12" s="552" customFormat="1" ht="20.25" customHeight="1">
      <c r="C31" s="3606"/>
      <c r="D31" s="551" t="s">
        <v>1327</v>
      </c>
      <c r="F31" s="554">
        <f>IF(F28=0,0,F24)</f>
        <v>0</v>
      </c>
      <c r="G31" s="554" t="e">
        <f ca="1">IF(G28=0,0,G24)</f>
        <v>#REF!</v>
      </c>
      <c r="H31" s="554">
        <f>IF(H28=0,0,H24)</f>
        <v>0</v>
      </c>
      <c r="I31" s="554" t="e">
        <f>IF($I$28=0,0,IF(I24="Refer","Refer",IF(I23="follow",MAX(F24:G24),MAX(F31:G31))))</f>
        <v>#REF!</v>
      </c>
      <c r="J31" s="554">
        <f>IF($J$28=0,0,IF(J24="Refer","Refer",IF(J23="follow",MAX(F24:G24),MAX(F31:G31))))</f>
        <v>0</v>
      </c>
      <c r="K31" s="555">
        <f>IF($K$28=0,0,IF(SUM(F28:H28)&gt;0,IF(K24="follow",H24,IF(K24&gt;=H24,K24,MAX(F31:H31))),K24))</f>
        <v>0</v>
      </c>
    </row>
    <row r="32" spans="3:12" s="552" customFormat="1" ht="20.25" customHeight="1">
      <c r="C32" s="3606"/>
      <c r="D32" s="551" t="s">
        <v>1328</v>
      </c>
      <c r="F32" s="556">
        <f>IF(F28=0,0,F26)</f>
        <v>0</v>
      </c>
      <c r="G32" s="556" t="e">
        <f ca="1">IF(G28=0,0,G26)</f>
        <v>#REF!</v>
      </c>
      <c r="H32" s="556">
        <f>IF(H28=0,0,H26)</f>
        <v>0</v>
      </c>
      <c r="I32" s="557" t="e">
        <f>IF($I$28=0,0,IF(I24="Refer","Refer",IF(I24="follow",MIN(F26:G26),MAX(F32:G32))))</f>
        <v>#REF!</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IF(I30="refer", "Refer", MAX($F$30:$K$30))</f>
        <v>#REF!</v>
      </c>
    </row>
    <row r="36" spans="3:11" ht="19.5" customHeight="1">
      <c r="C36" s="3607"/>
      <c r="D36" s="564" t="s">
        <v>1327</v>
      </c>
      <c r="F36" s="1015" t="e">
        <f>IF(I31="refer", "Refer", MAX($F$31:$K$31))</f>
        <v>#REF!</v>
      </c>
    </row>
    <row r="37" spans="3:11" ht="19.5" customHeight="1">
      <c r="C37" s="3607"/>
      <c r="D37" s="564" t="s">
        <v>1328</v>
      </c>
      <c r="F37" s="1016" t="e">
        <f>IF(I32="refer", "Refer", IF(G32="refer","Refer",MAX($F$32:$K$32)))</f>
        <v>#REF!</v>
      </c>
    </row>
    <row r="39" spans="3:11">
      <c r="F39" s="1019" t="e">
        <f>F35*100&amp;"% "&amp;"Min $ "&amp;LEFT(F36,3)&amp;",000"</f>
        <v>#REF!</v>
      </c>
    </row>
  </sheetData>
  <autoFilter ref="C1" xr:uid="{00000000-0009-0000-0000-000023000000}"/>
  <dataConsolidate/>
  <mergeCells count="2">
    <mergeCell ref="C30:C32"/>
    <mergeCell ref="C35:C37"/>
  </mergeCells>
  <conditionalFormatting sqref="D4:D5">
    <cfRule type="expression" dxfId="7" priority="2">
      <formula>#REF!=FALSE</formula>
    </cfRule>
  </conditionalFormatting>
  <conditionalFormatting sqref="F35:F37 F30:K32">
    <cfRule type="cellIs" dxfId="6" priority="1" operator="equal">
      <formula>0</formula>
    </cfRule>
  </conditionalFormatting>
  <pageMargins left="0.7" right="0.7" top="0.75" bottom="0.75" header="0.3" footer="0.3"/>
  <pageSetup scale="60"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6">
    <tabColor rgb="FFFFC000"/>
  </sheetPr>
  <dimension ref="C1:L39"/>
  <sheetViews>
    <sheetView showGridLines="0" zoomScaleNormal="100" workbookViewId="0">
      <selection activeCell="F28" sqref="F28:K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e">
        <f>LEFT('Input Property info '!#REF!,3)</f>
        <v>#REF!</v>
      </c>
      <c r="J3" s="521"/>
    </row>
    <row r="4" spans="3:11" s="518" customFormat="1" ht="17.25" customHeight="1">
      <c r="C4" s="522" t="s">
        <v>259</v>
      </c>
      <c r="D4" s="1009" t="e">
        <f>VLOOKUP(LEFT($D$3,1),'PCODES EQ'!$O$2:$P$19,2,FALSE)</f>
        <v>#REF!</v>
      </c>
    </row>
    <row r="5" spans="3:11" s="518" customFormat="1" ht="17.25" customHeight="1">
      <c r="C5" s="522"/>
      <c r="D5" s="1009"/>
    </row>
    <row r="6" spans="3:11" s="523" customFormat="1" ht="17.25" customHeight="1" outlineLevel="1">
      <c r="D6" s="1010"/>
    </row>
    <row r="7" spans="3:11" s="518" customFormat="1" ht="17.25" customHeight="1">
      <c r="C7" s="520" t="s">
        <v>1300</v>
      </c>
      <c r="D7" s="1007" t="e">
        <f>'Input Property info '!#REF!</f>
        <v>#REF!</v>
      </c>
    </row>
    <row r="8" spans="3:11" s="518" customFormat="1" ht="17.25" customHeight="1">
      <c r="C8" s="520" t="s">
        <v>1301</v>
      </c>
      <c r="D8" s="1007" t="e">
        <f>'Input Property info '!#REF!</f>
        <v>#REF!</v>
      </c>
    </row>
    <row r="9" spans="3:11" ht="17.25" customHeight="1">
      <c r="C9" s="524" t="s">
        <v>1302</v>
      </c>
      <c r="D9" s="1007" t="e">
        <f>'Input Property info '!#REF!</f>
        <v>#REF!</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t="e">
        <f>Property!#REF!</f>
        <v>#REF!</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#REF!</v>
      </c>
      <c r="G21" s="532" t="e">
        <f>VLOOKUP(PostalCode,'PCODES EQ'!C:J,8,FALSE)</f>
        <v>#REF!</v>
      </c>
      <c r="H21" s="533" t="e">
        <f>VLOOKUP(PostalCode,'PCODES EQ'!C:K,9,FALSE)</f>
        <v>#REF!</v>
      </c>
      <c r="I21" s="533"/>
      <c r="J21" s="534"/>
      <c r="K21" s="533" t="s">
        <v>1318</v>
      </c>
    </row>
    <row r="22" spans="3:12" s="518" customFormat="1" ht="17.25" customHeight="1">
      <c r="D22" s="535" t="s">
        <v>1319</v>
      </c>
      <c r="F22" s="536" t="e">
        <f ca="1">INDIRECT($F$21&amp;"!F4")</f>
        <v>#REF!</v>
      </c>
      <c r="G22" s="536" t="e">
        <f ca="1">INDIRECT(G$21&amp;"!F4")</f>
        <v>#REF!</v>
      </c>
      <c r="H22" s="536"/>
      <c r="I22" s="536" t="e">
        <f>IF(D4="BC","Refer","Follow")</f>
        <v>#REF!</v>
      </c>
      <c r="J22" s="536" t="s">
        <v>1320</v>
      </c>
      <c r="K22" s="536" t="e">
        <f>Algorithm_Temple!F4</f>
        <v>#N/A</v>
      </c>
    </row>
    <row r="23" spans="3:12" s="518" customFormat="1" ht="17.25" customHeight="1" outlineLevel="1">
      <c r="D23" s="535" t="s">
        <v>1321</v>
      </c>
      <c r="F23" s="537" t="e">
        <f ca="1">INDIRECT($F$21&amp;"!F6")</f>
        <v>#REF!</v>
      </c>
      <c r="G23" s="537" t="e">
        <f ca="1">INDIRECT($G$21&amp;"!F6")</f>
        <v>#REF!</v>
      </c>
      <c r="H23" s="537" t="e">
        <f ca="1">INDIRECT(H$21&amp;"!F6")</f>
        <v>#REF!</v>
      </c>
      <c r="I23" s="537" t="e">
        <f>IF(D4="BC","Refer","Follow")</f>
        <v>#REF!</v>
      </c>
      <c r="J23" s="536"/>
      <c r="K23" s="537">
        <f ca="1">INDIRECT(K$21&amp;"!F6")</f>
        <v>1</v>
      </c>
    </row>
    <row r="24" spans="3:12" ht="17.25" customHeight="1">
      <c r="D24" s="538" t="s">
        <v>1322</v>
      </c>
      <c r="F24" s="539" t="e">
        <f ca="1">IF(Totalinsuredvalue&lt;500000.01,"% deductible to be applied",INDIRECT($F$21&amp;"!F5"))</f>
        <v>#REF!</v>
      </c>
      <c r="G24" s="539" t="e">
        <f ca="1">INDIRECT($G$21&amp;"!F5")</f>
        <v>#REF!</v>
      </c>
      <c r="H24" s="539"/>
      <c r="I24" s="539" t="e">
        <f>IF(D4="BC","Refer","Follow")</f>
        <v>#REF!</v>
      </c>
      <c r="J24" s="540" t="s">
        <v>1320</v>
      </c>
      <c r="K24" s="539" t="e">
        <f>Algorithm_Temple!F5</f>
        <v>#N/A</v>
      </c>
    </row>
    <row r="25" spans="3:12" ht="17.25" customHeight="1" thickBot="1">
      <c r="D25" s="541" t="s">
        <v>1231</v>
      </c>
      <c r="F25" s="542" t="e">
        <f ca="1">INDIRECT($F$21&amp;"!F2")</f>
        <v>#REF!</v>
      </c>
      <c r="G25" s="542" t="e">
        <f ca="1">INDIRECT($G$21&amp;"!F2")</f>
        <v>#REF!</v>
      </c>
      <c r="H25" s="542" t="e">
        <f ca="1">INDIRECT(H$21&amp;"!F2")</f>
        <v>#REF!</v>
      </c>
      <c r="I25" s="542" t="e">
        <f>IF(D4="BC","Refer","Follow")</f>
        <v>#REF!</v>
      </c>
      <c r="J25" s="542" t="s">
        <v>1320</v>
      </c>
      <c r="K25" s="542" t="s">
        <v>1320</v>
      </c>
      <c r="L25" s="543"/>
    </row>
    <row r="26" spans="3:12" s="544" customFormat="1" ht="29.25" customHeight="1" thickTop="1">
      <c r="D26" s="545" t="s">
        <v>1323</v>
      </c>
      <c r="F26" s="546" t="e">
        <f ca="1">IF(F25="Refer","Refer",F23*F25)</f>
        <v>#REF!</v>
      </c>
      <c r="G26" s="546" t="e">
        <f ca="1">IF(G25="Refer","Refer",G23*G25)</f>
        <v>#REF!</v>
      </c>
      <c r="H26" s="546"/>
      <c r="I26" s="546" t="e">
        <f>IF(I25="Refer","Refer",I25)</f>
        <v>#REF!</v>
      </c>
      <c r="J26" s="546" t="s">
        <v>1320</v>
      </c>
      <c r="K26" s="546" t="s">
        <v>1320</v>
      </c>
    </row>
    <row r="27" spans="3:12" ht="17.25" customHeight="1">
      <c r="C27" s="527"/>
      <c r="F27" s="547"/>
      <c r="G27" s="547"/>
      <c r="H27" s="547"/>
      <c r="I27" s="547"/>
      <c r="J27" s="547"/>
      <c r="K27" s="547"/>
    </row>
    <row r="28" spans="3:12" s="549" customFormat="1" ht="17.25" customHeight="1">
      <c r="C28" s="520" t="s">
        <v>1324</v>
      </c>
      <c r="D28" s="548" t="e">
        <f>SUM(F28:K28)</f>
        <v>#REF!</v>
      </c>
      <c r="F28" s="550"/>
      <c r="G28" s="550">
        <v>1</v>
      </c>
      <c r="H28" s="550">
        <v>0</v>
      </c>
      <c r="I28" s="550" t="e">
        <f>Property!#REF!</f>
        <v>#REF!</v>
      </c>
      <c r="J28" s="550"/>
      <c r="K28" s="550"/>
    </row>
    <row r="29" spans="3:12" ht="17.25" customHeight="1">
      <c r="F29" s="547"/>
      <c r="G29" s="547"/>
      <c r="H29" s="547"/>
      <c r="I29" s="547"/>
      <c r="J29" s="547"/>
      <c r="K29" s="547"/>
    </row>
    <row r="30" spans="3:12" s="552" customFormat="1" ht="20.25" customHeight="1">
      <c r="C30" s="3606" t="s">
        <v>1325</v>
      </c>
      <c r="D30" s="551" t="s">
        <v>1326</v>
      </c>
      <c r="F30" s="553">
        <f>IF(F28=0,0,F22)</f>
        <v>0</v>
      </c>
      <c r="G30" s="553" t="e">
        <f ca="1">IF(G28=0,0,G22)</f>
        <v>#REF!</v>
      </c>
      <c r="H30" s="553">
        <f>IF(H28=0,0,H22)</f>
        <v>0</v>
      </c>
      <c r="I30" s="553" t="e">
        <f>IF($I$28=0,0,IF(I22="Refer","Refer",IF(I22="follow",MAX(F22:H22),MAX(F30:G30))))</f>
        <v>#REF!</v>
      </c>
      <c r="J30" s="553">
        <f>IF($J$28=0,0,IF(J22="Refer","Refer",IF(J22="follow",MAX(F22:G22),MAX(F30:G30))))</f>
        <v>0</v>
      </c>
      <c r="K30" s="553">
        <f>IF($K$28=0,0,IF(SUM(F28:H28)&gt;0,IF(K22="follow",H22,IF(K22&gt;=H22,K22,MAX(F30:H30))),K22))</f>
        <v>0</v>
      </c>
    </row>
    <row r="31" spans="3:12" s="552" customFormat="1" ht="20.25" customHeight="1">
      <c r="C31" s="3606"/>
      <c r="D31" s="551" t="s">
        <v>1327</v>
      </c>
      <c r="F31" s="554">
        <f>IF(F28=0,0,F24)</f>
        <v>0</v>
      </c>
      <c r="G31" s="554" t="e">
        <f ca="1">IF(G28=0,0,G24)</f>
        <v>#REF!</v>
      </c>
      <c r="H31" s="554">
        <f>IF(H28=0,0,H24)</f>
        <v>0</v>
      </c>
      <c r="I31" s="554" t="e">
        <f>IF($I$28=0,0,IF(I24="Refer","Refer",IF(I23="follow",MAX(F24:G24),MAX(F31:G31))))</f>
        <v>#REF!</v>
      </c>
      <c r="J31" s="554">
        <f>IF($J$28=0,0,IF(J24="Refer","Refer",IF(J23="follow",MAX(F24:G24),MAX(F31:G31))))</f>
        <v>0</v>
      </c>
      <c r="K31" s="555">
        <f>IF($K$28=0,0,IF(SUM(F28:H28)&gt;0,IF(K24="follow",H24,IF(K24&gt;=H24,K24,MAX(F31:H31))),K24))</f>
        <v>0</v>
      </c>
    </row>
    <row r="32" spans="3:12" s="552" customFormat="1" ht="20.25" customHeight="1">
      <c r="C32" s="3606"/>
      <c r="D32" s="551" t="s">
        <v>1328</v>
      </c>
      <c r="F32" s="556">
        <f>IF(F28=0,0,F26)</f>
        <v>0</v>
      </c>
      <c r="G32" s="556" t="e">
        <f ca="1">IF(G28=0,0,G26)</f>
        <v>#REF!</v>
      </c>
      <c r="H32" s="556">
        <f>IF(H28=0,0,H26)</f>
        <v>0</v>
      </c>
      <c r="I32" s="557" t="e">
        <f>IF($I$28=0,0,IF(I24="Refer","Refer",IF(I24="follow",MIN(F26:G26),MAX(F32:G32))))</f>
        <v>#REF!</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IF(I30="refer", "Refer", MAX($F$30:$K$30))</f>
        <v>#REF!</v>
      </c>
    </row>
    <row r="36" spans="3:11" ht="19.5" customHeight="1">
      <c r="C36" s="3607"/>
      <c r="D36" s="564" t="s">
        <v>1327</v>
      </c>
      <c r="F36" s="1015" t="e">
        <f>IF(I31="refer", "Refer", MAX($F$31:$K$31))</f>
        <v>#REF!</v>
      </c>
    </row>
    <row r="37" spans="3:11" ht="19.5" customHeight="1">
      <c r="C37" s="3607"/>
      <c r="D37" s="564" t="s">
        <v>1328</v>
      </c>
      <c r="F37" s="1016" t="e">
        <f>IF(I32="refer", "Refer", IF(G32="refer","Refer",MAX($F$32:$K$32)))</f>
        <v>#REF!</v>
      </c>
    </row>
    <row r="39" spans="3:11">
      <c r="F39" s="1019" t="e">
        <f>F35*100&amp;"% "&amp;"Min $ "&amp;LEFT(F36,3)&amp;",000"</f>
        <v>#REF!</v>
      </c>
    </row>
  </sheetData>
  <autoFilter ref="C1" xr:uid="{00000000-0009-0000-0000-000024000000}"/>
  <dataConsolidate/>
  <mergeCells count="2">
    <mergeCell ref="C30:C32"/>
    <mergeCell ref="C35:C37"/>
  </mergeCells>
  <conditionalFormatting sqref="D4:D5">
    <cfRule type="expression" dxfId="5" priority="2">
      <formula>#REF!=FALSE</formula>
    </cfRule>
  </conditionalFormatting>
  <conditionalFormatting sqref="F35:F37 F30:K32">
    <cfRule type="cellIs" dxfId="4" priority="1" operator="equal">
      <formula>0</formula>
    </cfRule>
  </conditionalFormatting>
  <pageMargins left="0.7" right="0.7" top="0.75" bottom="0.75" header="0.3" footer="0.3"/>
  <pageSetup scale="60"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7">
    <tabColor rgb="FFFFC000"/>
  </sheetPr>
  <dimension ref="C1:L39"/>
  <sheetViews>
    <sheetView showGridLines="0" zoomScaleNormal="100" workbookViewId="0">
      <selection activeCell="F28" sqref="F28:K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e">
        <f>LEFT('Input Property info '!#REF!,3)</f>
        <v>#REF!</v>
      </c>
      <c r="J3" s="521"/>
    </row>
    <row r="4" spans="3:11" s="518" customFormat="1" ht="17.25" customHeight="1">
      <c r="C4" s="522" t="s">
        <v>259</v>
      </c>
      <c r="D4" s="1009" t="e">
        <f>VLOOKUP(LEFT($D$3,1),'PCODES EQ'!$O$2:$P$19,2,FALSE)</f>
        <v>#REF!</v>
      </c>
    </row>
    <row r="5" spans="3:11" s="518" customFormat="1" ht="17.25" customHeight="1">
      <c r="C5" s="522"/>
      <c r="D5" s="1009"/>
    </row>
    <row r="6" spans="3:11" s="523" customFormat="1" ht="17.25" hidden="1" customHeight="1" outlineLevel="1">
      <c r="D6" s="1010"/>
    </row>
    <row r="7" spans="3:11" s="518" customFormat="1" ht="17.25" customHeight="1" collapsed="1">
      <c r="C7" s="520" t="s">
        <v>1300</v>
      </c>
      <c r="D7" s="1007" t="e">
        <f>'Input Property info '!#REF!</f>
        <v>#REF!</v>
      </c>
    </row>
    <row r="8" spans="3:11" s="518" customFormat="1" ht="17.25" customHeight="1">
      <c r="C8" s="520" t="s">
        <v>1301</v>
      </c>
      <c r="D8" s="1007" t="e">
        <f>'Input Property info '!#REF!</f>
        <v>#REF!</v>
      </c>
    </row>
    <row r="9" spans="3:11" ht="17.25" customHeight="1">
      <c r="C9" s="524" t="s">
        <v>1302</v>
      </c>
      <c r="D9" s="1007" t="e">
        <f>'Input Property info '!#REF!</f>
        <v>#REF!</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t="e">
        <f>Property!#REF!</f>
        <v>#REF!</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hidden="1" customHeight="1" outlineLevel="1">
      <c r="C21" s="530" t="s">
        <v>1317</v>
      </c>
      <c r="F21" s="532" t="e">
        <f>VLOOKUP(PostalCode,'PCODES EQ'!C:J,7,FALSE)</f>
        <v>#REF!</v>
      </c>
      <c r="G21" s="532" t="e">
        <f>VLOOKUP(PostalCode,'PCODES EQ'!C:J,8,FALSE)</f>
        <v>#REF!</v>
      </c>
      <c r="H21" s="533" t="e">
        <f>VLOOKUP(PostalCode,'PCODES EQ'!C:K,9,FALSE)</f>
        <v>#REF!</v>
      </c>
      <c r="I21" s="533"/>
      <c r="J21" s="534"/>
      <c r="K21" s="533" t="s">
        <v>1318</v>
      </c>
    </row>
    <row r="22" spans="3:12" s="518" customFormat="1" ht="17.25" customHeight="1" collapsed="1">
      <c r="D22" s="535" t="s">
        <v>1319</v>
      </c>
      <c r="F22" s="536" t="e">
        <f ca="1">INDIRECT($F$21&amp;"!F4")</f>
        <v>#REF!</v>
      </c>
      <c r="G22" s="536" t="e">
        <f ca="1">INDIRECT(G$21&amp;"!F4")</f>
        <v>#REF!</v>
      </c>
      <c r="H22" s="536"/>
      <c r="I22" s="536" t="e">
        <f>IF(D4="BC","Refer","Follow")</f>
        <v>#REF!</v>
      </c>
      <c r="J22" s="536" t="s">
        <v>1320</v>
      </c>
      <c r="K22" s="536" t="e">
        <f>Algorithm_Temple!F4</f>
        <v>#N/A</v>
      </c>
    </row>
    <row r="23" spans="3:12" s="518" customFormat="1" ht="17.25" hidden="1" customHeight="1" outlineLevel="1">
      <c r="D23" s="535" t="s">
        <v>1321</v>
      </c>
      <c r="F23" s="537" t="e">
        <f ca="1">INDIRECT($F$21&amp;"!F6")</f>
        <v>#REF!</v>
      </c>
      <c r="G23" s="537" t="e">
        <f ca="1">INDIRECT($G$21&amp;"!F6")</f>
        <v>#REF!</v>
      </c>
      <c r="H23" s="537" t="e">
        <f ca="1">INDIRECT(H$21&amp;"!F6")</f>
        <v>#REF!</v>
      </c>
      <c r="I23" s="537" t="e">
        <f>IF(D4="BC","Refer","Follow")</f>
        <v>#REF!</v>
      </c>
      <c r="J23" s="536"/>
      <c r="K23" s="537">
        <f ca="1">INDIRECT(K$21&amp;"!F6")</f>
        <v>1</v>
      </c>
    </row>
    <row r="24" spans="3:12" ht="17.25" customHeight="1" collapsed="1">
      <c r="D24" s="538" t="s">
        <v>1322</v>
      </c>
      <c r="F24" s="539" t="e">
        <f ca="1">IF(Totalinsuredvalue&lt;500000.01,"% deductible to be applied",INDIRECT($F$21&amp;"!F5"))</f>
        <v>#REF!</v>
      </c>
      <c r="G24" s="539" t="e">
        <f ca="1">INDIRECT($G$21&amp;"!F5")</f>
        <v>#REF!</v>
      </c>
      <c r="H24" s="539"/>
      <c r="I24" s="539" t="e">
        <f>IF(D4="BC","Refer","Follow")</f>
        <v>#REF!</v>
      </c>
      <c r="J24" s="540" t="s">
        <v>1320</v>
      </c>
      <c r="K24" s="539" t="e">
        <f>Algorithm_Temple!F5</f>
        <v>#N/A</v>
      </c>
    </row>
    <row r="25" spans="3:12" ht="17.25" customHeight="1" thickBot="1">
      <c r="D25" s="541" t="s">
        <v>1231</v>
      </c>
      <c r="F25" s="542" t="e">
        <f ca="1">INDIRECT($F$21&amp;"!F2")</f>
        <v>#REF!</v>
      </c>
      <c r="G25" s="542" t="e">
        <f ca="1">INDIRECT($G$21&amp;"!F2")</f>
        <v>#REF!</v>
      </c>
      <c r="H25" s="542" t="e">
        <f ca="1">INDIRECT(H$21&amp;"!F2")</f>
        <v>#REF!</v>
      </c>
      <c r="I25" s="542" t="e">
        <f>IF(D4="BC","Refer","Follow")</f>
        <v>#REF!</v>
      </c>
      <c r="J25" s="542" t="s">
        <v>1320</v>
      </c>
      <c r="K25" s="542" t="s">
        <v>1320</v>
      </c>
      <c r="L25" s="543"/>
    </row>
    <row r="26" spans="3:12" s="544" customFormat="1" ht="29.25" customHeight="1" thickTop="1">
      <c r="D26" s="545" t="s">
        <v>1323</v>
      </c>
      <c r="F26" s="546" t="e">
        <f ca="1">IF(F25="Refer","Refer",F23*F25)</f>
        <v>#REF!</v>
      </c>
      <c r="G26" s="546" t="e">
        <f ca="1">IF(G25="Refer","Refer",G23*G25)</f>
        <v>#REF!</v>
      </c>
      <c r="H26" s="546"/>
      <c r="I26" s="546" t="e">
        <f>IF(I25="Refer","Refer",I25)</f>
        <v>#REF!</v>
      </c>
      <c r="J26" s="546" t="s">
        <v>1320</v>
      </c>
      <c r="K26" s="546" t="s">
        <v>1320</v>
      </c>
    </row>
    <row r="27" spans="3:12" ht="17.25" customHeight="1">
      <c r="C27" s="527"/>
      <c r="F27" s="547"/>
      <c r="G27" s="547"/>
      <c r="H27" s="547"/>
      <c r="I27" s="547"/>
      <c r="J27" s="547"/>
      <c r="K27" s="547"/>
    </row>
    <row r="28" spans="3:12" s="549" customFormat="1" ht="17.25" customHeight="1">
      <c r="C28" s="520" t="s">
        <v>1324</v>
      </c>
      <c r="D28" s="548" t="e">
        <f>SUM(F28:K28)</f>
        <v>#REF!</v>
      </c>
      <c r="F28" s="550"/>
      <c r="G28" s="550">
        <v>1</v>
      </c>
      <c r="H28" s="550">
        <v>0</v>
      </c>
      <c r="I28" s="550" t="e">
        <f>Property!#REF!</f>
        <v>#REF!</v>
      </c>
      <c r="J28" s="550"/>
      <c r="K28" s="550"/>
    </row>
    <row r="29" spans="3:12" ht="17.25" customHeight="1">
      <c r="F29" s="547"/>
      <c r="G29" s="547"/>
      <c r="H29" s="547"/>
      <c r="I29" s="547"/>
      <c r="J29" s="547"/>
      <c r="K29" s="547"/>
    </row>
    <row r="30" spans="3:12" s="552" customFormat="1" ht="20.25" customHeight="1">
      <c r="C30" s="3606" t="s">
        <v>1325</v>
      </c>
      <c r="D30" s="551" t="s">
        <v>1326</v>
      </c>
      <c r="F30" s="553">
        <f>IF(F28=0,0,F22)</f>
        <v>0</v>
      </c>
      <c r="G30" s="553" t="e">
        <f ca="1">IF(G28=0,0,G22)</f>
        <v>#REF!</v>
      </c>
      <c r="H30" s="553">
        <f>IF(H28=0,0,H22)</f>
        <v>0</v>
      </c>
      <c r="I30" s="553" t="e">
        <f>IF($I$28=0,0,IF(I22="Refer","Refer",IF(I22="follow",MAX(F22:H22),MAX(F30:G30))))</f>
        <v>#REF!</v>
      </c>
      <c r="J30" s="553">
        <f>IF($J$28=0,0,IF(J22="Refer","Refer",IF(J22="follow",MAX(F22:G22),MAX(F30:G30))))</f>
        <v>0</v>
      </c>
      <c r="K30" s="553">
        <f>IF($K$28=0,0,IF(SUM(F28:H28)&gt;0,IF(K22="follow",H22,IF(K22&gt;=H22,K22,MAX(F30:H30))),K22))</f>
        <v>0</v>
      </c>
    </row>
    <row r="31" spans="3:12" s="552" customFormat="1" ht="20.25" customHeight="1">
      <c r="C31" s="3606"/>
      <c r="D31" s="551" t="s">
        <v>1327</v>
      </c>
      <c r="F31" s="554">
        <f>IF(F28=0,0,F24)</f>
        <v>0</v>
      </c>
      <c r="G31" s="554" t="e">
        <f ca="1">IF(G28=0,0,G24)</f>
        <v>#REF!</v>
      </c>
      <c r="H31" s="554">
        <f>IF(H28=0,0,H24)</f>
        <v>0</v>
      </c>
      <c r="I31" s="554" t="e">
        <f>IF($I$28=0,0,IF(I24="Refer","Refer",IF(I23="follow",MAX(F24:G24),MAX(F31:G31))))</f>
        <v>#REF!</v>
      </c>
      <c r="J31" s="554">
        <f>IF($J$28=0,0,IF(J24="Refer","Refer",IF(J23="follow",MAX(F24:G24),MAX(F31:G31))))</f>
        <v>0</v>
      </c>
      <c r="K31" s="555">
        <f>IF($K$28=0,0,IF(SUM(F28:H28)&gt;0,IF(K24="follow",H24,IF(K24&gt;=H24,K24,MAX(F31:H31))),K24))</f>
        <v>0</v>
      </c>
    </row>
    <row r="32" spans="3:12" s="552" customFormat="1" ht="20.25" customHeight="1">
      <c r="C32" s="3606"/>
      <c r="D32" s="551" t="s">
        <v>1328</v>
      </c>
      <c r="F32" s="556">
        <f>IF(F28=0,0,F26)</f>
        <v>0</v>
      </c>
      <c r="G32" s="556" t="e">
        <f ca="1">IF(G28=0,0,G26)</f>
        <v>#REF!</v>
      </c>
      <c r="H32" s="556">
        <f>IF(H28=0,0,H26)</f>
        <v>0</v>
      </c>
      <c r="I32" s="557" t="e">
        <f>IF($I$28=0,0,IF(I24="Refer","Refer",IF(I24="follow",MIN(F26:G26),MAX(F32:G32))))</f>
        <v>#REF!</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IF(I30="refer", "Refer", MAX($F$30:$K$30))</f>
        <v>#REF!</v>
      </c>
    </row>
    <row r="36" spans="3:11" ht="19.5" customHeight="1">
      <c r="C36" s="3607"/>
      <c r="D36" s="564" t="s">
        <v>1327</v>
      </c>
      <c r="F36" s="1015" t="e">
        <f>IF(I31="refer", "Refer", MAX($F$31:$K$31))</f>
        <v>#REF!</v>
      </c>
    </row>
    <row r="37" spans="3:11" ht="19.5" customHeight="1">
      <c r="C37" s="3607"/>
      <c r="D37" s="564" t="s">
        <v>1328</v>
      </c>
      <c r="F37" s="1016" t="e">
        <f>IF(I32="refer", "Refer", IF(G32="refer","Refer",MAX($F$32:$K$32)))</f>
        <v>#REF!</v>
      </c>
    </row>
    <row r="39" spans="3:11">
      <c r="F39" s="1019" t="e">
        <f>F35*100&amp;"% "&amp;"Min $ "&amp;LEFT(F36,3)&amp;",000"</f>
        <v>#REF!</v>
      </c>
    </row>
  </sheetData>
  <autoFilter ref="C1" xr:uid="{00000000-0009-0000-0000-000025000000}"/>
  <dataConsolidate/>
  <mergeCells count="2">
    <mergeCell ref="C30:C32"/>
    <mergeCell ref="C35:C37"/>
  </mergeCells>
  <conditionalFormatting sqref="D4:D5">
    <cfRule type="expression" dxfId="3" priority="2">
      <formula>#REF!=FALSE</formula>
    </cfRule>
  </conditionalFormatting>
  <conditionalFormatting sqref="F35:F37 F30:K32">
    <cfRule type="cellIs" dxfId="2" priority="1" operator="equal">
      <formula>0</formula>
    </cfRule>
  </conditionalFormatting>
  <pageMargins left="0.7" right="0.7" top="0.75" bottom="0.75" header="0.3" footer="0.3"/>
  <pageSetup scale="60"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8">
    <tabColor rgb="FFFFC000"/>
  </sheetPr>
  <dimension ref="C1:L39"/>
  <sheetViews>
    <sheetView showGridLines="0" zoomScaleNormal="100" workbookViewId="0">
      <selection activeCell="F28" sqref="F28:K28"/>
    </sheetView>
  </sheetViews>
  <sheetFormatPr defaultColWidth="9.140625" defaultRowHeight="14.25" outlineLevelRow="1"/>
  <cols>
    <col min="1" max="1" width="2.140625" style="517" customWidth="1"/>
    <col min="2" max="2" width="2.28515625" style="517" customWidth="1"/>
    <col min="3" max="3" width="28.140625" style="517" customWidth="1"/>
    <col min="4" max="4" width="46.28515625" style="516" customWidth="1"/>
    <col min="5" max="5" width="4.85546875" style="517" customWidth="1"/>
    <col min="6" max="6" width="19.28515625" style="517" customWidth="1"/>
    <col min="7" max="7" width="22.5703125" style="517" customWidth="1"/>
    <col min="8" max="8" width="19.28515625" style="517" hidden="1" customWidth="1"/>
    <col min="9" max="11" width="19.28515625" style="517" customWidth="1"/>
    <col min="12" max="16384" width="9.140625" style="517"/>
  </cols>
  <sheetData>
    <row r="1" spans="3:11" ht="17.25" customHeight="1">
      <c r="C1" s="515" t="s">
        <v>1297</v>
      </c>
    </row>
    <row r="2" spans="3:11" s="518" customFormat="1" ht="17.25" customHeight="1">
      <c r="D2" s="519"/>
    </row>
    <row r="3" spans="3:11" s="518" customFormat="1" ht="17.25" customHeight="1">
      <c r="C3" s="520" t="s">
        <v>1298</v>
      </c>
      <c r="D3" s="1008" t="e">
        <f>LEFT('Input Property info '!#REF!,3)</f>
        <v>#REF!</v>
      </c>
      <c r="J3" s="521"/>
    </row>
    <row r="4" spans="3:11" s="518" customFormat="1" ht="17.25" customHeight="1">
      <c r="C4" s="522" t="s">
        <v>259</v>
      </c>
      <c r="D4" s="1009" t="e">
        <f>VLOOKUP(LEFT($D$3,1),'PCODES EQ'!$O$2:$P$19,2,FALSE)</f>
        <v>#REF!</v>
      </c>
    </row>
    <row r="5" spans="3:11" s="518" customFormat="1" ht="17.25" customHeight="1">
      <c r="C5" s="522"/>
      <c r="D5" s="1009"/>
    </row>
    <row r="6" spans="3:11" s="523" customFormat="1" ht="17.25" customHeight="1" outlineLevel="1">
      <c r="D6" s="1010"/>
    </row>
    <row r="7" spans="3:11" s="518" customFormat="1" ht="17.25" customHeight="1">
      <c r="C7" s="520" t="s">
        <v>1300</v>
      </c>
      <c r="D7" s="1007" t="e">
        <f>'Input Property info '!#REF!</f>
        <v>#REF!</v>
      </c>
    </row>
    <row r="8" spans="3:11" s="518" customFormat="1" ht="17.25" customHeight="1">
      <c r="C8" s="520" t="s">
        <v>1301</v>
      </c>
      <c r="D8" s="1007" t="e">
        <f>'Input Property info '!#REF!</f>
        <v>#REF!</v>
      </c>
    </row>
    <row r="9" spans="3:11" ht="17.25" customHeight="1">
      <c r="C9" s="524" t="s">
        <v>1302</v>
      </c>
      <c r="D9" s="1007" t="e">
        <f>'Input Property info '!#REF!</f>
        <v>#REF!</v>
      </c>
    </row>
    <row r="10" spans="3:11" ht="15" customHeight="1">
      <c r="D10" s="1011"/>
    </row>
    <row r="11" spans="3:11" ht="17.25" hidden="1" customHeight="1" outlineLevel="1">
      <c r="D11" s="1011" t="s">
        <v>1303</v>
      </c>
      <c r="F11" s="516"/>
      <c r="G11" s="516"/>
      <c r="H11" s="516"/>
      <c r="I11" s="516"/>
      <c r="J11" s="516"/>
      <c r="K11" s="516"/>
    </row>
    <row r="12" spans="3:11" ht="17.25" hidden="1" customHeight="1" outlineLevel="1">
      <c r="C12" s="524" t="s">
        <v>1304</v>
      </c>
      <c r="D12" s="1013">
        <v>1000000</v>
      </c>
      <c r="F12" s="525"/>
      <c r="G12" s="525"/>
      <c r="H12" s="525"/>
      <c r="I12" s="525"/>
      <c r="J12" s="525"/>
      <c r="K12" s="525"/>
    </row>
    <row r="13" spans="3:11" ht="17.25" hidden="1" customHeight="1" outlineLevel="1">
      <c r="C13" s="524" t="s">
        <v>1305</v>
      </c>
      <c r="D13" s="1013">
        <v>100000</v>
      </c>
      <c r="F13" s="525"/>
      <c r="G13" s="525"/>
      <c r="H13" s="525"/>
      <c r="I13" s="525"/>
      <c r="J13" s="525"/>
      <c r="K13" s="525"/>
    </row>
    <row r="14" spans="3:11" ht="17.25" hidden="1" customHeight="1" outlineLevel="1">
      <c r="C14" s="524" t="s">
        <v>1306</v>
      </c>
      <c r="D14" s="1013"/>
      <c r="F14" s="525"/>
      <c r="G14" s="525"/>
      <c r="H14" s="525"/>
      <c r="I14" s="525"/>
      <c r="J14" s="525"/>
      <c r="K14" s="525"/>
    </row>
    <row r="15" spans="3:11" ht="17.25" hidden="1" customHeight="1" outlineLevel="1">
      <c r="C15" s="524" t="s">
        <v>1307</v>
      </c>
      <c r="D15" s="1013"/>
      <c r="F15" s="525"/>
      <c r="G15" s="525"/>
      <c r="H15" s="525"/>
      <c r="I15" s="525"/>
      <c r="J15" s="525"/>
      <c r="K15" s="525"/>
    </row>
    <row r="16" spans="3:11" ht="17.25" hidden="1" customHeight="1" outlineLevel="1">
      <c r="C16" s="524" t="s">
        <v>1308</v>
      </c>
      <c r="D16" s="1013"/>
      <c r="F16" s="525"/>
      <c r="G16" s="525"/>
      <c r="H16" s="525"/>
      <c r="I16" s="525"/>
      <c r="J16" s="525"/>
      <c r="K16" s="525"/>
    </row>
    <row r="17" spans="3:12" ht="17.25" hidden="1" customHeight="1" outlineLevel="1">
      <c r="D17" s="1011"/>
    </row>
    <row r="18" spans="3:12" ht="17.25" customHeight="1" collapsed="1">
      <c r="C18" s="526" t="s">
        <v>1309</v>
      </c>
      <c r="D18" s="1012" t="e">
        <f>Property!#REF!</f>
        <v>#REF!</v>
      </c>
    </row>
    <row r="19" spans="3:12" ht="17.25" customHeight="1">
      <c r="C19" s="527"/>
    </row>
    <row r="20" spans="3:12" ht="17.25" customHeight="1">
      <c r="D20" s="528" t="s">
        <v>1310</v>
      </c>
      <c r="F20" s="529" t="s">
        <v>1311</v>
      </c>
      <c r="G20" s="529" t="s">
        <v>1312</v>
      </c>
      <c r="H20" s="529" t="s">
        <v>1313</v>
      </c>
      <c r="I20" s="529" t="s">
        <v>1314</v>
      </c>
      <c r="J20" s="529" t="s">
        <v>1315</v>
      </c>
      <c r="K20" s="529" t="s">
        <v>1316</v>
      </c>
    </row>
    <row r="21" spans="3:12" s="531" customFormat="1" ht="17.25" customHeight="1" outlineLevel="1">
      <c r="C21" s="530" t="s">
        <v>1317</v>
      </c>
      <c r="F21" s="532" t="e">
        <f>VLOOKUP(PostalCode,'PCODES EQ'!C:J,7,FALSE)</f>
        <v>#REF!</v>
      </c>
      <c r="G21" s="532" t="e">
        <f>VLOOKUP(PostalCode,'PCODES EQ'!C:J,8,FALSE)</f>
        <v>#REF!</v>
      </c>
      <c r="H21" s="533" t="e">
        <f>VLOOKUP(PostalCode,'PCODES EQ'!C:K,9,FALSE)</f>
        <v>#REF!</v>
      </c>
      <c r="I21" s="533"/>
      <c r="J21" s="534"/>
      <c r="K21" s="533" t="s">
        <v>1318</v>
      </c>
    </row>
    <row r="22" spans="3:12" s="518" customFormat="1" ht="17.25" customHeight="1">
      <c r="D22" s="535" t="s">
        <v>1319</v>
      </c>
      <c r="F22" s="536" t="e">
        <f ca="1">INDIRECT($F$21&amp;"!F4")</f>
        <v>#REF!</v>
      </c>
      <c r="G22" s="536" t="e">
        <f ca="1">INDIRECT(G$21&amp;"!F4")</f>
        <v>#REF!</v>
      </c>
      <c r="H22" s="536"/>
      <c r="I22" s="536" t="e">
        <f>IF(D4="BC","Refer","Follow")</f>
        <v>#REF!</v>
      </c>
      <c r="J22" s="536" t="s">
        <v>1320</v>
      </c>
      <c r="K22" s="536" t="e">
        <f>Algorithm_Temple!F4</f>
        <v>#N/A</v>
      </c>
    </row>
    <row r="23" spans="3:12" s="518" customFormat="1" ht="17.25" customHeight="1" outlineLevel="1">
      <c r="D23" s="535" t="s">
        <v>1321</v>
      </c>
      <c r="F23" s="537" t="e">
        <f ca="1">INDIRECT($F$21&amp;"!F6")</f>
        <v>#REF!</v>
      </c>
      <c r="G23" s="537" t="e">
        <f ca="1">INDIRECT($G$21&amp;"!F6")</f>
        <v>#REF!</v>
      </c>
      <c r="H23" s="537" t="e">
        <f ca="1">INDIRECT(H$21&amp;"!F6")</f>
        <v>#REF!</v>
      </c>
      <c r="I23" s="537" t="e">
        <f>IF(D4="BC","Refer","Follow")</f>
        <v>#REF!</v>
      </c>
      <c r="J23" s="536"/>
      <c r="K23" s="537">
        <f ca="1">INDIRECT(K$21&amp;"!F6")</f>
        <v>1</v>
      </c>
    </row>
    <row r="24" spans="3:12" ht="17.25" customHeight="1">
      <c r="D24" s="538" t="s">
        <v>1322</v>
      </c>
      <c r="F24" s="539" t="e">
        <f ca="1">IF(Totalinsuredvalue&lt;500000.01,"% deductible to be applied",INDIRECT($F$21&amp;"!F5"))</f>
        <v>#REF!</v>
      </c>
      <c r="G24" s="539" t="e">
        <f ca="1">INDIRECT($G$21&amp;"!F5")</f>
        <v>#REF!</v>
      </c>
      <c r="H24" s="539"/>
      <c r="I24" s="539" t="e">
        <f>IF(D4="BC","Refer","Follow")</f>
        <v>#REF!</v>
      </c>
      <c r="J24" s="540" t="s">
        <v>1320</v>
      </c>
      <c r="K24" s="539" t="e">
        <f>Algorithm_Temple!F5</f>
        <v>#N/A</v>
      </c>
    </row>
    <row r="25" spans="3:12" ht="17.25" customHeight="1" thickBot="1">
      <c r="D25" s="541" t="s">
        <v>1231</v>
      </c>
      <c r="F25" s="542" t="e">
        <f ca="1">INDIRECT($F$21&amp;"!F2")</f>
        <v>#REF!</v>
      </c>
      <c r="G25" s="542" t="e">
        <f ca="1">INDIRECT($G$21&amp;"!F2")</f>
        <v>#REF!</v>
      </c>
      <c r="H25" s="542" t="e">
        <f ca="1">INDIRECT(H$21&amp;"!F2")</f>
        <v>#REF!</v>
      </c>
      <c r="I25" s="542" t="e">
        <f>IF(D4="BC","Refer","Follow")</f>
        <v>#REF!</v>
      </c>
      <c r="J25" s="542" t="s">
        <v>1320</v>
      </c>
      <c r="K25" s="542" t="s">
        <v>1320</v>
      </c>
      <c r="L25" s="543"/>
    </row>
    <row r="26" spans="3:12" s="544" customFormat="1" ht="29.25" customHeight="1" thickTop="1">
      <c r="D26" s="545" t="s">
        <v>1323</v>
      </c>
      <c r="F26" s="546" t="e">
        <f ca="1">IF(F25="Refer","Refer",F23*F25)</f>
        <v>#REF!</v>
      </c>
      <c r="G26" s="546" t="e">
        <f ca="1">IF(G25="Refer","Refer",G23*G25)</f>
        <v>#REF!</v>
      </c>
      <c r="H26" s="546"/>
      <c r="I26" s="546" t="e">
        <f>IF(I25="Refer","Refer",I25)</f>
        <v>#REF!</v>
      </c>
      <c r="J26" s="546" t="s">
        <v>1320</v>
      </c>
      <c r="K26" s="546" t="s">
        <v>1320</v>
      </c>
    </row>
    <row r="27" spans="3:12" ht="17.25" customHeight="1">
      <c r="C27" s="527"/>
      <c r="F27" s="547"/>
      <c r="G27" s="547"/>
      <c r="H27" s="547"/>
      <c r="I27" s="547"/>
      <c r="J27" s="547"/>
      <c r="K27" s="547"/>
    </row>
    <row r="28" spans="3:12" s="549" customFormat="1" ht="17.25" customHeight="1">
      <c r="C28" s="520" t="s">
        <v>1324</v>
      </c>
      <c r="D28" s="548" t="e">
        <f>SUM(F28:K28)</f>
        <v>#REF!</v>
      </c>
      <c r="F28" s="550"/>
      <c r="G28" s="550">
        <v>1</v>
      </c>
      <c r="H28" s="550">
        <v>0</v>
      </c>
      <c r="I28" s="550" t="e">
        <f>Property!#REF!</f>
        <v>#REF!</v>
      </c>
      <c r="J28" s="550"/>
      <c r="K28" s="550"/>
    </row>
    <row r="29" spans="3:12" ht="17.25" customHeight="1">
      <c r="F29" s="547"/>
      <c r="G29" s="547"/>
      <c r="H29" s="547"/>
      <c r="I29" s="547"/>
      <c r="J29" s="547"/>
      <c r="K29" s="547"/>
    </row>
    <row r="30" spans="3:12" s="552" customFormat="1" ht="20.25" customHeight="1">
      <c r="C30" s="3606" t="s">
        <v>1325</v>
      </c>
      <c r="D30" s="551" t="s">
        <v>1326</v>
      </c>
      <c r="F30" s="553">
        <f>IF(F28=0,0,F22)</f>
        <v>0</v>
      </c>
      <c r="G30" s="553" t="e">
        <f ca="1">IF(G28=0,0,G22)</f>
        <v>#REF!</v>
      </c>
      <c r="H30" s="553">
        <f>IF(H28=0,0,H22)</f>
        <v>0</v>
      </c>
      <c r="I30" s="553" t="e">
        <f>IF($I$28=0,0,IF(I22="Refer","Refer",IF(I22="follow",MAX(F22:H22),MAX(F30:G30))))</f>
        <v>#REF!</v>
      </c>
      <c r="J30" s="553">
        <f>IF($J$28=0,0,IF(J22="Refer","Refer",IF(J22="follow",MAX(F22:G22),MAX(F30:G30))))</f>
        <v>0</v>
      </c>
      <c r="K30" s="553">
        <f>IF($K$28=0,0,IF(SUM(F28:H28)&gt;0,IF(K22="follow",H22,IF(K22&gt;=H22,K22,MAX(F30:H30))),K22))</f>
        <v>0</v>
      </c>
    </row>
    <row r="31" spans="3:12" s="552" customFormat="1" ht="20.25" customHeight="1">
      <c r="C31" s="3606"/>
      <c r="D31" s="551" t="s">
        <v>1327</v>
      </c>
      <c r="F31" s="554">
        <f>IF(F28=0,0,F24)</f>
        <v>0</v>
      </c>
      <c r="G31" s="554" t="e">
        <f ca="1">IF(G28=0,0,G24)</f>
        <v>#REF!</v>
      </c>
      <c r="H31" s="554">
        <f>IF(H28=0,0,H24)</f>
        <v>0</v>
      </c>
      <c r="I31" s="554" t="e">
        <f>IF($I$28=0,0,IF(I24="Refer","Refer",IF(I23="follow",MAX(F24:G24),MAX(F31:G31))))</f>
        <v>#REF!</v>
      </c>
      <c r="J31" s="554">
        <f>IF($J$28=0,0,IF(J24="Refer","Refer",IF(J23="follow",MAX(F24:G24),MAX(F31:G31))))</f>
        <v>0</v>
      </c>
      <c r="K31" s="555">
        <f>IF($K$28=0,0,IF(SUM(F28:H28)&gt;0,IF(K24="follow",H24,IF(K24&gt;=H24,K24,MAX(F31:H31))),K24))</f>
        <v>0</v>
      </c>
    </row>
    <row r="32" spans="3:12" s="552" customFormat="1" ht="20.25" customHeight="1">
      <c r="C32" s="3606"/>
      <c r="D32" s="551" t="s">
        <v>1328</v>
      </c>
      <c r="F32" s="556">
        <f>IF(F28=0,0,F26)</f>
        <v>0</v>
      </c>
      <c r="G32" s="556" t="e">
        <f ca="1">IF(G28=0,0,G26)</f>
        <v>#REF!</v>
      </c>
      <c r="H32" s="556">
        <f>IF(H28=0,0,H26)</f>
        <v>0</v>
      </c>
      <c r="I32" s="557" t="e">
        <f>IF($I$28=0,0,IF(I24="Refer","Refer",IF(I24="follow",MIN(F26:G26),MAX(F32:G32))))</f>
        <v>#REF!</v>
      </c>
      <c r="J32" s="557">
        <f>IF($J$28=0,0,IF(J24="Refer","Refer",IF(J24="follow",MIN(F26:H26),MAX(E32:H32))))</f>
        <v>0</v>
      </c>
      <c r="K32" s="557">
        <f>IF($K$28=0,0,IF(K25="Refer","Refer",IF(K25="follow",MIN(F26:H26),MAX(E32:H32))))</f>
        <v>0</v>
      </c>
    </row>
    <row r="33" spans="3:11" s="560" customFormat="1" ht="17.25" customHeight="1">
      <c r="C33" s="558"/>
      <c r="D33" s="559"/>
      <c r="F33" s="561"/>
      <c r="G33" s="562"/>
      <c r="H33" s="561"/>
      <c r="I33" s="561"/>
      <c r="J33" s="562"/>
      <c r="K33" s="562"/>
    </row>
    <row r="34" spans="3:11" ht="20.25" customHeight="1">
      <c r="D34" s="563"/>
      <c r="E34" s="515"/>
      <c r="F34" s="563" t="s">
        <v>1329</v>
      </c>
    </row>
    <row r="35" spans="3:11" ht="19.5" customHeight="1">
      <c r="C35" s="3607" t="s">
        <v>1330</v>
      </c>
      <c r="D35" s="564" t="s">
        <v>1326</v>
      </c>
      <c r="F35" s="1014" t="e">
        <f>IF(I30="refer", "Refer", MAX($F$30:$K$30))</f>
        <v>#REF!</v>
      </c>
    </row>
    <row r="36" spans="3:11" ht="19.5" customHeight="1">
      <c r="C36" s="3607"/>
      <c r="D36" s="564" t="s">
        <v>1327</v>
      </c>
      <c r="F36" s="1015" t="e">
        <f>IF(I31="refer", "Refer", MAX($F$31:$K$31))</f>
        <v>#REF!</v>
      </c>
    </row>
    <row r="37" spans="3:11" ht="19.5" customHeight="1">
      <c r="C37" s="3607"/>
      <c r="D37" s="564" t="s">
        <v>1328</v>
      </c>
      <c r="F37" s="1016" t="e">
        <f>IF(I32="refer", "Refer", IF(G32="refer","Refer",MAX($F$32:$K$32)))</f>
        <v>#REF!</v>
      </c>
    </row>
    <row r="39" spans="3:11">
      <c r="F39" s="1019" t="e">
        <f>F35*100&amp;"% "&amp;"Min $ "&amp;LEFT(F36,3)&amp;",000"</f>
        <v>#REF!</v>
      </c>
    </row>
  </sheetData>
  <autoFilter ref="C1" xr:uid="{00000000-0009-0000-0000-000026000000}"/>
  <dataConsolidate/>
  <mergeCells count="2">
    <mergeCell ref="C30:C32"/>
    <mergeCell ref="C35:C37"/>
  </mergeCells>
  <conditionalFormatting sqref="D4:D5">
    <cfRule type="expression" dxfId="1" priority="2">
      <formula>#REF!=FALSE</formula>
    </cfRule>
  </conditionalFormatting>
  <conditionalFormatting sqref="F35:F37 F30:K32">
    <cfRule type="cellIs" dxfId="0" priority="1" operator="equal">
      <formula>0</formula>
    </cfRule>
  </conditionalFormatting>
  <pageMargins left="0.7" right="0.7" top="0.75" bottom="0.75" header="0.3" footer="0.3"/>
  <pageSetup scale="60"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0" filterMode="1"/>
  <dimension ref="A1:S1641"/>
  <sheetViews>
    <sheetView showGridLines="0" zoomScaleNormal="100" workbookViewId="0">
      <selection activeCell="G2" sqref="G2"/>
    </sheetView>
  </sheetViews>
  <sheetFormatPr defaultColWidth="9.140625" defaultRowHeight="15"/>
  <cols>
    <col min="3" max="3" width="11.28515625" customWidth="1"/>
    <col min="9" max="9" width="21" customWidth="1"/>
    <col min="10" max="10" width="22.42578125" customWidth="1"/>
    <col min="11" max="11" width="28.5703125" customWidth="1"/>
    <col min="12" max="12" width="14.85546875" customWidth="1"/>
    <col min="13" max="13" width="17.140625" customWidth="1"/>
    <col min="14" max="14" width="13.85546875" customWidth="1"/>
  </cols>
  <sheetData>
    <row r="1" spans="1:19">
      <c r="O1" t="s">
        <v>1235</v>
      </c>
      <c r="P1" t="s">
        <v>259</v>
      </c>
      <c r="Q1" t="s">
        <v>1311</v>
      </c>
      <c r="R1" t="s">
        <v>1331</v>
      </c>
      <c r="S1" t="s">
        <v>1332</v>
      </c>
    </row>
    <row r="2" spans="1:19" ht="45">
      <c r="A2" s="565" t="s">
        <v>1333</v>
      </c>
      <c r="B2" s="565" t="s">
        <v>1334</v>
      </c>
      <c r="C2" s="565" t="s">
        <v>1335</v>
      </c>
      <c r="D2" s="565" t="s">
        <v>1336</v>
      </c>
      <c r="E2" s="565" t="s">
        <v>1337</v>
      </c>
      <c r="F2" s="565" t="s">
        <v>1338</v>
      </c>
      <c r="G2" s="565" t="s">
        <v>259</v>
      </c>
      <c r="H2" s="565" t="s">
        <v>1339</v>
      </c>
      <c r="I2" s="566" t="s">
        <v>1340</v>
      </c>
      <c r="J2" s="566" t="s">
        <v>1341</v>
      </c>
      <c r="K2" s="566" t="s">
        <v>1342</v>
      </c>
      <c r="L2" s="566" t="s">
        <v>1343</v>
      </c>
      <c r="M2" s="566" t="s">
        <v>1344</v>
      </c>
      <c r="O2" s="423" t="s">
        <v>234</v>
      </c>
      <c r="P2" s="567" t="s">
        <v>1345</v>
      </c>
      <c r="Q2" s="423" t="s">
        <v>249</v>
      </c>
      <c r="R2" t="s">
        <v>1236</v>
      </c>
      <c r="S2" t="s">
        <v>1236</v>
      </c>
    </row>
    <row r="3" spans="1:19">
      <c r="A3" t="str">
        <f t="shared" ref="A3:A66" si="0">LEFT(C3)</f>
        <v>A</v>
      </c>
      <c r="B3" t="str">
        <f>LEFT(C3,2)</f>
        <v>A0</v>
      </c>
      <c r="C3" s="568" t="s">
        <v>1346</v>
      </c>
      <c r="D3" s="568" t="s">
        <v>1347</v>
      </c>
      <c r="E3" s="569">
        <v>18</v>
      </c>
      <c r="F3" t="s">
        <v>249</v>
      </c>
      <c r="G3" t="s">
        <v>249</v>
      </c>
      <c r="H3">
        <v>1</v>
      </c>
      <c r="I3" t="s">
        <v>1348</v>
      </c>
      <c r="J3" t="s">
        <v>1349</v>
      </c>
      <c r="K3" t="s">
        <v>1350</v>
      </c>
      <c r="O3" s="423" t="s">
        <v>235</v>
      </c>
      <c r="P3" s="570" t="s">
        <v>1240</v>
      </c>
      <c r="Q3" s="423" t="s">
        <v>249</v>
      </c>
      <c r="R3" t="s">
        <v>1236</v>
      </c>
      <c r="S3" t="s">
        <v>1236</v>
      </c>
    </row>
    <row r="4" spans="1:19">
      <c r="A4" t="str">
        <f t="shared" si="0"/>
        <v>A</v>
      </c>
      <c r="B4" t="str">
        <f t="shared" ref="B4:B67" si="1">LEFT(C4,2)</f>
        <v>A0</v>
      </c>
      <c r="C4" s="568" t="s">
        <v>1351</v>
      </c>
      <c r="D4" s="568" t="s">
        <v>1347</v>
      </c>
      <c r="E4" s="569">
        <v>18</v>
      </c>
      <c r="F4" t="s">
        <v>249</v>
      </c>
      <c r="G4" t="s">
        <v>249</v>
      </c>
      <c r="H4">
        <v>1</v>
      </c>
      <c r="I4" t="s">
        <v>1348</v>
      </c>
      <c r="J4" t="s">
        <v>1349</v>
      </c>
      <c r="K4" t="s">
        <v>1350</v>
      </c>
      <c r="O4" s="423" t="s">
        <v>236</v>
      </c>
      <c r="P4" s="571" t="s">
        <v>1352</v>
      </c>
      <c r="Q4" s="423" t="s">
        <v>249</v>
      </c>
      <c r="R4" t="s">
        <v>1236</v>
      </c>
      <c r="S4" t="s">
        <v>1236</v>
      </c>
    </row>
    <row r="5" spans="1:19">
      <c r="A5" t="str">
        <f t="shared" si="0"/>
        <v>A</v>
      </c>
      <c r="B5" t="str">
        <f t="shared" si="1"/>
        <v>A0</v>
      </c>
      <c r="C5" s="568" t="s">
        <v>1353</v>
      </c>
      <c r="D5" s="568" t="s">
        <v>1347</v>
      </c>
      <c r="E5" s="569">
        <v>18</v>
      </c>
      <c r="F5" t="s">
        <v>249</v>
      </c>
      <c r="G5" t="s">
        <v>249</v>
      </c>
      <c r="H5">
        <v>1</v>
      </c>
      <c r="I5" t="s">
        <v>1348</v>
      </c>
      <c r="J5" t="s">
        <v>1349</v>
      </c>
      <c r="K5" t="s">
        <v>1350</v>
      </c>
      <c r="O5" s="423" t="s">
        <v>1354</v>
      </c>
      <c r="P5" s="567" t="s">
        <v>1241</v>
      </c>
      <c r="Q5" s="423" t="s">
        <v>249</v>
      </c>
      <c r="R5" t="s">
        <v>1236</v>
      </c>
      <c r="S5" t="s">
        <v>1236</v>
      </c>
    </row>
    <row r="6" spans="1:19">
      <c r="A6" t="str">
        <f t="shared" si="0"/>
        <v>A</v>
      </c>
      <c r="B6" t="str">
        <f t="shared" si="1"/>
        <v>A0</v>
      </c>
      <c r="C6" s="568" t="s">
        <v>1355</v>
      </c>
      <c r="D6" s="568" t="s">
        <v>1347</v>
      </c>
      <c r="E6" s="569">
        <v>18</v>
      </c>
      <c r="F6" t="s">
        <v>249</v>
      </c>
      <c r="G6" t="s">
        <v>249</v>
      </c>
      <c r="H6">
        <v>1</v>
      </c>
      <c r="I6" t="s">
        <v>1348</v>
      </c>
      <c r="J6" t="s">
        <v>1349</v>
      </c>
      <c r="K6" t="s">
        <v>1350</v>
      </c>
      <c r="O6" s="423" t="s">
        <v>1356</v>
      </c>
      <c r="P6" s="572" t="s">
        <v>239</v>
      </c>
      <c r="Q6" s="423" t="s">
        <v>239</v>
      </c>
      <c r="R6" t="s">
        <v>1238</v>
      </c>
      <c r="S6" t="s">
        <v>239</v>
      </c>
    </row>
    <row r="7" spans="1:19">
      <c r="A7" t="str">
        <f t="shared" si="0"/>
        <v>A</v>
      </c>
      <c r="B7" t="str">
        <f t="shared" si="1"/>
        <v>A0</v>
      </c>
      <c r="C7" s="568" t="s">
        <v>1357</v>
      </c>
      <c r="D7" s="568" t="s">
        <v>1347</v>
      </c>
      <c r="E7" s="569">
        <v>18</v>
      </c>
      <c r="F7" t="s">
        <v>249</v>
      </c>
      <c r="G7" t="s">
        <v>249</v>
      </c>
      <c r="H7">
        <v>1</v>
      </c>
      <c r="I7" t="s">
        <v>1348</v>
      </c>
      <c r="J7" t="s">
        <v>1349</v>
      </c>
      <c r="K7" t="s">
        <v>1350</v>
      </c>
      <c r="O7" s="423" t="s">
        <v>1358</v>
      </c>
      <c r="P7" s="571" t="s">
        <v>1191</v>
      </c>
      <c r="Q7" s="423" t="s">
        <v>1191</v>
      </c>
      <c r="R7" s="423" t="s">
        <v>1191</v>
      </c>
      <c r="S7" s="423" t="s">
        <v>1191</v>
      </c>
    </row>
    <row r="8" spans="1:19">
      <c r="A8" t="str">
        <f t="shared" si="0"/>
        <v>A</v>
      </c>
      <c r="B8" t="str">
        <f t="shared" si="1"/>
        <v>A0</v>
      </c>
      <c r="C8" s="568" t="s">
        <v>1359</v>
      </c>
      <c r="D8" s="568" t="s">
        <v>1347</v>
      </c>
      <c r="E8" s="569">
        <v>18</v>
      </c>
      <c r="F8" t="s">
        <v>249</v>
      </c>
      <c r="G8" t="s">
        <v>249</v>
      </c>
      <c r="H8">
        <v>1</v>
      </c>
      <c r="I8" t="s">
        <v>1348</v>
      </c>
      <c r="J8" t="s">
        <v>1349</v>
      </c>
      <c r="K8" t="s">
        <v>1350</v>
      </c>
      <c r="O8" s="423" t="s">
        <v>1360</v>
      </c>
      <c r="P8" s="571" t="s">
        <v>1191</v>
      </c>
      <c r="Q8" s="423" t="s">
        <v>1191</v>
      </c>
      <c r="R8" s="423" t="s">
        <v>1191</v>
      </c>
      <c r="S8" s="423" t="s">
        <v>1191</v>
      </c>
    </row>
    <row r="9" spans="1:19">
      <c r="A9" t="str">
        <f t="shared" si="0"/>
        <v>A</v>
      </c>
      <c r="B9" t="str">
        <f t="shared" si="1"/>
        <v>A0</v>
      </c>
      <c r="C9" s="568" t="s">
        <v>1361</v>
      </c>
      <c r="D9" s="568" t="s">
        <v>1347</v>
      </c>
      <c r="E9" s="569">
        <v>18</v>
      </c>
      <c r="F9" t="s">
        <v>249</v>
      </c>
      <c r="G9" t="s">
        <v>249</v>
      </c>
      <c r="H9">
        <v>1</v>
      </c>
      <c r="I9" t="s">
        <v>1348</v>
      </c>
      <c r="J9" t="s">
        <v>1349</v>
      </c>
      <c r="K9" t="s">
        <v>1350</v>
      </c>
      <c r="O9" s="423" t="s">
        <v>1362</v>
      </c>
      <c r="P9" s="571" t="s">
        <v>1191</v>
      </c>
      <c r="Q9" s="423" t="s">
        <v>1191</v>
      </c>
      <c r="R9" s="423" t="s">
        <v>1191</v>
      </c>
      <c r="S9" s="423" t="s">
        <v>1191</v>
      </c>
    </row>
    <row r="10" spans="1:19">
      <c r="A10" t="str">
        <f t="shared" si="0"/>
        <v>A</v>
      </c>
      <c r="B10" t="str">
        <f t="shared" si="1"/>
        <v>A0</v>
      </c>
      <c r="C10" s="568" t="s">
        <v>1363</v>
      </c>
      <c r="D10" s="568" t="s">
        <v>1347</v>
      </c>
      <c r="E10" s="569">
        <v>18</v>
      </c>
      <c r="F10" t="s">
        <v>249</v>
      </c>
      <c r="G10" t="s">
        <v>249</v>
      </c>
      <c r="H10">
        <v>1</v>
      </c>
      <c r="I10" t="s">
        <v>1348</v>
      </c>
      <c r="J10" t="s">
        <v>1349</v>
      </c>
      <c r="K10" t="s">
        <v>1350</v>
      </c>
      <c r="O10" s="423" t="s">
        <v>1032</v>
      </c>
      <c r="P10" s="571" t="s">
        <v>1191</v>
      </c>
      <c r="Q10" s="423" t="s">
        <v>1191</v>
      </c>
      <c r="R10" s="423" t="s">
        <v>1191</v>
      </c>
      <c r="S10" s="423" t="s">
        <v>1191</v>
      </c>
    </row>
    <row r="11" spans="1:19">
      <c r="A11" t="str">
        <f t="shared" si="0"/>
        <v>A</v>
      </c>
      <c r="B11" t="str">
        <f t="shared" si="1"/>
        <v>A0</v>
      </c>
      <c r="C11" s="568" t="s">
        <v>1364</v>
      </c>
      <c r="D11" s="568" t="s">
        <v>1347</v>
      </c>
      <c r="E11" s="569">
        <v>18</v>
      </c>
      <c r="F11" t="s">
        <v>249</v>
      </c>
      <c r="G11" t="s">
        <v>249</v>
      </c>
      <c r="H11">
        <v>1</v>
      </c>
      <c r="I11" t="s">
        <v>1348</v>
      </c>
      <c r="J11" t="s">
        <v>1349</v>
      </c>
      <c r="K11" t="s">
        <v>1350</v>
      </c>
      <c r="O11" s="423" t="s">
        <v>1365</v>
      </c>
      <c r="P11" s="571" t="s">
        <v>1191</v>
      </c>
      <c r="Q11" s="423" t="s">
        <v>1191</v>
      </c>
      <c r="R11" s="423" t="s">
        <v>1191</v>
      </c>
      <c r="S11" s="423" t="s">
        <v>1191</v>
      </c>
    </row>
    <row r="12" spans="1:19">
      <c r="A12" t="str">
        <f t="shared" si="0"/>
        <v>A</v>
      </c>
      <c r="B12" t="str">
        <f t="shared" si="1"/>
        <v>A0</v>
      </c>
      <c r="C12" s="568" t="s">
        <v>1366</v>
      </c>
      <c r="D12" s="568" t="s">
        <v>1347</v>
      </c>
      <c r="E12" s="569">
        <v>18</v>
      </c>
      <c r="F12" t="s">
        <v>249</v>
      </c>
      <c r="G12" t="s">
        <v>249</v>
      </c>
      <c r="H12">
        <v>1</v>
      </c>
      <c r="I12" t="s">
        <v>1348</v>
      </c>
      <c r="J12" t="s">
        <v>1349</v>
      </c>
      <c r="K12" t="s">
        <v>1350</v>
      </c>
      <c r="O12" s="423" t="s">
        <v>1367</v>
      </c>
      <c r="P12" s="573" t="s">
        <v>247</v>
      </c>
      <c r="Q12" s="423" t="s">
        <v>247</v>
      </c>
      <c r="S12" s="423" t="s">
        <v>247</v>
      </c>
    </row>
    <row r="13" spans="1:19">
      <c r="A13" t="str">
        <f t="shared" si="0"/>
        <v>A</v>
      </c>
      <c r="B13" t="str">
        <f t="shared" si="1"/>
        <v>A0</v>
      </c>
      <c r="C13" s="568" t="s">
        <v>1368</v>
      </c>
      <c r="D13" s="568" t="s">
        <v>1347</v>
      </c>
      <c r="E13" s="569">
        <v>18</v>
      </c>
      <c r="F13" t="s">
        <v>249</v>
      </c>
      <c r="G13" t="s">
        <v>249</v>
      </c>
      <c r="H13">
        <v>1</v>
      </c>
      <c r="I13" t="s">
        <v>1348</v>
      </c>
      <c r="J13" t="s">
        <v>1349</v>
      </c>
      <c r="K13" t="s">
        <v>1350</v>
      </c>
      <c r="O13" s="423" t="s">
        <v>1369</v>
      </c>
      <c r="P13" s="573" t="s">
        <v>247</v>
      </c>
      <c r="Q13" s="423" t="s">
        <v>247</v>
      </c>
      <c r="R13" s="423" t="s">
        <v>247</v>
      </c>
      <c r="S13" s="423" t="s">
        <v>247</v>
      </c>
    </row>
    <row r="14" spans="1:19">
      <c r="A14" t="str">
        <f t="shared" si="0"/>
        <v>A</v>
      </c>
      <c r="B14" t="str">
        <f t="shared" si="1"/>
        <v>A0</v>
      </c>
      <c r="C14" s="568" t="s">
        <v>1370</v>
      </c>
      <c r="D14" s="568" t="s">
        <v>1371</v>
      </c>
      <c r="E14" s="569">
        <v>18</v>
      </c>
      <c r="F14" t="s">
        <v>249</v>
      </c>
      <c r="G14" t="s">
        <v>249</v>
      </c>
      <c r="H14">
        <v>1</v>
      </c>
      <c r="I14" t="s">
        <v>1348</v>
      </c>
      <c r="J14" t="s">
        <v>1349</v>
      </c>
      <c r="K14" t="s">
        <v>1350</v>
      </c>
      <c r="O14" s="423" t="s">
        <v>1372</v>
      </c>
      <c r="P14" s="573" t="s">
        <v>247</v>
      </c>
      <c r="Q14" s="423" t="s">
        <v>247</v>
      </c>
      <c r="R14" s="423" t="s">
        <v>247</v>
      </c>
      <c r="S14" s="423" t="s">
        <v>247</v>
      </c>
    </row>
    <row r="15" spans="1:19">
      <c r="A15" t="str">
        <f t="shared" si="0"/>
        <v>A</v>
      </c>
      <c r="B15" t="str">
        <f t="shared" si="1"/>
        <v>A0</v>
      </c>
      <c r="C15" s="568" t="s">
        <v>1373</v>
      </c>
      <c r="D15" s="568" t="s">
        <v>1347</v>
      </c>
      <c r="E15" s="569">
        <v>18</v>
      </c>
      <c r="F15" t="s">
        <v>249</v>
      </c>
      <c r="G15" t="s">
        <v>249</v>
      </c>
      <c r="H15">
        <v>1</v>
      </c>
      <c r="I15" t="s">
        <v>1348</v>
      </c>
      <c r="J15" t="s">
        <v>1349</v>
      </c>
      <c r="K15" t="s">
        <v>1350</v>
      </c>
      <c r="O15" s="423" t="s">
        <v>255</v>
      </c>
      <c r="P15" s="567" t="s">
        <v>243</v>
      </c>
      <c r="Q15" s="423" t="s">
        <v>1374</v>
      </c>
      <c r="R15" s="423" t="s">
        <v>1236</v>
      </c>
      <c r="S15" s="423" t="s">
        <v>1236</v>
      </c>
    </row>
    <row r="16" spans="1:19">
      <c r="A16" t="str">
        <f t="shared" si="0"/>
        <v>A</v>
      </c>
      <c r="B16" t="str">
        <f t="shared" si="1"/>
        <v>A1</v>
      </c>
      <c r="C16" s="568" t="s">
        <v>1375</v>
      </c>
      <c r="D16" s="568" t="s">
        <v>1347</v>
      </c>
      <c r="E16" s="569">
        <v>18</v>
      </c>
      <c r="F16" t="s">
        <v>249</v>
      </c>
      <c r="G16" t="s">
        <v>249</v>
      </c>
      <c r="H16">
        <v>1</v>
      </c>
      <c r="I16" t="s">
        <v>1348</v>
      </c>
      <c r="J16" t="s">
        <v>1349</v>
      </c>
      <c r="K16" t="s">
        <v>1350</v>
      </c>
      <c r="O16" s="423" t="s">
        <v>1376</v>
      </c>
      <c r="P16" s="572" t="s">
        <v>242</v>
      </c>
      <c r="Q16" s="423" t="s">
        <v>1374</v>
      </c>
      <c r="R16" s="423" t="s">
        <v>1236</v>
      </c>
      <c r="S16" s="423" t="s">
        <v>1236</v>
      </c>
    </row>
    <row r="17" spans="1:19">
      <c r="A17" t="str">
        <f t="shared" si="0"/>
        <v>A</v>
      </c>
      <c r="B17" t="str">
        <f t="shared" si="1"/>
        <v>A1</v>
      </c>
      <c r="C17" s="568" t="s">
        <v>1377</v>
      </c>
      <c r="D17" s="568" t="s">
        <v>1347</v>
      </c>
      <c r="E17" s="569">
        <v>18</v>
      </c>
      <c r="F17" t="s">
        <v>249</v>
      </c>
      <c r="G17" t="s">
        <v>249</v>
      </c>
      <c r="H17">
        <v>1</v>
      </c>
      <c r="I17" t="s">
        <v>1348</v>
      </c>
      <c r="J17" t="s">
        <v>1349</v>
      </c>
      <c r="K17" t="s">
        <v>1350</v>
      </c>
      <c r="O17" s="423" t="s">
        <v>1378</v>
      </c>
      <c r="P17" s="571" t="s">
        <v>241</v>
      </c>
      <c r="Q17" s="423" t="s">
        <v>1374</v>
      </c>
      <c r="R17" s="423" t="s">
        <v>1236</v>
      </c>
      <c r="S17" s="423" t="s">
        <v>1236</v>
      </c>
    </row>
    <row r="18" spans="1:19">
      <c r="A18" t="str">
        <f t="shared" si="0"/>
        <v>A</v>
      </c>
      <c r="B18" t="str">
        <f t="shared" si="1"/>
        <v>A1</v>
      </c>
      <c r="C18" s="568" t="s">
        <v>1379</v>
      </c>
      <c r="D18" s="568" t="s">
        <v>1347</v>
      </c>
      <c r="E18" s="569">
        <v>18</v>
      </c>
      <c r="F18" t="s">
        <v>249</v>
      </c>
      <c r="G18" t="s">
        <v>249</v>
      </c>
      <c r="H18">
        <v>1</v>
      </c>
      <c r="I18" t="s">
        <v>1348</v>
      </c>
      <c r="J18" t="s">
        <v>1349</v>
      </c>
      <c r="K18" t="s">
        <v>1350</v>
      </c>
      <c r="O18" s="423" t="s">
        <v>257</v>
      </c>
      <c r="P18" s="573" t="s">
        <v>1380</v>
      </c>
      <c r="Q18" s="423" t="s">
        <v>1374</v>
      </c>
      <c r="R18" s="423" t="s">
        <v>1236</v>
      </c>
      <c r="S18" s="423" t="s">
        <v>1236</v>
      </c>
    </row>
    <row r="19" spans="1:19">
      <c r="A19" t="str">
        <f t="shared" si="0"/>
        <v>A</v>
      </c>
      <c r="B19" t="str">
        <f t="shared" si="1"/>
        <v>A1</v>
      </c>
      <c r="C19" s="568" t="s">
        <v>1381</v>
      </c>
      <c r="D19" s="568" t="s">
        <v>1347</v>
      </c>
      <c r="E19" s="569">
        <v>18</v>
      </c>
      <c r="F19" t="s">
        <v>249</v>
      </c>
      <c r="G19" t="s">
        <v>249</v>
      </c>
      <c r="H19">
        <v>1</v>
      </c>
      <c r="I19" t="s">
        <v>1348</v>
      </c>
      <c r="J19" t="s">
        <v>1349</v>
      </c>
      <c r="K19" t="s">
        <v>1350</v>
      </c>
      <c r="O19" s="423" t="s">
        <v>1031</v>
      </c>
      <c r="P19" s="574" t="s">
        <v>1239</v>
      </c>
      <c r="Q19" s="423" t="s">
        <v>1374</v>
      </c>
      <c r="R19" s="423" t="s">
        <v>1236</v>
      </c>
      <c r="S19" s="423" t="s">
        <v>1236</v>
      </c>
    </row>
    <row r="20" spans="1:19">
      <c r="A20" t="str">
        <f t="shared" si="0"/>
        <v>A</v>
      </c>
      <c r="B20" t="str">
        <f t="shared" si="1"/>
        <v>A1</v>
      </c>
      <c r="C20" s="568" t="s">
        <v>1382</v>
      </c>
      <c r="D20" s="568" t="s">
        <v>1347</v>
      </c>
      <c r="E20" s="569">
        <v>18</v>
      </c>
      <c r="F20" t="s">
        <v>249</v>
      </c>
      <c r="G20" t="s">
        <v>249</v>
      </c>
      <c r="H20">
        <v>1</v>
      </c>
      <c r="I20" t="s">
        <v>1348</v>
      </c>
      <c r="J20" t="s">
        <v>1349</v>
      </c>
      <c r="K20" t="s">
        <v>1350</v>
      </c>
    </row>
    <row r="21" spans="1:19">
      <c r="A21" t="str">
        <f t="shared" si="0"/>
        <v>A</v>
      </c>
      <c r="B21" t="str">
        <f t="shared" si="1"/>
        <v>A1</v>
      </c>
      <c r="C21" s="568" t="s">
        <v>1383</v>
      </c>
      <c r="D21" s="568" t="s">
        <v>1347</v>
      </c>
      <c r="E21" s="569">
        <v>18</v>
      </c>
      <c r="F21" t="s">
        <v>249</v>
      </c>
      <c r="G21" t="s">
        <v>249</v>
      </c>
      <c r="H21">
        <v>1</v>
      </c>
      <c r="I21" t="s">
        <v>1348</v>
      </c>
      <c r="J21" t="s">
        <v>1349</v>
      </c>
      <c r="K21" t="s">
        <v>1350</v>
      </c>
    </row>
    <row r="22" spans="1:19">
      <c r="A22" t="str">
        <f t="shared" si="0"/>
        <v>A</v>
      </c>
      <c r="B22" t="str">
        <f t="shared" si="1"/>
        <v>A1</v>
      </c>
      <c r="C22" s="568" t="s">
        <v>1384</v>
      </c>
      <c r="D22" s="568" t="s">
        <v>1347</v>
      </c>
      <c r="E22" s="569">
        <v>18</v>
      </c>
      <c r="F22" t="s">
        <v>249</v>
      </c>
      <c r="G22" t="s">
        <v>249</v>
      </c>
      <c r="H22">
        <v>1</v>
      </c>
      <c r="I22" t="s">
        <v>1348</v>
      </c>
      <c r="J22" t="s">
        <v>1349</v>
      </c>
      <c r="K22" t="s">
        <v>1350</v>
      </c>
    </row>
    <row r="23" spans="1:19">
      <c r="A23" t="str">
        <f t="shared" si="0"/>
        <v>A</v>
      </c>
      <c r="B23" t="str">
        <f t="shared" si="1"/>
        <v>A1</v>
      </c>
      <c r="C23" s="568" t="s">
        <v>1385</v>
      </c>
      <c r="D23" s="568" t="s">
        <v>1347</v>
      </c>
      <c r="E23" s="569">
        <v>18</v>
      </c>
      <c r="F23" t="s">
        <v>249</v>
      </c>
      <c r="G23" t="s">
        <v>249</v>
      </c>
      <c r="H23">
        <v>1</v>
      </c>
      <c r="I23" t="s">
        <v>1348</v>
      </c>
      <c r="J23" t="s">
        <v>1349</v>
      </c>
      <c r="K23" t="s">
        <v>1350</v>
      </c>
    </row>
    <row r="24" spans="1:19">
      <c r="A24" t="str">
        <f t="shared" si="0"/>
        <v>A</v>
      </c>
      <c r="B24" t="str">
        <f t="shared" si="1"/>
        <v>A1</v>
      </c>
      <c r="C24" s="568" t="s">
        <v>1386</v>
      </c>
      <c r="D24" s="568" t="s">
        <v>1347</v>
      </c>
      <c r="E24" s="569">
        <v>18</v>
      </c>
      <c r="F24" t="s">
        <v>249</v>
      </c>
      <c r="G24" t="s">
        <v>249</v>
      </c>
      <c r="H24">
        <v>1</v>
      </c>
      <c r="I24" t="s">
        <v>1348</v>
      </c>
      <c r="J24" t="s">
        <v>1349</v>
      </c>
      <c r="K24" t="s">
        <v>1350</v>
      </c>
    </row>
    <row r="25" spans="1:19">
      <c r="A25" t="str">
        <f t="shared" si="0"/>
        <v>A</v>
      </c>
      <c r="B25" t="str">
        <f t="shared" si="1"/>
        <v>A1</v>
      </c>
      <c r="C25" s="568" t="s">
        <v>1387</v>
      </c>
      <c r="D25" s="568" t="s">
        <v>1347</v>
      </c>
      <c r="E25" s="569">
        <v>18</v>
      </c>
      <c r="F25" t="s">
        <v>249</v>
      </c>
      <c r="G25" t="s">
        <v>249</v>
      </c>
      <c r="H25">
        <v>1</v>
      </c>
      <c r="I25" t="s">
        <v>1348</v>
      </c>
      <c r="J25" t="s">
        <v>1349</v>
      </c>
      <c r="K25" t="s">
        <v>1350</v>
      </c>
    </row>
    <row r="26" spans="1:19">
      <c r="A26" t="str">
        <f t="shared" si="0"/>
        <v>A</v>
      </c>
      <c r="B26" t="str">
        <f t="shared" si="1"/>
        <v>A1</v>
      </c>
      <c r="C26" s="568" t="s">
        <v>1388</v>
      </c>
      <c r="D26" s="568" t="s">
        <v>1347</v>
      </c>
      <c r="E26" s="569">
        <v>18</v>
      </c>
      <c r="F26" t="s">
        <v>249</v>
      </c>
      <c r="G26" t="s">
        <v>249</v>
      </c>
      <c r="H26">
        <v>1</v>
      </c>
      <c r="I26" t="s">
        <v>1348</v>
      </c>
      <c r="J26" t="s">
        <v>1349</v>
      </c>
      <c r="K26" t="s">
        <v>1350</v>
      </c>
    </row>
    <row r="27" spans="1:19">
      <c r="A27" t="str">
        <f t="shared" si="0"/>
        <v>A</v>
      </c>
      <c r="B27" t="str">
        <f t="shared" si="1"/>
        <v>A1</v>
      </c>
      <c r="C27" s="568" t="s">
        <v>1389</v>
      </c>
      <c r="D27" s="568" t="s">
        <v>1347</v>
      </c>
      <c r="E27" s="569">
        <v>18</v>
      </c>
      <c r="F27" t="s">
        <v>249</v>
      </c>
      <c r="G27" t="s">
        <v>249</v>
      </c>
      <c r="H27">
        <v>1</v>
      </c>
      <c r="I27" t="s">
        <v>1348</v>
      </c>
      <c r="J27" t="s">
        <v>1349</v>
      </c>
      <c r="K27" t="s">
        <v>1350</v>
      </c>
    </row>
    <row r="28" spans="1:19">
      <c r="A28" t="str">
        <f t="shared" si="0"/>
        <v>A</v>
      </c>
      <c r="B28" t="str">
        <f t="shared" si="1"/>
        <v>A1</v>
      </c>
      <c r="C28" s="568" t="s">
        <v>1390</v>
      </c>
      <c r="D28" s="568" t="s">
        <v>1347</v>
      </c>
      <c r="E28" s="569">
        <v>18</v>
      </c>
      <c r="F28" t="s">
        <v>249</v>
      </c>
      <c r="G28" t="s">
        <v>249</v>
      </c>
      <c r="H28">
        <v>1</v>
      </c>
      <c r="I28" t="s">
        <v>1348</v>
      </c>
      <c r="J28" t="s">
        <v>1349</v>
      </c>
      <c r="K28" t="s">
        <v>1350</v>
      </c>
    </row>
    <row r="29" spans="1:19">
      <c r="A29" t="str">
        <f t="shared" si="0"/>
        <v>A</v>
      </c>
      <c r="B29" t="str">
        <f t="shared" si="1"/>
        <v>A1</v>
      </c>
      <c r="C29" s="568" t="s">
        <v>1391</v>
      </c>
      <c r="D29" s="568" t="s">
        <v>1392</v>
      </c>
      <c r="E29" s="569">
        <v>18</v>
      </c>
      <c r="F29" t="s">
        <v>249</v>
      </c>
      <c r="G29" t="s">
        <v>249</v>
      </c>
      <c r="H29">
        <v>1</v>
      </c>
      <c r="I29" t="s">
        <v>1348</v>
      </c>
      <c r="J29" t="s">
        <v>1349</v>
      </c>
      <c r="K29" t="s">
        <v>1350</v>
      </c>
    </row>
    <row r="30" spans="1:19">
      <c r="A30" t="str">
        <f t="shared" si="0"/>
        <v>A</v>
      </c>
      <c r="B30" t="str">
        <f t="shared" si="1"/>
        <v>A1</v>
      </c>
      <c r="C30" s="568" t="s">
        <v>1393</v>
      </c>
      <c r="D30" s="568" t="s">
        <v>1347</v>
      </c>
      <c r="E30" s="569">
        <v>18</v>
      </c>
      <c r="F30" t="s">
        <v>249</v>
      </c>
      <c r="G30" t="s">
        <v>249</v>
      </c>
      <c r="H30">
        <v>1</v>
      </c>
      <c r="I30" t="s">
        <v>1348</v>
      </c>
      <c r="J30" t="s">
        <v>1349</v>
      </c>
      <c r="K30" t="s">
        <v>1350</v>
      </c>
    </row>
    <row r="31" spans="1:19">
      <c r="A31" t="str">
        <f t="shared" si="0"/>
        <v>A</v>
      </c>
      <c r="B31" t="str">
        <f t="shared" si="1"/>
        <v>A2</v>
      </c>
      <c r="C31" s="568" t="s">
        <v>1394</v>
      </c>
      <c r="D31" s="568" t="s">
        <v>1347</v>
      </c>
      <c r="E31" s="569">
        <v>18</v>
      </c>
      <c r="F31" t="s">
        <v>249</v>
      </c>
      <c r="G31" t="s">
        <v>249</v>
      </c>
      <c r="H31">
        <v>1</v>
      </c>
      <c r="I31" t="s">
        <v>1348</v>
      </c>
      <c r="J31" t="s">
        <v>1349</v>
      </c>
      <c r="K31" t="s">
        <v>1350</v>
      </c>
    </row>
    <row r="32" spans="1:19">
      <c r="A32" t="str">
        <f t="shared" si="0"/>
        <v>A</v>
      </c>
      <c r="B32" t="str">
        <f t="shared" si="1"/>
        <v>A2</v>
      </c>
      <c r="C32" s="568" t="s">
        <v>1395</v>
      </c>
      <c r="D32" s="568" t="s">
        <v>1347</v>
      </c>
      <c r="E32" s="569">
        <v>18</v>
      </c>
      <c r="F32" t="s">
        <v>249</v>
      </c>
      <c r="G32" t="s">
        <v>249</v>
      </c>
      <c r="H32">
        <v>1</v>
      </c>
      <c r="I32" t="s">
        <v>1348</v>
      </c>
      <c r="J32" t="s">
        <v>1349</v>
      </c>
      <c r="K32" t="s">
        <v>1350</v>
      </c>
    </row>
    <row r="33" spans="1:11">
      <c r="A33" t="str">
        <f t="shared" si="0"/>
        <v>A</v>
      </c>
      <c r="B33" t="str">
        <f t="shared" si="1"/>
        <v>A2</v>
      </c>
      <c r="C33" s="568" t="s">
        <v>1396</v>
      </c>
      <c r="D33" s="568" t="s">
        <v>1347</v>
      </c>
      <c r="E33" s="569">
        <v>18</v>
      </c>
      <c r="F33" t="s">
        <v>249</v>
      </c>
      <c r="G33" t="s">
        <v>249</v>
      </c>
      <c r="H33">
        <v>1</v>
      </c>
      <c r="I33" t="s">
        <v>1348</v>
      </c>
      <c r="J33" t="s">
        <v>1349</v>
      </c>
      <c r="K33" t="s">
        <v>1350</v>
      </c>
    </row>
    <row r="34" spans="1:11">
      <c r="A34" t="str">
        <f t="shared" si="0"/>
        <v>A</v>
      </c>
      <c r="B34" t="str">
        <f t="shared" si="1"/>
        <v>A2</v>
      </c>
      <c r="C34" s="568" t="s">
        <v>1397</v>
      </c>
      <c r="D34" s="568" t="s">
        <v>1347</v>
      </c>
      <c r="E34" s="569">
        <v>18</v>
      </c>
      <c r="F34" t="s">
        <v>249</v>
      </c>
      <c r="G34" t="s">
        <v>249</v>
      </c>
      <c r="H34">
        <v>1</v>
      </c>
      <c r="I34" t="s">
        <v>1348</v>
      </c>
      <c r="J34" t="s">
        <v>1349</v>
      </c>
      <c r="K34" t="s">
        <v>1350</v>
      </c>
    </row>
    <row r="35" spans="1:11">
      <c r="A35" t="str">
        <f t="shared" si="0"/>
        <v>A</v>
      </c>
      <c r="B35" t="str">
        <f t="shared" si="1"/>
        <v>A2</v>
      </c>
      <c r="C35" s="568" t="s">
        <v>1398</v>
      </c>
      <c r="D35" s="568" t="s">
        <v>1347</v>
      </c>
      <c r="E35" s="569">
        <v>18</v>
      </c>
      <c r="F35" t="s">
        <v>249</v>
      </c>
      <c r="G35" t="s">
        <v>249</v>
      </c>
      <c r="H35">
        <v>1</v>
      </c>
      <c r="I35" t="s">
        <v>1348</v>
      </c>
      <c r="J35" t="s">
        <v>1349</v>
      </c>
      <c r="K35" t="s">
        <v>1350</v>
      </c>
    </row>
    <row r="36" spans="1:11">
      <c r="A36" t="str">
        <f t="shared" si="0"/>
        <v>A</v>
      </c>
      <c r="B36" t="str">
        <f t="shared" si="1"/>
        <v>A5</v>
      </c>
      <c r="C36" s="568" t="s">
        <v>1399</v>
      </c>
      <c r="D36" s="568" t="s">
        <v>1347</v>
      </c>
      <c r="E36" s="569">
        <v>18</v>
      </c>
      <c r="F36" t="s">
        <v>249</v>
      </c>
      <c r="G36" t="s">
        <v>249</v>
      </c>
      <c r="H36">
        <v>1</v>
      </c>
      <c r="I36" t="s">
        <v>1348</v>
      </c>
      <c r="J36" t="s">
        <v>1349</v>
      </c>
      <c r="K36" t="s">
        <v>1350</v>
      </c>
    </row>
    <row r="37" spans="1:11">
      <c r="A37" t="str">
        <f t="shared" si="0"/>
        <v>A</v>
      </c>
      <c r="B37" t="str">
        <f t="shared" si="1"/>
        <v>A8</v>
      </c>
      <c r="C37" s="568" t="s">
        <v>1400</v>
      </c>
      <c r="D37" s="568" t="s">
        <v>1347</v>
      </c>
      <c r="E37" s="569">
        <v>18</v>
      </c>
      <c r="F37" t="s">
        <v>249</v>
      </c>
      <c r="G37" t="s">
        <v>249</v>
      </c>
      <c r="H37">
        <v>1</v>
      </c>
      <c r="I37" t="s">
        <v>1348</v>
      </c>
      <c r="J37" t="s">
        <v>1349</v>
      </c>
      <c r="K37" t="s">
        <v>1350</v>
      </c>
    </row>
    <row r="38" spans="1:11">
      <c r="A38" t="str">
        <f t="shared" si="0"/>
        <v>B</v>
      </c>
      <c r="B38" t="str">
        <f t="shared" si="1"/>
        <v>B0</v>
      </c>
      <c r="C38" s="568" t="s">
        <v>1401</v>
      </c>
      <c r="D38" s="568" t="s">
        <v>1392</v>
      </c>
      <c r="E38" s="569">
        <v>17</v>
      </c>
      <c r="F38" t="s">
        <v>249</v>
      </c>
      <c r="G38" t="s">
        <v>249</v>
      </c>
      <c r="H38">
        <v>2</v>
      </c>
      <c r="I38" t="s">
        <v>1348</v>
      </c>
      <c r="J38" t="s">
        <v>1349</v>
      </c>
      <c r="K38" t="s">
        <v>1350</v>
      </c>
    </row>
    <row r="39" spans="1:11">
      <c r="A39" t="str">
        <f t="shared" si="0"/>
        <v>B</v>
      </c>
      <c r="B39" t="str">
        <f t="shared" si="1"/>
        <v>B0</v>
      </c>
      <c r="C39" s="568" t="s">
        <v>1402</v>
      </c>
      <c r="D39" s="568" t="s">
        <v>1371</v>
      </c>
      <c r="E39" s="569">
        <v>17</v>
      </c>
      <c r="F39" t="s">
        <v>249</v>
      </c>
      <c r="G39" t="s">
        <v>249</v>
      </c>
      <c r="H39">
        <v>2</v>
      </c>
      <c r="I39" t="s">
        <v>1348</v>
      </c>
      <c r="J39" t="s">
        <v>1349</v>
      </c>
      <c r="K39" t="s">
        <v>1350</v>
      </c>
    </row>
    <row r="40" spans="1:11">
      <c r="A40" t="str">
        <f t="shared" si="0"/>
        <v>B</v>
      </c>
      <c r="B40" t="str">
        <f t="shared" si="1"/>
        <v>B0</v>
      </c>
      <c r="C40" s="568" t="s">
        <v>1403</v>
      </c>
      <c r="D40" s="568" t="s">
        <v>1404</v>
      </c>
      <c r="E40" s="569">
        <v>17</v>
      </c>
      <c r="F40" t="s">
        <v>249</v>
      </c>
      <c r="G40" t="s">
        <v>249</v>
      </c>
      <c r="H40">
        <v>2</v>
      </c>
      <c r="I40" t="s">
        <v>1348</v>
      </c>
      <c r="J40" t="s">
        <v>1349</v>
      </c>
      <c r="K40" t="s">
        <v>1350</v>
      </c>
    </row>
    <row r="41" spans="1:11">
      <c r="A41" t="str">
        <f t="shared" si="0"/>
        <v>B</v>
      </c>
      <c r="B41" t="str">
        <f t="shared" si="1"/>
        <v>B0</v>
      </c>
      <c r="C41" s="568" t="s">
        <v>1405</v>
      </c>
      <c r="D41" s="568" t="s">
        <v>1404</v>
      </c>
      <c r="E41" s="569">
        <v>17</v>
      </c>
      <c r="F41" t="s">
        <v>249</v>
      </c>
      <c r="G41" t="s">
        <v>249</v>
      </c>
      <c r="H41">
        <v>2</v>
      </c>
      <c r="I41" t="s">
        <v>1348</v>
      </c>
      <c r="J41" t="s">
        <v>1349</v>
      </c>
      <c r="K41" t="s">
        <v>1350</v>
      </c>
    </row>
    <row r="42" spans="1:11">
      <c r="A42" t="str">
        <f t="shared" si="0"/>
        <v>B</v>
      </c>
      <c r="B42" t="str">
        <f t="shared" si="1"/>
        <v>B0</v>
      </c>
      <c r="C42" s="568" t="s">
        <v>1406</v>
      </c>
      <c r="D42" s="568" t="s">
        <v>1371</v>
      </c>
      <c r="E42" s="569">
        <v>17</v>
      </c>
      <c r="F42" t="s">
        <v>249</v>
      </c>
      <c r="G42" t="s">
        <v>249</v>
      </c>
      <c r="H42">
        <v>2</v>
      </c>
      <c r="I42" t="s">
        <v>1348</v>
      </c>
      <c r="J42" t="s">
        <v>1349</v>
      </c>
      <c r="K42" t="s">
        <v>1350</v>
      </c>
    </row>
    <row r="43" spans="1:11">
      <c r="A43" t="str">
        <f t="shared" si="0"/>
        <v>B</v>
      </c>
      <c r="B43" t="str">
        <f t="shared" si="1"/>
        <v>B0</v>
      </c>
      <c r="C43" s="568" t="s">
        <v>1407</v>
      </c>
      <c r="D43" s="568" t="s">
        <v>1408</v>
      </c>
      <c r="E43" s="569">
        <v>17</v>
      </c>
      <c r="F43" t="s">
        <v>249</v>
      </c>
      <c r="G43" t="s">
        <v>249</v>
      </c>
      <c r="H43">
        <v>2</v>
      </c>
      <c r="I43" t="s">
        <v>1348</v>
      </c>
      <c r="J43" t="s">
        <v>1349</v>
      </c>
      <c r="K43" t="s">
        <v>1350</v>
      </c>
    </row>
    <row r="44" spans="1:11">
      <c r="A44" t="str">
        <f t="shared" si="0"/>
        <v>B</v>
      </c>
      <c r="B44" t="str">
        <f t="shared" si="1"/>
        <v>B0</v>
      </c>
      <c r="C44" s="568" t="s">
        <v>1409</v>
      </c>
      <c r="D44" s="568" t="s">
        <v>1371</v>
      </c>
      <c r="E44" s="569">
        <v>17</v>
      </c>
      <c r="F44" t="s">
        <v>249</v>
      </c>
      <c r="G44" t="s">
        <v>249</v>
      </c>
      <c r="H44">
        <v>2</v>
      </c>
      <c r="I44" t="s">
        <v>1348</v>
      </c>
      <c r="J44" t="s">
        <v>1349</v>
      </c>
      <c r="K44" t="s">
        <v>1350</v>
      </c>
    </row>
    <row r="45" spans="1:11">
      <c r="A45" t="str">
        <f t="shared" si="0"/>
        <v>B</v>
      </c>
      <c r="B45" t="str">
        <f t="shared" si="1"/>
        <v>B0</v>
      </c>
      <c r="C45" s="568" t="s">
        <v>1410</v>
      </c>
      <c r="D45" s="568" t="s">
        <v>1371</v>
      </c>
      <c r="E45" s="569">
        <v>17</v>
      </c>
      <c r="F45" t="s">
        <v>249</v>
      </c>
      <c r="G45" t="s">
        <v>249</v>
      </c>
      <c r="H45">
        <v>2</v>
      </c>
      <c r="I45" t="s">
        <v>1348</v>
      </c>
      <c r="J45" t="s">
        <v>1349</v>
      </c>
      <c r="K45" t="s">
        <v>1350</v>
      </c>
    </row>
    <row r="46" spans="1:11">
      <c r="A46" t="str">
        <f t="shared" si="0"/>
        <v>B</v>
      </c>
      <c r="B46" t="str">
        <f t="shared" si="1"/>
        <v>B0</v>
      </c>
      <c r="C46" s="568" t="s">
        <v>1411</v>
      </c>
      <c r="D46" s="568" t="s">
        <v>1408</v>
      </c>
      <c r="E46" s="569">
        <v>17</v>
      </c>
      <c r="F46" t="s">
        <v>249</v>
      </c>
      <c r="G46" t="s">
        <v>249</v>
      </c>
      <c r="H46">
        <v>2</v>
      </c>
      <c r="I46" t="s">
        <v>1348</v>
      </c>
      <c r="J46" t="s">
        <v>1349</v>
      </c>
      <c r="K46" t="s">
        <v>1350</v>
      </c>
    </row>
    <row r="47" spans="1:11">
      <c r="A47" t="str">
        <f t="shared" si="0"/>
        <v>B</v>
      </c>
      <c r="B47" t="str">
        <f t="shared" si="1"/>
        <v>B0</v>
      </c>
      <c r="C47" s="568" t="s">
        <v>1412</v>
      </c>
      <c r="D47" s="568" t="s">
        <v>1371</v>
      </c>
      <c r="E47" s="569">
        <v>17</v>
      </c>
      <c r="F47" t="s">
        <v>249</v>
      </c>
      <c r="G47" t="s">
        <v>249</v>
      </c>
      <c r="H47">
        <v>2</v>
      </c>
      <c r="I47" t="s">
        <v>1348</v>
      </c>
      <c r="J47" t="s">
        <v>1349</v>
      </c>
      <c r="K47" t="s">
        <v>1350</v>
      </c>
    </row>
    <row r="48" spans="1:11">
      <c r="A48" t="str">
        <f t="shared" si="0"/>
        <v>B</v>
      </c>
      <c r="B48" t="str">
        <f t="shared" si="1"/>
        <v>B0</v>
      </c>
      <c r="C48" s="568" t="s">
        <v>1413</v>
      </c>
      <c r="D48" s="568" t="s">
        <v>1408</v>
      </c>
      <c r="E48" s="569">
        <v>17</v>
      </c>
      <c r="F48" t="s">
        <v>249</v>
      </c>
      <c r="G48" t="s">
        <v>249</v>
      </c>
      <c r="H48">
        <v>2</v>
      </c>
      <c r="I48" t="s">
        <v>1348</v>
      </c>
      <c r="J48" t="s">
        <v>1349</v>
      </c>
      <c r="K48" t="s">
        <v>1350</v>
      </c>
    </row>
    <row r="49" spans="1:11">
      <c r="A49" t="str">
        <f t="shared" si="0"/>
        <v>B</v>
      </c>
      <c r="B49" t="str">
        <f t="shared" si="1"/>
        <v>B0</v>
      </c>
      <c r="C49" s="568" t="s">
        <v>1414</v>
      </c>
      <c r="D49" s="568" t="s">
        <v>1371</v>
      </c>
      <c r="E49" s="569">
        <v>17</v>
      </c>
      <c r="F49" t="s">
        <v>249</v>
      </c>
      <c r="G49" t="s">
        <v>249</v>
      </c>
      <c r="H49">
        <v>2</v>
      </c>
      <c r="I49" t="s">
        <v>1348</v>
      </c>
      <c r="J49" t="s">
        <v>1349</v>
      </c>
      <c r="K49" t="s">
        <v>1350</v>
      </c>
    </row>
    <row r="50" spans="1:11">
      <c r="A50" t="str">
        <f t="shared" si="0"/>
        <v>B</v>
      </c>
      <c r="B50" t="str">
        <f t="shared" si="1"/>
        <v>B0</v>
      </c>
      <c r="C50" s="568" t="s">
        <v>1415</v>
      </c>
      <c r="D50" s="568" t="s">
        <v>1371</v>
      </c>
      <c r="E50" s="569">
        <v>17</v>
      </c>
      <c r="F50" t="s">
        <v>249</v>
      </c>
      <c r="G50" t="s">
        <v>249</v>
      </c>
      <c r="H50">
        <v>2</v>
      </c>
      <c r="I50" t="s">
        <v>1348</v>
      </c>
      <c r="J50" t="s">
        <v>1349</v>
      </c>
      <c r="K50" t="s">
        <v>1350</v>
      </c>
    </row>
    <row r="51" spans="1:11">
      <c r="A51" t="str">
        <f t="shared" si="0"/>
        <v>B</v>
      </c>
      <c r="B51" t="str">
        <f t="shared" si="1"/>
        <v>B0</v>
      </c>
      <c r="C51" s="568" t="s">
        <v>1416</v>
      </c>
      <c r="D51" s="568" t="s">
        <v>1371</v>
      </c>
      <c r="E51" s="569">
        <v>17</v>
      </c>
      <c r="F51" t="s">
        <v>249</v>
      </c>
      <c r="G51" t="s">
        <v>249</v>
      </c>
      <c r="H51">
        <v>2</v>
      </c>
      <c r="I51" t="s">
        <v>1348</v>
      </c>
      <c r="J51" t="s">
        <v>1349</v>
      </c>
      <c r="K51" t="s">
        <v>1350</v>
      </c>
    </row>
    <row r="52" spans="1:11">
      <c r="A52" t="str">
        <f t="shared" si="0"/>
        <v>B</v>
      </c>
      <c r="B52" t="str">
        <f t="shared" si="1"/>
        <v>B1</v>
      </c>
      <c r="C52" s="568" t="s">
        <v>1417</v>
      </c>
      <c r="D52" s="568" t="s">
        <v>1404</v>
      </c>
      <c r="E52" s="569">
        <v>17</v>
      </c>
      <c r="F52" t="s">
        <v>249</v>
      </c>
      <c r="G52" t="s">
        <v>249</v>
      </c>
      <c r="H52">
        <v>2</v>
      </c>
      <c r="I52" t="s">
        <v>1348</v>
      </c>
      <c r="J52" t="s">
        <v>1349</v>
      </c>
      <c r="K52" t="s">
        <v>1350</v>
      </c>
    </row>
    <row r="53" spans="1:11">
      <c r="A53" t="str">
        <f t="shared" si="0"/>
        <v>B</v>
      </c>
      <c r="B53" t="str">
        <f t="shared" si="1"/>
        <v>B1</v>
      </c>
      <c r="C53" s="568" t="s">
        <v>1418</v>
      </c>
      <c r="D53" s="568" t="s">
        <v>1404</v>
      </c>
      <c r="E53" s="569">
        <v>17</v>
      </c>
      <c r="F53" t="s">
        <v>249</v>
      </c>
      <c r="G53" t="s">
        <v>249</v>
      </c>
      <c r="H53">
        <v>2</v>
      </c>
      <c r="I53" t="s">
        <v>1348</v>
      </c>
      <c r="J53" t="s">
        <v>1349</v>
      </c>
      <c r="K53" t="s">
        <v>1350</v>
      </c>
    </row>
    <row r="54" spans="1:11">
      <c r="A54" t="str">
        <f t="shared" si="0"/>
        <v>B</v>
      </c>
      <c r="B54" t="str">
        <f t="shared" si="1"/>
        <v>B1</v>
      </c>
      <c r="C54" s="568" t="s">
        <v>1419</v>
      </c>
      <c r="D54" s="568" t="s">
        <v>1392</v>
      </c>
      <c r="E54" s="569">
        <v>17</v>
      </c>
      <c r="F54" t="s">
        <v>249</v>
      </c>
      <c r="G54" t="s">
        <v>249</v>
      </c>
      <c r="H54">
        <v>2</v>
      </c>
      <c r="I54" t="s">
        <v>1348</v>
      </c>
      <c r="J54" t="s">
        <v>1349</v>
      </c>
      <c r="K54" t="s">
        <v>1350</v>
      </c>
    </row>
    <row r="55" spans="1:11">
      <c r="A55" t="str">
        <f t="shared" si="0"/>
        <v>B</v>
      </c>
      <c r="B55" t="str">
        <f t="shared" si="1"/>
        <v>B1</v>
      </c>
      <c r="C55" s="568" t="s">
        <v>1420</v>
      </c>
      <c r="D55" s="568" t="s">
        <v>1404</v>
      </c>
      <c r="E55" s="569">
        <v>17</v>
      </c>
      <c r="F55" t="s">
        <v>249</v>
      </c>
      <c r="G55" t="s">
        <v>249</v>
      </c>
      <c r="H55">
        <v>2</v>
      </c>
      <c r="I55" t="s">
        <v>1348</v>
      </c>
      <c r="J55" t="s">
        <v>1349</v>
      </c>
      <c r="K55" t="s">
        <v>1350</v>
      </c>
    </row>
    <row r="56" spans="1:11">
      <c r="A56" t="str">
        <f t="shared" si="0"/>
        <v>B</v>
      </c>
      <c r="B56" t="str">
        <f t="shared" si="1"/>
        <v>B1</v>
      </c>
      <c r="C56" s="568" t="s">
        <v>1421</v>
      </c>
      <c r="D56" s="568" t="s">
        <v>1404</v>
      </c>
      <c r="E56" s="569">
        <v>17</v>
      </c>
      <c r="F56" t="s">
        <v>249</v>
      </c>
      <c r="G56" t="s">
        <v>249</v>
      </c>
      <c r="H56">
        <v>2</v>
      </c>
      <c r="I56" t="s">
        <v>1348</v>
      </c>
      <c r="J56" t="s">
        <v>1349</v>
      </c>
      <c r="K56" t="s">
        <v>1350</v>
      </c>
    </row>
    <row r="57" spans="1:11">
      <c r="A57" t="str">
        <f t="shared" si="0"/>
        <v>B</v>
      </c>
      <c r="B57" t="str">
        <f t="shared" si="1"/>
        <v>B1</v>
      </c>
      <c r="C57" s="568" t="s">
        <v>1422</v>
      </c>
      <c r="D57" s="568" t="s">
        <v>1404</v>
      </c>
      <c r="E57" s="569">
        <v>17</v>
      </c>
      <c r="F57" t="s">
        <v>249</v>
      </c>
      <c r="G57" t="s">
        <v>249</v>
      </c>
      <c r="H57">
        <v>2</v>
      </c>
      <c r="I57" t="s">
        <v>1348</v>
      </c>
      <c r="J57" t="s">
        <v>1349</v>
      </c>
      <c r="K57" t="s">
        <v>1350</v>
      </c>
    </row>
    <row r="58" spans="1:11">
      <c r="A58" t="str">
        <f t="shared" si="0"/>
        <v>B</v>
      </c>
      <c r="B58" t="str">
        <f t="shared" si="1"/>
        <v>B1</v>
      </c>
      <c r="C58" s="568" t="s">
        <v>1423</v>
      </c>
      <c r="D58" s="568" t="s">
        <v>1371</v>
      </c>
      <c r="E58" s="569">
        <v>17</v>
      </c>
      <c r="F58" t="s">
        <v>249</v>
      </c>
      <c r="G58" t="s">
        <v>249</v>
      </c>
      <c r="H58">
        <v>2</v>
      </c>
      <c r="I58" t="s">
        <v>1348</v>
      </c>
      <c r="J58" t="s">
        <v>1349</v>
      </c>
      <c r="K58" t="s">
        <v>1350</v>
      </c>
    </row>
    <row r="59" spans="1:11">
      <c r="A59" t="str">
        <f t="shared" si="0"/>
        <v>B</v>
      </c>
      <c r="B59" t="str">
        <f t="shared" si="1"/>
        <v>B1</v>
      </c>
      <c r="C59" s="568" t="s">
        <v>1424</v>
      </c>
      <c r="D59" s="568" t="s">
        <v>1371</v>
      </c>
      <c r="E59" s="569">
        <v>17</v>
      </c>
      <c r="F59" t="s">
        <v>249</v>
      </c>
      <c r="G59" t="s">
        <v>249</v>
      </c>
      <c r="H59">
        <v>2</v>
      </c>
      <c r="I59" t="s">
        <v>1348</v>
      </c>
      <c r="J59" t="s">
        <v>1349</v>
      </c>
      <c r="K59" t="s">
        <v>1350</v>
      </c>
    </row>
    <row r="60" spans="1:11">
      <c r="A60" t="str">
        <f t="shared" si="0"/>
        <v>B</v>
      </c>
      <c r="B60" t="str">
        <f t="shared" si="1"/>
        <v>B1</v>
      </c>
      <c r="C60" s="568" t="s">
        <v>1425</v>
      </c>
      <c r="D60" s="568" t="s">
        <v>1371</v>
      </c>
      <c r="E60" s="569">
        <v>17</v>
      </c>
      <c r="F60" t="s">
        <v>249</v>
      </c>
      <c r="G60" t="s">
        <v>249</v>
      </c>
      <c r="H60">
        <v>2</v>
      </c>
      <c r="I60" t="s">
        <v>1348</v>
      </c>
      <c r="J60" t="s">
        <v>1349</v>
      </c>
      <c r="K60" t="s">
        <v>1350</v>
      </c>
    </row>
    <row r="61" spans="1:11">
      <c r="A61" t="str">
        <f t="shared" si="0"/>
        <v>B</v>
      </c>
      <c r="B61" t="str">
        <f t="shared" si="1"/>
        <v>B1</v>
      </c>
      <c r="C61" s="568" t="s">
        <v>1426</v>
      </c>
      <c r="D61" s="568" t="s">
        <v>1404</v>
      </c>
      <c r="E61" s="569">
        <v>17</v>
      </c>
      <c r="F61" t="s">
        <v>249</v>
      </c>
      <c r="G61" t="s">
        <v>249</v>
      </c>
      <c r="H61">
        <v>2</v>
      </c>
      <c r="I61" t="s">
        <v>1348</v>
      </c>
      <c r="J61" t="s">
        <v>1349</v>
      </c>
      <c r="K61" t="s">
        <v>1350</v>
      </c>
    </row>
    <row r="62" spans="1:11">
      <c r="A62" t="str">
        <f t="shared" si="0"/>
        <v>B</v>
      </c>
      <c r="B62" t="str">
        <f t="shared" si="1"/>
        <v>B1</v>
      </c>
      <c r="C62" s="568" t="s">
        <v>1427</v>
      </c>
      <c r="D62" s="568" t="s">
        <v>1371</v>
      </c>
      <c r="E62" s="569">
        <v>17</v>
      </c>
      <c r="F62" t="s">
        <v>249</v>
      </c>
      <c r="G62" t="s">
        <v>249</v>
      </c>
      <c r="H62">
        <v>2</v>
      </c>
      <c r="I62" t="s">
        <v>1348</v>
      </c>
      <c r="J62" t="s">
        <v>1349</v>
      </c>
      <c r="K62" t="s">
        <v>1350</v>
      </c>
    </row>
    <row r="63" spans="1:11">
      <c r="A63" t="str">
        <f t="shared" si="0"/>
        <v>B</v>
      </c>
      <c r="B63" t="str">
        <f t="shared" si="1"/>
        <v>B1</v>
      </c>
      <c r="C63" s="568" t="s">
        <v>1428</v>
      </c>
      <c r="D63" s="568" t="s">
        <v>1371</v>
      </c>
      <c r="E63" s="569">
        <v>17</v>
      </c>
      <c r="F63" t="s">
        <v>249</v>
      </c>
      <c r="G63" t="s">
        <v>249</v>
      </c>
      <c r="H63">
        <v>2</v>
      </c>
      <c r="I63" t="s">
        <v>1348</v>
      </c>
      <c r="J63" t="s">
        <v>1349</v>
      </c>
      <c r="K63" t="s">
        <v>1350</v>
      </c>
    </row>
    <row r="64" spans="1:11">
      <c r="A64" t="str">
        <f t="shared" si="0"/>
        <v>B</v>
      </c>
      <c r="B64" t="str">
        <f t="shared" si="1"/>
        <v>B1</v>
      </c>
      <c r="C64" s="568" t="s">
        <v>1429</v>
      </c>
      <c r="D64" s="568" t="s">
        <v>1371</v>
      </c>
      <c r="E64" s="569">
        <v>17</v>
      </c>
      <c r="F64" t="s">
        <v>249</v>
      </c>
      <c r="G64" t="s">
        <v>249</v>
      </c>
      <c r="H64">
        <v>2</v>
      </c>
      <c r="I64" t="s">
        <v>1348</v>
      </c>
      <c r="J64" t="s">
        <v>1349</v>
      </c>
      <c r="K64" t="s">
        <v>1350</v>
      </c>
    </row>
    <row r="65" spans="1:11">
      <c r="A65" t="str">
        <f t="shared" si="0"/>
        <v>B</v>
      </c>
      <c r="B65" t="str">
        <f t="shared" si="1"/>
        <v>B1</v>
      </c>
      <c r="C65" s="568" t="s">
        <v>1430</v>
      </c>
      <c r="D65" s="568" t="s">
        <v>1371</v>
      </c>
      <c r="E65" s="569">
        <v>17</v>
      </c>
      <c r="F65" t="s">
        <v>249</v>
      </c>
      <c r="G65" t="s">
        <v>249</v>
      </c>
      <c r="H65">
        <v>2</v>
      </c>
      <c r="I65" t="s">
        <v>1348</v>
      </c>
      <c r="J65" t="s">
        <v>1349</v>
      </c>
      <c r="K65" t="s">
        <v>1350</v>
      </c>
    </row>
    <row r="66" spans="1:11">
      <c r="A66" t="str">
        <f t="shared" si="0"/>
        <v>B</v>
      </c>
      <c r="B66" t="str">
        <f t="shared" si="1"/>
        <v>B1</v>
      </c>
      <c r="C66" s="568" t="s">
        <v>1431</v>
      </c>
      <c r="D66" s="568" t="s">
        <v>1404</v>
      </c>
      <c r="E66" s="569">
        <v>17</v>
      </c>
      <c r="F66" t="s">
        <v>249</v>
      </c>
      <c r="G66" t="s">
        <v>249</v>
      </c>
      <c r="H66">
        <v>2</v>
      </c>
      <c r="I66" t="s">
        <v>1348</v>
      </c>
      <c r="J66" t="s">
        <v>1349</v>
      </c>
      <c r="K66" t="s">
        <v>1350</v>
      </c>
    </row>
    <row r="67" spans="1:11">
      <c r="A67" t="str">
        <f t="shared" ref="A67:A130" si="2">LEFT(C67)</f>
        <v>B</v>
      </c>
      <c r="B67" t="str">
        <f t="shared" si="1"/>
        <v>B1</v>
      </c>
      <c r="C67" s="568" t="s">
        <v>1432</v>
      </c>
      <c r="D67" s="568" t="s">
        <v>1371</v>
      </c>
      <c r="E67" s="569">
        <v>17</v>
      </c>
      <c r="F67" t="s">
        <v>249</v>
      </c>
      <c r="G67" t="s">
        <v>249</v>
      </c>
      <c r="H67">
        <v>2</v>
      </c>
      <c r="I67" t="s">
        <v>1348</v>
      </c>
      <c r="J67" t="s">
        <v>1349</v>
      </c>
      <c r="K67" t="s">
        <v>1350</v>
      </c>
    </row>
    <row r="68" spans="1:11">
      <c r="A68" t="str">
        <f t="shared" si="2"/>
        <v>B</v>
      </c>
      <c r="B68" t="str">
        <f t="shared" ref="B68:B131" si="3">LEFT(C68,2)</f>
        <v>B1</v>
      </c>
      <c r="C68" s="568" t="s">
        <v>1433</v>
      </c>
      <c r="D68" s="568" t="s">
        <v>1404</v>
      </c>
      <c r="E68" s="569">
        <v>17</v>
      </c>
      <c r="F68" t="s">
        <v>249</v>
      </c>
      <c r="G68" t="s">
        <v>249</v>
      </c>
      <c r="H68">
        <v>2</v>
      </c>
      <c r="I68" t="s">
        <v>1348</v>
      </c>
      <c r="J68" t="s">
        <v>1349</v>
      </c>
      <c r="K68" t="s">
        <v>1350</v>
      </c>
    </row>
    <row r="69" spans="1:11">
      <c r="A69" t="str">
        <f t="shared" si="2"/>
        <v>B</v>
      </c>
      <c r="B69" t="str">
        <f t="shared" si="3"/>
        <v>B1</v>
      </c>
      <c r="C69" s="568" t="s">
        <v>1434</v>
      </c>
      <c r="D69" s="568" t="s">
        <v>1371</v>
      </c>
      <c r="E69" s="569">
        <v>17</v>
      </c>
      <c r="F69" t="s">
        <v>249</v>
      </c>
      <c r="G69" t="s">
        <v>249</v>
      </c>
      <c r="H69">
        <v>2</v>
      </c>
      <c r="I69" t="s">
        <v>1348</v>
      </c>
      <c r="J69" t="s">
        <v>1349</v>
      </c>
      <c r="K69" t="s">
        <v>1350</v>
      </c>
    </row>
    <row r="70" spans="1:11">
      <c r="A70" t="str">
        <f t="shared" si="2"/>
        <v>B</v>
      </c>
      <c r="B70" t="str">
        <f t="shared" si="3"/>
        <v>B1</v>
      </c>
      <c r="C70" s="568" t="s">
        <v>1435</v>
      </c>
      <c r="D70" s="568" t="s">
        <v>1371</v>
      </c>
      <c r="E70" s="569">
        <v>17</v>
      </c>
      <c r="F70" t="s">
        <v>249</v>
      </c>
      <c r="G70" t="s">
        <v>249</v>
      </c>
      <c r="H70">
        <v>2</v>
      </c>
      <c r="I70" t="s">
        <v>1348</v>
      </c>
      <c r="J70" t="s">
        <v>1349</v>
      </c>
      <c r="K70" t="s">
        <v>1350</v>
      </c>
    </row>
    <row r="71" spans="1:11">
      <c r="A71" t="str">
        <f t="shared" si="2"/>
        <v>B</v>
      </c>
      <c r="B71" t="str">
        <f t="shared" si="3"/>
        <v>B2</v>
      </c>
      <c r="C71" s="568" t="s">
        <v>1436</v>
      </c>
      <c r="D71" s="568" t="s">
        <v>1371</v>
      </c>
      <c r="E71" s="569">
        <v>17</v>
      </c>
      <c r="F71" t="s">
        <v>249</v>
      </c>
      <c r="G71" t="s">
        <v>249</v>
      </c>
      <c r="H71">
        <v>2</v>
      </c>
      <c r="I71" t="s">
        <v>1348</v>
      </c>
      <c r="J71" t="s">
        <v>1349</v>
      </c>
      <c r="K71" t="s">
        <v>1350</v>
      </c>
    </row>
    <row r="72" spans="1:11">
      <c r="A72" t="str">
        <f t="shared" si="2"/>
        <v>B</v>
      </c>
      <c r="B72" t="str">
        <f t="shared" si="3"/>
        <v>B2</v>
      </c>
      <c r="C72" s="568" t="s">
        <v>1437</v>
      </c>
      <c r="D72" s="568" t="s">
        <v>1404</v>
      </c>
      <c r="E72" s="569">
        <v>17</v>
      </c>
      <c r="F72" t="s">
        <v>249</v>
      </c>
      <c r="G72" t="s">
        <v>249</v>
      </c>
      <c r="H72">
        <v>2</v>
      </c>
      <c r="I72" t="s">
        <v>1348</v>
      </c>
      <c r="J72" t="s">
        <v>1349</v>
      </c>
      <c r="K72" t="s">
        <v>1350</v>
      </c>
    </row>
    <row r="73" spans="1:11">
      <c r="A73" t="str">
        <f t="shared" si="2"/>
        <v>B</v>
      </c>
      <c r="B73" t="str">
        <f t="shared" si="3"/>
        <v>B2</v>
      </c>
      <c r="C73" s="568" t="s">
        <v>1438</v>
      </c>
      <c r="D73" s="568" t="s">
        <v>1371</v>
      </c>
      <c r="E73" s="569">
        <v>17</v>
      </c>
      <c r="F73" t="s">
        <v>249</v>
      </c>
      <c r="G73" t="s">
        <v>249</v>
      </c>
      <c r="H73">
        <v>2</v>
      </c>
      <c r="I73" t="s">
        <v>1348</v>
      </c>
      <c r="J73" t="s">
        <v>1349</v>
      </c>
      <c r="K73" t="s">
        <v>1350</v>
      </c>
    </row>
    <row r="74" spans="1:11">
      <c r="A74" t="str">
        <f t="shared" si="2"/>
        <v>B</v>
      </c>
      <c r="B74" t="str">
        <f t="shared" si="3"/>
        <v>B2</v>
      </c>
      <c r="C74" s="568" t="s">
        <v>1439</v>
      </c>
      <c r="D74" s="568" t="s">
        <v>1392</v>
      </c>
      <c r="E74" s="569">
        <v>17</v>
      </c>
      <c r="F74" t="s">
        <v>249</v>
      </c>
      <c r="G74" t="s">
        <v>249</v>
      </c>
      <c r="H74">
        <v>2</v>
      </c>
      <c r="I74" t="s">
        <v>1348</v>
      </c>
      <c r="J74" t="s">
        <v>1349</v>
      </c>
      <c r="K74" t="s">
        <v>1350</v>
      </c>
    </row>
    <row r="75" spans="1:11">
      <c r="A75" t="str">
        <f t="shared" si="2"/>
        <v>B</v>
      </c>
      <c r="B75" t="str">
        <f t="shared" si="3"/>
        <v>B2</v>
      </c>
      <c r="C75" s="568" t="s">
        <v>1440</v>
      </c>
      <c r="D75" s="568" t="s">
        <v>1404</v>
      </c>
      <c r="E75" s="569">
        <v>17</v>
      </c>
      <c r="F75" t="s">
        <v>249</v>
      </c>
      <c r="G75" t="s">
        <v>249</v>
      </c>
      <c r="H75">
        <v>2</v>
      </c>
      <c r="I75" t="s">
        <v>1348</v>
      </c>
      <c r="J75" t="s">
        <v>1349</v>
      </c>
      <c r="K75" t="s">
        <v>1350</v>
      </c>
    </row>
    <row r="76" spans="1:11">
      <c r="A76" t="str">
        <f t="shared" si="2"/>
        <v>B</v>
      </c>
      <c r="B76" t="str">
        <f t="shared" si="3"/>
        <v>B2</v>
      </c>
      <c r="C76" s="568" t="s">
        <v>1441</v>
      </c>
      <c r="D76" s="568" t="s">
        <v>1371</v>
      </c>
      <c r="E76" s="569">
        <v>17</v>
      </c>
      <c r="F76" t="s">
        <v>249</v>
      </c>
      <c r="G76" t="s">
        <v>249</v>
      </c>
      <c r="H76">
        <v>2</v>
      </c>
      <c r="I76" t="s">
        <v>1348</v>
      </c>
      <c r="J76" t="s">
        <v>1349</v>
      </c>
      <c r="K76" t="s">
        <v>1350</v>
      </c>
    </row>
    <row r="77" spans="1:11">
      <c r="A77" t="str">
        <f t="shared" si="2"/>
        <v>B</v>
      </c>
      <c r="B77" t="str">
        <f t="shared" si="3"/>
        <v>B2</v>
      </c>
      <c r="C77" s="568" t="s">
        <v>1442</v>
      </c>
      <c r="D77" s="568" t="s">
        <v>1371</v>
      </c>
      <c r="E77" s="569">
        <v>17</v>
      </c>
      <c r="F77" t="s">
        <v>249</v>
      </c>
      <c r="G77" t="s">
        <v>249</v>
      </c>
      <c r="H77">
        <v>2</v>
      </c>
      <c r="I77" t="s">
        <v>1348</v>
      </c>
      <c r="J77" t="s">
        <v>1349</v>
      </c>
      <c r="K77" t="s">
        <v>1350</v>
      </c>
    </row>
    <row r="78" spans="1:11">
      <c r="A78" t="str">
        <f t="shared" si="2"/>
        <v>B</v>
      </c>
      <c r="B78" t="str">
        <f t="shared" si="3"/>
        <v>B2</v>
      </c>
      <c r="C78" s="568" t="s">
        <v>1443</v>
      </c>
      <c r="D78" s="568" t="s">
        <v>1392</v>
      </c>
      <c r="E78" s="569">
        <v>17</v>
      </c>
      <c r="F78" t="s">
        <v>249</v>
      </c>
      <c r="G78" t="s">
        <v>249</v>
      </c>
      <c r="H78">
        <v>2</v>
      </c>
      <c r="I78" t="s">
        <v>1348</v>
      </c>
      <c r="J78" t="s">
        <v>1349</v>
      </c>
      <c r="K78" t="s">
        <v>1350</v>
      </c>
    </row>
    <row r="79" spans="1:11">
      <c r="A79" t="str">
        <f t="shared" si="2"/>
        <v>B</v>
      </c>
      <c r="B79" t="str">
        <f t="shared" si="3"/>
        <v>B2</v>
      </c>
      <c r="C79" s="568" t="s">
        <v>1444</v>
      </c>
      <c r="D79" s="568" t="s">
        <v>1404</v>
      </c>
      <c r="E79" s="569">
        <v>17</v>
      </c>
      <c r="F79" t="s">
        <v>249</v>
      </c>
      <c r="G79" t="s">
        <v>249</v>
      </c>
      <c r="H79">
        <v>2</v>
      </c>
      <c r="I79" t="s">
        <v>1348</v>
      </c>
      <c r="J79" t="s">
        <v>1349</v>
      </c>
      <c r="K79" t="s">
        <v>1350</v>
      </c>
    </row>
    <row r="80" spans="1:11">
      <c r="A80" t="str">
        <f t="shared" si="2"/>
        <v>B</v>
      </c>
      <c r="B80" t="str">
        <f t="shared" si="3"/>
        <v>B2</v>
      </c>
      <c r="C80" s="568" t="s">
        <v>1445</v>
      </c>
      <c r="D80" s="568" t="s">
        <v>1392</v>
      </c>
      <c r="E80" s="569">
        <v>17</v>
      </c>
      <c r="F80" t="s">
        <v>249</v>
      </c>
      <c r="G80" t="s">
        <v>249</v>
      </c>
      <c r="H80">
        <v>2</v>
      </c>
      <c r="I80" t="s">
        <v>1348</v>
      </c>
      <c r="J80" t="s">
        <v>1349</v>
      </c>
      <c r="K80" t="s">
        <v>1350</v>
      </c>
    </row>
    <row r="81" spans="1:11">
      <c r="A81" t="str">
        <f t="shared" si="2"/>
        <v>B</v>
      </c>
      <c r="B81" t="str">
        <f t="shared" si="3"/>
        <v>B2</v>
      </c>
      <c r="C81" s="568" t="s">
        <v>1446</v>
      </c>
      <c r="D81" s="568" t="s">
        <v>1404</v>
      </c>
      <c r="E81" s="569">
        <v>17</v>
      </c>
      <c r="F81" t="s">
        <v>249</v>
      </c>
      <c r="G81" t="s">
        <v>249</v>
      </c>
      <c r="H81">
        <v>2</v>
      </c>
      <c r="I81" t="s">
        <v>1348</v>
      </c>
      <c r="J81" t="s">
        <v>1349</v>
      </c>
      <c r="K81" t="s">
        <v>1350</v>
      </c>
    </row>
    <row r="82" spans="1:11">
      <c r="A82" t="str">
        <f t="shared" si="2"/>
        <v>B</v>
      </c>
      <c r="B82" t="str">
        <f t="shared" si="3"/>
        <v>B2</v>
      </c>
      <c r="C82" s="568" t="s">
        <v>1447</v>
      </c>
      <c r="D82" s="568" t="s">
        <v>1404</v>
      </c>
      <c r="E82" s="569">
        <v>17</v>
      </c>
      <c r="F82" t="s">
        <v>249</v>
      </c>
      <c r="G82" t="s">
        <v>249</v>
      </c>
      <c r="H82">
        <v>2</v>
      </c>
      <c r="I82" t="s">
        <v>1348</v>
      </c>
      <c r="J82" t="s">
        <v>1349</v>
      </c>
      <c r="K82" t="s">
        <v>1350</v>
      </c>
    </row>
    <row r="83" spans="1:11">
      <c r="A83" t="str">
        <f t="shared" si="2"/>
        <v>B</v>
      </c>
      <c r="B83" t="str">
        <f t="shared" si="3"/>
        <v>B2</v>
      </c>
      <c r="C83" s="568" t="s">
        <v>1448</v>
      </c>
      <c r="D83" s="568" t="s">
        <v>1404</v>
      </c>
      <c r="E83" s="569">
        <v>17</v>
      </c>
      <c r="F83" t="s">
        <v>249</v>
      </c>
      <c r="G83" t="s">
        <v>249</v>
      </c>
      <c r="H83">
        <v>2</v>
      </c>
      <c r="I83" t="s">
        <v>1348</v>
      </c>
      <c r="J83" t="s">
        <v>1349</v>
      </c>
      <c r="K83" t="s">
        <v>1350</v>
      </c>
    </row>
    <row r="84" spans="1:11">
      <c r="A84" t="str">
        <f t="shared" si="2"/>
        <v>B</v>
      </c>
      <c r="B84" t="str">
        <f t="shared" si="3"/>
        <v>B2</v>
      </c>
      <c r="C84" s="568" t="s">
        <v>1449</v>
      </c>
      <c r="D84" s="568" t="s">
        <v>1404</v>
      </c>
      <c r="E84" s="569">
        <v>17</v>
      </c>
      <c r="F84" t="s">
        <v>249</v>
      </c>
      <c r="G84" t="s">
        <v>249</v>
      </c>
      <c r="H84">
        <v>2</v>
      </c>
      <c r="I84" t="s">
        <v>1348</v>
      </c>
      <c r="J84" t="s">
        <v>1349</v>
      </c>
      <c r="K84" t="s">
        <v>1350</v>
      </c>
    </row>
    <row r="85" spans="1:11">
      <c r="A85" t="str">
        <f t="shared" si="2"/>
        <v>B</v>
      </c>
      <c r="B85" t="str">
        <f t="shared" si="3"/>
        <v>B2</v>
      </c>
      <c r="C85" s="568" t="s">
        <v>1450</v>
      </c>
      <c r="D85" s="568" t="s">
        <v>1404</v>
      </c>
      <c r="E85" s="569">
        <v>17</v>
      </c>
      <c r="F85" t="s">
        <v>249</v>
      </c>
      <c r="G85" t="s">
        <v>249</v>
      </c>
      <c r="H85">
        <v>2</v>
      </c>
      <c r="I85" t="s">
        <v>1348</v>
      </c>
      <c r="J85" t="s">
        <v>1349</v>
      </c>
      <c r="K85" t="s">
        <v>1350</v>
      </c>
    </row>
    <row r="86" spans="1:11">
      <c r="A86" t="str">
        <f t="shared" si="2"/>
        <v>B</v>
      </c>
      <c r="B86" t="str">
        <f t="shared" si="3"/>
        <v>B3</v>
      </c>
      <c r="C86" s="568" t="s">
        <v>1451</v>
      </c>
      <c r="D86" s="568" t="s">
        <v>1392</v>
      </c>
      <c r="E86" s="569">
        <v>17</v>
      </c>
      <c r="F86" t="s">
        <v>249</v>
      </c>
      <c r="G86" t="s">
        <v>249</v>
      </c>
      <c r="H86">
        <v>2</v>
      </c>
      <c r="I86" t="s">
        <v>1348</v>
      </c>
      <c r="J86" t="s">
        <v>1349</v>
      </c>
      <c r="K86" t="s">
        <v>1350</v>
      </c>
    </row>
    <row r="87" spans="1:11">
      <c r="A87" t="str">
        <f t="shared" si="2"/>
        <v>B</v>
      </c>
      <c r="B87" t="str">
        <f t="shared" si="3"/>
        <v>B3</v>
      </c>
      <c r="C87" s="568" t="s">
        <v>1452</v>
      </c>
      <c r="D87" s="568" t="s">
        <v>1392</v>
      </c>
      <c r="E87" s="569">
        <v>17</v>
      </c>
      <c r="F87" t="s">
        <v>249</v>
      </c>
      <c r="G87" t="s">
        <v>249</v>
      </c>
      <c r="H87">
        <v>2</v>
      </c>
      <c r="I87" t="s">
        <v>1348</v>
      </c>
      <c r="J87" t="s">
        <v>1349</v>
      </c>
      <c r="K87" t="s">
        <v>1350</v>
      </c>
    </row>
    <row r="88" spans="1:11">
      <c r="A88" t="str">
        <f t="shared" si="2"/>
        <v>B</v>
      </c>
      <c r="B88" t="str">
        <f t="shared" si="3"/>
        <v>B3</v>
      </c>
      <c r="C88" s="568" t="s">
        <v>1453</v>
      </c>
      <c r="D88" s="568" t="s">
        <v>1404</v>
      </c>
      <c r="E88" s="569">
        <v>17</v>
      </c>
      <c r="F88" t="s">
        <v>249</v>
      </c>
      <c r="G88" t="s">
        <v>249</v>
      </c>
      <c r="H88">
        <v>2</v>
      </c>
      <c r="I88" t="s">
        <v>1348</v>
      </c>
      <c r="J88" t="s">
        <v>1349</v>
      </c>
      <c r="K88" t="s">
        <v>1350</v>
      </c>
    </row>
    <row r="89" spans="1:11">
      <c r="A89" t="str">
        <f t="shared" si="2"/>
        <v>B</v>
      </c>
      <c r="B89" t="str">
        <f t="shared" si="3"/>
        <v>B3</v>
      </c>
      <c r="C89" s="568" t="s">
        <v>1454</v>
      </c>
      <c r="D89" s="568" t="s">
        <v>1404</v>
      </c>
      <c r="E89" s="569">
        <v>17</v>
      </c>
      <c r="F89" t="s">
        <v>249</v>
      </c>
      <c r="G89" t="s">
        <v>249</v>
      </c>
      <c r="H89">
        <v>2</v>
      </c>
      <c r="I89" t="s">
        <v>1348</v>
      </c>
      <c r="J89" t="s">
        <v>1349</v>
      </c>
      <c r="K89" t="s">
        <v>1350</v>
      </c>
    </row>
    <row r="90" spans="1:11">
      <c r="A90" t="str">
        <f t="shared" si="2"/>
        <v>B</v>
      </c>
      <c r="B90" t="str">
        <f t="shared" si="3"/>
        <v>B3</v>
      </c>
      <c r="C90" s="568" t="s">
        <v>1455</v>
      </c>
      <c r="D90" s="568" t="s">
        <v>1404</v>
      </c>
      <c r="E90" s="569">
        <v>17</v>
      </c>
      <c r="F90" t="s">
        <v>249</v>
      </c>
      <c r="G90" t="s">
        <v>249</v>
      </c>
      <c r="H90">
        <v>2</v>
      </c>
      <c r="I90" t="s">
        <v>1348</v>
      </c>
      <c r="J90" t="s">
        <v>1349</v>
      </c>
      <c r="K90" t="s">
        <v>1350</v>
      </c>
    </row>
    <row r="91" spans="1:11">
      <c r="A91" t="str">
        <f t="shared" si="2"/>
        <v>B</v>
      </c>
      <c r="B91" t="str">
        <f t="shared" si="3"/>
        <v>B3</v>
      </c>
      <c r="C91" s="568" t="s">
        <v>1456</v>
      </c>
      <c r="D91" s="568" t="s">
        <v>1404</v>
      </c>
      <c r="E91" s="569">
        <v>17</v>
      </c>
      <c r="F91" t="s">
        <v>249</v>
      </c>
      <c r="G91" t="s">
        <v>249</v>
      </c>
      <c r="H91">
        <v>2</v>
      </c>
      <c r="I91" t="s">
        <v>1348</v>
      </c>
      <c r="J91" t="s">
        <v>1349</v>
      </c>
      <c r="K91" t="s">
        <v>1350</v>
      </c>
    </row>
    <row r="92" spans="1:11">
      <c r="A92" t="str">
        <f t="shared" si="2"/>
        <v>B</v>
      </c>
      <c r="B92" t="str">
        <f t="shared" si="3"/>
        <v>B3</v>
      </c>
      <c r="C92" s="568" t="s">
        <v>1457</v>
      </c>
      <c r="D92" s="568" t="s">
        <v>1392</v>
      </c>
      <c r="E92" s="569">
        <v>17</v>
      </c>
      <c r="F92" t="s">
        <v>249</v>
      </c>
      <c r="G92" t="s">
        <v>249</v>
      </c>
      <c r="H92">
        <v>2</v>
      </c>
      <c r="I92" t="s">
        <v>1348</v>
      </c>
      <c r="J92" t="s">
        <v>1349</v>
      </c>
      <c r="K92" t="s">
        <v>1350</v>
      </c>
    </row>
    <row r="93" spans="1:11">
      <c r="A93" t="str">
        <f t="shared" si="2"/>
        <v>B</v>
      </c>
      <c r="B93" t="str">
        <f t="shared" si="3"/>
        <v>B3</v>
      </c>
      <c r="C93" s="568" t="s">
        <v>1458</v>
      </c>
      <c r="D93" s="568" t="s">
        <v>1392</v>
      </c>
      <c r="E93" s="569">
        <v>17</v>
      </c>
      <c r="F93" t="s">
        <v>249</v>
      </c>
      <c r="G93" t="s">
        <v>249</v>
      </c>
      <c r="H93">
        <v>2</v>
      </c>
      <c r="I93" t="s">
        <v>1348</v>
      </c>
      <c r="J93" t="s">
        <v>1349</v>
      </c>
      <c r="K93" t="s">
        <v>1350</v>
      </c>
    </row>
    <row r="94" spans="1:11">
      <c r="A94" t="str">
        <f t="shared" si="2"/>
        <v>B</v>
      </c>
      <c r="B94" t="str">
        <f t="shared" si="3"/>
        <v>B3</v>
      </c>
      <c r="C94" s="568" t="s">
        <v>1459</v>
      </c>
      <c r="D94" s="568" t="s">
        <v>1392</v>
      </c>
      <c r="E94" s="569">
        <v>17</v>
      </c>
      <c r="F94" t="s">
        <v>249</v>
      </c>
      <c r="G94" t="s">
        <v>249</v>
      </c>
      <c r="H94">
        <v>2</v>
      </c>
      <c r="I94" t="s">
        <v>1348</v>
      </c>
      <c r="J94" t="s">
        <v>1349</v>
      </c>
      <c r="K94" t="s">
        <v>1350</v>
      </c>
    </row>
    <row r="95" spans="1:11">
      <c r="A95" t="str">
        <f t="shared" si="2"/>
        <v>B</v>
      </c>
      <c r="B95" t="str">
        <f t="shared" si="3"/>
        <v>B3</v>
      </c>
      <c r="C95" s="568" t="s">
        <v>1460</v>
      </c>
      <c r="D95" s="568" t="s">
        <v>1392</v>
      </c>
      <c r="E95" s="569">
        <v>17</v>
      </c>
      <c r="F95" t="s">
        <v>249</v>
      </c>
      <c r="G95" t="s">
        <v>249</v>
      </c>
      <c r="H95">
        <v>2</v>
      </c>
      <c r="I95" t="s">
        <v>1348</v>
      </c>
      <c r="J95" t="s">
        <v>1349</v>
      </c>
      <c r="K95" t="s">
        <v>1350</v>
      </c>
    </row>
    <row r="96" spans="1:11">
      <c r="A96" t="str">
        <f t="shared" si="2"/>
        <v>B</v>
      </c>
      <c r="B96" t="str">
        <f t="shared" si="3"/>
        <v>B3</v>
      </c>
      <c r="C96" s="568" t="s">
        <v>1461</v>
      </c>
      <c r="D96" s="568" t="s">
        <v>1392</v>
      </c>
      <c r="E96" s="569">
        <v>17</v>
      </c>
      <c r="F96" t="s">
        <v>249</v>
      </c>
      <c r="G96" t="s">
        <v>249</v>
      </c>
      <c r="H96">
        <v>2</v>
      </c>
      <c r="I96" t="s">
        <v>1348</v>
      </c>
      <c r="J96" t="s">
        <v>1349</v>
      </c>
      <c r="K96" t="s">
        <v>1350</v>
      </c>
    </row>
    <row r="97" spans="1:11">
      <c r="A97" t="str">
        <f t="shared" si="2"/>
        <v>B</v>
      </c>
      <c r="B97" t="str">
        <f t="shared" si="3"/>
        <v>B3</v>
      </c>
      <c r="C97" s="568" t="s">
        <v>1462</v>
      </c>
      <c r="D97" s="568" t="s">
        <v>1392</v>
      </c>
      <c r="E97" s="569">
        <v>17</v>
      </c>
      <c r="F97" t="s">
        <v>249</v>
      </c>
      <c r="G97" t="s">
        <v>249</v>
      </c>
      <c r="H97">
        <v>2</v>
      </c>
      <c r="I97" t="s">
        <v>1348</v>
      </c>
      <c r="J97" t="s">
        <v>1349</v>
      </c>
      <c r="K97" t="s">
        <v>1350</v>
      </c>
    </row>
    <row r="98" spans="1:11">
      <c r="A98" t="str">
        <f t="shared" si="2"/>
        <v>B</v>
      </c>
      <c r="B98" t="str">
        <f t="shared" si="3"/>
        <v>B3</v>
      </c>
      <c r="C98" s="568" t="s">
        <v>1463</v>
      </c>
      <c r="D98" s="568" t="s">
        <v>1392</v>
      </c>
      <c r="E98" s="569">
        <v>17</v>
      </c>
      <c r="F98" t="s">
        <v>249</v>
      </c>
      <c r="G98" t="s">
        <v>249</v>
      </c>
      <c r="H98">
        <v>2</v>
      </c>
      <c r="I98" t="s">
        <v>1348</v>
      </c>
      <c r="J98" t="s">
        <v>1349</v>
      </c>
      <c r="K98" t="s">
        <v>1350</v>
      </c>
    </row>
    <row r="99" spans="1:11">
      <c r="A99" t="str">
        <f t="shared" si="2"/>
        <v>B</v>
      </c>
      <c r="B99" t="str">
        <f t="shared" si="3"/>
        <v>B3</v>
      </c>
      <c r="C99" s="568" t="s">
        <v>1464</v>
      </c>
      <c r="D99" s="568" t="s">
        <v>1392</v>
      </c>
      <c r="E99" s="569">
        <v>17</v>
      </c>
      <c r="F99" t="s">
        <v>249</v>
      </c>
      <c r="G99" t="s">
        <v>249</v>
      </c>
      <c r="H99">
        <v>2</v>
      </c>
      <c r="I99" t="s">
        <v>1348</v>
      </c>
      <c r="J99" t="s">
        <v>1349</v>
      </c>
      <c r="K99" t="s">
        <v>1350</v>
      </c>
    </row>
    <row r="100" spans="1:11">
      <c r="A100" t="str">
        <f t="shared" si="2"/>
        <v>B</v>
      </c>
      <c r="B100" t="str">
        <f t="shared" si="3"/>
        <v>B3</v>
      </c>
      <c r="C100" s="568" t="s">
        <v>1465</v>
      </c>
      <c r="D100" s="568" t="s">
        <v>1392</v>
      </c>
      <c r="E100" s="569">
        <v>17</v>
      </c>
      <c r="F100" t="s">
        <v>249</v>
      </c>
      <c r="G100" t="s">
        <v>249</v>
      </c>
      <c r="H100">
        <v>2</v>
      </c>
      <c r="I100" t="s">
        <v>1348</v>
      </c>
      <c r="J100" t="s">
        <v>1349</v>
      </c>
      <c r="K100" t="s">
        <v>1350</v>
      </c>
    </row>
    <row r="101" spans="1:11">
      <c r="A101" t="str">
        <f t="shared" si="2"/>
        <v>B</v>
      </c>
      <c r="B101" t="str">
        <f t="shared" si="3"/>
        <v>B3</v>
      </c>
      <c r="C101" s="568" t="s">
        <v>1466</v>
      </c>
      <c r="D101" s="568" t="s">
        <v>1392</v>
      </c>
      <c r="E101" s="569">
        <v>17</v>
      </c>
      <c r="F101" t="s">
        <v>249</v>
      </c>
      <c r="G101" t="s">
        <v>249</v>
      </c>
      <c r="H101">
        <v>2</v>
      </c>
      <c r="I101" t="s">
        <v>1348</v>
      </c>
      <c r="J101" t="s">
        <v>1349</v>
      </c>
      <c r="K101" t="s">
        <v>1350</v>
      </c>
    </row>
    <row r="102" spans="1:11">
      <c r="A102" t="str">
        <f t="shared" si="2"/>
        <v>B</v>
      </c>
      <c r="B102" t="str">
        <f t="shared" si="3"/>
        <v>B4</v>
      </c>
      <c r="C102" s="568" t="s">
        <v>1467</v>
      </c>
      <c r="D102" s="568" t="s">
        <v>1392</v>
      </c>
      <c r="E102" s="569">
        <v>17</v>
      </c>
      <c r="F102" t="s">
        <v>249</v>
      </c>
      <c r="G102" t="s">
        <v>249</v>
      </c>
      <c r="H102">
        <v>2</v>
      </c>
      <c r="I102" t="s">
        <v>1348</v>
      </c>
      <c r="J102" t="s">
        <v>1349</v>
      </c>
      <c r="K102" t="s">
        <v>1350</v>
      </c>
    </row>
    <row r="103" spans="1:11">
      <c r="A103" t="str">
        <f t="shared" si="2"/>
        <v>B</v>
      </c>
      <c r="B103" t="str">
        <f t="shared" si="3"/>
        <v>B4</v>
      </c>
      <c r="C103" s="568" t="s">
        <v>1468</v>
      </c>
      <c r="D103" s="568" t="s">
        <v>1392</v>
      </c>
      <c r="E103" s="569">
        <v>17</v>
      </c>
      <c r="F103" t="s">
        <v>249</v>
      </c>
      <c r="G103" t="s">
        <v>249</v>
      </c>
      <c r="H103">
        <v>2</v>
      </c>
      <c r="I103" t="s">
        <v>1348</v>
      </c>
      <c r="J103" t="s">
        <v>1349</v>
      </c>
      <c r="K103" t="s">
        <v>1350</v>
      </c>
    </row>
    <row r="104" spans="1:11">
      <c r="A104" t="str">
        <f t="shared" si="2"/>
        <v>B</v>
      </c>
      <c r="B104" t="str">
        <f t="shared" si="3"/>
        <v>B4</v>
      </c>
      <c r="C104" s="568" t="s">
        <v>1469</v>
      </c>
      <c r="D104" s="568" t="s">
        <v>1392</v>
      </c>
      <c r="E104" s="569">
        <v>17</v>
      </c>
      <c r="F104" t="s">
        <v>249</v>
      </c>
      <c r="G104" t="s">
        <v>249</v>
      </c>
      <c r="H104">
        <v>2</v>
      </c>
      <c r="I104" t="s">
        <v>1348</v>
      </c>
      <c r="J104" t="s">
        <v>1349</v>
      </c>
      <c r="K104" t="s">
        <v>1350</v>
      </c>
    </row>
    <row r="105" spans="1:11">
      <c r="A105" t="str">
        <f t="shared" si="2"/>
        <v>B</v>
      </c>
      <c r="B105" t="str">
        <f t="shared" si="3"/>
        <v>B4</v>
      </c>
      <c r="C105" s="568" t="s">
        <v>1470</v>
      </c>
      <c r="D105" s="568" t="s">
        <v>1392</v>
      </c>
      <c r="E105" s="569">
        <v>17</v>
      </c>
      <c r="F105" t="s">
        <v>249</v>
      </c>
      <c r="G105" t="s">
        <v>249</v>
      </c>
      <c r="H105">
        <v>2</v>
      </c>
      <c r="I105" t="s">
        <v>1348</v>
      </c>
      <c r="J105" t="s">
        <v>1349</v>
      </c>
      <c r="K105" t="s">
        <v>1350</v>
      </c>
    </row>
    <row r="106" spans="1:11">
      <c r="A106" t="str">
        <f t="shared" si="2"/>
        <v>B</v>
      </c>
      <c r="B106" t="str">
        <f t="shared" si="3"/>
        <v>B4</v>
      </c>
      <c r="C106" s="568" t="s">
        <v>1471</v>
      </c>
      <c r="D106" s="568" t="s">
        <v>1371</v>
      </c>
      <c r="E106" s="569">
        <v>17</v>
      </c>
      <c r="F106" t="s">
        <v>249</v>
      </c>
      <c r="G106" t="s">
        <v>249</v>
      </c>
      <c r="H106">
        <v>2</v>
      </c>
      <c r="I106" t="s">
        <v>1348</v>
      </c>
      <c r="J106" t="s">
        <v>1349</v>
      </c>
      <c r="K106" t="s">
        <v>1350</v>
      </c>
    </row>
    <row r="107" spans="1:11">
      <c r="A107" t="str">
        <f t="shared" si="2"/>
        <v>B</v>
      </c>
      <c r="B107" t="str">
        <f t="shared" si="3"/>
        <v>B4</v>
      </c>
      <c r="C107" s="568" t="s">
        <v>1472</v>
      </c>
      <c r="D107" s="568" t="s">
        <v>1473</v>
      </c>
      <c r="E107" s="569">
        <v>17</v>
      </c>
      <c r="F107" t="s">
        <v>249</v>
      </c>
      <c r="G107" t="s">
        <v>249</v>
      </c>
      <c r="H107">
        <v>2</v>
      </c>
      <c r="I107" t="s">
        <v>1348</v>
      </c>
      <c r="J107" t="s">
        <v>1349</v>
      </c>
      <c r="K107" t="s">
        <v>1350</v>
      </c>
    </row>
    <row r="108" spans="1:11">
      <c r="A108" t="str">
        <f t="shared" si="2"/>
        <v>B</v>
      </c>
      <c r="B108" t="str">
        <f t="shared" si="3"/>
        <v>B4</v>
      </c>
      <c r="C108" s="568" t="s">
        <v>1474</v>
      </c>
      <c r="D108" s="568" t="s">
        <v>1408</v>
      </c>
      <c r="E108" s="569">
        <v>17</v>
      </c>
      <c r="F108" t="s">
        <v>249</v>
      </c>
      <c r="G108" t="s">
        <v>249</v>
      </c>
      <c r="H108">
        <v>2</v>
      </c>
      <c r="I108" t="s">
        <v>1348</v>
      </c>
      <c r="J108" t="s">
        <v>1349</v>
      </c>
      <c r="K108" t="s">
        <v>1350</v>
      </c>
    </row>
    <row r="109" spans="1:11">
      <c r="A109" t="str">
        <f t="shared" si="2"/>
        <v>B</v>
      </c>
      <c r="B109" t="str">
        <f t="shared" si="3"/>
        <v>B4</v>
      </c>
      <c r="C109" s="568" t="s">
        <v>1475</v>
      </c>
      <c r="D109" s="568" t="s">
        <v>1408</v>
      </c>
      <c r="E109" s="569">
        <v>17</v>
      </c>
      <c r="F109" t="s">
        <v>249</v>
      </c>
      <c r="G109" t="s">
        <v>249</v>
      </c>
      <c r="H109">
        <v>2</v>
      </c>
      <c r="I109" t="s">
        <v>1348</v>
      </c>
      <c r="J109" t="s">
        <v>1349</v>
      </c>
      <c r="K109" t="s">
        <v>1350</v>
      </c>
    </row>
    <row r="110" spans="1:11">
      <c r="A110" t="str">
        <f t="shared" si="2"/>
        <v>B</v>
      </c>
      <c r="B110" t="str">
        <f t="shared" si="3"/>
        <v>B4</v>
      </c>
      <c r="C110" s="568" t="s">
        <v>1476</v>
      </c>
      <c r="D110" s="568" t="s">
        <v>1408</v>
      </c>
      <c r="E110" s="569">
        <v>17</v>
      </c>
      <c r="F110" t="s">
        <v>249</v>
      </c>
      <c r="G110" t="s">
        <v>249</v>
      </c>
      <c r="H110">
        <v>2</v>
      </c>
      <c r="I110" t="s">
        <v>1348</v>
      </c>
      <c r="J110" t="s">
        <v>1349</v>
      </c>
      <c r="K110" t="s">
        <v>1350</v>
      </c>
    </row>
    <row r="111" spans="1:11">
      <c r="A111" t="str">
        <f t="shared" si="2"/>
        <v>B</v>
      </c>
      <c r="B111" t="str">
        <f t="shared" si="3"/>
        <v>B4</v>
      </c>
      <c r="C111" s="568" t="s">
        <v>1477</v>
      </c>
      <c r="D111" s="568" t="s">
        <v>1371</v>
      </c>
      <c r="E111" s="569">
        <v>17</v>
      </c>
      <c r="F111" t="s">
        <v>249</v>
      </c>
      <c r="G111" t="s">
        <v>249</v>
      </c>
      <c r="H111">
        <v>2</v>
      </c>
      <c r="I111" t="s">
        <v>1348</v>
      </c>
      <c r="J111" t="s">
        <v>1349</v>
      </c>
      <c r="K111" t="s">
        <v>1350</v>
      </c>
    </row>
    <row r="112" spans="1:11">
      <c r="A112" t="str">
        <f t="shared" si="2"/>
        <v>B</v>
      </c>
      <c r="B112" t="str">
        <f t="shared" si="3"/>
        <v>B5</v>
      </c>
      <c r="C112" s="568" t="s">
        <v>1478</v>
      </c>
      <c r="D112" s="568" t="s">
        <v>1371</v>
      </c>
      <c r="E112" s="569">
        <v>17</v>
      </c>
      <c r="F112" t="s">
        <v>249</v>
      </c>
      <c r="G112" t="s">
        <v>249</v>
      </c>
      <c r="H112">
        <v>2</v>
      </c>
      <c r="I112" t="s">
        <v>1348</v>
      </c>
      <c r="J112" t="s">
        <v>1349</v>
      </c>
      <c r="K112" t="s">
        <v>1350</v>
      </c>
    </row>
    <row r="113" spans="1:11">
      <c r="A113" t="str">
        <f t="shared" si="2"/>
        <v>B</v>
      </c>
      <c r="B113" t="str">
        <f t="shared" si="3"/>
        <v>B6</v>
      </c>
      <c r="C113" s="575" t="s">
        <v>1479</v>
      </c>
      <c r="D113" s="575" t="s">
        <v>1371</v>
      </c>
      <c r="E113" s="576">
        <v>17</v>
      </c>
      <c r="F113" t="s">
        <v>249</v>
      </c>
      <c r="G113" t="s">
        <v>249</v>
      </c>
      <c r="H113">
        <v>2</v>
      </c>
      <c r="I113" t="s">
        <v>1348</v>
      </c>
      <c r="J113" t="s">
        <v>1349</v>
      </c>
      <c r="K113" t="s">
        <v>1350</v>
      </c>
    </row>
    <row r="114" spans="1:11">
      <c r="A114" t="str">
        <f t="shared" si="2"/>
        <v>B</v>
      </c>
      <c r="B114" t="str">
        <f t="shared" si="3"/>
        <v>B9</v>
      </c>
      <c r="C114" s="568" t="s">
        <v>1480</v>
      </c>
      <c r="D114" s="568" t="s">
        <v>1371</v>
      </c>
      <c r="E114" s="569">
        <v>17</v>
      </c>
      <c r="F114" t="s">
        <v>249</v>
      </c>
      <c r="G114" t="s">
        <v>249</v>
      </c>
      <c r="H114">
        <v>2</v>
      </c>
      <c r="I114" t="s">
        <v>1348</v>
      </c>
      <c r="J114" t="s">
        <v>1349</v>
      </c>
      <c r="K114" t="s">
        <v>1350</v>
      </c>
    </row>
    <row r="115" spans="1:11">
      <c r="A115" t="str">
        <f t="shared" si="2"/>
        <v>C</v>
      </c>
      <c r="B115" t="str">
        <f t="shared" si="3"/>
        <v>C0</v>
      </c>
      <c r="C115" s="568" t="s">
        <v>1481</v>
      </c>
      <c r="D115" s="568" t="s">
        <v>1371</v>
      </c>
      <c r="E115" s="569">
        <v>17</v>
      </c>
      <c r="F115" t="s">
        <v>249</v>
      </c>
      <c r="G115" t="s">
        <v>249</v>
      </c>
      <c r="H115">
        <v>3</v>
      </c>
      <c r="I115" t="s">
        <v>1348</v>
      </c>
      <c r="J115" t="s">
        <v>1349</v>
      </c>
      <c r="K115" t="s">
        <v>1350</v>
      </c>
    </row>
    <row r="116" spans="1:11">
      <c r="A116" t="str">
        <f t="shared" si="2"/>
        <v>C</v>
      </c>
      <c r="B116" t="str">
        <f t="shared" si="3"/>
        <v>C0</v>
      </c>
      <c r="C116" s="568" t="s">
        <v>1482</v>
      </c>
      <c r="D116" s="568" t="s">
        <v>1371</v>
      </c>
      <c r="E116" s="569">
        <v>17</v>
      </c>
      <c r="F116" t="s">
        <v>249</v>
      </c>
      <c r="G116" t="s">
        <v>249</v>
      </c>
      <c r="H116">
        <v>3</v>
      </c>
      <c r="I116" t="s">
        <v>1348</v>
      </c>
      <c r="J116" t="s">
        <v>1349</v>
      </c>
      <c r="K116" t="s">
        <v>1350</v>
      </c>
    </row>
    <row r="117" spans="1:11">
      <c r="A117" t="str">
        <f t="shared" si="2"/>
        <v>C</v>
      </c>
      <c r="B117" t="str">
        <f t="shared" si="3"/>
        <v>C1</v>
      </c>
      <c r="C117" s="568" t="s">
        <v>1483</v>
      </c>
      <c r="D117" s="568" t="s">
        <v>1371</v>
      </c>
      <c r="E117" s="569">
        <v>17</v>
      </c>
      <c r="F117" t="s">
        <v>249</v>
      </c>
      <c r="G117" t="s">
        <v>249</v>
      </c>
      <c r="H117">
        <v>3</v>
      </c>
      <c r="I117" t="s">
        <v>1348</v>
      </c>
      <c r="J117" t="s">
        <v>1349</v>
      </c>
      <c r="K117" t="s">
        <v>1350</v>
      </c>
    </row>
    <row r="118" spans="1:11">
      <c r="A118" t="str">
        <f t="shared" si="2"/>
        <v>C</v>
      </c>
      <c r="B118" t="str">
        <f t="shared" si="3"/>
        <v>C1</v>
      </c>
      <c r="C118" s="568" t="s">
        <v>1484</v>
      </c>
      <c r="D118" s="568" t="s">
        <v>1371</v>
      </c>
      <c r="E118" s="569">
        <v>17</v>
      </c>
      <c r="F118" t="s">
        <v>249</v>
      </c>
      <c r="G118" t="s">
        <v>249</v>
      </c>
      <c r="H118">
        <v>3</v>
      </c>
      <c r="I118" t="s">
        <v>1348</v>
      </c>
      <c r="J118" t="s">
        <v>1349</v>
      </c>
      <c r="K118" t="s">
        <v>1350</v>
      </c>
    </row>
    <row r="119" spans="1:11">
      <c r="A119" t="str">
        <f t="shared" si="2"/>
        <v>C</v>
      </c>
      <c r="B119" t="str">
        <f t="shared" si="3"/>
        <v>C1</v>
      </c>
      <c r="C119" s="568" t="s">
        <v>1485</v>
      </c>
      <c r="D119" s="568" t="s">
        <v>1371</v>
      </c>
      <c r="E119" s="569">
        <v>17</v>
      </c>
      <c r="F119" t="s">
        <v>249</v>
      </c>
      <c r="G119" t="s">
        <v>249</v>
      </c>
      <c r="H119">
        <v>3</v>
      </c>
      <c r="I119" t="s">
        <v>1348</v>
      </c>
      <c r="J119" t="s">
        <v>1349</v>
      </c>
      <c r="K119" t="s">
        <v>1350</v>
      </c>
    </row>
    <row r="120" spans="1:11">
      <c r="A120" t="str">
        <f t="shared" si="2"/>
        <v>C</v>
      </c>
      <c r="B120" t="str">
        <f t="shared" si="3"/>
        <v>C1</v>
      </c>
      <c r="C120" s="568" t="s">
        <v>1486</v>
      </c>
      <c r="D120" s="568" t="s">
        <v>1371</v>
      </c>
      <c r="E120" s="569">
        <v>17</v>
      </c>
      <c r="F120" t="s">
        <v>249</v>
      </c>
      <c r="G120" t="s">
        <v>249</v>
      </c>
      <c r="H120">
        <v>3</v>
      </c>
      <c r="I120" t="s">
        <v>1348</v>
      </c>
      <c r="J120" t="s">
        <v>1349</v>
      </c>
      <c r="K120" t="s">
        <v>1350</v>
      </c>
    </row>
    <row r="121" spans="1:11">
      <c r="A121" t="str">
        <f t="shared" si="2"/>
        <v>C</v>
      </c>
      <c r="B121" t="str">
        <f t="shared" si="3"/>
        <v>C1</v>
      </c>
      <c r="C121" s="568" t="s">
        <v>1487</v>
      </c>
      <c r="D121" s="568" t="s">
        <v>1371</v>
      </c>
      <c r="E121" s="569">
        <v>17</v>
      </c>
      <c r="F121" t="s">
        <v>249</v>
      </c>
      <c r="G121" t="s">
        <v>249</v>
      </c>
      <c r="H121">
        <v>3</v>
      </c>
      <c r="I121" t="s">
        <v>1348</v>
      </c>
      <c r="J121" t="s">
        <v>1349</v>
      </c>
      <c r="K121" t="s">
        <v>1350</v>
      </c>
    </row>
    <row r="122" spans="1:11">
      <c r="A122" t="str">
        <f t="shared" si="2"/>
        <v>E</v>
      </c>
      <c r="B122" t="str">
        <f t="shared" si="3"/>
        <v>E1</v>
      </c>
      <c r="C122" s="568" t="s">
        <v>1488</v>
      </c>
      <c r="D122" s="568" t="s">
        <v>1408</v>
      </c>
      <c r="E122" s="569">
        <v>17</v>
      </c>
      <c r="F122" t="s">
        <v>249</v>
      </c>
      <c r="G122" t="s">
        <v>249</v>
      </c>
      <c r="H122">
        <v>5</v>
      </c>
      <c r="I122" t="s">
        <v>1348</v>
      </c>
      <c r="J122" t="s">
        <v>1349</v>
      </c>
      <c r="K122" t="s">
        <v>1350</v>
      </c>
    </row>
    <row r="123" spans="1:11">
      <c r="A123" t="str">
        <f t="shared" si="2"/>
        <v>E</v>
      </c>
      <c r="B123" t="str">
        <f t="shared" si="3"/>
        <v>E1</v>
      </c>
      <c r="C123" s="568" t="s">
        <v>1489</v>
      </c>
      <c r="D123" s="568" t="s">
        <v>1408</v>
      </c>
      <c r="E123" s="569">
        <v>17</v>
      </c>
      <c r="F123" t="s">
        <v>249</v>
      </c>
      <c r="G123" t="s">
        <v>249</v>
      </c>
      <c r="H123">
        <v>5</v>
      </c>
      <c r="I123" t="s">
        <v>1348</v>
      </c>
      <c r="J123" t="s">
        <v>1349</v>
      </c>
      <c r="K123" t="s">
        <v>1350</v>
      </c>
    </row>
    <row r="124" spans="1:11">
      <c r="A124" t="str">
        <f t="shared" si="2"/>
        <v>E</v>
      </c>
      <c r="B124" t="str">
        <f t="shared" si="3"/>
        <v>E1</v>
      </c>
      <c r="C124" s="568" t="s">
        <v>1490</v>
      </c>
      <c r="D124" s="568" t="s">
        <v>1408</v>
      </c>
      <c r="E124" s="569">
        <v>17</v>
      </c>
      <c r="F124" t="s">
        <v>249</v>
      </c>
      <c r="G124" t="s">
        <v>249</v>
      </c>
      <c r="H124">
        <v>5</v>
      </c>
      <c r="I124" t="s">
        <v>1348</v>
      </c>
      <c r="J124" t="s">
        <v>1349</v>
      </c>
      <c r="K124" t="s">
        <v>1350</v>
      </c>
    </row>
    <row r="125" spans="1:11">
      <c r="A125" t="str">
        <f t="shared" si="2"/>
        <v>E</v>
      </c>
      <c r="B125" t="str">
        <f t="shared" si="3"/>
        <v>E1</v>
      </c>
      <c r="C125" s="568" t="s">
        <v>1491</v>
      </c>
      <c r="D125" s="568" t="s">
        <v>1408</v>
      </c>
      <c r="E125" s="569">
        <v>17</v>
      </c>
      <c r="F125" t="s">
        <v>249</v>
      </c>
      <c r="G125" t="s">
        <v>249</v>
      </c>
      <c r="H125">
        <v>5</v>
      </c>
      <c r="I125" t="s">
        <v>1348</v>
      </c>
      <c r="J125" t="s">
        <v>1349</v>
      </c>
      <c r="K125" t="s">
        <v>1350</v>
      </c>
    </row>
    <row r="126" spans="1:11">
      <c r="A126" t="str">
        <f t="shared" si="2"/>
        <v>E</v>
      </c>
      <c r="B126" t="str">
        <f t="shared" si="3"/>
        <v>E1</v>
      </c>
      <c r="C126" s="568" t="s">
        <v>1492</v>
      </c>
      <c r="D126" s="568" t="s">
        <v>1408</v>
      </c>
      <c r="E126" s="569">
        <v>17</v>
      </c>
      <c r="F126" t="s">
        <v>249</v>
      </c>
      <c r="G126" t="s">
        <v>249</v>
      </c>
      <c r="H126">
        <v>5</v>
      </c>
      <c r="I126" t="s">
        <v>1348</v>
      </c>
      <c r="J126" t="s">
        <v>1349</v>
      </c>
      <c r="K126" t="s">
        <v>1350</v>
      </c>
    </row>
    <row r="127" spans="1:11">
      <c r="A127" t="str">
        <f t="shared" si="2"/>
        <v>E</v>
      </c>
      <c r="B127" t="str">
        <f t="shared" si="3"/>
        <v>E1</v>
      </c>
      <c r="C127" s="568" t="s">
        <v>1493</v>
      </c>
      <c r="D127" s="568" t="s">
        <v>1408</v>
      </c>
      <c r="E127" s="569">
        <v>17</v>
      </c>
      <c r="F127" t="s">
        <v>249</v>
      </c>
      <c r="G127" t="s">
        <v>249</v>
      </c>
      <c r="H127">
        <v>5</v>
      </c>
      <c r="I127" t="s">
        <v>1348</v>
      </c>
      <c r="J127" t="s">
        <v>1349</v>
      </c>
      <c r="K127" t="s">
        <v>1350</v>
      </c>
    </row>
    <row r="128" spans="1:11">
      <c r="A128" t="str">
        <f t="shared" si="2"/>
        <v>E</v>
      </c>
      <c r="B128" t="str">
        <f t="shared" si="3"/>
        <v>E1</v>
      </c>
      <c r="C128" s="568" t="s">
        <v>1494</v>
      </c>
      <c r="D128" s="568" t="s">
        <v>1408</v>
      </c>
      <c r="E128" s="569">
        <v>17</v>
      </c>
      <c r="F128" t="s">
        <v>249</v>
      </c>
      <c r="G128" t="s">
        <v>249</v>
      </c>
      <c r="H128">
        <v>5</v>
      </c>
      <c r="I128" t="s">
        <v>1348</v>
      </c>
      <c r="J128" t="s">
        <v>1349</v>
      </c>
      <c r="K128" t="s">
        <v>1350</v>
      </c>
    </row>
    <row r="129" spans="1:11">
      <c r="A129" t="str">
        <f t="shared" si="2"/>
        <v>E</v>
      </c>
      <c r="B129" t="str">
        <f t="shared" si="3"/>
        <v>E1</v>
      </c>
      <c r="C129" s="568" t="s">
        <v>1495</v>
      </c>
      <c r="D129" s="568" t="s">
        <v>1496</v>
      </c>
      <c r="E129" s="569">
        <v>17</v>
      </c>
      <c r="F129" t="s">
        <v>249</v>
      </c>
      <c r="G129" t="s">
        <v>249</v>
      </c>
      <c r="H129">
        <v>5</v>
      </c>
      <c r="I129" t="s">
        <v>1348</v>
      </c>
      <c r="J129" t="s">
        <v>1349</v>
      </c>
      <c r="K129" t="s">
        <v>1350</v>
      </c>
    </row>
    <row r="130" spans="1:11">
      <c r="A130" t="str">
        <f t="shared" si="2"/>
        <v>E</v>
      </c>
      <c r="B130" t="str">
        <f t="shared" si="3"/>
        <v>E1</v>
      </c>
      <c r="C130" s="568" t="s">
        <v>1497</v>
      </c>
      <c r="D130" s="568" t="s">
        <v>1496</v>
      </c>
      <c r="E130" s="569">
        <v>17</v>
      </c>
      <c r="F130" t="s">
        <v>249</v>
      </c>
      <c r="G130" t="s">
        <v>249</v>
      </c>
      <c r="H130">
        <v>5</v>
      </c>
      <c r="I130" t="s">
        <v>1348</v>
      </c>
      <c r="J130" t="s">
        <v>1349</v>
      </c>
      <c r="K130" t="s">
        <v>1350</v>
      </c>
    </row>
    <row r="131" spans="1:11">
      <c r="A131" t="str">
        <f t="shared" ref="A131:A194" si="4">LEFT(C131)</f>
        <v>E</v>
      </c>
      <c r="B131" t="str">
        <f t="shared" si="3"/>
        <v>E1</v>
      </c>
      <c r="C131" s="568" t="s">
        <v>1498</v>
      </c>
      <c r="D131" s="568" t="s">
        <v>1371</v>
      </c>
      <c r="E131" s="569">
        <v>17</v>
      </c>
      <c r="F131" t="s">
        <v>249</v>
      </c>
      <c r="G131" t="s">
        <v>249</v>
      </c>
      <c r="H131">
        <v>5</v>
      </c>
      <c r="I131" t="s">
        <v>1348</v>
      </c>
      <c r="J131" t="s">
        <v>1349</v>
      </c>
      <c r="K131" t="s">
        <v>1350</v>
      </c>
    </row>
    <row r="132" spans="1:11">
      <c r="A132" t="str">
        <f t="shared" si="4"/>
        <v>E</v>
      </c>
      <c r="B132" t="str">
        <f t="shared" ref="B132:B195" si="5">LEFT(C132,2)</f>
        <v>E1</v>
      </c>
      <c r="C132" s="568" t="s">
        <v>1499</v>
      </c>
      <c r="D132" s="568" t="s">
        <v>1408</v>
      </c>
      <c r="E132" s="569">
        <v>17</v>
      </c>
      <c r="F132" t="s">
        <v>249</v>
      </c>
      <c r="G132" t="s">
        <v>249</v>
      </c>
      <c r="H132">
        <v>5</v>
      </c>
      <c r="I132" t="s">
        <v>1348</v>
      </c>
      <c r="J132" t="s">
        <v>1349</v>
      </c>
      <c r="K132" t="s">
        <v>1350</v>
      </c>
    </row>
    <row r="133" spans="1:11">
      <c r="A133" t="str">
        <f t="shared" si="4"/>
        <v>E</v>
      </c>
      <c r="B133" t="str">
        <f t="shared" si="5"/>
        <v>E2</v>
      </c>
      <c r="C133" s="568" t="s">
        <v>1500</v>
      </c>
      <c r="D133" s="568" t="s">
        <v>1501</v>
      </c>
      <c r="E133" s="569">
        <v>17</v>
      </c>
      <c r="F133" t="s">
        <v>249</v>
      </c>
      <c r="G133" t="s">
        <v>249</v>
      </c>
      <c r="H133">
        <v>5</v>
      </c>
      <c r="I133" t="s">
        <v>1348</v>
      </c>
      <c r="J133" t="s">
        <v>1349</v>
      </c>
      <c r="K133" t="s">
        <v>1350</v>
      </c>
    </row>
    <row r="134" spans="1:11">
      <c r="A134" t="str">
        <f t="shared" si="4"/>
        <v>E</v>
      </c>
      <c r="B134" t="str">
        <f t="shared" si="5"/>
        <v>E2</v>
      </c>
      <c r="C134" s="568" t="s">
        <v>1502</v>
      </c>
      <c r="D134" s="568" t="s">
        <v>1408</v>
      </c>
      <c r="E134" s="569">
        <v>17</v>
      </c>
      <c r="F134" t="s">
        <v>249</v>
      </c>
      <c r="G134" t="s">
        <v>249</v>
      </c>
      <c r="H134">
        <v>5</v>
      </c>
      <c r="I134" t="s">
        <v>1348</v>
      </c>
      <c r="J134" t="s">
        <v>1349</v>
      </c>
      <c r="K134" t="s">
        <v>1350</v>
      </c>
    </row>
    <row r="135" spans="1:11">
      <c r="A135" t="str">
        <f t="shared" si="4"/>
        <v>E</v>
      </c>
      <c r="B135" t="str">
        <f t="shared" si="5"/>
        <v>E2</v>
      </c>
      <c r="C135" s="568" t="s">
        <v>1503</v>
      </c>
      <c r="D135" s="568" t="s">
        <v>1408</v>
      </c>
      <c r="E135" s="569">
        <v>17</v>
      </c>
      <c r="F135" t="s">
        <v>249</v>
      </c>
      <c r="G135" t="s">
        <v>249</v>
      </c>
      <c r="H135">
        <v>5</v>
      </c>
      <c r="I135" t="s">
        <v>1348</v>
      </c>
      <c r="J135" t="s">
        <v>1349</v>
      </c>
      <c r="K135" t="s">
        <v>1350</v>
      </c>
    </row>
    <row r="136" spans="1:11">
      <c r="A136" t="str">
        <f t="shared" si="4"/>
        <v>E</v>
      </c>
      <c r="B136" t="str">
        <f t="shared" si="5"/>
        <v>E2</v>
      </c>
      <c r="C136" s="568" t="s">
        <v>1504</v>
      </c>
      <c r="D136" s="568" t="s">
        <v>1408</v>
      </c>
      <c r="E136" s="569">
        <v>17</v>
      </c>
      <c r="F136" t="s">
        <v>249</v>
      </c>
      <c r="G136" t="s">
        <v>249</v>
      </c>
      <c r="H136">
        <v>5</v>
      </c>
      <c r="I136" t="s">
        <v>1348</v>
      </c>
      <c r="J136" t="s">
        <v>1349</v>
      </c>
      <c r="K136" t="s">
        <v>1350</v>
      </c>
    </row>
    <row r="137" spans="1:11">
      <c r="A137" t="str">
        <f t="shared" si="4"/>
        <v>E</v>
      </c>
      <c r="B137" t="str">
        <f t="shared" si="5"/>
        <v>E2</v>
      </c>
      <c r="C137" s="568" t="s">
        <v>1505</v>
      </c>
      <c r="D137" s="568" t="s">
        <v>1408</v>
      </c>
      <c r="E137" s="569">
        <v>17</v>
      </c>
      <c r="F137" t="s">
        <v>249</v>
      </c>
      <c r="G137" t="s">
        <v>249</v>
      </c>
      <c r="H137">
        <v>5</v>
      </c>
      <c r="I137" t="s">
        <v>1348</v>
      </c>
      <c r="J137" t="s">
        <v>1349</v>
      </c>
      <c r="K137" t="s">
        <v>1350</v>
      </c>
    </row>
    <row r="138" spans="1:11">
      <c r="A138" t="str">
        <f t="shared" si="4"/>
        <v>E</v>
      </c>
      <c r="B138" t="str">
        <f t="shared" si="5"/>
        <v>E2</v>
      </c>
      <c r="C138" s="568" t="s">
        <v>1506</v>
      </c>
      <c r="D138" s="568" t="s">
        <v>1408</v>
      </c>
      <c r="E138" s="569">
        <v>17</v>
      </c>
      <c r="F138" t="s">
        <v>249</v>
      </c>
      <c r="G138" t="s">
        <v>249</v>
      </c>
      <c r="H138">
        <v>5</v>
      </c>
      <c r="I138" t="s">
        <v>1348</v>
      </c>
      <c r="J138" t="s">
        <v>1349</v>
      </c>
      <c r="K138" t="s">
        <v>1350</v>
      </c>
    </row>
    <row r="139" spans="1:11">
      <c r="A139" t="str">
        <f t="shared" si="4"/>
        <v>E</v>
      </c>
      <c r="B139" t="str">
        <f t="shared" si="5"/>
        <v>E2</v>
      </c>
      <c r="C139" s="568" t="s">
        <v>1507</v>
      </c>
      <c r="D139" s="568" t="s">
        <v>1408</v>
      </c>
      <c r="E139" s="569">
        <v>17</v>
      </c>
      <c r="F139" t="s">
        <v>249</v>
      </c>
      <c r="G139" t="s">
        <v>249</v>
      </c>
      <c r="H139">
        <v>5</v>
      </c>
      <c r="I139" t="s">
        <v>1348</v>
      </c>
      <c r="J139" t="s">
        <v>1349</v>
      </c>
      <c r="K139" t="s">
        <v>1350</v>
      </c>
    </row>
    <row r="140" spans="1:11">
      <c r="A140" t="str">
        <f t="shared" si="4"/>
        <v>E</v>
      </c>
      <c r="B140" t="str">
        <f t="shared" si="5"/>
        <v>E2</v>
      </c>
      <c r="C140" s="568" t="s">
        <v>1508</v>
      </c>
      <c r="D140" s="568" t="s">
        <v>1473</v>
      </c>
      <c r="E140" s="569">
        <v>17</v>
      </c>
      <c r="F140" t="s">
        <v>249</v>
      </c>
      <c r="G140" t="s">
        <v>249</v>
      </c>
      <c r="H140">
        <v>5</v>
      </c>
      <c r="I140" t="s">
        <v>1348</v>
      </c>
      <c r="J140" t="s">
        <v>1349</v>
      </c>
      <c r="K140" t="s">
        <v>1350</v>
      </c>
    </row>
    <row r="141" spans="1:11">
      <c r="A141" t="str">
        <f t="shared" si="4"/>
        <v>E</v>
      </c>
      <c r="B141" t="str">
        <f t="shared" si="5"/>
        <v>E2</v>
      </c>
      <c r="C141" s="568" t="s">
        <v>1509</v>
      </c>
      <c r="D141" s="568" t="s">
        <v>1408</v>
      </c>
      <c r="E141" s="569">
        <v>17</v>
      </c>
      <c r="F141" t="s">
        <v>249</v>
      </c>
      <c r="G141" t="s">
        <v>249</v>
      </c>
      <c r="H141">
        <v>5</v>
      </c>
      <c r="I141" t="s">
        <v>1348</v>
      </c>
      <c r="J141" t="s">
        <v>1349</v>
      </c>
      <c r="K141" t="s">
        <v>1350</v>
      </c>
    </row>
    <row r="142" spans="1:11">
      <c r="A142" t="str">
        <f t="shared" si="4"/>
        <v>E</v>
      </c>
      <c r="B142" t="str">
        <f t="shared" si="5"/>
        <v>E2</v>
      </c>
      <c r="C142" s="568" t="s">
        <v>1510</v>
      </c>
      <c r="D142" s="568" t="s">
        <v>1408</v>
      </c>
      <c r="E142" s="569">
        <v>17</v>
      </c>
      <c r="F142" t="s">
        <v>249</v>
      </c>
      <c r="G142" t="s">
        <v>249</v>
      </c>
      <c r="H142">
        <v>5</v>
      </c>
      <c r="I142" t="s">
        <v>1348</v>
      </c>
      <c r="J142" t="s">
        <v>1349</v>
      </c>
      <c r="K142" t="s">
        <v>1350</v>
      </c>
    </row>
    <row r="143" spans="1:11">
      <c r="A143" t="str">
        <f t="shared" si="4"/>
        <v>E</v>
      </c>
      <c r="B143" t="str">
        <f t="shared" si="5"/>
        <v>E2</v>
      </c>
      <c r="C143" s="568" t="s">
        <v>1511</v>
      </c>
      <c r="D143" s="568" t="s">
        <v>1408</v>
      </c>
      <c r="E143" s="569">
        <v>17</v>
      </c>
      <c r="F143" t="s">
        <v>249</v>
      </c>
      <c r="G143" t="s">
        <v>249</v>
      </c>
      <c r="H143">
        <v>5</v>
      </c>
      <c r="I143" t="s">
        <v>1348</v>
      </c>
      <c r="J143" t="s">
        <v>1349</v>
      </c>
      <c r="K143" t="s">
        <v>1350</v>
      </c>
    </row>
    <row r="144" spans="1:11">
      <c r="A144" t="str">
        <f t="shared" si="4"/>
        <v>E</v>
      </c>
      <c r="B144" t="str">
        <f t="shared" si="5"/>
        <v>E2</v>
      </c>
      <c r="C144" s="568" t="s">
        <v>1512</v>
      </c>
      <c r="D144" s="568" t="s">
        <v>1408</v>
      </c>
      <c r="E144" s="569">
        <v>17</v>
      </c>
      <c r="F144" t="s">
        <v>249</v>
      </c>
      <c r="G144" t="s">
        <v>249</v>
      </c>
      <c r="H144">
        <v>5</v>
      </c>
      <c r="I144" t="s">
        <v>1348</v>
      </c>
      <c r="J144" t="s">
        <v>1349</v>
      </c>
      <c r="K144" t="s">
        <v>1350</v>
      </c>
    </row>
    <row r="145" spans="1:11">
      <c r="A145" t="str">
        <f t="shared" si="4"/>
        <v>E</v>
      </c>
      <c r="B145" t="str">
        <f t="shared" si="5"/>
        <v>E2</v>
      </c>
      <c r="C145" s="568" t="s">
        <v>1513</v>
      </c>
      <c r="D145" s="568" t="s">
        <v>1473</v>
      </c>
      <c r="E145" s="569">
        <v>17</v>
      </c>
      <c r="F145" t="s">
        <v>249</v>
      </c>
      <c r="G145" t="s">
        <v>249</v>
      </c>
      <c r="H145">
        <v>5</v>
      </c>
      <c r="I145" t="s">
        <v>1348</v>
      </c>
      <c r="J145" t="s">
        <v>1349</v>
      </c>
      <c r="K145" t="s">
        <v>1350</v>
      </c>
    </row>
    <row r="146" spans="1:11">
      <c r="A146" t="str">
        <f t="shared" si="4"/>
        <v>E</v>
      </c>
      <c r="B146" t="str">
        <f t="shared" si="5"/>
        <v>E3</v>
      </c>
      <c r="C146" s="568" t="s">
        <v>1514</v>
      </c>
      <c r="D146" s="568" t="s">
        <v>1501</v>
      </c>
      <c r="E146" s="569">
        <v>17</v>
      </c>
      <c r="F146" t="s">
        <v>249</v>
      </c>
      <c r="G146" t="s">
        <v>249</v>
      </c>
      <c r="H146">
        <v>4</v>
      </c>
      <c r="I146" t="s">
        <v>1348</v>
      </c>
      <c r="J146" t="s">
        <v>1349</v>
      </c>
      <c r="K146" t="s">
        <v>1350</v>
      </c>
    </row>
    <row r="147" spans="1:11">
      <c r="A147" t="str">
        <f t="shared" si="4"/>
        <v>E</v>
      </c>
      <c r="B147" t="str">
        <f t="shared" si="5"/>
        <v>E3</v>
      </c>
      <c r="C147" s="568" t="s">
        <v>1515</v>
      </c>
      <c r="D147" s="568" t="s">
        <v>1473</v>
      </c>
      <c r="E147" s="569">
        <v>17</v>
      </c>
      <c r="F147" t="s">
        <v>249</v>
      </c>
      <c r="G147" t="s">
        <v>249</v>
      </c>
      <c r="H147">
        <v>4</v>
      </c>
      <c r="I147" t="s">
        <v>1348</v>
      </c>
      <c r="J147" t="s">
        <v>1349</v>
      </c>
      <c r="K147" t="s">
        <v>1350</v>
      </c>
    </row>
    <row r="148" spans="1:11">
      <c r="A148" t="str">
        <f t="shared" si="4"/>
        <v>E</v>
      </c>
      <c r="B148" t="str">
        <f t="shared" si="5"/>
        <v>E3</v>
      </c>
      <c r="C148" s="568" t="s">
        <v>1516</v>
      </c>
      <c r="D148" s="568" t="s">
        <v>1473</v>
      </c>
      <c r="E148" s="569">
        <v>17</v>
      </c>
      <c r="F148" t="s">
        <v>249</v>
      </c>
      <c r="G148" t="s">
        <v>249</v>
      </c>
      <c r="H148">
        <v>4</v>
      </c>
      <c r="I148" t="s">
        <v>1348</v>
      </c>
      <c r="J148" t="s">
        <v>1349</v>
      </c>
      <c r="K148" t="s">
        <v>1350</v>
      </c>
    </row>
    <row r="149" spans="1:11">
      <c r="A149" t="str">
        <f t="shared" si="4"/>
        <v>E</v>
      </c>
      <c r="B149" t="str">
        <f t="shared" si="5"/>
        <v>E3</v>
      </c>
      <c r="C149" s="568" t="s">
        <v>1517</v>
      </c>
      <c r="D149" s="568" t="s">
        <v>1473</v>
      </c>
      <c r="E149" s="569">
        <v>17</v>
      </c>
      <c r="F149" t="s">
        <v>249</v>
      </c>
      <c r="G149" t="s">
        <v>249</v>
      </c>
      <c r="H149">
        <v>4</v>
      </c>
      <c r="I149" t="s">
        <v>1348</v>
      </c>
      <c r="J149" t="s">
        <v>1349</v>
      </c>
      <c r="K149" t="s">
        <v>1350</v>
      </c>
    </row>
    <row r="150" spans="1:11">
      <c r="A150" t="str">
        <f t="shared" si="4"/>
        <v>E</v>
      </c>
      <c r="B150" t="str">
        <f t="shared" si="5"/>
        <v>E3</v>
      </c>
      <c r="C150" s="575" t="s">
        <v>1518</v>
      </c>
      <c r="D150" s="575" t="s">
        <v>1496</v>
      </c>
      <c r="E150" s="576">
        <v>17</v>
      </c>
      <c r="F150" t="s">
        <v>249</v>
      </c>
      <c r="G150" t="s">
        <v>249</v>
      </c>
      <c r="H150">
        <v>4</v>
      </c>
      <c r="I150" t="s">
        <v>1348</v>
      </c>
      <c r="J150" t="s">
        <v>1349</v>
      </c>
      <c r="K150" t="s">
        <v>1350</v>
      </c>
    </row>
    <row r="151" spans="1:11">
      <c r="A151" t="str">
        <f t="shared" si="4"/>
        <v>E</v>
      </c>
      <c r="B151" t="str">
        <f t="shared" si="5"/>
        <v>E3</v>
      </c>
      <c r="C151" s="568" t="s">
        <v>1519</v>
      </c>
      <c r="D151" s="568" t="s">
        <v>1496</v>
      </c>
      <c r="E151" s="569">
        <v>17</v>
      </c>
      <c r="F151" t="s">
        <v>249</v>
      </c>
      <c r="G151" t="s">
        <v>249</v>
      </c>
      <c r="H151">
        <v>4</v>
      </c>
      <c r="I151" t="s">
        <v>1348</v>
      </c>
      <c r="J151" t="s">
        <v>1349</v>
      </c>
      <c r="K151" t="s">
        <v>1350</v>
      </c>
    </row>
    <row r="152" spans="1:11">
      <c r="A152" t="str">
        <f t="shared" si="4"/>
        <v>E</v>
      </c>
      <c r="B152" t="str">
        <f t="shared" si="5"/>
        <v>E3</v>
      </c>
      <c r="C152" s="568" t="s">
        <v>1520</v>
      </c>
      <c r="D152" s="568" t="s">
        <v>1501</v>
      </c>
      <c r="E152" s="569">
        <v>17</v>
      </c>
      <c r="F152" t="s">
        <v>249</v>
      </c>
      <c r="G152" t="s">
        <v>249</v>
      </c>
      <c r="H152">
        <v>4</v>
      </c>
      <c r="I152" t="s">
        <v>1348</v>
      </c>
      <c r="J152" t="s">
        <v>1349</v>
      </c>
      <c r="K152" t="s">
        <v>1350</v>
      </c>
    </row>
    <row r="153" spans="1:11">
      <c r="A153" t="str">
        <f t="shared" si="4"/>
        <v>E</v>
      </c>
      <c r="B153" t="str">
        <f t="shared" si="5"/>
        <v>E3</v>
      </c>
      <c r="C153" s="568" t="s">
        <v>1521</v>
      </c>
      <c r="D153" s="568" t="s">
        <v>1496</v>
      </c>
      <c r="E153" s="569">
        <v>17</v>
      </c>
      <c r="F153" t="s">
        <v>249</v>
      </c>
      <c r="G153" t="s">
        <v>249</v>
      </c>
      <c r="H153">
        <v>4</v>
      </c>
      <c r="I153" t="s">
        <v>1348</v>
      </c>
      <c r="J153" t="s">
        <v>1349</v>
      </c>
      <c r="K153" t="s">
        <v>1350</v>
      </c>
    </row>
    <row r="154" spans="1:11">
      <c r="A154" t="str">
        <f t="shared" si="4"/>
        <v>E</v>
      </c>
      <c r="B154" t="str">
        <f t="shared" si="5"/>
        <v>E3</v>
      </c>
      <c r="C154" s="568" t="s">
        <v>1522</v>
      </c>
      <c r="D154" s="568" t="s">
        <v>1496</v>
      </c>
      <c r="E154" s="569">
        <v>17</v>
      </c>
      <c r="F154" t="s">
        <v>249</v>
      </c>
      <c r="G154" t="s">
        <v>249</v>
      </c>
      <c r="H154">
        <v>4</v>
      </c>
      <c r="I154" t="s">
        <v>1348</v>
      </c>
      <c r="J154" t="s">
        <v>1349</v>
      </c>
      <c r="K154" t="s">
        <v>1350</v>
      </c>
    </row>
    <row r="155" spans="1:11">
      <c r="A155" t="str">
        <f t="shared" si="4"/>
        <v>E</v>
      </c>
      <c r="B155" t="str">
        <f t="shared" si="5"/>
        <v>E3</v>
      </c>
      <c r="C155" s="568" t="s">
        <v>1523</v>
      </c>
      <c r="D155" s="568" t="s">
        <v>1496</v>
      </c>
      <c r="E155" s="569">
        <v>17</v>
      </c>
      <c r="F155" t="s">
        <v>249</v>
      </c>
      <c r="G155" t="s">
        <v>249</v>
      </c>
      <c r="H155">
        <v>4</v>
      </c>
      <c r="I155" t="s">
        <v>1348</v>
      </c>
      <c r="J155" t="s">
        <v>1349</v>
      </c>
      <c r="K155" t="s">
        <v>1350</v>
      </c>
    </row>
    <row r="156" spans="1:11">
      <c r="A156" t="str">
        <f t="shared" si="4"/>
        <v>E</v>
      </c>
      <c r="B156" t="str">
        <f t="shared" si="5"/>
        <v>E4</v>
      </c>
      <c r="C156" s="568" t="s">
        <v>1524</v>
      </c>
      <c r="D156" s="568" t="s">
        <v>1473</v>
      </c>
      <c r="E156" s="569">
        <v>17</v>
      </c>
      <c r="F156" t="s">
        <v>249</v>
      </c>
      <c r="G156" t="s">
        <v>249</v>
      </c>
      <c r="H156">
        <v>5</v>
      </c>
      <c r="I156" t="s">
        <v>1348</v>
      </c>
      <c r="J156" t="s">
        <v>1349</v>
      </c>
      <c r="K156" t="s">
        <v>1350</v>
      </c>
    </row>
    <row r="157" spans="1:11">
      <c r="A157" t="str">
        <f t="shared" si="4"/>
        <v>E</v>
      </c>
      <c r="B157" t="str">
        <f t="shared" si="5"/>
        <v>E4</v>
      </c>
      <c r="C157" s="568" t="s">
        <v>1525</v>
      </c>
      <c r="D157" s="568" t="s">
        <v>1408</v>
      </c>
      <c r="E157" s="569">
        <v>17</v>
      </c>
      <c r="F157" t="s">
        <v>249</v>
      </c>
      <c r="G157" t="s">
        <v>249</v>
      </c>
      <c r="H157">
        <v>5</v>
      </c>
      <c r="I157" t="s">
        <v>1348</v>
      </c>
      <c r="J157" t="s">
        <v>1349</v>
      </c>
      <c r="K157" t="s">
        <v>1350</v>
      </c>
    </row>
    <row r="158" spans="1:11">
      <c r="A158" t="str">
        <f t="shared" si="4"/>
        <v>E</v>
      </c>
      <c r="B158" t="str">
        <f t="shared" si="5"/>
        <v>E4</v>
      </c>
      <c r="C158" s="568" t="s">
        <v>1526</v>
      </c>
      <c r="D158" s="568" t="s">
        <v>1408</v>
      </c>
      <c r="E158" s="569">
        <v>17</v>
      </c>
      <c r="F158" t="s">
        <v>249</v>
      </c>
      <c r="G158" t="s">
        <v>249</v>
      </c>
      <c r="H158">
        <v>5</v>
      </c>
      <c r="I158" t="s">
        <v>1348</v>
      </c>
      <c r="J158" t="s">
        <v>1349</v>
      </c>
      <c r="K158" t="s">
        <v>1350</v>
      </c>
    </row>
    <row r="159" spans="1:11">
      <c r="A159" t="str">
        <f t="shared" si="4"/>
        <v>E</v>
      </c>
      <c r="B159" t="str">
        <f t="shared" si="5"/>
        <v>E4</v>
      </c>
      <c r="C159" s="568" t="s">
        <v>1527</v>
      </c>
      <c r="D159" s="568" t="s">
        <v>1371</v>
      </c>
      <c r="E159" s="569">
        <v>17</v>
      </c>
      <c r="F159" t="s">
        <v>249</v>
      </c>
      <c r="G159" t="s">
        <v>249</v>
      </c>
      <c r="H159">
        <v>5</v>
      </c>
      <c r="I159" t="s">
        <v>1348</v>
      </c>
      <c r="J159" t="s">
        <v>1349</v>
      </c>
      <c r="K159" t="s">
        <v>1350</v>
      </c>
    </row>
    <row r="160" spans="1:11">
      <c r="A160" t="str">
        <f t="shared" si="4"/>
        <v>E</v>
      </c>
      <c r="B160" t="str">
        <f t="shared" si="5"/>
        <v>E4</v>
      </c>
      <c r="C160" s="568" t="s">
        <v>1528</v>
      </c>
      <c r="D160" s="568" t="s">
        <v>1408</v>
      </c>
      <c r="E160" s="569">
        <v>17</v>
      </c>
      <c r="F160" t="s">
        <v>249</v>
      </c>
      <c r="G160" t="s">
        <v>249</v>
      </c>
      <c r="H160">
        <v>5</v>
      </c>
      <c r="I160" t="s">
        <v>1348</v>
      </c>
      <c r="J160" t="s">
        <v>1349</v>
      </c>
      <c r="K160" t="s">
        <v>1350</v>
      </c>
    </row>
    <row r="161" spans="1:11">
      <c r="A161" t="str">
        <f t="shared" si="4"/>
        <v>E</v>
      </c>
      <c r="B161" t="str">
        <f t="shared" si="5"/>
        <v>E4</v>
      </c>
      <c r="C161" s="568" t="s">
        <v>1529</v>
      </c>
      <c r="D161" s="568" t="s">
        <v>1408</v>
      </c>
      <c r="E161" s="569">
        <v>17</v>
      </c>
      <c r="F161" t="s">
        <v>249</v>
      </c>
      <c r="G161" t="s">
        <v>249</v>
      </c>
      <c r="H161">
        <v>5</v>
      </c>
      <c r="I161" t="s">
        <v>1348</v>
      </c>
      <c r="J161" t="s">
        <v>1349</v>
      </c>
      <c r="K161" t="s">
        <v>1350</v>
      </c>
    </row>
    <row r="162" spans="1:11">
      <c r="A162" t="str">
        <f t="shared" si="4"/>
        <v>E</v>
      </c>
      <c r="B162" t="str">
        <f t="shared" si="5"/>
        <v>E4</v>
      </c>
      <c r="C162" s="568" t="s">
        <v>1530</v>
      </c>
      <c r="D162" s="568" t="s">
        <v>1473</v>
      </c>
      <c r="E162" s="569">
        <v>17</v>
      </c>
      <c r="F162" t="s">
        <v>249</v>
      </c>
      <c r="G162" t="s">
        <v>249</v>
      </c>
      <c r="H162">
        <v>5</v>
      </c>
      <c r="I162" t="s">
        <v>1348</v>
      </c>
      <c r="J162" t="s">
        <v>1349</v>
      </c>
      <c r="K162" t="s">
        <v>1350</v>
      </c>
    </row>
    <row r="163" spans="1:11">
      <c r="A163" t="str">
        <f t="shared" si="4"/>
        <v>E</v>
      </c>
      <c r="B163" t="str">
        <f t="shared" si="5"/>
        <v>E4</v>
      </c>
      <c r="C163" s="568" t="s">
        <v>1531</v>
      </c>
      <c r="D163" s="568" t="s">
        <v>1408</v>
      </c>
      <c r="E163" s="569">
        <v>17</v>
      </c>
      <c r="F163" t="s">
        <v>249</v>
      </c>
      <c r="G163" t="s">
        <v>249</v>
      </c>
      <c r="H163">
        <v>5</v>
      </c>
      <c r="I163" t="s">
        <v>1348</v>
      </c>
      <c r="J163" t="s">
        <v>1349</v>
      </c>
      <c r="K163" t="s">
        <v>1350</v>
      </c>
    </row>
    <row r="164" spans="1:11">
      <c r="A164" t="str">
        <f t="shared" si="4"/>
        <v>E</v>
      </c>
      <c r="B164" t="str">
        <f t="shared" si="5"/>
        <v>E4</v>
      </c>
      <c r="C164" s="568" t="s">
        <v>1532</v>
      </c>
      <c r="D164" s="568" t="s">
        <v>1473</v>
      </c>
      <c r="E164" s="569">
        <v>17</v>
      </c>
      <c r="F164" t="s">
        <v>249</v>
      </c>
      <c r="G164" t="s">
        <v>249</v>
      </c>
      <c r="H164">
        <v>5</v>
      </c>
      <c r="I164" t="s">
        <v>1348</v>
      </c>
      <c r="J164" t="s">
        <v>1349</v>
      </c>
      <c r="K164" t="s">
        <v>1350</v>
      </c>
    </row>
    <row r="165" spans="1:11">
      <c r="A165" t="str">
        <f t="shared" si="4"/>
        <v>E</v>
      </c>
      <c r="B165" t="str">
        <f t="shared" si="5"/>
        <v>E4</v>
      </c>
      <c r="C165" s="568" t="s">
        <v>1533</v>
      </c>
      <c r="D165" s="568" t="s">
        <v>1408</v>
      </c>
      <c r="E165" s="569">
        <v>17</v>
      </c>
      <c r="F165" t="s">
        <v>249</v>
      </c>
      <c r="G165" t="s">
        <v>249</v>
      </c>
      <c r="H165">
        <v>5</v>
      </c>
      <c r="I165" t="s">
        <v>1348</v>
      </c>
      <c r="J165" t="s">
        <v>1349</v>
      </c>
      <c r="K165" t="s">
        <v>1350</v>
      </c>
    </row>
    <row r="166" spans="1:11">
      <c r="A166" t="str">
        <f t="shared" si="4"/>
        <v>E</v>
      </c>
      <c r="B166" t="str">
        <f t="shared" si="5"/>
        <v>E4</v>
      </c>
      <c r="C166" s="568" t="s">
        <v>1534</v>
      </c>
      <c r="D166" s="568" t="s">
        <v>1408</v>
      </c>
      <c r="E166" s="569">
        <v>17</v>
      </c>
      <c r="F166" t="s">
        <v>249</v>
      </c>
      <c r="G166" t="s">
        <v>249</v>
      </c>
      <c r="H166">
        <v>5</v>
      </c>
      <c r="I166" t="s">
        <v>1348</v>
      </c>
      <c r="J166" t="s">
        <v>1349</v>
      </c>
      <c r="K166" t="s">
        <v>1350</v>
      </c>
    </row>
    <row r="167" spans="1:11">
      <c r="A167" t="str">
        <f t="shared" si="4"/>
        <v>E</v>
      </c>
      <c r="B167" t="str">
        <f t="shared" si="5"/>
        <v>E4</v>
      </c>
      <c r="C167" s="568" t="s">
        <v>1535</v>
      </c>
      <c r="D167" s="568" t="s">
        <v>1408</v>
      </c>
      <c r="E167" s="569">
        <v>17</v>
      </c>
      <c r="F167" t="s">
        <v>249</v>
      </c>
      <c r="G167" t="s">
        <v>249</v>
      </c>
      <c r="H167">
        <v>5</v>
      </c>
      <c r="I167" t="s">
        <v>1348</v>
      </c>
      <c r="J167" t="s">
        <v>1349</v>
      </c>
      <c r="K167" t="s">
        <v>1350</v>
      </c>
    </row>
    <row r="168" spans="1:11">
      <c r="A168" t="str">
        <f t="shared" si="4"/>
        <v>E</v>
      </c>
      <c r="B168" t="str">
        <f t="shared" si="5"/>
        <v>E4</v>
      </c>
      <c r="C168" s="568" t="s">
        <v>1536</v>
      </c>
      <c r="D168" s="568" t="s">
        <v>1408</v>
      </c>
      <c r="E168" s="569">
        <v>17</v>
      </c>
      <c r="F168" t="s">
        <v>249</v>
      </c>
      <c r="G168" t="s">
        <v>249</v>
      </c>
      <c r="H168">
        <v>5</v>
      </c>
      <c r="I168" t="s">
        <v>1348</v>
      </c>
      <c r="J168" t="s">
        <v>1349</v>
      </c>
      <c r="K168" t="s">
        <v>1350</v>
      </c>
    </row>
    <row r="169" spans="1:11">
      <c r="A169" t="str">
        <f t="shared" si="4"/>
        <v>E</v>
      </c>
      <c r="B169" t="str">
        <f t="shared" si="5"/>
        <v>E4</v>
      </c>
      <c r="C169" s="568" t="s">
        <v>1537</v>
      </c>
      <c r="D169" s="568" t="s">
        <v>1408</v>
      </c>
      <c r="E169" s="569">
        <v>17</v>
      </c>
      <c r="F169" t="s">
        <v>249</v>
      </c>
      <c r="G169" t="s">
        <v>249</v>
      </c>
      <c r="H169">
        <v>5</v>
      </c>
      <c r="I169" t="s">
        <v>1348</v>
      </c>
      <c r="J169" t="s">
        <v>1349</v>
      </c>
      <c r="K169" t="s">
        <v>1350</v>
      </c>
    </row>
    <row r="170" spans="1:11">
      <c r="A170" t="str">
        <f t="shared" si="4"/>
        <v>E</v>
      </c>
      <c r="B170" t="str">
        <f t="shared" si="5"/>
        <v>E4</v>
      </c>
      <c r="C170" s="568" t="s">
        <v>1538</v>
      </c>
      <c r="D170" s="568" t="s">
        <v>1473</v>
      </c>
      <c r="E170" s="569">
        <v>17</v>
      </c>
      <c r="F170" t="s">
        <v>249</v>
      </c>
      <c r="G170" t="s">
        <v>249</v>
      </c>
      <c r="H170">
        <v>5</v>
      </c>
      <c r="I170" t="s">
        <v>1348</v>
      </c>
      <c r="J170" t="s">
        <v>1349</v>
      </c>
      <c r="K170" t="s">
        <v>1350</v>
      </c>
    </row>
    <row r="171" spans="1:11">
      <c r="A171" t="str">
        <f t="shared" si="4"/>
        <v>E</v>
      </c>
      <c r="B171" t="str">
        <f t="shared" si="5"/>
        <v>E4</v>
      </c>
      <c r="C171" s="568" t="s">
        <v>1539</v>
      </c>
      <c r="D171" s="568" t="s">
        <v>1408</v>
      </c>
      <c r="E171" s="569">
        <v>17</v>
      </c>
      <c r="F171" t="s">
        <v>249</v>
      </c>
      <c r="G171" t="s">
        <v>249</v>
      </c>
      <c r="H171">
        <v>5</v>
      </c>
      <c r="I171" t="s">
        <v>1348</v>
      </c>
      <c r="J171" t="s">
        <v>1349</v>
      </c>
      <c r="K171" t="s">
        <v>1350</v>
      </c>
    </row>
    <row r="172" spans="1:11">
      <c r="A172" t="str">
        <f t="shared" si="4"/>
        <v>E</v>
      </c>
      <c r="B172" t="str">
        <f t="shared" si="5"/>
        <v>E4</v>
      </c>
      <c r="C172" s="568" t="s">
        <v>1540</v>
      </c>
      <c r="D172" s="568" t="s">
        <v>1408</v>
      </c>
      <c r="E172" s="569">
        <v>17</v>
      </c>
      <c r="F172" t="s">
        <v>249</v>
      </c>
      <c r="G172" t="s">
        <v>249</v>
      </c>
      <c r="H172">
        <v>5</v>
      </c>
      <c r="I172" t="s">
        <v>1348</v>
      </c>
      <c r="J172" t="s">
        <v>1349</v>
      </c>
      <c r="K172" t="s">
        <v>1350</v>
      </c>
    </row>
    <row r="173" spans="1:11">
      <c r="A173" t="str">
        <f t="shared" si="4"/>
        <v>E</v>
      </c>
      <c r="B173" t="str">
        <f t="shared" si="5"/>
        <v>E4</v>
      </c>
      <c r="C173" s="568" t="s">
        <v>1541</v>
      </c>
      <c r="D173" s="568" t="s">
        <v>1473</v>
      </c>
      <c r="E173" s="569">
        <v>17</v>
      </c>
      <c r="F173" t="s">
        <v>249</v>
      </c>
      <c r="G173" t="s">
        <v>249</v>
      </c>
      <c r="H173">
        <v>5</v>
      </c>
      <c r="I173" t="s">
        <v>1348</v>
      </c>
      <c r="J173" t="s">
        <v>1349</v>
      </c>
      <c r="K173" t="s">
        <v>1350</v>
      </c>
    </row>
    <row r="174" spans="1:11">
      <c r="A174" t="str">
        <f t="shared" si="4"/>
        <v>E</v>
      </c>
      <c r="B174" t="str">
        <f t="shared" si="5"/>
        <v>E4</v>
      </c>
      <c r="C174" s="568" t="s">
        <v>1542</v>
      </c>
      <c r="D174" s="568" t="s">
        <v>1473</v>
      </c>
      <c r="E174" s="569">
        <v>17</v>
      </c>
      <c r="F174" t="s">
        <v>249</v>
      </c>
      <c r="G174" t="s">
        <v>249</v>
      </c>
      <c r="H174">
        <v>5</v>
      </c>
      <c r="I174" t="s">
        <v>1348</v>
      </c>
      <c r="J174" t="s">
        <v>1349</v>
      </c>
      <c r="K174" t="s">
        <v>1350</v>
      </c>
    </row>
    <row r="175" spans="1:11">
      <c r="A175" t="str">
        <f t="shared" si="4"/>
        <v>E</v>
      </c>
      <c r="B175" t="str">
        <f t="shared" si="5"/>
        <v>E4</v>
      </c>
      <c r="C175" s="568" t="s">
        <v>1543</v>
      </c>
      <c r="D175" s="568" t="s">
        <v>1473</v>
      </c>
      <c r="E175" s="569">
        <v>17</v>
      </c>
      <c r="F175" t="s">
        <v>249</v>
      </c>
      <c r="G175" t="s">
        <v>249</v>
      </c>
      <c r="H175">
        <v>5</v>
      </c>
      <c r="I175" t="s">
        <v>1348</v>
      </c>
      <c r="J175" t="s">
        <v>1349</v>
      </c>
      <c r="K175" t="s">
        <v>1350</v>
      </c>
    </row>
    <row r="176" spans="1:11">
      <c r="A176" t="str">
        <f t="shared" si="4"/>
        <v>E</v>
      </c>
      <c r="B176" t="str">
        <f t="shared" si="5"/>
        <v>E5</v>
      </c>
      <c r="C176" s="568" t="s">
        <v>1544</v>
      </c>
      <c r="D176" s="568" t="s">
        <v>1496</v>
      </c>
      <c r="E176" s="569">
        <v>17</v>
      </c>
      <c r="F176" t="s">
        <v>249</v>
      </c>
      <c r="G176" t="s">
        <v>249</v>
      </c>
      <c r="H176">
        <v>5</v>
      </c>
      <c r="I176" t="s">
        <v>1348</v>
      </c>
      <c r="J176" t="s">
        <v>1349</v>
      </c>
      <c r="K176" t="s">
        <v>1350</v>
      </c>
    </row>
    <row r="177" spans="1:11">
      <c r="A177" t="str">
        <f t="shared" si="4"/>
        <v>E</v>
      </c>
      <c r="B177" t="str">
        <f t="shared" si="5"/>
        <v>E5</v>
      </c>
      <c r="C177" s="568" t="s">
        <v>1545</v>
      </c>
      <c r="D177" s="568" t="s">
        <v>1496</v>
      </c>
      <c r="E177" s="569">
        <v>17</v>
      </c>
      <c r="F177" t="s">
        <v>249</v>
      </c>
      <c r="G177" t="s">
        <v>249</v>
      </c>
      <c r="H177">
        <v>5</v>
      </c>
      <c r="I177" t="s">
        <v>1348</v>
      </c>
      <c r="J177" t="s">
        <v>1349</v>
      </c>
      <c r="K177" t="s">
        <v>1350</v>
      </c>
    </row>
    <row r="178" spans="1:11">
      <c r="A178" t="str">
        <f t="shared" si="4"/>
        <v>E</v>
      </c>
      <c r="B178" t="str">
        <f t="shared" si="5"/>
        <v>E5</v>
      </c>
      <c r="C178" s="568" t="s">
        <v>1546</v>
      </c>
      <c r="D178" s="568" t="s">
        <v>1473</v>
      </c>
      <c r="E178" s="569">
        <v>17</v>
      </c>
      <c r="F178" t="s">
        <v>249</v>
      </c>
      <c r="G178" t="s">
        <v>249</v>
      </c>
      <c r="H178">
        <v>5</v>
      </c>
      <c r="I178" t="s">
        <v>1348</v>
      </c>
      <c r="J178" t="s">
        <v>1349</v>
      </c>
      <c r="K178" t="s">
        <v>1350</v>
      </c>
    </row>
    <row r="179" spans="1:11">
      <c r="A179" t="str">
        <f t="shared" si="4"/>
        <v>E</v>
      </c>
      <c r="B179" t="str">
        <f t="shared" si="5"/>
        <v>E5</v>
      </c>
      <c r="C179" s="568" t="s">
        <v>1547</v>
      </c>
      <c r="D179" s="568" t="s">
        <v>1473</v>
      </c>
      <c r="E179" s="569">
        <v>17</v>
      </c>
      <c r="F179" t="s">
        <v>249</v>
      </c>
      <c r="G179" t="s">
        <v>249</v>
      </c>
      <c r="H179">
        <v>5</v>
      </c>
      <c r="I179" t="s">
        <v>1348</v>
      </c>
      <c r="J179" t="s">
        <v>1349</v>
      </c>
      <c r="K179" t="s">
        <v>1350</v>
      </c>
    </row>
    <row r="180" spans="1:11">
      <c r="A180" t="str">
        <f t="shared" si="4"/>
        <v>E</v>
      </c>
      <c r="B180" t="str">
        <f t="shared" si="5"/>
        <v>E5</v>
      </c>
      <c r="C180" s="568" t="s">
        <v>1548</v>
      </c>
      <c r="D180" s="568" t="s">
        <v>1473</v>
      </c>
      <c r="E180" s="569">
        <v>17</v>
      </c>
      <c r="F180" t="s">
        <v>249</v>
      </c>
      <c r="G180" t="s">
        <v>249</v>
      </c>
      <c r="H180">
        <v>5</v>
      </c>
      <c r="I180" t="s">
        <v>1348</v>
      </c>
      <c r="J180" t="s">
        <v>1349</v>
      </c>
      <c r="K180" t="s">
        <v>1350</v>
      </c>
    </row>
    <row r="181" spans="1:11">
      <c r="A181" t="str">
        <f t="shared" si="4"/>
        <v>E</v>
      </c>
      <c r="B181" t="str">
        <f t="shared" si="5"/>
        <v>E5</v>
      </c>
      <c r="C181" s="568" t="s">
        <v>1549</v>
      </c>
      <c r="D181" s="568" t="s">
        <v>1473</v>
      </c>
      <c r="E181" s="569">
        <v>17</v>
      </c>
      <c r="F181" t="s">
        <v>249</v>
      </c>
      <c r="G181" t="s">
        <v>249</v>
      </c>
      <c r="H181">
        <v>5</v>
      </c>
      <c r="I181" t="s">
        <v>1348</v>
      </c>
      <c r="J181" t="s">
        <v>1349</v>
      </c>
      <c r="K181" t="s">
        <v>1350</v>
      </c>
    </row>
    <row r="182" spans="1:11">
      <c r="A182" t="str">
        <f t="shared" si="4"/>
        <v>E</v>
      </c>
      <c r="B182" t="str">
        <f t="shared" si="5"/>
        <v>E5</v>
      </c>
      <c r="C182" s="568" t="s">
        <v>1550</v>
      </c>
      <c r="D182" s="568" t="s">
        <v>1473</v>
      </c>
      <c r="E182" s="569">
        <v>17</v>
      </c>
      <c r="F182" t="s">
        <v>249</v>
      </c>
      <c r="G182" t="s">
        <v>249</v>
      </c>
      <c r="H182">
        <v>5</v>
      </c>
      <c r="I182" t="s">
        <v>1348</v>
      </c>
      <c r="J182" t="s">
        <v>1349</v>
      </c>
      <c r="K182" t="s">
        <v>1350</v>
      </c>
    </row>
    <row r="183" spans="1:11">
      <c r="A183" t="str">
        <f t="shared" si="4"/>
        <v>E</v>
      </c>
      <c r="B183" t="str">
        <f t="shared" si="5"/>
        <v>E5</v>
      </c>
      <c r="C183" s="568" t="s">
        <v>1551</v>
      </c>
      <c r="D183" s="568" t="s">
        <v>1408</v>
      </c>
      <c r="E183" s="569">
        <v>17</v>
      </c>
      <c r="F183" t="s">
        <v>249</v>
      </c>
      <c r="G183" t="s">
        <v>249</v>
      </c>
      <c r="H183">
        <v>5</v>
      </c>
      <c r="I183" t="s">
        <v>1348</v>
      </c>
      <c r="J183" t="s">
        <v>1349</v>
      </c>
      <c r="K183" t="s">
        <v>1350</v>
      </c>
    </row>
    <row r="184" spans="1:11">
      <c r="A184" t="str">
        <f t="shared" si="4"/>
        <v>E</v>
      </c>
      <c r="B184" t="str">
        <f t="shared" si="5"/>
        <v>E5</v>
      </c>
      <c r="C184" s="568" t="s">
        <v>1552</v>
      </c>
      <c r="D184" s="568" t="s">
        <v>1501</v>
      </c>
      <c r="E184" s="569">
        <v>17</v>
      </c>
      <c r="F184" t="s">
        <v>249</v>
      </c>
      <c r="G184" t="s">
        <v>249</v>
      </c>
      <c r="H184">
        <v>5</v>
      </c>
      <c r="I184" t="s">
        <v>1348</v>
      </c>
      <c r="J184" t="s">
        <v>1349</v>
      </c>
      <c r="K184" t="s">
        <v>1350</v>
      </c>
    </row>
    <row r="185" spans="1:11">
      <c r="A185" t="str">
        <f t="shared" si="4"/>
        <v>E</v>
      </c>
      <c r="B185" t="str">
        <f t="shared" si="5"/>
        <v>E5</v>
      </c>
      <c r="C185" s="568" t="s">
        <v>1553</v>
      </c>
      <c r="D185" s="568" t="s">
        <v>1473</v>
      </c>
      <c r="E185" s="569">
        <v>17</v>
      </c>
      <c r="F185" t="s">
        <v>249</v>
      </c>
      <c r="G185" t="s">
        <v>249</v>
      </c>
      <c r="H185">
        <v>5</v>
      </c>
      <c r="I185" t="s">
        <v>1348</v>
      </c>
      <c r="J185" t="s">
        <v>1349</v>
      </c>
      <c r="K185" t="s">
        <v>1350</v>
      </c>
    </row>
    <row r="186" spans="1:11">
      <c r="A186" t="str">
        <f t="shared" si="4"/>
        <v>E</v>
      </c>
      <c r="B186" t="str">
        <f t="shared" si="5"/>
        <v>E5</v>
      </c>
      <c r="C186" s="568" t="s">
        <v>1554</v>
      </c>
      <c r="D186" s="568" t="s">
        <v>1371</v>
      </c>
      <c r="E186" s="569">
        <v>17</v>
      </c>
      <c r="F186" t="s">
        <v>249</v>
      </c>
      <c r="G186" t="s">
        <v>249</v>
      </c>
      <c r="H186">
        <v>5</v>
      </c>
      <c r="I186" t="s">
        <v>1348</v>
      </c>
      <c r="J186" t="s">
        <v>1349</v>
      </c>
      <c r="K186" t="s">
        <v>1350</v>
      </c>
    </row>
    <row r="187" spans="1:11">
      <c r="A187" t="str">
        <f t="shared" si="4"/>
        <v>E</v>
      </c>
      <c r="B187" t="str">
        <f t="shared" si="5"/>
        <v>E5</v>
      </c>
      <c r="C187" s="568" t="s">
        <v>1555</v>
      </c>
      <c r="D187" s="568" t="s">
        <v>1408</v>
      </c>
      <c r="E187" s="569">
        <v>17</v>
      </c>
      <c r="F187" t="s">
        <v>249</v>
      </c>
      <c r="G187" t="s">
        <v>249</v>
      </c>
      <c r="H187">
        <v>5</v>
      </c>
      <c r="I187" t="s">
        <v>1348</v>
      </c>
      <c r="J187" t="s">
        <v>1349</v>
      </c>
      <c r="K187" t="s">
        <v>1350</v>
      </c>
    </row>
    <row r="188" spans="1:11">
      <c r="A188" t="str">
        <f t="shared" si="4"/>
        <v>E</v>
      </c>
      <c r="B188" t="str">
        <f t="shared" si="5"/>
        <v>E5</v>
      </c>
      <c r="C188" s="568" t="s">
        <v>1556</v>
      </c>
      <c r="D188" s="568" t="s">
        <v>1408</v>
      </c>
      <c r="E188" s="569">
        <v>17</v>
      </c>
      <c r="F188" t="s">
        <v>249</v>
      </c>
      <c r="G188" t="s">
        <v>249</v>
      </c>
      <c r="H188">
        <v>5</v>
      </c>
      <c r="I188" t="s">
        <v>1348</v>
      </c>
      <c r="J188" t="s">
        <v>1349</v>
      </c>
      <c r="K188" t="s">
        <v>1350</v>
      </c>
    </row>
    <row r="189" spans="1:11">
      <c r="A189" t="str">
        <f t="shared" si="4"/>
        <v>E</v>
      </c>
      <c r="B189" t="str">
        <f t="shared" si="5"/>
        <v>E5</v>
      </c>
      <c r="C189" s="568" t="s">
        <v>1557</v>
      </c>
      <c r="D189" s="568" t="s">
        <v>1408</v>
      </c>
      <c r="E189" s="569">
        <v>17</v>
      </c>
      <c r="F189" t="s">
        <v>249</v>
      </c>
      <c r="G189" t="s">
        <v>249</v>
      </c>
      <c r="H189">
        <v>5</v>
      </c>
      <c r="I189" t="s">
        <v>1348</v>
      </c>
      <c r="J189" t="s">
        <v>1349</v>
      </c>
      <c r="K189" t="s">
        <v>1350</v>
      </c>
    </row>
    <row r="190" spans="1:11">
      <c r="A190" t="str">
        <f t="shared" si="4"/>
        <v>E</v>
      </c>
      <c r="B190" t="str">
        <f t="shared" si="5"/>
        <v>E5</v>
      </c>
      <c r="C190" s="568" t="s">
        <v>1558</v>
      </c>
      <c r="D190" s="568" t="s">
        <v>1408</v>
      </c>
      <c r="E190" s="569">
        <v>17</v>
      </c>
      <c r="F190" t="s">
        <v>249</v>
      </c>
      <c r="G190" t="s">
        <v>249</v>
      </c>
      <c r="H190">
        <v>5</v>
      </c>
      <c r="I190" t="s">
        <v>1348</v>
      </c>
      <c r="J190" t="s">
        <v>1349</v>
      </c>
      <c r="K190" t="s">
        <v>1350</v>
      </c>
    </row>
    <row r="191" spans="1:11">
      <c r="A191" t="str">
        <f t="shared" si="4"/>
        <v>E</v>
      </c>
      <c r="B191" t="str">
        <f t="shared" si="5"/>
        <v>E5</v>
      </c>
      <c r="C191" s="568" t="s">
        <v>1559</v>
      </c>
      <c r="D191" s="568" t="s">
        <v>1496</v>
      </c>
      <c r="E191" s="569">
        <v>17</v>
      </c>
      <c r="F191" t="s">
        <v>249</v>
      </c>
      <c r="G191" t="s">
        <v>249</v>
      </c>
      <c r="H191">
        <v>5</v>
      </c>
      <c r="I191" t="s">
        <v>1348</v>
      </c>
      <c r="J191" t="s">
        <v>1349</v>
      </c>
      <c r="K191" t="s">
        <v>1350</v>
      </c>
    </row>
    <row r="192" spans="1:11">
      <c r="A192" t="str">
        <f t="shared" si="4"/>
        <v>E</v>
      </c>
      <c r="B192" t="str">
        <f t="shared" si="5"/>
        <v>E6</v>
      </c>
      <c r="C192" s="568" t="s">
        <v>1560</v>
      </c>
      <c r="D192" s="568" t="s">
        <v>1496</v>
      </c>
      <c r="E192" s="569">
        <v>17</v>
      </c>
      <c r="F192" t="s">
        <v>249</v>
      </c>
      <c r="G192" t="s">
        <v>249</v>
      </c>
      <c r="H192">
        <v>4</v>
      </c>
      <c r="I192" t="s">
        <v>1348</v>
      </c>
      <c r="J192" t="s">
        <v>1349</v>
      </c>
      <c r="K192" t="s">
        <v>1350</v>
      </c>
    </row>
    <row r="193" spans="1:11">
      <c r="A193" t="str">
        <f t="shared" si="4"/>
        <v>E</v>
      </c>
      <c r="B193" t="str">
        <f t="shared" si="5"/>
        <v>E6</v>
      </c>
      <c r="C193" s="568" t="s">
        <v>1561</v>
      </c>
      <c r="D193" s="568" t="s">
        <v>1496</v>
      </c>
      <c r="E193" s="569">
        <v>17</v>
      </c>
      <c r="F193" t="s">
        <v>249</v>
      </c>
      <c r="G193" t="s">
        <v>249</v>
      </c>
      <c r="H193">
        <v>4</v>
      </c>
      <c r="I193" t="s">
        <v>1348</v>
      </c>
      <c r="J193" t="s">
        <v>1349</v>
      </c>
      <c r="K193" t="s">
        <v>1350</v>
      </c>
    </row>
    <row r="194" spans="1:11">
      <c r="A194" t="str">
        <f t="shared" si="4"/>
        <v>E</v>
      </c>
      <c r="B194" t="str">
        <f t="shared" si="5"/>
        <v>E6</v>
      </c>
      <c r="C194" s="568" t="s">
        <v>1562</v>
      </c>
      <c r="D194" s="568" t="s">
        <v>1496</v>
      </c>
      <c r="E194" s="569">
        <v>17</v>
      </c>
      <c r="F194" t="s">
        <v>249</v>
      </c>
      <c r="G194" t="s">
        <v>249</v>
      </c>
      <c r="H194">
        <v>4</v>
      </c>
      <c r="I194" t="s">
        <v>1348</v>
      </c>
      <c r="J194" t="s">
        <v>1349</v>
      </c>
      <c r="K194" t="s">
        <v>1350</v>
      </c>
    </row>
    <row r="195" spans="1:11">
      <c r="A195" t="str">
        <f t="shared" ref="A195:A258" si="6">LEFT(C195)</f>
        <v>E</v>
      </c>
      <c r="B195" t="str">
        <f t="shared" si="5"/>
        <v>E6</v>
      </c>
      <c r="C195" s="568" t="s">
        <v>1563</v>
      </c>
      <c r="D195" s="568" t="s">
        <v>1501</v>
      </c>
      <c r="E195" s="569">
        <v>17</v>
      </c>
      <c r="F195" t="s">
        <v>249</v>
      </c>
      <c r="G195" t="s">
        <v>249</v>
      </c>
      <c r="H195">
        <v>4</v>
      </c>
      <c r="I195" t="s">
        <v>1348</v>
      </c>
      <c r="J195" t="s">
        <v>1349</v>
      </c>
      <c r="K195" t="s">
        <v>1350</v>
      </c>
    </row>
    <row r="196" spans="1:11">
      <c r="A196" t="str">
        <f t="shared" si="6"/>
        <v>E</v>
      </c>
      <c r="B196" t="str">
        <f t="shared" ref="B196:B259" si="7">LEFT(C196,2)</f>
        <v>E6</v>
      </c>
      <c r="C196" s="568" t="s">
        <v>1564</v>
      </c>
      <c r="D196" s="568" t="s">
        <v>1473</v>
      </c>
      <c r="E196" s="569">
        <v>17</v>
      </c>
      <c r="F196" t="s">
        <v>249</v>
      </c>
      <c r="G196" t="s">
        <v>249</v>
      </c>
      <c r="H196">
        <v>4</v>
      </c>
      <c r="I196" t="s">
        <v>1348</v>
      </c>
      <c r="J196" t="s">
        <v>1349</v>
      </c>
      <c r="K196" t="s">
        <v>1350</v>
      </c>
    </row>
    <row r="197" spans="1:11">
      <c r="A197" t="str">
        <f t="shared" si="6"/>
        <v>E</v>
      </c>
      <c r="B197" t="str">
        <f t="shared" si="7"/>
        <v>E6</v>
      </c>
      <c r="C197" s="568" t="s">
        <v>1565</v>
      </c>
      <c r="D197" s="568" t="s">
        <v>1473</v>
      </c>
      <c r="E197" s="569">
        <v>17</v>
      </c>
      <c r="F197" t="s">
        <v>249</v>
      </c>
      <c r="G197" t="s">
        <v>249</v>
      </c>
      <c r="H197">
        <v>4</v>
      </c>
      <c r="I197" t="s">
        <v>1348</v>
      </c>
      <c r="J197" t="s">
        <v>1349</v>
      </c>
      <c r="K197" t="s">
        <v>1350</v>
      </c>
    </row>
    <row r="198" spans="1:11">
      <c r="A198" t="str">
        <f t="shared" si="6"/>
        <v>E</v>
      </c>
      <c r="B198" t="str">
        <f t="shared" si="7"/>
        <v>E6</v>
      </c>
      <c r="C198" s="568" t="s">
        <v>1566</v>
      </c>
      <c r="D198" s="568" t="s">
        <v>1473</v>
      </c>
      <c r="E198" s="569">
        <v>17</v>
      </c>
      <c r="F198" t="s">
        <v>249</v>
      </c>
      <c r="G198" t="s">
        <v>249</v>
      </c>
      <c r="H198">
        <v>4</v>
      </c>
      <c r="I198" t="s">
        <v>1348</v>
      </c>
      <c r="J198" t="s">
        <v>1349</v>
      </c>
      <c r="K198" t="s">
        <v>1350</v>
      </c>
    </row>
    <row r="199" spans="1:11">
      <c r="A199" t="str">
        <f t="shared" si="6"/>
        <v>E</v>
      </c>
      <c r="B199" t="str">
        <f t="shared" si="7"/>
        <v>E6</v>
      </c>
      <c r="C199" s="568" t="s">
        <v>1567</v>
      </c>
      <c r="D199" s="568" t="s">
        <v>1473</v>
      </c>
      <c r="E199" s="569">
        <v>17</v>
      </c>
      <c r="F199" t="s">
        <v>249</v>
      </c>
      <c r="G199" t="s">
        <v>249</v>
      </c>
      <c r="H199">
        <v>4</v>
      </c>
      <c r="I199" t="s">
        <v>1348</v>
      </c>
      <c r="J199" t="s">
        <v>1349</v>
      </c>
      <c r="K199" t="s">
        <v>1350</v>
      </c>
    </row>
    <row r="200" spans="1:11">
      <c r="A200" t="str">
        <f t="shared" si="6"/>
        <v>E</v>
      </c>
      <c r="B200" t="str">
        <f t="shared" si="7"/>
        <v>E6</v>
      </c>
      <c r="C200" s="568" t="s">
        <v>1568</v>
      </c>
      <c r="D200" s="568" t="s">
        <v>1496</v>
      </c>
      <c r="E200" s="569">
        <v>17</v>
      </c>
      <c r="F200" t="s">
        <v>249</v>
      </c>
      <c r="G200" t="s">
        <v>249</v>
      </c>
      <c r="H200">
        <v>4</v>
      </c>
      <c r="I200" t="s">
        <v>1348</v>
      </c>
      <c r="J200" t="s">
        <v>1349</v>
      </c>
      <c r="K200" t="s">
        <v>1350</v>
      </c>
    </row>
    <row r="201" spans="1:11">
      <c r="A201" t="str">
        <f t="shared" si="6"/>
        <v>E</v>
      </c>
      <c r="B201" t="str">
        <f t="shared" si="7"/>
        <v>E7</v>
      </c>
      <c r="C201" s="568" t="s">
        <v>1569</v>
      </c>
      <c r="D201" s="568" t="s">
        <v>1496</v>
      </c>
      <c r="E201" s="569">
        <v>17</v>
      </c>
      <c r="F201" t="s">
        <v>249</v>
      </c>
      <c r="G201" t="s">
        <v>249</v>
      </c>
      <c r="H201">
        <v>4</v>
      </c>
      <c r="I201" t="s">
        <v>1348</v>
      </c>
      <c r="J201" t="s">
        <v>1349</v>
      </c>
      <c r="K201" t="s">
        <v>1350</v>
      </c>
    </row>
    <row r="202" spans="1:11">
      <c r="A202" t="str">
        <f t="shared" si="6"/>
        <v>E</v>
      </c>
      <c r="B202" t="str">
        <f t="shared" si="7"/>
        <v>E7</v>
      </c>
      <c r="C202" s="568" t="s">
        <v>1570</v>
      </c>
      <c r="D202" s="568" t="s">
        <v>1473</v>
      </c>
      <c r="E202" s="569">
        <v>17</v>
      </c>
      <c r="F202" t="s">
        <v>249</v>
      </c>
      <c r="G202" t="s">
        <v>249</v>
      </c>
      <c r="H202">
        <v>4</v>
      </c>
      <c r="I202" t="s">
        <v>1348</v>
      </c>
      <c r="J202" t="s">
        <v>1349</v>
      </c>
      <c r="K202" t="s">
        <v>1350</v>
      </c>
    </row>
    <row r="203" spans="1:11">
      <c r="A203" t="str">
        <f t="shared" si="6"/>
        <v>E</v>
      </c>
      <c r="B203" t="str">
        <f t="shared" si="7"/>
        <v>E7</v>
      </c>
      <c r="C203" s="568" t="s">
        <v>1571</v>
      </c>
      <c r="D203" s="568" t="s">
        <v>1496</v>
      </c>
      <c r="E203" s="569">
        <v>17</v>
      </c>
      <c r="F203" t="s">
        <v>249</v>
      </c>
      <c r="G203" t="s">
        <v>249</v>
      </c>
      <c r="H203">
        <v>4</v>
      </c>
      <c r="I203" t="s">
        <v>1348</v>
      </c>
      <c r="J203" t="s">
        <v>1349</v>
      </c>
      <c r="K203" t="s">
        <v>1350</v>
      </c>
    </row>
    <row r="204" spans="1:11">
      <c r="A204" t="str">
        <f t="shared" si="6"/>
        <v>E</v>
      </c>
      <c r="B204" t="str">
        <f t="shared" si="7"/>
        <v>E7</v>
      </c>
      <c r="C204" s="568" t="s">
        <v>1572</v>
      </c>
      <c r="D204" s="568" t="s">
        <v>1496</v>
      </c>
      <c r="E204" s="569">
        <v>17</v>
      </c>
      <c r="F204" t="s">
        <v>249</v>
      </c>
      <c r="G204" t="s">
        <v>249</v>
      </c>
      <c r="H204">
        <v>4</v>
      </c>
      <c r="I204" t="s">
        <v>1348</v>
      </c>
      <c r="J204" t="s">
        <v>1349</v>
      </c>
      <c r="K204" t="s">
        <v>1350</v>
      </c>
    </row>
    <row r="205" spans="1:11">
      <c r="A205" t="str">
        <f t="shared" si="6"/>
        <v>E</v>
      </c>
      <c r="B205" t="str">
        <f t="shared" si="7"/>
        <v>E7</v>
      </c>
      <c r="C205" s="568" t="s">
        <v>1573</v>
      </c>
      <c r="D205" s="568" t="s">
        <v>1496</v>
      </c>
      <c r="E205" s="569">
        <v>17</v>
      </c>
      <c r="F205" t="s">
        <v>249</v>
      </c>
      <c r="G205" t="s">
        <v>249</v>
      </c>
      <c r="H205">
        <v>4</v>
      </c>
      <c r="I205" t="s">
        <v>1348</v>
      </c>
      <c r="J205" t="s">
        <v>1349</v>
      </c>
      <c r="K205" t="s">
        <v>1350</v>
      </c>
    </row>
    <row r="206" spans="1:11">
      <c r="A206" t="str">
        <f t="shared" si="6"/>
        <v>E</v>
      </c>
      <c r="B206" t="str">
        <f t="shared" si="7"/>
        <v>E7</v>
      </c>
      <c r="C206" s="568" t="s">
        <v>1574</v>
      </c>
      <c r="D206" s="568" t="s">
        <v>1473</v>
      </c>
      <c r="E206" s="569">
        <v>17</v>
      </c>
      <c r="F206" t="s">
        <v>249</v>
      </c>
      <c r="G206" t="s">
        <v>249</v>
      </c>
      <c r="H206">
        <v>4</v>
      </c>
      <c r="I206" t="s">
        <v>1348</v>
      </c>
      <c r="J206" t="s">
        <v>1349</v>
      </c>
      <c r="K206" t="s">
        <v>1350</v>
      </c>
    </row>
    <row r="207" spans="1:11">
      <c r="A207" t="str">
        <f t="shared" si="6"/>
        <v>E</v>
      </c>
      <c r="B207" t="str">
        <f t="shared" si="7"/>
        <v>E7</v>
      </c>
      <c r="C207" s="568" t="s">
        <v>1575</v>
      </c>
      <c r="D207" s="568" t="s">
        <v>1473</v>
      </c>
      <c r="E207" s="569">
        <v>17</v>
      </c>
      <c r="F207" t="s">
        <v>249</v>
      </c>
      <c r="G207" t="s">
        <v>249</v>
      </c>
      <c r="H207">
        <v>4</v>
      </c>
      <c r="I207" t="s">
        <v>1348</v>
      </c>
      <c r="J207" t="s">
        <v>1349</v>
      </c>
      <c r="K207" t="s">
        <v>1350</v>
      </c>
    </row>
    <row r="208" spans="1:11">
      <c r="A208" t="str">
        <f t="shared" si="6"/>
        <v>E</v>
      </c>
      <c r="B208" t="str">
        <f t="shared" si="7"/>
        <v>E7</v>
      </c>
      <c r="C208" s="568" t="s">
        <v>1576</v>
      </c>
      <c r="D208" s="568" t="s">
        <v>1473</v>
      </c>
      <c r="E208" s="569">
        <v>17</v>
      </c>
      <c r="F208" t="s">
        <v>249</v>
      </c>
      <c r="G208" t="s">
        <v>249</v>
      </c>
      <c r="H208">
        <v>4</v>
      </c>
      <c r="I208" t="s">
        <v>1348</v>
      </c>
      <c r="J208" t="s">
        <v>1349</v>
      </c>
      <c r="K208" t="s">
        <v>1350</v>
      </c>
    </row>
    <row r="209" spans="1:11">
      <c r="A209" t="str">
        <f t="shared" si="6"/>
        <v>E</v>
      </c>
      <c r="B209" t="str">
        <f t="shared" si="7"/>
        <v>E7</v>
      </c>
      <c r="C209" s="568" t="s">
        <v>1577</v>
      </c>
      <c r="D209" s="568" t="s">
        <v>1473</v>
      </c>
      <c r="E209" s="569">
        <v>17</v>
      </c>
      <c r="F209" t="s">
        <v>249</v>
      </c>
      <c r="G209" t="s">
        <v>249</v>
      </c>
      <c r="H209">
        <v>4</v>
      </c>
      <c r="I209" t="s">
        <v>1348</v>
      </c>
      <c r="J209" t="s">
        <v>1349</v>
      </c>
      <c r="K209" t="s">
        <v>1350</v>
      </c>
    </row>
    <row r="210" spans="1:11">
      <c r="A210" t="str">
        <f t="shared" si="6"/>
        <v>E</v>
      </c>
      <c r="B210" t="str">
        <f t="shared" si="7"/>
        <v>E7</v>
      </c>
      <c r="C210" s="568" t="s">
        <v>1578</v>
      </c>
      <c r="D210" s="568" t="s">
        <v>1473</v>
      </c>
      <c r="E210" s="569">
        <v>17</v>
      </c>
      <c r="F210" t="s">
        <v>249</v>
      </c>
      <c r="G210" t="s">
        <v>249</v>
      </c>
      <c r="H210">
        <v>4</v>
      </c>
      <c r="I210" t="s">
        <v>1348</v>
      </c>
      <c r="J210" t="s">
        <v>1349</v>
      </c>
      <c r="K210" t="s">
        <v>1350</v>
      </c>
    </row>
    <row r="211" spans="1:11">
      <c r="A211" t="str">
        <f t="shared" si="6"/>
        <v>E</v>
      </c>
      <c r="B211" t="str">
        <f t="shared" si="7"/>
        <v>E7</v>
      </c>
      <c r="C211" s="568" t="s">
        <v>1579</v>
      </c>
      <c r="D211" s="568" t="s">
        <v>1473</v>
      </c>
      <c r="E211" s="569">
        <v>17</v>
      </c>
      <c r="F211" t="s">
        <v>249</v>
      </c>
      <c r="G211" t="s">
        <v>249</v>
      </c>
      <c r="H211">
        <v>4</v>
      </c>
      <c r="I211" t="s">
        <v>1348</v>
      </c>
      <c r="J211" t="s">
        <v>1349</v>
      </c>
      <c r="K211" t="s">
        <v>1350</v>
      </c>
    </row>
    <row r="212" spans="1:11">
      <c r="A212" t="str">
        <f t="shared" si="6"/>
        <v>E</v>
      </c>
      <c r="B212" t="str">
        <f t="shared" si="7"/>
        <v>E7</v>
      </c>
      <c r="C212" s="568" t="s">
        <v>1580</v>
      </c>
      <c r="D212" s="568" t="s">
        <v>1473</v>
      </c>
      <c r="E212" s="569">
        <v>17</v>
      </c>
      <c r="F212" t="s">
        <v>249</v>
      </c>
      <c r="G212" t="s">
        <v>249</v>
      </c>
      <c r="H212">
        <v>4</v>
      </c>
      <c r="I212" t="s">
        <v>1348</v>
      </c>
      <c r="J212" t="s">
        <v>1349</v>
      </c>
      <c r="K212" t="s">
        <v>1350</v>
      </c>
    </row>
    <row r="213" spans="1:11">
      <c r="A213" t="str">
        <f t="shared" si="6"/>
        <v>E</v>
      </c>
      <c r="B213" t="str">
        <f t="shared" si="7"/>
        <v>E8</v>
      </c>
      <c r="C213" s="568" t="s">
        <v>1581</v>
      </c>
      <c r="D213" s="568" t="s">
        <v>1501</v>
      </c>
      <c r="E213" s="569">
        <v>17</v>
      </c>
      <c r="F213" t="s">
        <v>249</v>
      </c>
      <c r="G213" t="s">
        <v>249</v>
      </c>
      <c r="H213">
        <v>5</v>
      </c>
      <c r="I213" t="s">
        <v>1348</v>
      </c>
      <c r="J213" t="s">
        <v>1349</v>
      </c>
      <c r="K213" t="s">
        <v>1350</v>
      </c>
    </row>
    <row r="214" spans="1:11">
      <c r="A214" t="str">
        <f t="shared" si="6"/>
        <v>E</v>
      </c>
      <c r="B214" t="str">
        <f t="shared" si="7"/>
        <v>E8</v>
      </c>
      <c r="C214" s="568" t="s">
        <v>1582</v>
      </c>
      <c r="D214" s="568" t="s">
        <v>1473</v>
      </c>
      <c r="E214" s="569">
        <v>17</v>
      </c>
      <c r="F214" t="s">
        <v>249</v>
      </c>
      <c r="G214" t="s">
        <v>249</v>
      </c>
      <c r="H214">
        <v>5</v>
      </c>
      <c r="I214" t="s">
        <v>1348</v>
      </c>
      <c r="J214" t="s">
        <v>1349</v>
      </c>
      <c r="K214" t="s">
        <v>1350</v>
      </c>
    </row>
    <row r="215" spans="1:11">
      <c r="A215" t="str">
        <f t="shared" si="6"/>
        <v>E</v>
      </c>
      <c r="B215" t="str">
        <f t="shared" si="7"/>
        <v>E8</v>
      </c>
      <c r="C215" s="568" t="s">
        <v>1583</v>
      </c>
      <c r="D215" s="568" t="s">
        <v>1408</v>
      </c>
      <c r="E215" s="569">
        <v>17</v>
      </c>
      <c r="F215" t="s">
        <v>249</v>
      </c>
      <c r="G215" t="s">
        <v>249</v>
      </c>
      <c r="H215">
        <v>5</v>
      </c>
      <c r="I215" t="s">
        <v>1348</v>
      </c>
      <c r="J215" t="s">
        <v>1349</v>
      </c>
      <c r="K215" t="s">
        <v>1350</v>
      </c>
    </row>
    <row r="216" spans="1:11">
      <c r="A216" t="str">
        <f t="shared" si="6"/>
        <v>E</v>
      </c>
      <c r="B216" t="str">
        <f t="shared" si="7"/>
        <v>E8</v>
      </c>
      <c r="C216" s="568" t="s">
        <v>1584</v>
      </c>
      <c r="D216" s="568" t="s">
        <v>1473</v>
      </c>
      <c r="E216" s="569">
        <v>17</v>
      </c>
      <c r="F216" t="s">
        <v>249</v>
      </c>
      <c r="G216" t="s">
        <v>249</v>
      </c>
      <c r="H216">
        <v>5</v>
      </c>
      <c r="I216" t="s">
        <v>1348</v>
      </c>
      <c r="J216" t="s">
        <v>1349</v>
      </c>
      <c r="K216" t="s">
        <v>1350</v>
      </c>
    </row>
    <row r="217" spans="1:11">
      <c r="A217" t="str">
        <f t="shared" si="6"/>
        <v>E</v>
      </c>
      <c r="B217" t="str">
        <f t="shared" si="7"/>
        <v>E8</v>
      </c>
      <c r="C217" s="568" t="s">
        <v>1585</v>
      </c>
      <c r="D217" s="568" t="s">
        <v>1473</v>
      </c>
      <c r="E217" s="569">
        <v>17</v>
      </c>
      <c r="F217" t="s">
        <v>249</v>
      </c>
      <c r="G217" t="s">
        <v>249</v>
      </c>
      <c r="H217">
        <v>5</v>
      </c>
      <c r="I217" t="s">
        <v>1348</v>
      </c>
      <c r="J217" t="s">
        <v>1349</v>
      </c>
      <c r="K217" t="s">
        <v>1350</v>
      </c>
    </row>
    <row r="218" spans="1:11">
      <c r="A218" t="str">
        <f t="shared" si="6"/>
        <v>E</v>
      </c>
      <c r="B218" t="str">
        <f t="shared" si="7"/>
        <v>E8</v>
      </c>
      <c r="C218" s="568" t="s">
        <v>1586</v>
      </c>
      <c r="D218" s="568" t="s">
        <v>1473</v>
      </c>
      <c r="E218" s="569">
        <v>17</v>
      </c>
      <c r="F218" t="s">
        <v>249</v>
      </c>
      <c r="G218" t="s">
        <v>249</v>
      </c>
      <c r="H218">
        <v>5</v>
      </c>
      <c r="I218" t="s">
        <v>1348</v>
      </c>
      <c r="J218" t="s">
        <v>1349</v>
      </c>
      <c r="K218" t="s">
        <v>1350</v>
      </c>
    </row>
    <row r="219" spans="1:11">
      <c r="A219" t="str">
        <f t="shared" si="6"/>
        <v>E</v>
      </c>
      <c r="B219" t="str">
        <f t="shared" si="7"/>
        <v>E8</v>
      </c>
      <c r="C219" s="568" t="s">
        <v>1587</v>
      </c>
      <c r="D219" s="568" t="s">
        <v>1501</v>
      </c>
      <c r="E219" s="569">
        <v>17</v>
      </c>
      <c r="F219" t="s">
        <v>249</v>
      </c>
      <c r="G219" t="s">
        <v>249</v>
      </c>
      <c r="H219">
        <v>5</v>
      </c>
      <c r="I219" t="s">
        <v>1348</v>
      </c>
      <c r="J219" t="s">
        <v>1349</v>
      </c>
      <c r="K219" t="s">
        <v>1350</v>
      </c>
    </row>
    <row r="220" spans="1:11">
      <c r="A220" t="str">
        <f t="shared" si="6"/>
        <v>E</v>
      </c>
      <c r="B220" t="str">
        <f t="shared" si="7"/>
        <v>E8</v>
      </c>
      <c r="C220" s="568" t="s">
        <v>1588</v>
      </c>
      <c r="D220" s="568" t="s">
        <v>1473</v>
      </c>
      <c r="E220" s="569">
        <v>17</v>
      </c>
      <c r="F220" t="s">
        <v>249</v>
      </c>
      <c r="G220" t="s">
        <v>249</v>
      </c>
      <c r="H220">
        <v>5</v>
      </c>
      <c r="I220" t="s">
        <v>1348</v>
      </c>
      <c r="J220" t="s">
        <v>1349</v>
      </c>
      <c r="K220" t="s">
        <v>1350</v>
      </c>
    </row>
    <row r="221" spans="1:11">
      <c r="A221" t="str">
        <f t="shared" si="6"/>
        <v>E</v>
      </c>
      <c r="B221" t="str">
        <f t="shared" si="7"/>
        <v>E8</v>
      </c>
      <c r="C221" s="568" t="s">
        <v>1589</v>
      </c>
      <c r="D221" s="568" t="s">
        <v>1408</v>
      </c>
      <c r="E221" s="569">
        <v>17</v>
      </c>
      <c r="F221" t="s">
        <v>249</v>
      </c>
      <c r="G221" t="s">
        <v>249</v>
      </c>
      <c r="H221">
        <v>5</v>
      </c>
      <c r="I221" t="s">
        <v>1348</v>
      </c>
      <c r="J221" t="s">
        <v>1349</v>
      </c>
      <c r="K221" t="s">
        <v>1350</v>
      </c>
    </row>
    <row r="222" spans="1:11">
      <c r="A222" t="str">
        <f t="shared" si="6"/>
        <v>E</v>
      </c>
      <c r="B222" t="str">
        <f t="shared" si="7"/>
        <v>E8</v>
      </c>
      <c r="C222" s="568" t="s">
        <v>1590</v>
      </c>
      <c r="D222" s="568" t="s">
        <v>1408</v>
      </c>
      <c r="E222" s="569">
        <v>17</v>
      </c>
      <c r="F222" t="s">
        <v>249</v>
      </c>
      <c r="G222" t="s">
        <v>249</v>
      </c>
      <c r="H222">
        <v>5</v>
      </c>
      <c r="I222" t="s">
        <v>1348</v>
      </c>
      <c r="J222" t="s">
        <v>1349</v>
      </c>
      <c r="K222" t="s">
        <v>1350</v>
      </c>
    </row>
    <row r="223" spans="1:11">
      <c r="A223" t="str">
        <f t="shared" si="6"/>
        <v>E</v>
      </c>
      <c r="B223" t="str">
        <f t="shared" si="7"/>
        <v>E8</v>
      </c>
      <c r="C223" s="568" t="s">
        <v>1591</v>
      </c>
      <c r="D223" s="568" t="s">
        <v>1408</v>
      </c>
      <c r="E223" s="569">
        <v>17</v>
      </c>
      <c r="F223" t="s">
        <v>249</v>
      </c>
      <c r="G223" t="s">
        <v>249</v>
      </c>
      <c r="H223">
        <v>5</v>
      </c>
      <c r="I223" t="s">
        <v>1348</v>
      </c>
      <c r="J223" t="s">
        <v>1349</v>
      </c>
      <c r="K223" t="s">
        <v>1350</v>
      </c>
    </row>
    <row r="224" spans="1:11">
      <c r="A224" t="str">
        <f t="shared" si="6"/>
        <v>E</v>
      </c>
      <c r="B224" t="str">
        <f t="shared" si="7"/>
        <v>E8</v>
      </c>
      <c r="C224" s="568" t="s">
        <v>1592</v>
      </c>
      <c r="D224" s="568" t="s">
        <v>1371</v>
      </c>
      <c r="E224" s="569">
        <v>17</v>
      </c>
      <c r="F224" t="s">
        <v>249</v>
      </c>
      <c r="G224" t="s">
        <v>249</v>
      </c>
      <c r="H224">
        <v>5</v>
      </c>
      <c r="I224" t="s">
        <v>1348</v>
      </c>
      <c r="J224" t="s">
        <v>1349</v>
      </c>
      <c r="K224" t="s">
        <v>1350</v>
      </c>
    </row>
    <row r="225" spans="1:11">
      <c r="A225" t="str">
        <f t="shared" si="6"/>
        <v>E</v>
      </c>
      <c r="B225" t="str">
        <f t="shared" si="7"/>
        <v>E8</v>
      </c>
      <c r="C225" s="568" t="s">
        <v>1593</v>
      </c>
      <c r="D225" s="568" t="s">
        <v>1371</v>
      </c>
      <c r="E225" s="569">
        <v>17</v>
      </c>
      <c r="F225" t="s">
        <v>249</v>
      </c>
      <c r="G225" t="s">
        <v>249</v>
      </c>
      <c r="H225">
        <v>5</v>
      </c>
      <c r="I225" t="s">
        <v>1348</v>
      </c>
      <c r="J225" t="s">
        <v>1349</v>
      </c>
      <c r="K225" t="s">
        <v>1350</v>
      </c>
    </row>
    <row r="226" spans="1:11">
      <c r="A226" t="str">
        <f t="shared" si="6"/>
        <v>E</v>
      </c>
      <c r="B226" t="str">
        <f t="shared" si="7"/>
        <v>E8</v>
      </c>
      <c r="C226" s="568" t="s">
        <v>1594</v>
      </c>
      <c r="D226" s="568" t="s">
        <v>1408</v>
      </c>
      <c r="E226" s="569">
        <v>17</v>
      </c>
      <c r="F226" t="s">
        <v>249</v>
      </c>
      <c r="G226" t="s">
        <v>249</v>
      </c>
      <c r="H226">
        <v>5</v>
      </c>
      <c r="I226" t="s">
        <v>1348</v>
      </c>
      <c r="J226" t="s">
        <v>1349</v>
      </c>
      <c r="K226" t="s">
        <v>1350</v>
      </c>
    </row>
    <row r="227" spans="1:11">
      <c r="A227" t="str">
        <f t="shared" si="6"/>
        <v>E</v>
      </c>
      <c r="B227" t="str">
        <f t="shared" si="7"/>
        <v>E9</v>
      </c>
      <c r="C227" s="568" t="s">
        <v>1595</v>
      </c>
      <c r="D227" s="568" t="s">
        <v>1496</v>
      </c>
      <c r="E227" s="569">
        <v>17</v>
      </c>
      <c r="F227" t="s">
        <v>249</v>
      </c>
      <c r="G227" t="s">
        <v>249</v>
      </c>
      <c r="H227">
        <v>4</v>
      </c>
      <c r="I227" t="s">
        <v>1348</v>
      </c>
      <c r="J227" t="s">
        <v>1349</v>
      </c>
      <c r="K227" t="s">
        <v>1350</v>
      </c>
    </row>
    <row r="228" spans="1:11">
      <c r="A228" t="str">
        <f t="shared" si="6"/>
        <v>E</v>
      </c>
      <c r="B228" t="str">
        <f t="shared" si="7"/>
        <v>E9</v>
      </c>
      <c r="C228" s="568" t="s">
        <v>1596</v>
      </c>
      <c r="D228" s="568" t="s">
        <v>1496</v>
      </c>
      <c r="E228" s="569">
        <v>17</v>
      </c>
      <c r="F228" t="s">
        <v>249</v>
      </c>
      <c r="G228" t="s">
        <v>249</v>
      </c>
      <c r="H228">
        <v>4</v>
      </c>
      <c r="I228" t="s">
        <v>1348</v>
      </c>
      <c r="J228" t="s">
        <v>1349</v>
      </c>
      <c r="K228" t="s">
        <v>1350</v>
      </c>
    </row>
    <row r="229" spans="1:11">
      <c r="A229" t="str">
        <f t="shared" si="6"/>
        <v>E</v>
      </c>
      <c r="B229" t="str">
        <f t="shared" si="7"/>
        <v>E9</v>
      </c>
      <c r="C229" s="568" t="s">
        <v>1597</v>
      </c>
      <c r="D229" s="568" t="s">
        <v>1496</v>
      </c>
      <c r="E229" s="569">
        <v>17</v>
      </c>
      <c r="F229" t="s">
        <v>249</v>
      </c>
      <c r="G229" t="s">
        <v>249</v>
      </c>
      <c r="H229">
        <v>4</v>
      </c>
      <c r="I229" t="s">
        <v>1348</v>
      </c>
      <c r="J229" t="s">
        <v>1349</v>
      </c>
      <c r="K229" t="s">
        <v>1350</v>
      </c>
    </row>
    <row r="230" spans="1:11">
      <c r="A230" t="str">
        <f t="shared" si="6"/>
        <v>E</v>
      </c>
      <c r="B230" t="str">
        <f t="shared" si="7"/>
        <v>E9</v>
      </c>
      <c r="C230" s="568" t="s">
        <v>1598</v>
      </c>
      <c r="D230" s="568" t="s">
        <v>1496</v>
      </c>
      <c r="E230" s="569">
        <v>17</v>
      </c>
      <c r="F230" t="s">
        <v>249</v>
      </c>
      <c r="G230" t="s">
        <v>249</v>
      </c>
      <c r="H230">
        <v>4</v>
      </c>
      <c r="I230" t="s">
        <v>1348</v>
      </c>
      <c r="J230" t="s">
        <v>1349</v>
      </c>
      <c r="K230" t="s">
        <v>1350</v>
      </c>
    </row>
    <row r="231" spans="1:11">
      <c r="A231" t="str">
        <f t="shared" si="6"/>
        <v>E</v>
      </c>
      <c r="B231" t="str">
        <f t="shared" si="7"/>
        <v>E9</v>
      </c>
      <c r="C231" s="568" t="s">
        <v>1599</v>
      </c>
      <c r="D231" s="568" t="s">
        <v>1473</v>
      </c>
      <c r="E231" s="569">
        <v>17</v>
      </c>
      <c r="F231" t="s">
        <v>249</v>
      </c>
      <c r="G231" t="s">
        <v>249</v>
      </c>
      <c r="H231">
        <v>4</v>
      </c>
      <c r="I231" t="s">
        <v>1348</v>
      </c>
      <c r="J231" t="s">
        <v>1349</v>
      </c>
      <c r="K231" t="s">
        <v>1350</v>
      </c>
    </row>
    <row r="232" spans="1:11">
      <c r="A232" t="str">
        <f t="shared" si="6"/>
        <v>E</v>
      </c>
      <c r="B232" t="str">
        <f t="shared" si="7"/>
        <v>E9</v>
      </c>
      <c r="C232" s="568" t="s">
        <v>1600</v>
      </c>
      <c r="D232" s="568" t="s">
        <v>1408</v>
      </c>
      <c r="E232" s="569">
        <v>17</v>
      </c>
      <c r="F232" t="s">
        <v>249</v>
      </c>
      <c r="G232" t="s">
        <v>249</v>
      </c>
      <c r="H232">
        <v>4</v>
      </c>
      <c r="I232" t="s">
        <v>1348</v>
      </c>
      <c r="J232" t="s">
        <v>1349</v>
      </c>
      <c r="K232" t="s">
        <v>1350</v>
      </c>
    </row>
    <row r="233" spans="1:11" hidden="1">
      <c r="A233" t="str">
        <f t="shared" si="6"/>
        <v>G</v>
      </c>
      <c r="B233" t="str">
        <f t="shared" si="7"/>
        <v>G0</v>
      </c>
      <c r="C233" s="568" t="s">
        <v>1601</v>
      </c>
      <c r="D233" s="568" t="s">
        <v>1602</v>
      </c>
      <c r="E233" s="569">
        <v>16</v>
      </c>
      <c r="F233" t="s">
        <v>1603</v>
      </c>
      <c r="G233" t="s">
        <v>247</v>
      </c>
      <c r="H233">
        <v>1</v>
      </c>
      <c r="I233" t="s">
        <v>1604</v>
      </c>
      <c r="J233" t="s">
        <v>1605</v>
      </c>
      <c r="K233" t="s">
        <v>1606</v>
      </c>
    </row>
    <row r="234" spans="1:11" hidden="1">
      <c r="A234" t="str">
        <f t="shared" si="6"/>
        <v>G</v>
      </c>
      <c r="B234" t="str">
        <f t="shared" si="7"/>
        <v>G0</v>
      </c>
      <c r="C234" s="568" t="s">
        <v>1607</v>
      </c>
      <c r="D234" s="568" t="s">
        <v>1608</v>
      </c>
      <c r="E234" s="569">
        <v>16</v>
      </c>
      <c r="F234" t="s">
        <v>1609</v>
      </c>
      <c r="G234" t="s">
        <v>247</v>
      </c>
      <c r="H234">
        <v>1</v>
      </c>
      <c r="I234" t="s">
        <v>1604</v>
      </c>
      <c r="J234" t="s">
        <v>1605</v>
      </c>
      <c r="K234" t="s">
        <v>1606</v>
      </c>
    </row>
    <row r="235" spans="1:11" hidden="1">
      <c r="A235" t="str">
        <f t="shared" si="6"/>
        <v>G</v>
      </c>
      <c r="B235" t="str">
        <f t="shared" si="7"/>
        <v>G0</v>
      </c>
      <c r="C235" s="568" t="s">
        <v>1610</v>
      </c>
      <c r="D235" s="568" t="s">
        <v>1611</v>
      </c>
      <c r="E235" s="569">
        <v>16</v>
      </c>
      <c r="F235" s="577" t="s">
        <v>1609</v>
      </c>
      <c r="G235" t="s">
        <v>247</v>
      </c>
      <c r="H235">
        <v>1</v>
      </c>
      <c r="I235" t="s">
        <v>1604</v>
      </c>
      <c r="J235" t="s">
        <v>1605</v>
      </c>
      <c r="K235" t="s">
        <v>1606</v>
      </c>
    </row>
    <row r="236" spans="1:11" hidden="1">
      <c r="A236" t="str">
        <f t="shared" si="6"/>
        <v>G</v>
      </c>
      <c r="B236" t="str">
        <f t="shared" si="7"/>
        <v>G0</v>
      </c>
      <c r="C236" s="568" t="s">
        <v>1612</v>
      </c>
      <c r="D236" s="568" t="s">
        <v>1611</v>
      </c>
      <c r="E236" s="569">
        <v>16</v>
      </c>
      <c r="F236" t="s">
        <v>1609</v>
      </c>
      <c r="G236" t="s">
        <v>247</v>
      </c>
      <c r="H236">
        <v>1</v>
      </c>
      <c r="I236" t="s">
        <v>1604</v>
      </c>
      <c r="J236" t="s">
        <v>1605</v>
      </c>
      <c r="K236" t="s">
        <v>1606</v>
      </c>
    </row>
    <row r="237" spans="1:11" hidden="1">
      <c r="A237" t="str">
        <f t="shared" si="6"/>
        <v>G</v>
      </c>
      <c r="B237" t="str">
        <f t="shared" si="7"/>
        <v>G0</v>
      </c>
      <c r="C237" s="568" t="s">
        <v>1613</v>
      </c>
      <c r="D237" s="568" t="s">
        <v>1614</v>
      </c>
      <c r="E237" s="569">
        <v>16</v>
      </c>
      <c r="F237" t="s">
        <v>1609</v>
      </c>
      <c r="G237" t="s">
        <v>247</v>
      </c>
      <c r="H237">
        <v>1</v>
      </c>
      <c r="I237" t="s">
        <v>1604</v>
      </c>
      <c r="J237" t="s">
        <v>1605</v>
      </c>
      <c r="K237" t="s">
        <v>1606</v>
      </c>
    </row>
    <row r="238" spans="1:11" hidden="1">
      <c r="A238" t="str">
        <f t="shared" si="6"/>
        <v>G</v>
      </c>
      <c r="B238" t="str">
        <f t="shared" si="7"/>
        <v>G0</v>
      </c>
      <c r="C238" s="568" t="s">
        <v>1615</v>
      </c>
      <c r="D238" s="568" t="s">
        <v>1614</v>
      </c>
      <c r="E238" s="569">
        <v>16</v>
      </c>
      <c r="F238" t="s">
        <v>1616</v>
      </c>
      <c r="G238" t="s">
        <v>247</v>
      </c>
      <c r="H238">
        <v>1</v>
      </c>
      <c r="I238" t="s">
        <v>1604</v>
      </c>
      <c r="J238" t="s">
        <v>1605</v>
      </c>
      <c r="K238" t="s">
        <v>1606</v>
      </c>
    </row>
    <row r="239" spans="1:11" hidden="1">
      <c r="A239" t="str">
        <f t="shared" si="6"/>
        <v>G</v>
      </c>
      <c r="B239" t="str">
        <f t="shared" si="7"/>
        <v>G0</v>
      </c>
      <c r="C239" s="568" t="s">
        <v>1617</v>
      </c>
      <c r="D239" s="568" t="s">
        <v>1614</v>
      </c>
      <c r="E239" s="569">
        <v>16</v>
      </c>
      <c r="F239" t="s">
        <v>1618</v>
      </c>
      <c r="G239" t="s">
        <v>247</v>
      </c>
      <c r="H239">
        <v>1</v>
      </c>
      <c r="I239" t="s">
        <v>1604</v>
      </c>
      <c r="J239" t="s">
        <v>1605</v>
      </c>
      <c r="K239" t="s">
        <v>1606</v>
      </c>
    </row>
    <row r="240" spans="1:11" hidden="1">
      <c r="A240" t="str">
        <f t="shared" si="6"/>
        <v>G</v>
      </c>
      <c r="B240" t="str">
        <f t="shared" si="7"/>
        <v>G0</v>
      </c>
      <c r="C240" s="568" t="s">
        <v>1619</v>
      </c>
      <c r="D240" s="568" t="s">
        <v>1602</v>
      </c>
      <c r="E240" s="569">
        <v>16</v>
      </c>
      <c r="F240" t="s">
        <v>1603</v>
      </c>
      <c r="G240" t="s">
        <v>247</v>
      </c>
      <c r="H240">
        <v>1</v>
      </c>
      <c r="I240" t="s">
        <v>1604</v>
      </c>
      <c r="J240" t="s">
        <v>1605</v>
      </c>
      <c r="K240" t="s">
        <v>1606</v>
      </c>
    </row>
    <row r="241" spans="1:11" hidden="1">
      <c r="A241" t="str">
        <f t="shared" si="6"/>
        <v>G</v>
      </c>
      <c r="B241" t="str">
        <f t="shared" si="7"/>
        <v>G0</v>
      </c>
      <c r="C241" s="568" t="s">
        <v>1620</v>
      </c>
      <c r="D241" s="568" t="s">
        <v>1608</v>
      </c>
      <c r="E241" s="569">
        <v>16</v>
      </c>
      <c r="F241" t="s">
        <v>1609</v>
      </c>
      <c r="G241" t="s">
        <v>247</v>
      </c>
      <c r="H241">
        <v>1</v>
      </c>
      <c r="I241" t="s">
        <v>1604</v>
      </c>
      <c r="J241" t="s">
        <v>1605</v>
      </c>
      <c r="K241" t="s">
        <v>1606</v>
      </c>
    </row>
    <row r="242" spans="1:11" hidden="1">
      <c r="A242" t="str">
        <f t="shared" si="6"/>
        <v>G</v>
      </c>
      <c r="B242" t="str">
        <f t="shared" si="7"/>
        <v>G0</v>
      </c>
      <c r="C242" s="568" t="s">
        <v>1621</v>
      </c>
      <c r="D242" s="568" t="s">
        <v>1611</v>
      </c>
      <c r="E242" s="569">
        <v>16</v>
      </c>
      <c r="F242" t="s">
        <v>1609</v>
      </c>
      <c r="G242" t="s">
        <v>247</v>
      </c>
      <c r="H242">
        <v>1</v>
      </c>
      <c r="I242" t="s">
        <v>1604</v>
      </c>
      <c r="J242" t="s">
        <v>1605</v>
      </c>
      <c r="K242" t="s">
        <v>1606</v>
      </c>
    </row>
    <row r="243" spans="1:11" hidden="1">
      <c r="A243" t="str">
        <f t="shared" si="6"/>
        <v>G</v>
      </c>
      <c r="B243" t="str">
        <f t="shared" si="7"/>
        <v>G0</v>
      </c>
      <c r="C243" s="568" t="s">
        <v>1622</v>
      </c>
      <c r="D243" s="568" t="s">
        <v>1614</v>
      </c>
      <c r="E243" s="569">
        <v>16</v>
      </c>
      <c r="F243" t="s">
        <v>1609</v>
      </c>
      <c r="G243" t="s">
        <v>247</v>
      </c>
      <c r="H243">
        <v>1</v>
      </c>
      <c r="I243" t="s">
        <v>1604</v>
      </c>
      <c r="J243" t="s">
        <v>1605</v>
      </c>
      <c r="K243" t="s">
        <v>1606</v>
      </c>
    </row>
    <row r="244" spans="1:11" hidden="1">
      <c r="A244" t="str">
        <f t="shared" si="6"/>
        <v>G</v>
      </c>
      <c r="B244" t="str">
        <f t="shared" si="7"/>
        <v>G0</v>
      </c>
      <c r="C244" s="568" t="s">
        <v>1623</v>
      </c>
      <c r="D244" s="568" t="s">
        <v>1624</v>
      </c>
      <c r="E244" s="569">
        <v>16</v>
      </c>
      <c r="F244" t="s">
        <v>1603</v>
      </c>
      <c r="G244" t="s">
        <v>247</v>
      </c>
      <c r="H244">
        <v>1</v>
      </c>
      <c r="I244" t="s">
        <v>1604</v>
      </c>
      <c r="J244" t="s">
        <v>1605</v>
      </c>
      <c r="K244" t="s">
        <v>1606</v>
      </c>
    </row>
    <row r="245" spans="1:11" hidden="1">
      <c r="A245" t="str">
        <f t="shared" si="6"/>
        <v>G</v>
      </c>
      <c r="B245" t="str">
        <f t="shared" si="7"/>
        <v>G0</v>
      </c>
      <c r="C245" s="568" t="s">
        <v>1625</v>
      </c>
      <c r="D245" s="568" t="s">
        <v>1626</v>
      </c>
      <c r="E245" s="569">
        <v>16</v>
      </c>
      <c r="F245" t="s">
        <v>1618</v>
      </c>
      <c r="G245" t="s">
        <v>247</v>
      </c>
      <c r="H245">
        <v>1</v>
      </c>
      <c r="I245" t="s">
        <v>1604</v>
      </c>
      <c r="J245" t="s">
        <v>1605</v>
      </c>
      <c r="K245" t="s">
        <v>1606</v>
      </c>
    </row>
    <row r="246" spans="1:11" hidden="1">
      <c r="A246" t="str">
        <f t="shared" si="6"/>
        <v>G</v>
      </c>
      <c r="B246" t="str">
        <f t="shared" si="7"/>
        <v>G0</v>
      </c>
      <c r="C246" s="568" t="s">
        <v>1627</v>
      </c>
      <c r="D246" s="568" t="s">
        <v>1602</v>
      </c>
      <c r="E246" s="569">
        <v>16</v>
      </c>
      <c r="F246" t="s">
        <v>1618</v>
      </c>
      <c r="G246" t="s">
        <v>247</v>
      </c>
      <c r="H246">
        <v>1</v>
      </c>
      <c r="I246" t="s">
        <v>1604</v>
      </c>
      <c r="J246" t="s">
        <v>1605</v>
      </c>
      <c r="K246" t="s">
        <v>1606</v>
      </c>
    </row>
    <row r="247" spans="1:11" hidden="1">
      <c r="A247" t="str">
        <f t="shared" si="6"/>
        <v>G</v>
      </c>
      <c r="B247" t="str">
        <f t="shared" si="7"/>
        <v>G0</v>
      </c>
      <c r="C247" s="568" t="s">
        <v>1628</v>
      </c>
      <c r="D247" s="568" t="s">
        <v>1624</v>
      </c>
      <c r="E247" s="569">
        <v>16</v>
      </c>
      <c r="F247" t="s">
        <v>1629</v>
      </c>
      <c r="G247" t="s">
        <v>247</v>
      </c>
      <c r="H247">
        <v>1</v>
      </c>
      <c r="I247" t="s">
        <v>1604</v>
      </c>
      <c r="J247" t="s">
        <v>1605</v>
      </c>
      <c r="K247" t="s">
        <v>1606</v>
      </c>
    </row>
    <row r="248" spans="1:11" hidden="1">
      <c r="A248" t="str">
        <f t="shared" si="6"/>
        <v>G</v>
      </c>
      <c r="B248" t="str">
        <f t="shared" si="7"/>
        <v>G0</v>
      </c>
      <c r="C248" s="568" t="s">
        <v>1630</v>
      </c>
      <c r="D248" s="568" t="s">
        <v>1631</v>
      </c>
      <c r="E248" s="569">
        <v>16</v>
      </c>
      <c r="F248" t="s">
        <v>1616</v>
      </c>
      <c r="G248" t="s">
        <v>247</v>
      </c>
      <c r="H248">
        <v>1</v>
      </c>
      <c r="I248" t="s">
        <v>1604</v>
      </c>
      <c r="J248" t="s">
        <v>1605</v>
      </c>
      <c r="K248" t="s">
        <v>1606</v>
      </c>
    </row>
    <row r="249" spans="1:11" hidden="1">
      <c r="A249" t="str">
        <f t="shared" si="6"/>
        <v>G</v>
      </c>
      <c r="B249" t="str">
        <f t="shared" si="7"/>
        <v>G0</v>
      </c>
      <c r="C249" s="568" t="s">
        <v>1632</v>
      </c>
      <c r="D249" s="568" t="s">
        <v>1631</v>
      </c>
      <c r="E249" s="569">
        <v>16</v>
      </c>
      <c r="F249" t="s">
        <v>1629</v>
      </c>
      <c r="G249" t="s">
        <v>247</v>
      </c>
      <c r="H249">
        <v>1</v>
      </c>
      <c r="I249" t="s">
        <v>1604</v>
      </c>
      <c r="J249" t="s">
        <v>1605</v>
      </c>
      <c r="K249" t="s">
        <v>1606</v>
      </c>
    </row>
    <row r="250" spans="1:11" hidden="1">
      <c r="A250" t="str">
        <f t="shared" si="6"/>
        <v>G</v>
      </c>
      <c r="B250" t="str">
        <f t="shared" si="7"/>
        <v>G0</v>
      </c>
      <c r="C250" s="568" t="s">
        <v>1633</v>
      </c>
      <c r="D250" s="568" t="s">
        <v>1634</v>
      </c>
      <c r="E250" s="569">
        <v>16</v>
      </c>
      <c r="F250" t="s">
        <v>1609</v>
      </c>
      <c r="G250" t="s">
        <v>247</v>
      </c>
      <c r="H250">
        <v>1</v>
      </c>
      <c r="I250" t="s">
        <v>1604</v>
      </c>
      <c r="J250" t="s">
        <v>1605</v>
      </c>
      <c r="K250" t="s">
        <v>1606</v>
      </c>
    </row>
    <row r="251" spans="1:11" hidden="1">
      <c r="A251" t="str">
        <f t="shared" si="6"/>
        <v>G</v>
      </c>
      <c r="B251" t="str">
        <f t="shared" si="7"/>
        <v>G0</v>
      </c>
      <c r="C251" s="568" t="s">
        <v>1635</v>
      </c>
      <c r="D251" s="568" t="s">
        <v>1636</v>
      </c>
      <c r="E251" s="569">
        <v>16</v>
      </c>
      <c r="F251" t="s">
        <v>1629</v>
      </c>
      <c r="G251" t="s">
        <v>247</v>
      </c>
      <c r="H251">
        <v>1</v>
      </c>
      <c r="I251" t="s">
        <v>1604</v>
      </c>
      <c r="J251" t="s">
        <v>1605</v>
      </c>
      <c r="K251" t="s">
        <v>1606</v>
      </c>
    </row>
    <row r="252" spans="1:11" hidden="1">
      <c r="A252" t="str">
        <f t="shared" si="6"/>
        <v>G</v>
      </c>
      <c r="B252" t="str">
        <f t="shared" si="7"/>
        <v>G1</v>
      </c>
      <c r="C252" s="568" t="s">
        <v>1637</v>
      </c>
      <c r="D252" s="568" t="s">
        <v>1638</v>
      </c>
      <c r="E252" s="569">
        <v>16</v>
      </c>
      <c r="F252" s="577" t="s">
        <v>1603</v>
      </c>
      <c r="G252" t="s">
        <v>247</v>
      </c>
      <c r="H252">
        <v>2</v>
      </c>
      <c r="I252" t="s">
        <v>1604</v>
      </c>
      <c r="J252" t="s">
        <v>1605</v>
      </c>
      <c r="K252" t="s">
        <v>1606</v>
      </c>
    </row>
    <row r="253" spans="1:11" hidden="1">
      <c r="A253" t="str">
        <f t="shared" si="6"/>
        <v>G</v>
      </c>
      <c r="B253" t="str">
        <f t="shared" si="7"/>
        <v>G1</v>
      </c>
      <c r="C253" s="568" t="s">
        <v>1639</v>
      </c>
      <c r="D253" s="568" t="s">
        <v>1638</v>
      </c>
      <c r="E253" s="569">
        <v>16</v>
      </c>
      <c r="F253" t="s">
        <v>1603</v>
      </c>
      <c r="G253" t="s">
        <v>247</v>
      </c>
      <c r="H253">
        <v>2</v>
      </c>
      <c r="I253" t="s">
        <v>1604</v>
      </c>
      <c r="J253" t="s">
        <v>1605</v>
      </c>
      <c r="K253" t="s">
        <v>1606</v>
      </c>
    </row>
    <row r="254" spans="1:11" hidden="1">
      <c r="A254" t="str">
        <f t="shared" si="6"/>
        <v>G</v>
      </c>
      <c r="B254" t="str">
        <f t="shared" si="7"/>
        <v>G1</v>
      </c>
      <c r="C254" s="568" t="s">
        <v>1640</v>
      </c>
      <c r="D254" s="568" t="s">
        <v>1624</v>
      </c>
      <c r="E254" s="569">
        <v>16</v>
      </c>
      <c r="F254" t="s">
        <v>1603</v>
      </c>
      <c r="G254" t="s">
        <v>247</v>
      </c>
      <c r="H254">
        <v>2</v>
      </c>
      <c r="I254" t="s">
        <v>1604</v>
      </c>
      <c r="J254" t="s">
        <v>1605</v>
      </c>
      <c r="K254" t="s">
        <v>1606</v>
      </c>
    </row>
    <row r="255" spans="1:11" hidden="1">
      <c r="A255" t="str">
        <f t="shared" si="6"/>
        <v>G</v>
      </c>
      <c r="B255" t="str">
        <f t="shared" si="7"/>
        <v>G1</v>
      </c>
      <c r="C255" s="568" t="s">
        <v>1641</v>
      </c>
      <c r="D255" s="568" t="s">
        <v>1624</v>
      </c>
      <c r="E255" s="569">
        <v>16</v>
      </c>
      <c r="F255" t="s">
        <v>1603</v>
      </c>
      <c r="G255" t="s">
        <v>247</v>
      </c>
      <c r="H255">
        <v>2</v>
      </c>
      <c r="I255" t="s">
        <v>1604</v>
      </c>
      <c r="J255" t="s">
        <v>1605</v>
      </c>
      <c r="K255" t="s">
        <v>1606</v>
      </c>
    </row>
    <row r="256" spans="1:11" hidden="1">
      <c r="A256" t="str">
        <f t="shared" si="6"/>
        <v>G</v>
      </c>
      <c r="B256" t="str">
        <f t="shared" si="7"/>
        <v>G1</v>
      </c>
      <c r="C256" s="568" t="s">
        <v>1642</v>
      </c>
      <c r="D256" s="568" t="s">
        <v>1624</v>
      </c>
      <c r="E256" s="569">
        <v>16</v>
      </c>
      <c r="F256" t="s">
        <v>1603</v>
      </c>
      <c r="G256" t="s">
        <v>247</v>
      </c>
      <c r="H256">
        <v>2</v>
      </c>
      <c r="I256" t="s">
        <v>1604</v>
      </c>
      <c r="J256" t="s">
        <v>1605</v>
      </c>
      <c r="K256" t="s">
        <v>1606</v>
      </c>
    </row>
    <row r="257" spans="1:11" hidden="1">
      <c r="A257" t="str">
        <f t="shared" si="6"/>
        <v>G</v>
      </c>
      <c r="B257" t="str">
        <f t="shared" si="7"/>
        <v>G1</v>
      </c>
      <c r="C257" s="568" t="s">
        <v>1643</v>
      </c>
      <c r="D257" s="568" t="s">
        <v>1624</v>
      </c>
      <c r="E257" s="569">
        <v>16</v>
      </c>
      <c r="F257" t="s">
        <v>1603</v>
      </c>
      <c r="G257" t="s">
        <v>247</v>
      </c>
      <c r="H257">
        <v>2</v>
      </c>
      <c r="I257" t="s">
        <v>1604</v>
      </c>
      <c r="J257" t="s">
        <v>1605</v>
      </c>
      <c r="K257" t="s">
        <v>1606</v>
      </c>
    </row>
    <row r="258" spans="1:11" hidden="1">
      <c r="A258" t="str">
        <f t="shared" si="6"/>
        <v>G</v>
      </c>
      <c r="B258" t="str">
        <f t="shared" si="7"/>
        <v>G1</v>
      </c>
      <c r="C258" s="568" t="s">
        <v>1644</v>
      </c>
      <c r="D258" s="568" t="s">
        <v>1624</v>
      </c>
      <c r="E258" s="569">
        <v>16</v>
      </c>
      <c r="F258" t="s">
        <v>1603</v>
      </c>
      <c r="G258" t="s">
        <v>247</v>
      </c>
      <c r="H258">
        <v>2</v>
      </c>
      <c r="I258" t="s">
        <v>1604</v>
      </c>
      <c r="J258" t="s">
        <v>1605</v>
      </c>
      <c r="K258" t="s">
        <v>1606</v>
      </c>
    </row>
    <row r="259" spans="1:11" hidden="1">
      <c r="A259" t="str">
        <f t="shared" ref="A259:A322" si="8">LEFT(C259)</f>
        <v>G</v>
      </c>
      <c r="B259" t="str">
        <f t="shared" si="7"/>
        <v>G1</v>
      </c>
      <c r="C259" s="568" t="s">
        <v>1645</v>
      </c>
      <c r="D259" s="568" t="s">
        <v>1624</v>
      </c>
      <c r="E259" s="569">
        <v>16</v>
      </c>
      <c r="F259" t="s">
        <v>1603</v>
      </c>
      <c r="G259" t="s">
        <v>247</v>
      </c>
      <c r="H259">
        <v>2</v>
      </c>
      <c r="I259" t="s">
        <v>1604</v>
      </c>
      <c r="J259" t="s">
        <v>1605</v>
      </c>
      <c r="K259" t="s">
        <v>1606</v>
      </c>
    </row>
    <row r="260" spans="1:11" hidden="1">
      <c r="A260" t="str">
        <f t="shared" si="8"/>
        <v>G</v>
      </c>
      <c r="B260" t="str">
        <f t="shared" ref="B260:B323" si="9">LEFT(C260,2)</f>
        <v>G1</v>
      </c>
      <c r="C260" s="568" t="s">
        <v>1646</v>
      </c>
      <c r="D260" s="568" t="s">
        <v>1624</v>
      </c>
      <c r="E260" s="569">
        <v>16</v>
      </c>
      <c r="F260" t="s">
        <v>1603</v>
      </c>
      <c r="G260" t="s">
        <v>247</v>
      </c>
      <c r="H260">
        <v>2</v>
      </c>
      <c r="I260" t="s">
        <v>1604</v>
      </c>
      <c r="J260" t="s">
        <v>1605</v>
      </c>
      <c r="K260" t="s">
        <v>1606</v>
      </c>
    </row>
    <row r="261" spans="1:11" hidden="1">
      <c r="A261" t="str">
        <f t="shared" si="8"/>
        <v>G</v>
      </c>
      <c r="B261" t="str">
        <f t="shared" si="9"/>
        <v>G1</v>
      </c>
      <c r="C261" s="568" t="s">
        <v>1647</v>
      </c>
      <c r="D261" s="568" t="s">
        <v>1624</v>
      </c>
      <c r="E261" s="569">
        <v>16</v>
      </c>
      <c r="F261" t="s">
        <v>1603</v>
      </c>
      <c r="G261" t="s">
        <v>247</v>
      </c>
      <c r="H261">
        <v>2</v>
      </c>
      <c r="I261" t="s">
        <v>1604</v>
      </c>
      <c r="J261" t="s">
        <v>1605</v>
      </c>
      <c r="K261" t="s">
        <v>1606</v>
      </c>
    </row>
    <row r="262" spans="1:11" hidden="1">
      <c r="A262" t="str">
        <f t="shared" si="8"/>
        <v>G</v>
      </c>
      <c r="B262" t="str">
        <f t="shared" si="9"/>
        <v>G1</v>
      </c>
      <c r="C262" s="568" t="s">
        <v>1648</v>
      </c>
      <c r="D262" s="568" t="s">
        <v>1624</v>
      </c>
      <c r="E262" s="569">
        <v>16</v>
      </c>
      <c r="F262" t="s">
        <v>1603</v>
      </c>
      <c r="G262" t="s">
        <v>247</v>
      </c>
      <c r="H262">
        <v>2</v>
      </c>
      <c r="I262" t="s">
        <v>1604</v>
      </c>
      <c r="J262" t="s">
        <v>1605</v>
      </c>
      <c r="K262" t="s">
        <v>1606</v>
      </c>
    </row>
    <row r="263" spans="1:11" hidden="1">
      <c r="A263" t="str">
        <f t="shared" si="8"/>
        <v>G</v>
      </c>
      <c r="B263" t="str">
        <f t="shared" si="9"/>
        <v>G1</v>
      </c>
      <c r="C263" s="568" t="s">
        <v>1649</v>
      </c>
      <c r="D263" s="568" t="s">
        <v>1624</v>
      </c>
      <c r="E263" s="569">
        <v>16</v>
      </c>
      <c r="F263" t="s">
        <v>1603</v>
      </c>
      <c r="G263" t="s">
        <v>247</v>
      </c>
      <c r="H263">
        <v>2</v>
      </c>
      <c r="I263" t="s">
        <v>1604</v>
      </c>
      <c r="J263" t="s">
        <v>1605</v>
      </c>
      <c r="K263" t="s">
        <v>1606</v>
      </c>
    </row>
    <row r="264" spans="1:11" hidden="1">
      <c r="A264" t="str">
        <f t="shared" si="8"/>
        <v>G</v>
      </c>
      <c r="B264" t="str">
        <f t="shared" si="9"/>
        <v>G1</v>
      </c>
      <c r="C264" s="568" t="s">
        <v>1650</v>
      </c>
      <c r="D264" s="568" t="s">
        <v>1624</v>
      </c>
      <c r="E264" s="569">
        <v>16</v>
      </c>
      <c r="F264" t="s">
        <v>1618</v>
      </c>
      <c r="G264" t="s">
        <v>247</v>
      </c>
      <c r="H264">
        <v>2</v>
      </c>
      <c r="I264" t="s">
        <v>1604</v>
      </c>
      <c r="J264" t="s">
        <v>1605</v>
      </c>
      <c r="K264" t="s">
        <v>1606</v>
      </c>
    </row>
    <row r="265" spans="1:11" hidden="1">
      <c r="A265" t="str">
        <f t="shared" si="8"/>
        <v>G</v>
      </c>
      <c r="B265" t="str">
        <f t="shared" si="9"/>
        <v>G1</v>
      </c>
      <c r="C265" s="568" t="s">
        <v>1651</v>
      </c>
      <c r="D265" s="568" t="s">
        <v>1638</v>
      </c>
      <c r="E265" s="569">
        <v>16</v>
      </c>
      <c r="F265" t="s">
        <v>1618</v>
      </c>
      <c r="G265" t="s">
        <v>247</v>
      </c>
      <c r="H265">
        <v>2</v>
      </c>
      <c r="I265" t="s">
        <v>1604</v>
      </c>
      <c r="J265" t="s">
        <v>1605</v>
      </c>
      <c r="K265" t="s">
        <v>1606</v>
      </c>
    </row>
    <row r="266" spans="1:11" hidden="1">
      <c r="A266" t="str">
        <f t="shared" si="8"/>
        <v>G</v>
      </c>
      <c r="B266" t="str">
        <f t="shared" si="9"/>
        <v>G1</v>
      </c>
      <c r="C266" s="568" t="s">
        <v>1652</v>
      </c>
      <c r="D266" s="568" t="s">
        <v>1624</v>
      </c>
      <c r="E266" s="569">
        <v>16</v>
      </c>
      <c r="F266" t="s">
        <v>1618</v>
      </c>
      <c r="G266" t="s">
        <v>247</v>
      </c>
      <c r="H266">
        <v>2</v>
      </c>
      <c r="I266" t="s">
        <v>1604</v>
      </c>
      <c r="J266" t="s">
        <v>1605</v>
      </c>
      <c r="K266" t="s">
        <v>1606</v>
      </c>
    </row>
    <row r="267" spans="1:11" hidden="1">
      <c r="A267" t="str">
        <f t="shared" si="8"/>
        <v>G</v>
      </c>
      <c r="B267" t="str">
        <f t="shared" si="9"/>
        <v>G1</v>
      </c>
      <c r="C267" s="568" t="s">
        <v>1653</v>
      </c>
      <c r="D267" s="568" t="s">
        <v>1624</v>
      </c>
      <c r="E267" s="569">
        <v>16</v>
      </c>
      <c r="F267" t="s">
        <v>1618</v>
      </c>
      <c r="G267" t="s">
        <v>247</v>
      </c>
      <c r="H267">
        <v>2</v>
      </c>
      <c r="I267" t="s">
        <v>1604</v>
      </c>
      <c r="J267" t="s">
        <v>1605</v>
      </c>
      <c r="K267" t="s">
        <v>1606</v>
      </c>
    </row>
    <row r="268" spans="1:11" hidden="1">
      <c r="A268" t="str">
        <f t="shared" si="8"/>
        <v>G</v>
      </c>
      <c r="B268" t="str">
        <f t="shared" si="9"/>
        <v>G1</v>
      </c>
      <c r="C268" s="568" t="s">
        <v>1654</v>
      </c>
      <c r="D268" s="568" t="s">
        <v>1624</v>
      </c>
      <c r="E268" s="569">
        <v>16</v>
      </c>
      <c r="F268" t="s">
        <v>1618</v>
      </c>
      <c r="G268" t="s">
        <v>247</v>
      </c>
      <c r="H268">
        <v>2</v>
      </c>
      <c r="I268" t="s">
        <v>1604</v>
      </c>
      <c r="J268" t="s">
        <v>1605</v>
      </c>
      <c r="K268" t="s">
        <v>1606</v>
      </c>
    </row>
    <row r="269" spans="1:11" hidden="1">
      <c r="A269" t="str">
        <f t="shared" si="8"/>
        <v>G</v>
      </c>
      <c r="B269" t="str">
        <f t="shared" si="9"/>
        <v>G1</v>
      </c>
      <c r="C269" s="568" t="s">
        <v>1655</v>
      </c>
      <c r="D269" s="568" t="s">
        <v>1624</v>
      </c>
      <c r="E269" s="569">
        <v>16</v>
      </c>
      <c r="F269" t="s">
        <v>1618</v>
      </c>
      <c r="G269" t="s">
        <v>247</v>
      </c>
      <c r="H269">
        <v>2</v>
      </c>
      <c r="I269" t="s">
        <v>1604</v>
      </c>
      <c r="J269" t="s">
        <v>1605</v>
      </c>
      <c r="K269" t="s">
        <v>1606</v>
      </c>
    </row>
    <row r="270" spans="1:11" hidden="1">
      <c r="A270" t="str">
        <f t="shared" si="8"/>
        <v>G</v>
      </c>
      <c r="B270" t="str">
        <f t="shared" si="9"/>
        <v>G1</v>
      </c>
      <c r="C270" s="568" t="s">
        <v>1656</v>
      </c>
      <c r="D270" s="568" t="s">
        <v>1624</v>
      </c>
      <c r="E270" s="569">
        <v>16</v>
      </c>
      <c r="F270" t="s">
        <v>1603</v>
      </c>
      <c r="G270" t="s">
        <v>247</v>
      </c>
      <c r="H270">
        <v>2</v>
      </c>
      <c r="I270" t="s">
        <v>1604</v>
      </c>
      <c r="J270" t="s">
        <v>1605</v>
      </c>
      <c r="K270" t="s">
        <v>1606</v>
      </c>
    </row>
    <row r="271" spans="1:11" hidden="1">
      <c r="A271" t="str">
        <f t="shared" si="8"/>
        <v>G</v>
      </c>
      <c r="B271" t="str">
        <f t="shared" si="9"/>
        <v>G2</v>
      </c>
      <c r="C271" s="568" t="s">
        <v>1657</v>
      </c>
      <c r="D271" s="568" t="s">
        <v>1624</v>
      </c>
      <c r="E271" s="569">
        <v>16</v>
      </c>
      <c r="F271" t="s">
        <v>1603</v>
      </c>
      <c r="G271" t="s">
        <v>247</v>
      </c>
      <c r="H271">
        <v>1</v>
      </c>
      <c r="I271" t="s">
        <v>1604</v>
      </c>
      <c r="J271" t="s">
        <v>1605</v>
      </c>
      <c r="K271" t="s">
        <v>1606</v>
      </c>
    </row>
    <row r="272" spans="1:11" hidden="1">
      <c r="A272" t="str">
        <f t="shared" si="8"/>
        <v>G</v>
      </c>
      <c r="B272" t="str">
        <f t="shared" si="9"/>
        <v>G2</v>
      </c>
      <c r="C272" s="568" t="s">
        <v>1658</v>
      </c>
      <c r="D272" s="568" t="s">
        <v>1659</v>
      </c>
      <c r="E272" s="569">
        <v>16</v>
      </c>
      <c r="F272" t="s">
        <v>1603</v>
      </c>
      <c r="G272" t="s">
        <v>247</v>
      </c>
      <c r="H272">
        <v>1</v>
      </c>
      <c r="I272" t="s">
        <v>1604</v>
      </c>
      <c r="J272" t="s">
        <v>1605</v>
      </c>
      <c r="K272" t="s">
        <v>1606</v>
      </c>
    </row>
    <row r="273" spans="1:11" hidden="1">
      <c r="A273" t="str">
        <f t="shared" si="8"/>
        <v>G</v>
      </c>
      <c r="B273" t="str">
        <f t="shared" si="9"/>
        <v>G2</v>
      </c>
      <c r="C273" s="568" t="s">
        <v>1660</v>
      </c>
      <c r="D273" s="568" t="s">
        <v>1638</v>
      </c>
      <c r="E273" s="569">
        <v>16</v>
      </c>
      <c r="F273" t="s">
        <v>1603</v>
      </c>
      <c r="G273" t="s">
        <v>247</v>
      </c>
      <c r="H273">
        <v>1</v>
      </c>
      <c r="I273" t="s">
        <v>1604</v>
      </c>
      <c r="J273" t="s">
        <v>1605</v>
      </c>
      <c r="K273" t="s">
        <v>1606</v>
      </c>
    </row>
    <row r="274" spans="1:11" hidden="1">
      <c r="A274" t="str">
        <f t="shared" si="8"/>
        <v>G</v>
      </c>
      <c r="B274" t="str">
        <f t="shared" si="9"/>
        <v>G2</v>
      </c>
      <c r="C274" s="568" t="s">
        <v>1661</v>
      </c>
      <c r="D274" s="568" t="s">
        <v>1662</v>
      </c>
      <c r="E274" s="569">
        <v>16</v>
      </c>
      <c r="F274" t="s">
        <v>1603</v>
      </c>
      <c r="G274" t="s">
        <v>247</v>
      </c>
      <c r="H274">
        <v>1</v>
      </c>
      <c r="I274" t="s">
        <v>1604</v>
      </c>
      <c r="J274" t="s">
        <v>1605</v>
      </c>
      <c r="K274" t="s">
        <v>1606</v>
      </c>
    </row>
    <row r="275" spans="1:11" hidden="1">
      <c r="A275" t="str">
        <f t="shared" si="8"/>
        <v>G</v>
      </c>
      <c r="B275" t="str">
        <f t="shared" si="9"/>
        <v>G2</v>
      </c>
      <c r="C275" s="568" t="s">
        <v>1663</v>
      </c>
      <c r="D275" s="568" t="s">
        <v>1624</v>
      </c>
      <c r="E275" s="569">
        <v>16</v>
      </c>
      <c r="F275" t="s">
        <v>1603</v>
      </c>
      <c r="G275" t="s">
        <v>247</v>
      </c>
      <c r="H275">
        <v>1</v>
      </c>
      <c r="I275" t="s">
        <v>1604</v>
      </c>
      <c r="J275" t="s">
        <v>1605</v>
      </c>
      <c r="K275" t="s">
        <v>1606</v>
      </c>
    </row>
    <row r="276" spans="1:11" hidden="1">
      <c r="A276" t="str">
        <f t="shared" si="8"/>
        <v>G</v>
      </c>
      <c r="B276" t="str">
        <f t="shared" si="9"/>
        <v>G2</v>
      </c>
      <c r="C276" s="568" t="s">
        <v>1664</v>
      </c>
      <c r="D276" s="568" t="s">
        <v>1659</v>
      </c>
      <c r="E276" s="569">
        <v>16</v>
      </c>
      <c r="F276" t="s">
        <v>1603</v>
      </c>
      <c r="G276" t="s">
        <v>247</v>
      </c>
      <c r="H276">
        <v>1</v>
      </c>
      <c r="I276" t="s">
        <v>1604</v>
      </c>
      <c r="J276" t="s">
        <v>1605</v>
      </c>
      <c r="K276" t="s">
        <v>1606</v>
      </c>
    </row>
    <row r="277" spans="1:11" hidden="1">
      <c r="A277" t="str">
        <f t="shared" si="8"/>
        <v>G</v>
      </c>
      <c r="B277" t="str">
        <f t="shared" si="9"/>
        <v>G2</v>
      </c>
      <c r="C277" s="568" t="s">
        <v>1665</v>
      </c>
      <c r="D277" s="568" t="s">
        <v>1659</v>
      </c>
      <c r="E277" s="569">
        <v>16</v>
      </c>
      <c r="F277" s="577" t="s">
        <v>1603</v>
      </c>
      <c r="G277" t="s">
        <v>247</v>
      </c>
      <c r="H277">
        <v>1</v>
      </c>
      <c r="I277" t="s">
        <v>1604</v>
      </c>
      <c r="J277" t="s">
        <v>1605</v>
      </c>
      <c r="K277" t="s">
        <v>1606</v>
      </c>
    </row>
    <row r="278" spans="1:11" hidden="1">
      <c r="A278" t="str">
        <f t="shared" si="8"/>
        <v>G</v>
      </c>
      <c r="B278" t="str">
        <f t="shared" si="9"/>
        <v>G2</v>
      </c>
      <c r="C278" s="568" t="s">
        <v>1666</v>
      </c>
      <c r="D278" s="568" t="s">
        <v>1624</v>
      </c>
      <c r="E278" s="569">
        <v>16</v>
      </c>
      <c r="F278" t="s">
        <v>1603</v>
      </c>
      <c r="G278" t="s">
        <v>247</v>
      </c>
      <c r="H278">
        <v>1</v>
      </c>
      <c r="I278" t="s">
        <v>1604</v>
      </c>
      <c r="J278" t="s">
        <v>1605</v>
      </c>
      <c r="K278" t="s">
        <v>1606</v>
      </c>
    </row>
    <row r="279" spans="1:11" hidden="1">
      <c r="A279" t="str">
        <f t="shared" si="8"/>
        <v>G</v>
      </c>
      <c r="B279" t="str">
        <f t="shared" si="9"/>
        <v>G2</v>
      </c>
      <c r="C279" s="568" t="s">
        <v>1667</v>
      </c>
      <c r="D279" s="568" t="s">
        <v>1624</v>
      </c>
      <c r="E279" s="569">
        <v>16</v>
      </c>
      <c r="F279" t="s">
        <v>1603</v>
      </c>
      <c r="G279" t="s">
        <v>247</v>
      </c>
      <c r="H279">
        <v>1</v>
      </c>
      <c r="I279" t="s">
        <v>1604</v>
      </c>
      <c r="J279" t="s">
        <v>1605</v>
      </c>
      <c r="K279" t="s">
        <v>1606</v>
      </c>
    </row>
    <row r="280" spans="1:11" hidden="1">
      <c r="A280" t="str">
        <f t="shared" si="8"/>
        <v>G</v>
      </c>
      <c r="B280" t="str">
        <f t="shared" si="9"/>
        <v>G2</v>
      </c>
      <c r="C280" s="568" t="s">
        <v>1668</v>
      </c>
      <c r="D280" s="568" t="s">
        <v>1624</v>
      </c>
      <c r="E280" s="569">
        <v>16</v>
      </c>
      <c r="F280" t="s">
        <v>1603</v>
      </c>
      <c r="G280" t="s">
        <v>247</v>
      </c>
      <c r="H280">
        <v>1</v>
      </c>
      <c r="I280" t="s">
        <v>1604</v>
      </c>
      <c r="J280" t="s">
        <v>1605</v>
      </c>
      <c r="K280" t="s">
        <v>1606</v>
      </c>
    </row>
    <row r="281" spans="1:11" hidden="1">
      <c r="A281" t="str">
        <f t="shared" si="8"/>
        <v>G</v>
      </c>
      <c r="B281" t="str">
        <f t="shared" si="9"/>
        <v>G3</v>
      </c>
      <c r="C281" s="568" t="s">
        <v>1669</v>
      </c>
      <c r="D281" s="568" t="s">
        <v>1659</v>
      </c>
      <c r="E281" s="569">
        <v>16</v>
      </c>
      <c r="F281" t="s">
        <v>1603</v>
      </c>
      <c r="G281" t="s">
        <v>247</v>
      </c>
      <c r="H281">
        <v>1</v>
      </c>
      <c r="I281" t="s">
        <v>1604</v>
      </c>
      <c r="J281" t="s">
        <v>1605</v>
      </c>
      <c r="K281" t="s">
        <v>1606</v>
      </c>
    </row>
    <row r="282" spans="1:11" hidden="1">
      <c r="A282" t="str">
        <f t="shared" si="8"/>
        <v>G</v>
      </c>
      <c r="B282" t="str">
        <f t="shared" si="9"/>
        <v>G3</v>
      </c>
      <c r="C282" s="575" t="s">
        <v>1670</v>
      </c>
      <c r="D282" s="575" t="s">
        <v>1631</v>
      </c>
      <c r="E282" s="576">
        <v>16</v>
      </c>
      <c r="F282" t="s">
        <v>1603</v>
      </c>
      <c r="G282" t="s">
        <v>247</v>
      </c>
      <c r="H282">
        <v>1</v>
      </c>
      <c r="I282" t="s">
        <v>1604</v>
      </c>
      <c r="J282" t="s">
        <v>1605</v>
      </c>
      <c r="K282" t="s">
        <v>1606</v>
      </c>
    </row>
    <row r="283" spans="1:11" hidden="1">
      <c r="A283" t="str">
        <f t="shared" si="8"/>
        <v>G</v>
      </c>
      <c r="B283" t="str">
        <f t="shared" si="9"/>
        <v>G3</v>
      </c>
      <c r="C283" s="568" t="s">
        <v>1671</v>
      </c>
      <c r="D283" s="568" t="s">
        <v>1624</v>
      </c>
      <c r="E283" s="569">
        <v>16</v>
      </c>
      <c r="F283" t="s">
        <v>1603</v>
      </c>
      <c r="G283" t="s">
        <v>247</v>
      </c>
      <c r="H283">
        <v>1</v>
      </c>
      <c r="I283" t="s">
        <v>1604</v>
      </c>
      <c r="J283" t="s">
        <v>1605</v>
      </c>
      <c r="K283" t="s">
        <v>1606</v>
      </c>
    </row>
    <row r="284" spans="1:11" hidden="1">
      <c r="A284" t="str">
        <f t="shared" si="8"/>
        <v>G</v>
      </c>
      <c r="B284" t="str">
        <f t="shared" si="9"/>
        <v>G3</v>
      </c>
      <c r="C284" s="568" t="s">
        <v>1672</v>
      </c>
      <c r="D284" s="568" t="s">
        <v>1624</v>
      </c>
      <c r="E284" s="569">
        <v>16</v>
      </c>
      <c r="F284" s="577" t="s">
        <v>1603</v>
      </c>
      <c r="G284" t="s">
        <v>247</v>
      </c>
      <c r="H284">
        <v>1</v>
      </c>
      <c r="I284" t="s">
        <v>1604</v>
      </c>
      <c r="J284" t="s">
        <v>1605</v>
      </c>
      <c r="K284" t="s">
        <v>1606</v>
      </c>
    </row>
    <row r="285" spans="1:11" hidden="1">
      <c r="A285" t="str">
        <f t="shared" si="8"/>
        <v>G</v>
      </c>
      <c r="B285" t="str">
        <f t="shared" si="9"/>
        <v>G3</v>
      </c>
      <c r="C285" s="568" t="s">
        <v>1673</v>
      </c>
      <c r="D285" s="568" t="s">
        <v>1636</v>
      </c>
      <c r="E285" s="569">
        <v>16</v>
      </c>
      <c r="F285" t="s">
        <v>1603</v>
      </c>
      <c r="G285" t="s">
        <v>247</v>
      </c>
      <c r="H285">
        <v>1</v>
      </c>
      <c r="I285" t="s">
        <v>1604</v>
      </c>
      <c r="J285" t="s">
        <v>1605</v>
      </c>
      <c r="K285" t="s">
        <v>1606</v>
      </c>
    </row>
    <row r="286" spans="1:11" hidden="1">
      <c r="A286" t="str">
        <f t="shared" si="8"/>
        <v>G</v>
      </c>
      <c r="B286" t="str">
        <f t="shared" si="9"/>
        <v>G3</v>
      </c>
      <c r="C286" s="568" t="s">
        <v>1674</v>
      </c>
      <c r="D286" s="568" t="s">
        <v>1638</v>
      </c>
      <c r="E286" s="569">
        <v>16</v>
      </c>
      <c r="F286" t="s">
        <v>1603</v>
      </c>
      <c r="G286" t="s">
        <v>247</v>
      </c>
      <c r="H286">
        <v>1</v>
      </c>
      <c r="I286" t="s">
        <v>1604</v>
      </c>
      <c r="J286" t="s">
        <v>1605</v>
      </c>
      <c r="K286" t="s">
        <v>1606</v>
      </c>
    </row>
    <row r="287" spans="1:11" hidden="1">
      <c r="A287" t="str">
        <f t="shared" si="8"/>
        <v>G</v>
      </c>
      <c r="B287" t="str">
        <f t="shared" si="9"/>
        <v>G3</v>
      </c>
      <c r="C287" s="568" t="s">
        <v>1675</v>
      </c>
      <c r="D287" s="568" t="s">
        <v>1659</v>
      </c>
      <c r="E287" s="569">
        <v>16</v>
      </c>
      <c r="F287" t="s">
        <v>1603</v>
      </c>
      <c r="G287" t="s">
        <v>247</v>
      </c>
      <c r="H287">
        <v>1</v>
      </c>
      <c r="I287" t="s">
        <v>1604</v>
      </c>
      <c r="J287" t="s">
        <v>1605</v>
      </c>
      <c r="K287" t="s">
        <v>1606</v>
      </c>
    </row>
    <row r="288" spans="1:11" hidden="1">
      <c r="A288" t="str">
        <f t="shared" si="8"/>
        <v>G</v>
      </c>
      <c r="B288" t="str">
        <f t="shared" si="9"/>
        <v>G3</v>
      </c>
      <c r="C288" s="568" t="s">
        <v>1676</v>
      </c>
      <c r="D288" s="568" t="s">
        <v>1638</v>
      </c>
      <c r="E288" s="569">
        <v>16</v>
      </c>
      <c r="F288" t="s">
        <v>1603</v>
      </c>
      <c r="G288" t="s">
        <v>247</v>
      </c>
      <c r="H288">
        <v>1</v>
      </c>
      <c r="I288" t="s">
        <v>1604</v>
      </c>
      <c r="J288" t="s">
        <v>1605</v>
      </c>
      <c r="K288" t="s">
        <v>1606</v>
      </c>
    </row>
    <row r="289" spans="1:11" hidden="1">
      <c r="A289" t="str">
        <f t="shared" si="8"/>
        <v>G</v>
      </c>
      <c r="B289" t="str">
        <f t="shared" si="9"/>
        <v>G3</v>
      </c>
      <c r="C289" s="568" t="s">
        <v>1677</v>
      </c>
      <c r="D289" s="568" t="s">
        <v>1636</v>
      </c>
      <c r="E289" s="569">
        <v>16</v>
      </c>
      <c r="F289" t="s">
        <v>1603</v>
      </c>
      <c r="G289" t="s">
        <v>247</v>
      </c>
      <c r="H289">
        <v>1</v>
      </c>
      <c r="I289" t="s">
        <v>1604</v>
      </c>
      <c r="J289" t="s">
        <v>1605</v>
      </c>
      <c r="K289" t="s">
        <v>1606</v>
      </c>
    </row>
    <row r="290" spans="1:11" hidden="1">
      <c r="A290" t="str">
        <f t="shared" si="8"/>
        <v>G</v>
      </c>
      <c r="B290" t="str">
        <f t="shared" si="9"/>
        <v>G3</v>
      </c>
      <c r="C290" s="575" t="s">
        <v>1678</v>
      </c>
      <c r="D290" s="575" t="s">
        <v>1636</v>
      </c>
      <c r="E290" s="576">
        <v>16</v>
      </c>
      <c r="F290" t="s">
        <v>1603</v>
      </c>
      <c r="G290" t="s">
        <v>247</v>
      </c>
      <c r="H290">
        <v>1</v>
      </c>
      <c r="I290" t="s">
        <v>1604</v>
      </c>
      <c r="J290" t="s">
        <v>1605</v>
      </c>
      <c r="K290" t="s">
        <v>1606</v>
      </c>
    </row>
    <row r="291" spans="1:11" hidden="1">
      <c r="A291" t="str">
        <f t="shared" si="8"/>
        <v>G</v>
      </c>
      <c r="B291" t="str">
        <f t="shared" si="9"/>
        <v>G3</v>
      </c>
      <c r="C291" s="568" t="s">
        <v>1679</v>
      </c>
      <c r="D291" s="568" t="s">
        <v>1602</v>
      </c>
      <c r="E291" s="569">
        <v>16</v>
      </c>
      <c r="F291" s="577" t="s">
        <v>1680</v>
      </c>
      <c r="G291" t="s">
        <v>247</v>
      </c>
      <c r="H291">
        <v>1</v>
      </c>
      <c r="I291" t="s">
        <v>1604</v>
      </c>
      <c r="J291" t="s">
        <v>1681</v>
      </c>
      <c r="K291" t="s">
        <v>1606</v>
      </c>
    </row>
    <row r="292" spans="1:11" hidden="1">
      <c r="A292" t="str">
        <f t="shared" si="8"/>
        <v>G</v>
      </c>
      <c r="B292" t="str">
        <f t="shared" si="9"/>
        <v>G4</v>
      </c>
      <c r="C292" s="568" t="s">
        <v>1682</v>
      </c>
      <c r="D292" s="568" t="s">
        <v>1602</v>
      </c>
      <c r="E292" s="569">
        <v>16</v>
      </c>
      <c r="F292" t="s">
        <v>1680</v>
      </c>
      <c r="G292" t="s">
        <v>247</v>
      </c>
      <c r="H292">
        <v>1</v>
      </c>
      <c r="I292" t="s">
        <v>1604</v>
      </c>
      <c r="J292" t="s">
        <v>1681</v>
      </c>
      <c r="K292" t="s">
        <v>1606</v>
      </c>
    </row>
    <row r="293" spans="1:11" hidden="1">
      <c r="A293" t="str">
        <f t="shared" si="8"/>
        <v>G</v>
      </c>
      <c r="B293" t="str">
        <f t="shared" si="9"/>
        <v>G4</v>
      </c>
      <c r="C293" s="568" t="s">
        <v>1683</v>
      </c>
      <c r="D293" s="568" t="s">
        <v>1602</v>
      </c>
      <c r="E293" s="569">
        <v>16</v>
      </c>
      <c r="F293" t="s">
        <v>1609</v>
      </c>
      <c r="G293" t="s">
        <v>247</v>
      </c>
      <c r="H293">
        <v>1</v>
      </c>
      <c r="I293" t="s">
        <v>1604</v>
      </c>
      <c r="J293" t="s">
        <v>1605</v>
      </c>
      <c r="K293" t="s">
        <v>1606</v>
      </c>
    </row>
    <row r="294" spans="1:11" hidden="1">
      <c r="A294" t="str">
        <f t="shared" si="8"/>
        <v>G</v>
      </c>
      <c r="B294" t="str">
        <f t="shared" si="9"/>
        <v>G4</v>
      </c>
      <c r="C294" s="568" t="s">
        <v>1684</v>
      </c>
      <c r="D294" s="568" t="s">
        <v>1608</v>
      </c>
      <c r="E294" s="569">
        <v>16</v>
      </c>
      <c r="F294" t="s">
        <v>1609</v>
      </c>
      <c r="G294" t="s">
        <v>247</v>
      </c>
      <c r="H294">
        <v>1</v>
      </c>
      <c r="I294" t="s">
        <v>1604</v>
      </c>
      <c r="J294" t="s">
        <v>1605</v>
      </c>
      <c r="K294" t="s">
        <v>1606</v>
      </c>
    </row>
    <row r="295" spans="1:11" hidden="1">
      <c r="A295" t="str">
        <f t="shared" si="8"/>
        <v>G</v>
      </c>
      <c r="B295" t="str">
        <f t="shared" si="9"/>
        <v>G4</v>
      </c>
      <c r="C295" s="568" t="s">
        <v>1685</v>
      </c>
      <c r="D295" s="568" t="s">
        <v>1608</v>
      </c>
      <c r="E295" s="569">
        <v>16</v>
      </c>
      <c r="F295" s="577" t="s">
        <v>1609</v>
      </c>
      <c r="G295" t="s">
        <v>247</v>
      </c>
      <c r="H295">
        <v>1</v>
      </c>
      <c r="I295" t="s">
        <v>1604</v>
      </c>
      <c r="J295" t="s">
        <v>1605</v>
      </c>
      <c r="K295" t="s">
        <v>1606</v>
      </c>
    </row>
    <row r="296" spans="1:11" hidden="1">
      <c r="A296" t="str">
        <f t="shared" si="8"/>
        <v>G</v>
      </c>
      <c r="B296" t="str">
        <f t="shared" si="9"/>
        <v>G4</v>
      </c>
      <c r="C296" s="568" t="s">
        <v>1686</v>
      </c>
      <c r="D296" s="568" t="s">
        <v>1611</v>
      </c>
      <c r="E296" s="569">
        <v>16</v>
      </c>
      <c r="F296" t="s">
        <v>1616</v>
      </c>
      <c r="G296" t="s">
        <v>247</v>
      </c>
      <c r="H296">
        <v>1</v>
      </c>
      <c r="I296" t="s">
        <v>1604</v>
      </c>
      <c r="J296" t="s">
        <v>1605</v>
      </c>
      <c r="K296" t="s">
        <v>1606</v>
      </c>
    </row>
    <row r="297" spans="1:11" hidden="1">
      <c r="A297" t="str">
        <f t="shared" si="8"/>
        <v>G</v>
      </c>
      <c r="B297" t="str">
        <f t="shared" si="9"/>
        <v>G4</v>
      </c>
      <c r="C297" s="568" t="s">
        <v>1687</v>
      </c>
      <c r="D297" s="568" t="s">
        <v>1614</v>
      </c>
      <c r="E297" s="569">
        <v>16</v>
      </c>
      <c r="F297" t="s">
        <v>1603</v>
      </c>
      <c r="G297" t="s">
        <v>247</v>
      </c>
      <c r="H297">
        <v>1</v>
      </c>
      <c r="I297" t="s">
        <v>1604</v>
      </c>
      <c r="J297" t="s">
        <v>1605</v>
      </c>
      <c r="K297" t="s">
        <v>1606</v>
      </c>
    </row>
    <row r="298" spans="1:11" hidden="1">
      <c r="A298" t="str">
        <f t="shared" si="8"/>
        <v>G</v>
      </c>
      <c r="B298" t="str">
        <f t="shared" si="9"/>
        <v>G4</v>
      </c>
      <c r="C298" s="568" t="s">
        <v>1688</v>
      </c>
      <c r="D298" s="568" t="s">
        <v>1611</v>
      </c>
      <c r="E298" s="569">
        <v>16</v>
      </c>
      <c r="F298" t="s">
        <v>1609</v>
      </c>
      <c r="G298" t="s">
        <v>247</v>
      </c>
      <c r="H298">
        <v>1</v>
      </c>
      <c r="I298" t="s">
        <v>1604</v>
      </c>
      <c r="J298" t="s">
        <v>1605</v>
      </c>
      <c r="K298" t="s">
        <v>1606</v>
      </c>
    </row>
    <row r="299" spans="1:11" hidden="1">
      <c r="A299" t="str">
        <f t="shared" si="8"/>
        <v>G</v>
      </c>
      <c r="B299" t="str">
        <f t="shared" si="9"/>
        <v>G4</v>
      </c>
      <c r="C299" s="568" t="s">
        <v>1689</v>
      </c>
      <c r="D299" s="568" t="s">
        <v>1608</v>
      </c>
      <c r="E299" s="569">
        <v>16</v>
      </c>
      <c r="F299" t="s">
        <v>1609</v>
      </c>
      <c r="G299" t="s">
        <v>247</v>
      </c>
      <c r="H299">
        <v>1</v>
      </c>
      <c r="I299" t="s">
        <v>1604</v>
      </c>
      <c r="J299" t="s">
        <v>1605</v>
      </c>
      <c r="K299" t="s">
        <v>1606</v>
      </c>
    </row>
    <row r="300" spans="1:11" hidden="1">
      <c r="A300" t="str">
        <f t="shared" si="8"/>
        <v>G</v>
      </c>
      <c r="B300" t="str">
        <f t="shared" si="9"/>
        <v>G5</v>
      </c>
      <c r="C300" s="568" t="s">
        <v>1690</v>
      </c>
      <c r="D300" s="568" t="s">
        <v>1602</v>
      </c>
      <c r="E300" s="569">
        <v>16</v>
      </c>
      <c r="F300" t="s">
        <v>1680</v>
      </c>
      <c r="G300" t="s">
        <v>247</v>
      </c>
      <c r="H300">
        <v>1</v>
      </c>
      <c r="I300" t="s">
        <v>1604</v>
      </c>
      <c r="J300" t="s">
        <v>1681</v>
      </c>
      <c r="K300" t="s">
        <v>1606</v>
      </c>
    </row>
    <row r="301" spans="1:11" hidden="1">
      <c r="A301" t="str">
        <f t="shared" si="8"/>
        <v>G</v>
      </c>
      <c r="B301" t="str">
        <f t="shared" si="9"/>
        <v>G5</v>
      </c>
      <c r="C301" s="568" t="s">
        <v>1691</v>
      </c>
      <c r="D301" s="568" t="s">
        <v>1602</v>
      </c>
      <c r="E301" s="569">
        <v>16</v>
      </c>
      <c r="F301" t="s">
        <v>1609</v>
      </c>
      <c r="G301" t="s">
        <v>247</v>
      </c>
      <c r="H301">
        <v>1</v>
      </c>
      <c r="I301" t="s">
        <v>1604</v>
      </c>
      <c r="J301" t="s">
        <v>1605</v>
      </c>
      <c r="K301" t="s">
        <v>1606</v>
      </c>
    </row>
    <row r="302" spans="1:11" hidden="1">
      <c r="A302" t="str">
        <f t="shared" si="8"/>
        <v>G</v>
      </c>
      <c r="B302" t="str">
        <f t="shared" si="9"/>
        <v>G5</v>
      </c>
      <c r="C302" s="568" t="s">
        <v>1692</v>
      </c>
      <c r="D302" s="568" t="s">
        <v>1614</v>
      </c>
      <c r="E302" s="569">
        <v>16</v>
      </c>
      <c r="F302" t="s">
        <v>1616</v>
      </c>
      <c r="G302" t="s">
        <v>247</v>
      </c>
      <c r="H302">
        <v>1</v>
      </c>
      <c r="I302" t="s">
        <v>1604</v>
      </c>
      <c r="J302" t="s">
        <v>1605</v>
      </c>
      <c r="K302" t="s">
        <v>1606</v>
      </c>
    </row>
    <row r="303" spans="1:11" hidden="1">
      <c r="A303" t="str">
        <f t="shared" si="8"/>
        <v>G</v>
      </c>
      <c r="B303" t="str">
        <f t="shared" si="9"/>
        <v>G5</v>
      </c>
      <c r="C303" s="568" t="s">
        <v>1693</v>
      </c>
      <c r="D303" s="568" t="s">
        <v>1614</v>
      </c>
      <c r="E303" s="569">
        <v>16</v>
      </c>
      <c r="F303" t="s">
        <v>1618</v>
      </c>
      <c r="G303" t="s">
        <v>247</v>
      </c>
      <c r="H303">
        <v>1</v>
      </c>
      <c r="I303" t="s">
        <v>1604</v>
      </c>
      <c r="J303" t="s">
        <v>1605</v>
      </c>
      <c r="K303" t="s">
        <v>1606</v>
      </c>
    </row>
    <row r="304" spans="1:11" hidden="1">
      <c r="A304" t="str">
        <f t="shared" si="8"/>
        <v>G</v>
      </c>
      <c r="B304" t="str">
        <f t="shared" si="9"/>
        <v>G5</v>
      </c>
      <c r="C304" s="568" t="s">
        <v>1694</v>
      </c>
      <c r="D304" s="568" t="s">
        <v>1614</v>
      </c>
      <c r="E304" s="569">
        <v>16</v>
      </c>
      <c r="F304" t="s">
        <v>1609</v>
      </c>
      <c r="G304" t="s">
        <v>247</v>
      </c>
      <c r="H304">
        <v>1</v>
      </c>
      <c r="I304" t="s">
        <v>1604</v>
      </c>
      <c r="J304" t="s">
        <v>1605</v>
      </c>
      <c r="K304" t="s">
        <v>1606</v>
      </c>
    </row>
    <row r="305" spans="1:11" hidden="1">
      <c r="A305" t="str">
        <f t="shared" si="8"/>
        <v>G</v>
      </c>
      <c r="B305" t="str">
        <f t="shared" si="9"/>
        <v>G5</v>
      </c>
      <c r="C305" s="568" t="s">
        <v>1695</v>
      </c>
      <c r="D305" s="568" t="s">
        <v>1614</v>
      </c>
      <c r="E305" s="569">
        <v>16</v>
      </c>
      <c r="F305" t="s">
        <v>1618</v>
      </c>
      <c r="G305" t="s">
        <v>247</v>
      </c>
      <c r="H305">
        <v>1</v>
      </c>
      <c r="I305" t="s">
        <v>1604</v>
      </c>
      <c r="J305" t="s">
        <v>1605</v>
      </c>
      <c r="K305" t="s">
        <v>1606</v>
      </c>
    </row>
    <row r="306" spans="1:11" hidden="1">
      <c r="A306" t="str">
        <f t="shared" si="8"/>
        <v>G</v>
      </c>
      <c r="B306" t="str">
        <f t="shared" si="9"/>
        <v>G5</v>
      </c>
      <c r="C306" s="568" t="s">
        <v>1696</v>
      </c>
      <c r="D306" s="568" t="s">
        <v>1624</v>
      </c>
      <c r="E306" s="569">
        <v>16</v>
      </c>
      <c r="F306" t="s">
        <v>1618</v>
      </c>
      <c r="G306" t="s">
        <v>247</v>
      </c>
      <c r="H306">
        <v>1</v>
      </c>
      <c r="I306" t="s">
        <v>1604</v>
      </c>
      <c r="J306" t="s">
        <v>1605</v>
      </c>
      <c r="K306" t="s">
        <v>1606</v>
      </c>
    </row>
    <row r="307" spans="1:11" hidden="1">
      <c r="A307" t="str">
        <f t="shared" si="8"/>
        <v>G</v>
      </c>
      <c r="B307" t="str">
        <f t="shared" si="9"/>
        <v>G5</v>
      </c>
      <c r="C307" s="568" t="s">
        <v>1697</v>
      </c>
      <c r="D307" s="568" t="s">
        <v>1624</v>
      </c>
      <c r="E307" s="569">
        <v>16</v>
      </c>
      <c r="F307" t="s">
        <v>1618</v>
      </c>
      <c r="G307" t="s">
        <v>247</v>
      </c>
      <c r="H307">
        <v>1</v>
      </c>
      <c r="I307" t="s">
        <v>1604</v>
      </c>
      <c r="J307" t="s">
        <v>1605</v>
      </c>
      <c r="K307" t="s">
        <v>1606</v>
      </c>
    </row>
    <row r="308" spans="1:11" hidden="1">
      <c r="A308" t="str">
        <f t="shared" si="8"/>
        <v>G</v>
      </c>
      <c r="B308" t="str">
        <f t="shared" si="9"/>
        <v>G5</v>
      </c>
      <c r="C308" s="568" t="s">
        <v>1698</v>
      </c>
      <c r="D308" s="568" t="s">
        <v>1624</v>
      </c>
      <c r="E308" s="569">
        <v>16</v>
      </c>
      <c r="F308" t="s">
        <v>1603</v>
      </c>
      <c r="G308" t="s">
        <v>247</v>
      </c>
      <c r="H308">
        <v>1</v>
      </c>
      <c r="I308" t="s">
        <v>1604</v>
      </c>
      <c r="J308" t="s">
        <v>1605</v>
      </c>
      <c r="K308" t="s">
        <v>1606</v>
      </c>
    </row>
    <row r="309" spans="1:11" hidden="1">
      <c r="A309" t="str">
        <f t="shared" si="8"/>
        <v>G</v>
      </c>
      <c r="B309" t="str">
        <f t="shared" si="9"/>
        <v>G5</v>
      </c>
      <c r="C309" s="568" t="s">
        <v>1699</v>
      </c>
      <c r="D309" s="568" t="s">
        <v>1624</v>
      </c>
      <c r="E309" s="569">
        <v>16</v>
      </c>
      <c r="F309" t="s">
        <v>1609</v>
      </c>
      <c r="G309" t="s">
        <v>247</v>
      </c>
      <c r="H309">
        <v>1</v>
      </c>
      <c r="I309" t="s">
        <v>1604</v>
      </c>
      <c r="J309" t="s">
        <v>1605</v>
      </c>
      <c r="K309" t="s">
        <v>1606</v>
      </c>
    </row>
    <row r="310" spans="1:11" hidden="1">
      <c r="A310" t="str">
        <f t="shared" si="8"/>
        <v>G</v>
      </c>
      <c r="B310" t="str">
        <f t="shared" si="9"/>
        <v>G5</v>
      </c>
      <c r="C310" s="568" t="s">
        <v>1700</v>
      </c>
      <c r="D310" s="568" t="s">
        <v>1624</v>
      </c>
      <c r="E310" s="569">
        <v>16</v>
      </c>
      <c r="F310" t="s">
        <v>1603</v>
      </c>
      <c r="G310" t="s">
        <v>247</v>
      </c>
      <c r="H310">
        <v>1</v>
      </c>
      <c r="I310" t="s">
        <v>1604</v>
      </c>
      <c r="J310" t="s">
        <v>1605</v>
      </c>
      <c r="K310" t="s">
        <v>1606</v>
      </c>
    </row>
    <row r="311" spans="1:11" hidden="1">
      <c r="A311" t="str">
        <f t="shared" si="8"/>
        <v>G</v>
      </c>
      <c r="B311" t="str">
        <f t="shared" si="9"/>
        <v>G5</v>
      </c>
      <c r="C311" s="568" t="s">
        <v>1701</v>
      </c>
      <c r="D311" s="568" t="s">
        <v>1662</v>
      </c>
      <c r="E311" s="569">
        <v>16</v>
      </c>
      <c r="F311" t="s">
        <v>1616</v>
      </c>
      <c r="G311" t="s">
        <v>247</v>
      </c>
      <c r="H311">
        <v>1</v>
      </c>
      <c r="I311" t="s">
        <v>1604</v>
      </c>
      <c r="J311" t="s">
        <v>1605</v>
      </c>
      <c r="K311" t="s">
        <v>1606</v>
      </c>
    </row>
    <row r="312" spans="1:11" hidden="1">
      <c r="A312" t="str">
        <f t="shared" si="8"/>
        <v>G</v>
      </c>
      <c r="B312" t="str">
        <f t="shared" si="9"/>
        <v>G5</v>
      </c>
      <c r="C312" s="568" t="s">
        <v>1702</v>
      </c>
      <c r="D312" s="568" t="s">
        <v>1614</v>
      </c>
      <c r="E312" s="569">
        <v>16</v>
      </c>
      <c r="F312" t="s">
        <v>1609</v>
      </c>
      <c r="G312" t="s">
        <v>247</v>
      </c>
      <c r="H312">
        <v>1</v>
      </c>
      <c r="I312" t="s">
        <v>1604</v>
      </c>
      <c r="J312" t="s">
        <v>1605</v>
      </c>
      <c r="K312" t="s">
        <v>1606</v>
      </c>
    </row>
    <row r="313" spans="1:11" hidden="1">
      <c r="A313" t="str">
        <f t="shared" si="8"/>
        <v>G</v>
      </c>
      <c r="B313" t="str">
        <f t="shared" si="9"/>
        <v>G5</v>
      </c>
      <c r="C313" s="568" t="s">
        <v>1703</v>
      </c>
      <c r="D313" s="568" t="s">
        <v>1608</v>
      </c>
      <c r="E313" s="569">
        <v>16</v>
      </c>
      <c r="F313" t="s">
        <v>1609</v>
      </c>
      <c r="G313" t="s">
        <v>247</v>
      </c>
      <c r="H313">
        <v>1</v>
      </c>
      <c r="I313" t="s">
        <v>1604</v>
      </c>
      <c r="J313" t="s">
        <v>1605</v>
      </c>
      <c r="K313" t="s">
        <v>1606</v>
      </c>
    </row>
    <row r="314" spans="1:11" hidden="1">
      <c r="A314" t="str">
        <f t="shared" si="8"/>
        <v>G</v>
      </c>
      <c r="B314" t="str">
        <f t="shared" si="9"/>
        <v>G6</v>
      </c>
      <c r="C314" s="568" t="s">
        <v>1704</v>
      </c>
      <c r="D314" s="568" t="s">
        <v>1608</v>
      </c>
      <c r="E314" s="569">
        <v>16</v>
      </c>
      <c r="F314" t="s">
        <v>1609</v>
      </c>
      <c r="G314" t="s">
        <v>247</v>
      </c>
      <c r="H314">
        <v>1</v>
      </c>
      <c r="I314" t="s">
        <v>1604</v>
      </c>
      <c r="J314" t="s">
        <v>1605</v>
      </c>
      <c r="K314" t="s">
        <v>1606</v>
      </c>
    </row>
    <row r="315" spans="1:11" hidden="1">
      <c r="A315" t="str">
        <f t="shared" si="8"/>
        <v>G</v>
      </c>
      <c r="B315" t="str">
        <f t="shared" si="9"/>
        <v>G6</v>
      </c>
      <c r="C315" s="568" t="s">
        <v>1705</v>
      </c>
      <c r="D315" s="568" t="s">
        <v>1608</v>
      </c>
      <c r="E315" s="569">
        <v>16</v>
      </c>
      <c r="F315" t="s">
        <v>1609</v>
      </c>
      <c r="G315" t="s">
        <v>247</v>
      </c>
      <c r="H315">
        <v>1</v>
      </c>
      <c r="I315" t="s">
        <v>1604</v>
      </c>
      <c r="J315" t="s">
        <v>1605</v>
      </c>
      <c r="K315" t="s">
        <v>1606</v>
      </c>
    </row>
    <row r="316" spans="1:11" hidden="1">
      <c r="A316" t="str">
        <f t="shared" si="8"/>
        <v>G</v>
      </c>
      <c r="B316" t="str">
        <f t="shared" si="9"/>
        <v>G6</v>
      </c>
      <c r="C316" s="568" t="s">
        <v>1706</v>
      </c>
      <c r="D316" s="568" t="s">
        <v>1636</v>
      </c>
      <c r="E316" s="569">
        <v>16</v>
      </c>
      <c r="F316" t="s">
        <v>1603</v>
      </c>
      <c r="G316" t="s">
        <v>247</v>
      </c>
      <c r="H316">
        <v>1</v>
      </c>
      <c r="I316" t="s">
        <v>1604</v>
      </c>
      <c r="J316" t="s">
        <v>1605</v>
      </c>
      <c r="K316" t="s">
        <v>1606</v>
      </c>
    </row>
    <row r="317" spans="1:11" hidden="1">
      <c r="A317" t="str">
        <f t="shared" si="8"/>
        <v>G</v>
      </c>
      <c r="B317" t="str">
        <f t="shared" si="9"/>
        <v>G6</v>
      </c>
      <c r="C317" s="568" t="s">
        <v>1707</v>
      </c>
      <c r="D317" s="568" t="s">
        <v>1636</v>
      </c>
      <c r="E317" s="569">
        <v>16</v>
      </c>
      <c r="F317" t="s">
        <v>1629</v>
      </c>
      <c r="G317" t="s">
        <v>247</v>
      </c>
      <c r="H317">
        <v>1</v>
      </c>
      <c r="I317" t="s">
        <v>1604</v>
      </c>
      <c r="J317" t="s">
        <v>1605</v>
      </c>
      <c r="K317" t="s">
        <v>1606</v>
      </c>
    </row>
    <row r="318" spans="1:11" hidden="1">
      <c r="A318" t="str">
        <f t="shared" si="8"/>
        <v>G</v>
      </c>
      <c r="B318" t="str">
        <f t="shared" si="9"/>
        <v>G6</v>
      </c>
      <c r="C318" s="568" t="s">
        <v>1708</v>
      </c>
      <c r="D318" s="568" t="s">
        <v>1611</v>
      </c>
      <c r="E318" s="569">
        <v>16</v>
      </c>
      <c r="F318" t="s">
        <v>1609</v>
      </c>
      <c r="G318" t="s">
        <v>247</v>
      </c>
      <c r="H318">
        <v>1</v>
      </c>
      <c r="I318" t="s">
        <v>1604</v>
      </c>
      <c r="J318" t="s">
        <v>1605</v>
      </c>
      <c r="K318" t="s">
        <v>1606</v>
      </c>
    </row>
    <row r="319" spans="1:11" hidden="1">
      <c r="A319" t="str">
        <f t="shared" si="8"/>
        <v>G</v>
      </c>
      <c r="B319" t="str">
        <f t="shared" si="9"/>
        <v>G6</v>
      </c>
      <c r="C319" s="568" t="s">
        <v>1709</v>
      </c>
      <c r="D319" s="568" t="s">
        <v>1611</v>
      </c>
      <c r="E319" s="569">
        <v>16</v>
      </c>
      <c r="F319" t="s">
        <v>1609</v>
      </c>
      <c r="G319" t="s">
        <v>247</v>
      </c>
      <c r="H319">
        <v>1</v>
      </c>
      <c r="I319" t="s">
        <v>1604</v>
      </c>
      <c r="J319" t="s">
        <v>1605</v>
      </c>
      <c r="K319" t="s">
        <v>1606</v>
      </c>
    </row>
    <row r="320" spans="1:11" hidden="1">
      <c r="A320" t="str">
        <f t="shared" si="8"/>
        <v>G</v>
      </c>
      <c r="B320" t="str">
        <f t="shared" si="9"/>
        <v>G6</v>
      </c>
      <c r="C320" s="568" t="s">
        <v>1710</v>
      </c>
      <c r="D320" s="568" t="s">
        <v>1626</v>
      </c>
      <c r="E320" s="569">
        <v>16</v>
      </c>
      <c r="F320" t="s">
        <v>1603</v>
      </c>
      <c r="G320" t="s">
        <v>247</v>
      </c>
      <c r="H320">
        <v>1</v>
      </c>
      <c r="I320" t="s">
        <v>1604</v>
      </c>
      <c r="J320" t="s">
        <v>1605</v>
      </c>
      <c r="K320" t="s">
        <v>1606</v>
      </c>
    </row>
    <row r="321" spans="1:11" hidden="1">
      <c r="A321" t="str">
        <f t="shared" si="8"/>
        <v>G</v>
      </c>
      <c r="B321" t="str">
        <f t="shared" si="9"/>
        <v>G6</v>
      </c>
      <c r="C321" s="568" t="s">
        <v>1711</v>
      </c>
      <c r="D321" s="568" t="s">
        <v>1636</v>
      </c>
      <c r="E321" s="569">
        <v>16</v>
      </c>
      <c r="F321" t="s">
        <v>1603</v>
      </c>
      <c r="G321" t="s">
        <v>247</v>
      </c>
      <c r="H321">
        <v>1</v>
      </c>
      <c r="I321" t="s">
        <v>1604</v>
      </c>
      <c r="J321" t="s">
        <v>1605</v>
      </c>
      <c r="K321" t="s">
        <v>1606</v>
      </c>
    </row>
    <row r="322" spans="1:11" hidden="1">
      <c r="A322" t="str">
        <f t="shared" si="8"/>
        <v>G</v>
      </c>
      <c r="B322" t="str">
        <f t="shared" si="9"/>
        <v>G6</v>
      </c>
      <c r="C322" s="568" t="s">
        <v>1712</v>
      </c>
      <c r="D322" s="568" t="s">
        <v>1636</v>
      </c>
      <c r="E322" s="569">
        <v>16</v>
      </c>
      <c r="F322" t="s">
        <v>1616</v>
      </c>
      <c r="G322" t="s">
        <v>247</v>
      </c>
      <c r="H322">
        <v>1</v>
      </c>
      <c r="I322" t="s">
        <v>1604</v>
      </c>
      <c r="J322" t="s">
        <v>1605</v>
      </c>
      <c r="K322" t="s">
        <v>1606</v>
      </c>
    </row>
    <row r="323" spans="1:11" hidden="1">
      <c r="A323" t="str">
        <f t="shared" ref="A323:A386" si="10">LEFT(C323)</f>
        <v>G</v>
      </c>
      <c r="B323" t="str">
        <f t="shared" si="9"/>
        <v>G6</v>
      </c>
      <c r="C323" s="568" t="s">
        <v>1713</v>
      </c>
      <c r="D323" s="568" t="s">
        <v>1614</v>
      </c>
      <c r="E323" s="569">
        <v>16</v>
      </c>
      <c r="F323" t="s">
        <v>1616</v>
      </c>
      <c r="G323" t="s">
        <v>247</v>
      </c>
      <c r="H323">
        <v>1</v>
      </c>
      <c r="I323" t="s">
        <v>1604</v>
      </c>
      <c r="J323" t="s">
        <v>1605</v>
      </c>
      <c r="K323" t="s">
        <v>1606</v>
      </c>
    </row>
    <row r="324" spans="1:11" hidden="1">
      <c r="A324" t="str">
        <f t="shared" si="10"/>
        <v>G</v>
      </c>
      <c r="B324" t="str">
        <f t="shared" ref="B324:B387" si="11">LEFT(C324,2)</f>
        <v>G6</v>
      </c>
      <c r="C324" s="568" t="s">
        <v>1714</v>
      </c>
      <c r="D324" s="568" t="s">
        <v>1614</v>
      </c>
      <c r="E324" s="569">
        <v>16</v>
      </c>
      <c r="F324" t="s">
        <v>1616</v>
      </c>
      <c r="G324" t="s">
        <v>247</v>
      </c>
      <c r="H324">
        <v>1</v>
      </c>
      <c r="I324" t="s">
        <v>1604</v>
      </c>
      <c r="J324" t="s">
        <v>1605</v>
      </c>
      <c r="K324" t="s">
        <v>1606</v>
      </c>
    </row>
    <row r="325" spans="1:11" hidden="1">
      <c r="A325" t="str">
        <f t="shared" si="10"/>
        <v>G</v>
      </c>
      <c r="B325" t="str">
        <f t="shared" si="11"/>
        <v>G6</v>
      </c>
      <c r="C325" s="568" t="s">
        <v>1715</v>
      </c>
      <c r="D325" s="568" t="s">
        <v>1614</v>
      </c>
      <c r="E325" s="569">
        <v>16</v>
      </c>
      <c r="F325" t="s">
        <v>1616</v>
      </c>
      <c r="G325" t="s">
        <v>247</v>
      </c>
      <c r="H325">
        <v>1</v>
      </c>
      <c r="I325" t="s">
        <v>1604</v>
      </c>
      <c r="J325" t="s">
        <v>1605</v>
      </c>
      <c r="K325" t="s">
        <v>1606</v>
      </c>
    </row>
    <row r="326" spans="1:11" hidden="1">
      <c r="A326" t="str">
        <f t="shared" si="10"/>
        <v>G</v>
      </c>
      <c r="B326" t="str">
        <f t="shared" si="11"/>
        <v>G6</v>
      </c>
      <c r="C326" s="568" t="s">
        <v>1716</v>
      </c>
      <c r="D326" s="568" t="s">
        <v>1634</v>
      </c>
      <c r="E326" s="569">
        <v>16</v>
      </c>
      <c r="F326" t="s">
        <v>1616</v>
      </c>
      <c r="G326" t="s">
        <v>247</v>
      </c>
      <c r="H326">
        <v>1</v>
      </c>
      <c r="I326" t="s">
        <v>1604</v>
      </c>
      <c r="J326" t="s">
        <v>1605</v>
      </c>
      <c r="K326" t="s">
        <v>1606</v>
      </c>
    </row>
    <row r="327" spans="1:11" hidden="1">
      <c r="A327" t="str">
        <f t="shared" si="10"/>
        <v>G</v>
      </c>
      <c r="B327" t="str">
        <f t="shared" si="11"/>
        <v>G6</v>
      </c>
      <c r="C327" s="568" t="s">
        <v>1717</v>
      </c>
      <c r="D327" s="568" t="s">
        <v>1626</v>
      </c>
      <c r="E327" s="569">
        <v>16</v>
      </c>
      <c r="F327" t="s">
        <v>1629</v>
      </c>
      <c r="G327" t="s">
        <v>247</v>
      </c>
      <c r="H327">
        <v>1</v>
      </c>
      <c r="I327" t="s">
        <v>1604</v>
      </c>
      <c r="J327" t="s">
        <v>1605</v>
      </c>
      <c r="K327" t="s">
        <v>1606</v>
      </c>
    </row>
    <row r="328" spans="1:11" hidden="1">
      <c r="A328" t="str">
        <f t="shared" si="10"/>
        <v>G</v>
      </c>
      <c r="B328" t="str">
        <f t="shared" si="11"/>
        <v>G6</v>
      </c>
      <c r="C328" s="568" t="s">
        <v>1718</v>
      </c>
      <c r="D328" s="568" t="s">
        <v>1624</v>
      </c>
      <c r="E328" s="569">
        <v>16</v>
      </c>
      <c r="F328" t="s">
        <v>1618</v>
      </c>
      <c r="G328" t="s">
        <v>247</v>
      </c>
      <c r="H328">
        <v>1</v>
      </c>
      <c r="I328" t="s">
        <v>1604</v>
      </c>
      <c r="J328" t="s">
        <v>1605</v>
      </c>
      <c r="K328" t="s">
        <v>1606</v>
      </c>
    </row>
    <row r="329" spans="1:11" hidden="1">
      <c r="A329" t="str">
        <f t="shared" si="10"/>
        <v>G</v>
      </c>
      <c r="B329" t="str">
        <f t="shared" si="11"/>
        <v>G6</v>
      </c>
      <c r="C329" s="568" t="s">
        <v>1719</v>
      </c>
      <c r="D329" s="568" t="s">
        <v>1626</v>
      </c>
      <c r="E329" s="569">
        <v>16</v>
      </c>
      <c r="F329" t="s">
        <v>1603</v>
      </c>
      <c r="G329" t="s">
        <v>247</v>
      </c>
      <c r="H329">
        <v>1</v>
      </c>
      <c r="I329" t="s">
        <v>1604</v>
      </c>
      <c r="J329" t="s">
        <v>1605</v>
      </c>
      <c r="K329" t="s">
        <v>1606</v>
      </c>
    </row>
    <row r="330" spans="1:11" hidden="1">
      <c r="A330" t="str">
        <f t="shared" si="10"/>
        <v>G</v>
      </c>
      <c r="B330" t="str">
        <f t="shared" si="11"/>
        <v>G6</v>
      </c>
      <c r="C330" s="568" t="s">
        <v>1720</v>
      </c>
      <c r="D330" s="568" t="s">
        <v>1662</v>
      </c>
      <c r="E330" s="569">
        <v>16</v>
      </c>
      <c r="F330" t="s">
        <v>1603</v>
      </c>
      <c r="G330" t="s">
        <v>247</v>
      </c>
      <c r="H330">
        <v>1</v>
      </c>
      <c r="I330" t="s">
        <v>1604</v>
      </c>
      <c r="J330" t="s">
        <v>1605</v>
      </c>
      <c r="K330" t="s">
        <v>1606</v>
      </c>
    </row>
    <row r="331" spans="1:11" hidden="1">
      <c r="A331" t="str">
        <f t="shared" si="10"/>
        <v>G</v>
      </c>
      <c r="B331" t="str">
        <f t="shared" si="11"/>
        <v>G7</v>
      </c>
      <c r="C331" s="568" t="s">
        <v>1721</v>
      </c>
      <c r="D331" s="568" t="s">
        <v>1662</v>
      </c>
      <c r="E331" s="569">
        <v>16</v>
      </c>
      <c r="F331" t="s">
        <v>1603</v>
      </c>
      <c r="G331" t="s">
        <v>247</v>
      </c>
      <c r="H331">
        <v>2</v>
      </c>
      <c r="I331" t="s">
        <v>1604</v>
      </c>
      <c r="J331" t="s">
        <v>1605</v>
      </c>
      <c r="K331" t="s">
        <v>1606</v>
      </c>
    </row>
    <row r="332" spans="1:11" hidden="1">
      <c r="A332" t="str">
        <f t="shared" si="10"/>
        <v>G</v>
      </c>
      <c r="B332" t="str">
        <f t="shared" si="11"/>
        <v>G7</v>
      </c>
      <c r="C332" s="568" t="s">
        <v>1722</v>
      </c>
      <c r="D332" s="568" t="s">
        <v>1624</v>
      </c>
      <c r="E332" s="569">
        <v>16</v>
      </c>
      <c r="F332" t="s">
        <v>1603</v>
      </c>
      <c r="G332" t="s">
        <v>247</v>
      </c>
      <c r="H332">
        <v>2</v>
      </c>
      <c r="I332" t="s">
        <v>1604</v>
      </c>
      <c r="J332" t="s">
        <v>1605</v>
      </c>
      <c r="K332" t="s">
        <v>1606</v>
      </c>
    </row>
    <row r="333" spans="1:11" hidden="1">
      <c r="A333" t="str">
        <f t="shared" si="10"/>
        <v>G</v>
      </c>
      <c r="B333" t="str">
        <f t="shared" si="11"/>
        <v>G7</v>
      </c>
      <c r="C333" s="568" t="s">
        <v>1723</v>
      </c>
      <c r="D333" s="568" t="s">
        <v>1659</v>
      </c>
      <c r="E333" s="569">
        <v>16</v>
      </c>
      <c r="F333" t="s">
        <v>1618</v>
      </c>
      <c r="G333" t="s">
        <v>247</v>
      </c>
      <c r="H333">
        <v>2</v>
      </c>
      <c r="I333" t="s">
        <v>1604</v>
      </c>
      <c r="J333" t="s">
        <v>1605</v>
      </c>
      <c r="K333" t="s">
        <v>1606</v>
      </c>
    </row>
    <row r="334" spans="1:11" hidden="1">
      <c r="A334" t="str">
        <f t="shared" si="10"/>
        <v>G</v>
      </c>
      <c r="B334" t="str">
        <f t="shared" si="11"/>
        <v>G7</v>
      </c>
      <c r="C334" s="568" t="s">
        <v>1724</v>
      </c>
      <c r="D334" s="568" t="s">
        <v>1624</v>
      </c>
      <c r="E334" s="569">
        <v>16</v>
      </c>
      <c r="F334" t="s">
        <v>1603</v>
      </c>
      <c r="G334" t="s">
        <v>247</v>
      </c>
      <c r="H334">
        <v>2</v>
      </c>
      <c r="I334" t="s">
        <v>1604</v>
      </c>
      <c r="J334" t="s">
        <v>1605</v>
      </c>
      <c r="K334" t="s">
        <v>1606</v>
      </c>
    </row>
    <row r="335" spans="1:11" hidden="1">
      <c r="A335" t="str">
        <f t="shared" si="10"/>
        <v>G</v>
      </c>
      <c r="B335" t="str">
        <f t="shared" si="11"/>
        <v>G7</v>
      </c>
      <c r="C335" s="568" t="s">
        <v>1725</v>
      </c>
      <c r="D335" s="568" t="s">
        <v>1662</v>
      </c>
      <c r="E335" s="569">
        <v>16</v>
      </c>
      <c r="F335" t="s">
        <v>1603</v>
      </c>
      <c r="G335" t="s">
        <v>247</v>
      </c>
      <c r="H335">
        <v>2</v>
      </c>
      <c r="I335" t="s">
        <v>1604</v>
      </c>
      <c r="J335" t="s">
        <v>1605</v>
      </c>
      <c r="K335" t="s">
        <v>1606</v>
      </c>
    </row>
    <row r="336" spans="1:11" hidden="1">
      <c r="A336" t="str">
        <f t="shared" si="10"/>
        <v>G</v>
      </c>
      <c r="B336" t="str">
        <f t="shared" si="11"/>
        <v>G7</v>
      </c>
      <c r="C336" s="568" t="s">
        <v>1726</v>
      </c>
      <c r="D336" s="568" t="s">
        <v>1662</v>
      </c>
      <c r="E336" s="569">
        <v>16</v>
      </c>
      <c r="F336" t="s">
        <v>1603</v>
      </c>
      <c r="G336" t="s">
        <v>247</v>
      </c>
      <c r="H336">
        <v>2</v>
      </c>
      <c r="I336" t="s">
        <v>1604</v>
      </c>
      <c r="J336" t="s">
        <v>1605</v>
      </c>
      <c r="K336" t="s">
        <v>1606</v>
      </c>
    </row>
    <row r="337" spans="1:11" hidden="1">
      <c r="A337" t="str">
        <f t="shared" si="10"/>
        <v>G</v>
      </c>
      <c r="B337" t="str">
        <f t="shared" si="11"/>
        <v>G7</v>
      </c>
      <c r="C337" s="568" t="s">
        <v>1727</v>
      </c>
      <c r="D337" s="568" t="s">
        <v>1624</v>
      </c>
      <c r="E337" s="569">
        <v>16</v>
      </c>
      <c r="F337" t="s">
        <v>1618</v>
      </c>
      <c r="G337" t="s">
        <v>247</v>
      </c>
      <c r="H337">
        <v>2</v>
      </c>
      <c r="I337" t="s">
        <v>1604</v>
      </c>
      <c r="J337" t="s">
        <v>1605</v>
      </c>
      <c r="K337" t="s">
        <v>1606</v>
      </c>
    </row>
    <row r="338" spans="1:11" hidden="1">
      <c r="A338" t="str">
        <f t="shared" si="10"/>
        <v>G</v>
      </c>
      <c r="B338" t="str">
        <f t="shared" si="11"/>
        <v>G7</v>
      </c>
      <c r="C338" s="568" t="s">
        <v>1728</v>
      </c>
      <c r="D338" s="568" t="s">
        <v>1662</v>
      </c>
      <c r="E338" s="569">
        <v>16</v>
      </c>
      <c r="F338" t="s">
        <v>1629</v>
      </c>
      <c r="G338" t="s">
        <v>247</v>
      </c>
      <c r="H338">
        <v>2</v>
      </c>
      <c r="I338" t="s">
        <v>1604</v>
      </c>
      <c r="J338" t="s">
        <v>1605</v>
      </c>
      <c r="K338" t="s">
        <v>1606</v>
      </c>
    </row>
    <row r="339" spans="1:11" hidden="1">
      <c r="A339" t="str">
        <f t="shared" si="10"/>
        <v>G</v>
      </c>
      <c r="B339" t="str">
        <f t="shared" si="11"/>
        <v>G7</v>
      </c>
      <c r="C339" s="568" t="s">
        <v>1729</v>
      </c>
      <c r="D339" s="568" t="s">
        <v>1638</v>
      </c>
      <c r="E339" s="569">
        <v>16</v>
      </c>
      <c r="F339" t="s">
        <v>1603</v>
      </c>
      <c r="G339" t="s">
        <v>247</v>
      </c>
      <c r="H339">
        <v>2</v>
      </c>
      <c r="I339" t="s">
        <v>1604</v>
      </c>
      <c r="J339" t="s">
        <v>1605</v>
      </c>
      <c r="K339" t="s">
        <v>1606</v>
      </c>
    </row>
    <row r="340" spans="1:11" hidden="1">
      <c r="A340" t="str">
        <f t="shared" si="10"/>
        <v>G</v>
      </c>
      <c r="B340" t="str">
        <f t="shared" si="11"/>
        <v>G7</v>
      </c>
      <c r="C340" s="568" t="s">
        <v>1730</v>
      </c>
      <c r="D340" s="568" t="s">
        <v>1638</v>
      </c>
      <c r="E340" s="569">
        <v>16</v>
      </c>
      <c r="F340" t="s">
        <v>1603</v>
      </c>
      <c r="G340" t="s">
        <v>247</v>
      </c>
      <c r="H340">
        <v>2</v>
      </c>
      <c r="I340" t="s">
        <v>1604</v>
      </c>
      <c r="J340" t="s">
        <v>1605</v>
      </c>
      <c r="K340" t="s">
        <v>1606</v>
      </c>
    </row>
    <row r="341" spans="1:11" hidden="1">
      <c r="A341" t="str">
        <f t="shared" si="10"/>
        <v>G</v>
      </c>
      <c r="B341" t="str">
        <f t="shared" si="11"/>
        <v>G7</v>
      </c>
      <c r="C341" s="568" t="s">
        <v>1731</v>
      </c>
      <c r="D341" s="568" t="s">
        <v>1638</v>
      </c>
      <c r="E341" s="569">
        <v>16</v>
      </c>
      <c r="F341" t="s">
        <v>1603</v>
      </c>
      <c r="G341" t="s">
        <v>247</v>
      </c>
      <c r="H341">
        <v>2</v>
      </c>
      <c r="I341" t="s">
        <v>1604</v>
      </c>
      <c r="J341" t="s">
        <v>1605</v>
      </c>
      <c r="K341" t="s">
        <v>1606</v>
      </c>
    </row>
    <row r="342" spans="1:11" hidden="1">
      <c r="A342" t="str">
        <f t="shared" si="10"/>
        <v>G</v>
      </c>
      <c r="B342" t="str">
        <f t="shared" si="11"/>
        <v>G7</v>
      </c>
      <c r="C342" s="568" t="s">
        <v>1732</v>
      </c>
      <c r="D342" s="568" t="s">
        <v>1626</v>
      </c>
      <c r="E342" s="569">
        <v>16</v>
      </c>
      <c r="F342" t="s">
        <v>1629</v>
      </c>
      <c r="G342" t="s">
        <v>247</v>
      </c>
      <c r="H342">
        <v>2</v>
      </c>
      <c r="I342" t="s">
        <v>1604</v>
      </c>
      <c r="J342" t="s">
        <v>1605</v>
      </c>
      <c r="K342" t="s">
        <v>1606</v>
      </c>
    </row>
    <row r="343" spans="1:11" hidden="1">
      <c r="A343" t="str">
        <f t="shared" si="10"/>
        <v>G</v>
      </c>
      <c r="B343" t="str">
        <f t="shared" si="11"/>
        <v>G7</v>
      </c>
      <c r="C343" s="568" t="s">
        <v>1733</v>
      </c>
      <c r="D343" s="568" t="s">
        <v>1659</v>
      </c>
      <c r="E343" s="569">
        <v>16</v>
      </c>
      <c r="F343" t="s">
        <v>1618</v>
      </c>
      <c r="G343" t="s">
        <v>247</v>
      </c>
      <c r="H343">
        <v>2</v>
      </c>
      <c r="I343" t="s">
        <v>1604</v>
      </c>
      <c r="J343" t="s">
        <v>1605</v>
      </c>
      <c r="K343" t="s">
        <v>1606</v>
      </c>
    </row>
    <row r="344" spans="1:11" hidden="1">
      <c r="A344" t="str">
        <f t="shared" si="10"/>
        <v>G</v>
      </c>
      <c r="B344" t="str">
        <f t="shared" si="11"/>
        <v>G8</v>
      </c>
      <c r="C344" s="568" t="s">
        <v>1734</v>
      </c>
      <c r="D344" s="568" t="s">
        <v>1659</v>
      </c>
      <c r="E344" s="569">
        <v>16</v>
      </c>
      <c r="F344" t="s">
        <v>1603</v>
      </c>
      <c r="G344" t="s">
        <v>247</v>
      </c>
      <c r="H344">
        <v>1</v>
      </c>
      <c r="I344" t="s">
        <v>1604</v>
      </c>
      <c r="J344" t="s">
        <v>1605</v>
      </c>
      <c r="K344" t="s">
        <v>1606</v>
      </c>
    </row>
    <row r="345" spans="1:11" hidden="1">
      <c r="A345" t="str">
        <f t="shared" si="10"/>
        <v>G</v>
      </c>
      <c r="B345" t="str">
        <f t="shared" si="11"/>
        <v>G8</v>
      </c>
      <c r="C345" s="568" t="s">
        <v>1735</v>
      </c>
      <c r="D345" s="568" t="s">
        <v>1659</v>
      </c>
      <c r="E345" s="569">
        <v>16</v>
      </c>
      <c r="F345" t="s">
        <v>1629</v>
      </c>
      <c r="G345" t="s">
        <v>247</v>
      </c>
      <c r="H345">
        <v>1</v>
      </c>
      <c r="I345" t="s">
        <v>1604</v>
      </c>
      <c r="J345" t="s">
        <v>1605</v>
      </c>
      <c r="K345" t="s">
        <v>1606</v>
      </c>
    </row>
    <row r="346" spans="1:11" hidden="1">
      <c r="A346" t="str">
        <f t="shared" si="10"/>
        <v>G</v>
      </c>
      <c r="B346" t="str">
        <f t="shared" si="11"/>
        <v>G8</v>
      </c>
      <c r="C346" s="568" t="s">
        <v>1736</v>
      </c>
      <c r="D346" s="568" t="s">
        <v>1634</v>
      </c>
      <c r="E346" s="569">
        <v>16</v>
      </c>
      <c r="F346" t="s">
        <v>1618</v>
      </c>
      <c r="G346" t="s">
        <v>247</v>
      </c>
      <c r="H346">
        <v>1</v>
      </c>
      <c r="I346" t="s">
        <v>1604</v>
      </c>
      <c r="J346" t="s">
        <v>1605</v>
      </c>
      <c r="K346" t="s">
        <v>1606</v>
      </c>
    </row>
    <row r="347" spans="1:11" hidden="1">
      <c r="A347" t="str">
        <f t="shared" si="10"/>
        <v>G</v>
      </c>
      <c r="B347" t="str">
        <f t="shared" si="11"/>
        <v>G8</v>
      </c>
      <c r="C347" s="568" t="s">
        <v>1737</v>
      </c>
      <c r="D347" s="568" t="s">
        <v>1634</v>
      </c>
      <c r="E347" s="569">
        <v>16</v>
      </c>
      <c r="F347" t="s">
        <v>1616</v>
      </c>
      <c r="G347" t="s">
        <v>247</v>
      </c>
      <c r="H347">
        <v>1</v>
      </c>
      <c r="I347" t="s">
        <v>1604</v>
      </c>
      <c r="J347" t="s">
        <v>1605</v>
      </c>
      <c r="K347" t="s">
        <v>1606</v>
      </c>
    </row>
    <row r="348" spans="1:11" hidden="1">
      <c r="A348" t="str">
        <f t="shared" si="10"/>
        <v>G</v>
      </c>
      <c r="B348" t="str">
        <f t="shared" si="11"/>
        <v>G8</v>
      </c>
      <c r="C348" s="568" t="s">
        <v>1738</v>
      </c>
      <c r="D348" s="568" t="s">
        <v>1634</v>
      </c>
      <c r="E348" s="569">
        <v>16</v>
      </c>
      <c r="F348" t="s">
        <v>1629</v>
      </c>
      <c r="G348" t="s">
        <v>247</v>
      </c>
      <c r="H348">
        <v>1</v>
      </c>
      <c r="I348" t="s">
        <v>1604</v>
      </c>
      <c r="J348" t="s">
        <v>1605</v>
      </c>
      <c r="K348" t="s">
        <v>1606</v>
      </c>
    </row>
    <row r="349" spans="1:11" hidden="1">
      <c r="A349" t="str">
        <f t="shared" si="10"/>
        <v>G</v>
      </c>
      <c r="B349" t="str">
        <f t="shared" si="11"/>
        <v>G8</v>
      </c>
      <c r="C349" s="568" t="s">
        <v>1739</v>
      </c>
      <c r="D349" s="568" t="s">
        <v>1634</v>
      </c>
      <c r="E349" s="569">
        <v>16</v>
      </c>
      <c r="F349" t="s">
        <v>1616</v>
      </c>
      <c r="G349" t="s">
        <v>247</v>
      </c>
      <c r="H349">
        <v>1</v>
      </c>
      <c r="I349" t="s">
        <v>1604</v>
      </c>
      <c r="J349" t="s">
        <v>1605</v>
      </c>
      <c r="K349" t="s">
        <v>1606</v>
      </c>
    </row>
    <row r="350" spans="1:11" hidden="1">
      <c r="A350" t="str">
        <f t="shared" si="10"/>
        <v>G</v>
      </c>
      <c r="B350" t="str">
        <f t="shared" si="11"/>
        <v>G8</v>
      </c>
      <c r="C350" s="568" t="s">
        <v>1740</v>
      </c>
      <c r="D350" s="568" t="s">
        <v>1614</v>
      </c>
      <c r="E350" s="569">
        <v>16</v>
      </c>
      <c r="F350" t="s">
        <v>1609</v>
      </c>
      <c r="G350" t="s">
        <v>247</v>
      </c>
      <c r="H350">
        <v>1</v>
      </c>
      <c r="I350" t="s">
        <v>1604</v>
      </c>
      <c r="J350" t="s">
        <v>1605</v>
      </c>
      <c r="K350" t="s">
        <v>1606</v>
      </c>
    </row>
    <row r="351" spans="1:11" hidden="1">
      <c r="A351" t="str">
        <f t="shared" si="10"/>
        <v>G</v>
      </c>
      <c r="B351" t="str">
        <f t="shared" si="11"/>
        <v>G8</v>
      </c>
      <c r="C351" s="568" t="s">
        <v>1741</v>
      </c>
      <c r="D351" s="568" t="s">
        <v>1614</v>
      </c>
      <c r="E351" s="569">
        <v>16</v>
      </c>
      <c r="F351" t="s">
        <v>1609</v>
      </c>
      <c r="G351" t="s">
        <v>247</v>
      </c>
      <c r="H351">
        <v>1</v>
      </c>
      <c r="I351" t="s">
        <v>1604</v>
      </c>
      <c r="J351" t="s">
        <v>1605</v>
      </c>
      <c r="K351" t="s">
        <v>1606</v>
      </c>
    </row>
    <row r="352" spans="1:11" hidden="1">
      <c r="A352" t="str">
        <f t="shared" si="10"/>
        <v>G</v>
      </c>
      <c r="B352" t="str">
        <f t="shared" si="11"/>
        <v>G8</v>
      </c>
      <c r="C352" s="568" t="s">
        <v>1742</v>
      </c>
      <c r="D352" s="568" t="s">
        <v>1634</v>
      </c>
      <c r="E352" s="569">
        <v>16</v>
      </c>
      <c r="F352" t="s">
        <v>1609</v>
      </c>
      <c r="G352" t="s">
        <v>247</v>
      </c>
      <c r="H352">
        <v>1</v>
      </c>
      <c r="I352" t="s">
        <v>1604</v>
      </c>
      <c r="J352" t="s">
        <v>1605</v>
      </c>
      <c r="K352" t="s">
        <v>1606</v>
      </c>
    </row>
    <row r="353" spans="1:11" hidden="1">
      <c r="A353" t="str">
        <f t="shared" si="10"/>
        <v>G</v>
      </c>
      <c r="B353" t="str">
        <f t="shared" si="11"/>
        <v>G8</v>
      </c>
      <c r="C353" s="568" t="s">
        <v>1743</v>
      </c>
      <c r="D353" s="568" t="s">
        <v>1634</v>
      </c>
      <c r="E353" s="569">
        <v>16</v>
      </c>
      <c r="F353" t="s">
        <v>1609</v>
      </c>
      <c r="G353" t="s">
        <v>247</v>
      </c>
      <c r="H353">
        <v>1</v>
      </c>
      <c r="I353" t="s">
        <v>1604</v>
      </c>
      <c r="J353" t="s">
        <v>1605</v>
      </c>
      <c r="K353" t="s">
        <v>1606</v>
      </c>
    </row>
    <row r="354" spans="1:11" hidden="1">
      <c r="A354" t="str">
        <f t="shared" si="10"/>
        <v>G</v>
      </c>
      <c r="B354" t="str">
        <f t="shared" si="11"/>
        <v>G8</v>
      </c>
      <c r="C354" s="568" t="s">
        <v>1744</v>
      </c>
      <c r="D354" s="568" t="s">
        <v>1631</v>
      </c>
      <c r="E354" s="569">
        <v>16</v>
      </c>
      <c r="F354" t="s">
        <v>1618</v>
      </c>
      <c r="G354" t="s">
        <v>247</v>
      </c>
      <c r="H354">
        <v>1</v>
      </c>
      <c r="I354" t="s">
        <v>1604</v>
      </c>
      <c r="J354" t="s">
        <v>1605</v>
      </c>
      <c r="K354" t="s">
        <v>1606</v>
      </c>
    </row>
    <row r="355" spans="1:11" hidden="1">
      <c r="A355" t="str">
        <f t="shared" si="10"/>
        <v>G</v>
      </c>
      <c r="B355" t="str">
        <f t="shared" si="11"/>
        <v>G8</v>
      </c>
      <c r="C355" s="568" t="s">
        <v>1745</v>
      </c>
      <c r="D355" s="568" t="s">
        <v>1634</v>
      </c>
      <c r="E355" s="569">
        <v>16</v>
      </c>
      <c r="F355" t="s">
        <v>1609</v>
      </c>
      <c r="G355" t="s">
        <v>247</v>
      </c>
      <c r="H355">
        <v>1</v>
      </c>
      <c r="I355" t="s">
        <v>1604</v>
      </c>
      <c r="J355" t="s">
        <v>1605</v>
      </c>
      <c r="K355" t="s">
        <v>1606</v>
      </c>
    </row>
    <row r="356" spans="1:11" hidden="1">
      <c r="A356" t="str">
        <f t="shared" si="10"/>
        <v>G</v>
      </c>
      <c r="B356" t="str">
        <f t="shared" si="11"/>
        <v>G8</v>
      </c>
      <c r="C356" s="568" t="s">
        <v>1746</v>
      </c>
      <c r="D356" s="568" t="s">
        <v>1631</v>
      </c>
      <c r="E356" s="569">
        <v>16</v>
      </c>
      <c r="F356" t="s">
        <v>1629</v>
      </c>
      <c r="G356" t="s">
        <v>247</v>
      </c>
      <c r="H356">
        <v>1</v>
      </c>
      <c r="I356" t="s">
        <v>1604</v>
      </c>
      <c r="J356" t="s">
        <v>1605</v>
      </c>
      <c r="K356" t="s">
        <v>1606</v>
      </c>
    </row>
    <row r="357" spans="1:11" hidden="1">
      <c r="A357" t="str">
        <f t="shared" si="10"/>
        <v>G</v>
      </c>
      <c r="B357" t="str">
        <f t="shared" si="11"/>
        <v>G8</v>
      </c>
      <c r="C357" s="568" t="s">
        <v>1747</v>
      </c>
      <c r="D357" s="568" t="s">
        <v>1631</v>
      </c>
      <c r="E357" s="569">
        <v>16</v>
      </c>
      <c r="F357" t="s">
        <v>1629</v>
      </c>
      <c r="G357" t="s">
        <v>247</v>
      </c>
      <c r="H357">
        <v>1</v>
      </c>
      <c r="I357" t="s">
        <v>1604</v>
      </c>
      <c r="J357" t="s">
        <v>1605</v>
      </c>
      <c r="K357" t="s">
        <v>1606</v>
      </c>
    </row>
    <row r="358" spans="1:11" hidden="1">
      <c r="A358" t="str">
        <f t="shared" si="10"/>
        <v>G</v>
      </c>
      <c r="B358" t="str">
        <f t="shared" si="11"/>
        <v>G8</v>
      </c>
      <c r="C358" s="568" t="s">
        <v>1748</v>
      </c>
      <c r="D358" s="568" t="s">
        <v>1634</v>
      </c>
      <c r="E358" s="569">
        <v>16</v>
      </c>
      <c r="F358" t="s">
        <v>1629</v>
      </c>
      <c r="G358" t="s">
        <v>247</v>
      </c>
      <c r="H358">
        <v>1</v>
      </c>
      <c r="I358" t="s">
        <v>1604</v>
      </c>
      <c r="J358" t="s">
        <v>1605</v>
      </c>
      <c r="K358" t="s">
        <v>1606</v>
      </c>
    </row>
    <row r="359" spans="1:11" hidden="1">
      <c r="A359" t="str">
        <f t="shared" si="10"/>
        <v>G</v>
      </c>
      <c r="B359" t="str">
        <f t="shared" si="11"/>
        <v>G8</v>
      </c>
      <c r="C359" s="568" t="s">
        <v>1749</v>
      </c>
      <c r="D359" s="568" t="s">
        <v>1634</v>
      </c>
      <c r="E359" s="569">
        <v>16</v>
      </c>
      <c r="F359" t="s">
        <v>1629</v>
      </c>
      <c r="G359" t="s">
        <v>247</v>
      </c>
      <c r="H359">
        <v>1</v>
      </c>
      <c r="I359" t="s">
        <v>1604</v>
      </c>
      <c r="J359" t="s">
        <v>1605</v>
      </c>
      <c r="K359" t="s">
        <v>1606</v>
      </c>
    </row>
    <row r="360" spans="1:11" hidden="1">
      <c r="A360" t="str">
        <f t="shared" si="10"/>
        <v>G</v>
      </c>
      <c r="B360" t="str">
        <f t="shared" si="11"/>
        <v>G8</v>
      </c>
      <c r="C360" s="568" t="s">
        <v>1750</v>
      </c>
      <c r="D360" s="568" t="s">
        <v>1634</v>
      </c>
      <c r="E360" s="569">
        <v>16</v>
      </c>
      <c r="F360" t="s">
        <v>1629</v>
      </c>
      <c r="G360" t="s">
        <v>247</v>
      </c>
      <c r="H360">
        <v>1</v>
      </c>
      <c r="I360" t="s">
        <v>1604</v>
      </c>
      <c r="J360" t="s">
        <v>1605</v>
      </c>
      <c r="K360" t="s">
        <v>1606</v>
      </c>
    </row>
    <row r="361" spans="1:11" hidden="1">
      <c r="A361" t="str">
        <f t="shared" si="10"/>
        <v>G</v>
      </c>
      <c r="B361" t="str">
        <f t="shared" si="11"/>
        <v>G9</v>
      </c>
      <c r="C361" s="568" t="s">
        <v>1751</v>
      </c>
      <c r="D361" s="568" t="s">
        <v>1631</v>
      </c>
      <c r="E361" s="569">
        <v>16</v>
      </c>
      <c r="F361" t="s">
        <v>1629</v>
      </c>
      <c r="G361" t="s">
        <v>247</v>
      </c>
      <c r="H361">
        <v>1</v>
      </c>
      <c r="I361" t="s">
        <v>1604</v>
      </c>
      <c r="J361" t="s">
        <v>1605</v>
      </c>
      <c r="K361" t="s">
        <v>1606</v>
      </c>
    </row>
    <row r="362" spans="1:11" hidden="1">
      <c r="A362" t="str">
        <f t="shared" si="10"/>
        <v>G</v>
      </c>
      <c r="B362" t="str">
        <f t="shared" si="11"/>
        <v>G9</v>
      </c>
      <c r="C362" s="568" t="s">
        <v>1752</v>
      </c>
      <c r="D362" s="568" t="s">
        <v>1631</v>
      </c>
      <c r="E362" s="569">
        <v>16</v>
      </c>
      <c r="F362" t="s">
        <v>1629</v>
      </c>
      <c r="G362" t="s">
        <v>247</v>
      </c>
      <c r="H362">
        <v>1</v>
      </c>
      <c r="I362" t="s">
        <v>1604</v>
      </c>
      <c r="J362" t="s">
        <v>1605</v>
      </c>
      <c r="K362" t="s">
        <v>1606</v>
      </c>
    </row>
    <row r="363" spans="1:11" hidden="1">
      <c r="A363" t="str">
        <f t="shared" si="10"/>
        <v>G</v>
      </c>
      <c r="B363" t="str">
        <f t="shared" si="11"/>
        <v>G9</v>
      </c>
      <c r="C363" s="568" t="s">
        <v>1753</v>
      </c>
      <c r="D363" s="568" t="s">
        <v>1631</v>
      </c>
      <c r="E363" s="569">
        <v>16</v>
      </c>
      <c r="F363" t="s">
        <v>1629</v>
      </c>
      <c r="G363" t="s">
        <v>247</v>
      </c>
      <c r="H363">
        <v>1</v>
      </c>
      <c r="I363" t="s">
        <v>1604</v>
      </c>
      <c r="J363" t="s">
        <v>1605</v>
      </c>
      <c r="K363" t="s">
        <v>1606</v>
      </c>
    </row>
    <row r="364" spans="1:11" hidden="1">
      <c r="A364" t="str">
        <f t="shared" si="10"/>
        <v>G</v>
      </c>
      <c r="B364" t="str">
        <f t="shared" si="11"/>
        <v>G9</v>
      </c>
      <c r="C364" s="568" t="s">
        <v>1754</v>
      </c>
      <c r="D364" s="568" t="s">
        <v>1634</v>
      </c>
      <c r="E364" s="569">
        <v>16</v>
      </c>
      <c r="F364" t="s">
        <v>1629</v>
      </c>
      <c r="G364" t="s">
        <v>247</v>
      </c>
      <c r="H364">
        <v>1</v>
      </c>
      <c r="I364" t="s">
        <v>1604</v>
      </c>
      <c r="J364" t="s">
        <v>1605</v>
      </c>
      <c r="K364" t="s">
        <v>1606</v>
      </c>
    </row>
    <row r="365" spans="1:11" hidden="1">
      <c r="A365" t="str">
        <f t="shared" si="10"/>
        <v>G</v>
      </c>
      <c r="B365" t="str">
        <f t="shared" si="11"/>
        <v>G9</v>
      </c>
      <c r="C365" s="568" t="s">
        <v>1755</v>
      </c>
      <c r="D365" s="568" t="s">
        <v>1634</v>
      </c>
      <c r="E365" s="569">
        <v>16</v>
      </c>
      <c r="F365" t="s">
        <v>1616</v>
      </c>
      <c r="G365" t="s">
        <v>247</v>
      </c>
      <c r="H365">
        <v>1</v>
      </c>
      <c r="I365" t="s">
        <v>1604</v>
      </c>
      <c r="J365" t="s">
        <v>1605</v>
      </c>
      <c r="K365" t="s">
        <v>1606</v>
      </c>
    </row>
    <row r="366" spans="1:11" hidden="1">
      <c r="A366" t="str">
        <f t="shared" si="10"/>
        <v>G</v>
      </c>
      <c r="B366" t="str">
        <f t="shared" si="11"/>
        <v>G9</v>
      </c>
      <c r="C366" s="568" t="s">
        <v>1756</v>
      </c>
      <c r="D366" s="568" t="s">
        <v>1634</v>
      </c>
      <c r="E366" s="569">
        <v>16</v>
      </c>
      <c r="F366" t="s">
        <v>1616</v>
      </c>
      <c r="G366" t="s">
        <v>247</v>
      </c>
      <c r="H366">
        <v>1</v>
      </c>
      <c r="I366" t="s">
        <v>1604</v>
      </c>
      <c r="J366" t="s">
        <v>1605</v>
      </c>
      <c r="K366" t="s">
        <v>1606</v>
      </c>
    </row>
    <row r="367" spans="1:11" hidden="1">
      <c r="A367" t="str">
        <f t="shared" si="10"/>
        <v>G</v>
      </c>
      <c r="B367" t="str">
        <f t="shared" si="11"/>
        <v>G9</v>
      </c>
      <c r="C367" s="568" t="s">
        <v>1757</v>
      </c>
      <c r="D367" s="568" t="s">
        <v>1634</v>
      </c>
      <c r="E367" s="569">
        <v>16</v>
      </c>
      <c r="F367" t="s">
        <v>1616</v>
      </c>
      <c r="G367" t="s">
        <v>247</v>
      </c>
      <c r="H367">
        <v>1</v>
      </c>
      <c r="I367" t="s">
        <v>1604</v>
      </c>
      <c r="J367" t="s">
        <v>1605</v>
      </c>
      <c r="K367" t="s">
        <v>1606</v>
      </c>
    </row>
    <row r="368" spans="1:11" hidden="1">
      <c r="A368" t="str">
        <f t="shared" si="10"/>
        <v>G</v>
      </c>
      <c r="B368" t="str">
        <f t="shared" si="11"/>
        <v>G9</v>
      </c>
      <c r="C368" s="568" t="s">
        <v>1758</v>
      </c>
      <c r="D368" s="568" t="s">
        <v>1659</v>
      </c>
      <c r="E368" s="569">
        <v>16</v>
      </c>
      <c r="F368" t="s">
        <v>1629</v>
      </c>
      <c r="G368" t="s">
        <v>247</v>
      </c>
      <c r="H368">
        <v>1</v>
      </c>
      <c r="I368" t="s">
        <v>1604</v>
      </c>
      <c r="J368" t="s">
        <v>1605</v>
      </c>
      <c r="K368" t="s">
        <v>1606</v>
      </c>
    </row>
    <row r="369" spans="1:11" hidden="1">
      <c r="A369" t="str">
        <f t="shared" si="10"/>
        <v>G</v>
      </c>
      <c r="B369" t="str">
        <f t="shared" si="11"/>
        <v>G9</v>
      </c>
      <c r="C369" s="568" t="s">
        <v>1759</v>
      </c>
      <c r="D369" s="568" t="s">
        <v>1638</v>
      </c>
      <c r="E369" s="569">
        <v>16</v>
      </c>
      <c r="F369" t="s">
        <v>1609</v>
      </c>
      <c r="G369" t="s">
        <v>247</v>
      </c>
      <c r="H369">
        <v>1</v>
      </c>
      <c r="I369" t="s">
        <v>1604</v>
      </c>
      <c r="J369" t="s">
        <v>1605</v>
      </c>
      <c r="K369" t="s">
        <v>1606</v>
      </c>
    </row>
    <row r="370" spans="1:11" hidden="1">
      <c r="A370" t="str">
        <f t="shared" si="10"/>
        <v>H</v>
      </c>
      <c r="B370" t="str">
        <f t="shared" si="11"/>
        <v>H0</v>
      </c>
      <c r="C370" s="568" t="s">
        <v>1760</v>
      </c>
      <c r="D370" s="568" t="s">
        <v>1659</v>
      </c>
      <c r="E370" s="569" t="s">
        <v>1761</v>
      </c>
      <c r="F370" s="577" t="s">
        <v>1629</v>
      </c>
      <c r="G370" t="s">
        <v>247</v>
      </c>
      <c r="H370">
        <v>2</v>
      </c>
      <c r="I370" t="s">
        <v>1604</v>
      </c>
      <c r="J370" t="s">
        <v>1605</v>
      </c>
      <c r="K370" t="s">
        <v>1606</v>
      </c>
    </row>
    <row r="371" spans="1:11" hidden="1">
      <c r="A371" t="str">
        <f t="shared" si="10"/>
        <v>H</v>
      </c>
      <c r="B371" t="str">
        <f t="shared" si="11"/>
        <v>H1</v>
      </c>
      <c r="C371" s="568" t="s">
        <v>1762</v>
      </c>
      <c r="D371" s="568" t="s">
        <v>1624</v>
      </c>
      <c r="E371" s="569" t="s">
        <v>1763</v>
      </c>
      <c r="F371" t="s">
        <v>1616</v>
      </c>
      <c r="G371" t="s">
        <v>247</v>
      </c>
      <c r="H371">
        <v>2</v>
      </c>
      <c r="I371" t="s">
        <v>1604</v>
      </c>
      <c r="J371" t="s">
        <v>1605</v>
      </c>
      <c r="K371" t="s">
        <v>1606</v>
      </c>
    </row>
    <row r="372" spans="1:11" hidden="1">
      <c r="A372" t="str">
        <f t="shared" si="10"/>
        <v>H</v>
      </c>
      <c r="B372" t="str">
        <f t="shared" si="11"/>
        <v>H1</v>
      </c>
      <c r="C372" s="568" t="s">
        <v>1764</v>
      </c>
      <c r="D372" s="568" t="s">
        <v>1624</v>
      </c>
      <c r="E372" s="569" t="s">
        <v>1765</v>
      </c>
      <c r="F372" t="s">
        <v>1616</v>
      </c>
      <c r="G372" t="s">
        <v>247</v>
      </c>
      <c r="H372">
        <v>2</v>
      </c>
      <c r="I372" t="s">
        <v>1604</v>
      </c>
      <c r="J372" t="s">
        <v>1605</v>
      </c>
      <c r="K372" t="s">
        <v>1606</v>
      </c>
    </row>
    <row r="373" spans="1:11" hidden="1">
      <c r="A373" t="str">
        <f t="shared" si="10"/>
        <v>H</v>
      </c>
      <c r="B373" t="str">
        <f t="shared" si="11"/>
        <v>H1</v>
      </c>
      <c r="C373" s="568" t="s">
        <v>1766</v>
      </c>
      <c r="D373" s="568" t="s">
        <v>1624</v>
      </c>
      <c r="E373" s="569" t="s">
        <v>1761</v>
      </c>
      <c r="F373" t="s">
        <v>1616</v>
      </c>
      <c r="G373" t="s">
        <v>247</v>
      </c>
      <c r="H373">
        <v>2</v>
      </c>
      <c r="I373" t="s">
        <v>1604</v>
      </c>
      <c r="J373" t="s">
        <v>1605</v>
      </c>
      <c r="K373" t="s">
        <v>1606</v>
      </c>
    </row>
    <row r="374" spans="1:11" hidden="1">
      <c r="A374" t="str">
        <f t="shared" si="10"/>
        <v>H</v>
      </c>
      <c r="B374" t="str">
        <f t="shared" si="11"/>
        <v>H1</v>
      </c>
      <c r="C374" s="568" t="s">
        <v>1767</v>
      </c>
      <c r="D374" s="568" t="s">
        <v>1624</v>
      </c>
      <c r="E374" s="569" t="s">
        <v>1765</v>
      </c>
      <c r="F374" t="s">
        <v>1629</v>
      </c>
      <c r="G374" t="s">
        <v>247</v>
      </c>
      <c r="H374">
        <v>2</v>
      </c>
      <c r="I374" t="s">
        <v>1604</v>
      </c>
      <c r="J374" t="s">
        <v>1605</v>
      </c>
      <c r="K374" t="s">
        <v>1606</v>
      </c>
    </row>
    <row r="375" spans="1:11" hidden="1">
      <c r="A375" t="str">
        <f t="shared" si="10"/>
        <v>H</v>
      </c>
      <c r="B375" t="str">
        <f t="shared" si="11"/>
        <v>H1</v>
      </c>
      <c r="C375" s="568" t="s">
        <v>1768</v>
      </c>
      <c r="D375" s="568" t="s">
        <v>1624</v>
      </c>
      <c r="E375" s="569" t="s">
        <v>1763</v>
      </c>
      <c r="F375" t="s">
        <v>1618</v>
      </c>
      <c r="G375" t="s">
        <v>247</v>
      </c>
      <c r="H375">
        <v>2</v>
      </c>
      <c r="I375" t="s">
        <v>1604</v>
      </c>
      <c r="J375" t="s">
        <v>1605</v>
      </c>
      <c r="K375" t="s">
        <v>1606</v>
      </c>
    </row>
    <row r="376" spans="1:11" hidden="1">
      <c r="A376" t="str">
        <f t="shared" si="10"/>
        <v>H</v>
      </c>
      <c r="B376" t="str">
        <f t="shared" si="11"/>
        <v>H1</v>
      </c>
      <c r="C376" s="568" t="s">
        <v>1769</v>
      </c>
      <c r="D376" s="568" t="s">
        <v>1624</v>
      </c>
      <c r="E376" s="569" t="s">
        <v>1763</v>
      </c>
      <c r="F376" t="s">
        <v>1629</v>
      </c>
      <c r="G376" t="s">
        <v>247</v>
      </c>
      <c r="H376">
        <v>2</v>
      </c>
      <c r="I376" t="s">
        <v>1604</v>
      </c>
      <c r="J376" t="s">
        <v>1605</v>
      </c>
      <c r="K376" t="s">
        <v>1606</v>
      </c>
    </row>
    <row r="377" spans="1:11" hidden="1">
      <c r="A377" t="str">
        <f t="shared" si="10"/>
        <v>H</v>
      </c>
      <c r="B377" t="str">
        <f t="shared" si="11"/>
        <v>H1</v>
      </c>
      <c r="C377" s="568" t="s">
        <v>1770</v>
      </c>
      <c r="D377" s="568" t="s">
        <v>1624</v>
      </c>
      <c r="E377" s="569" t="s">
        <v>1763</v>
      </c>
      <c r="F377" t="s">
        <v>1629</v>
      </c>
      <c r="G377" t="s">
        <v>247</v>
      </c>
      <c r="H377">
        <v>2</v>
      </c>
      <c r="I377" t="s">
        <v>1604</v>
      </c>
      <c r="J377" t="s">
        <v>1605</v>
      </c>
      <c r="K377" t="s">
        <v>1606</v>
      </c>
    </row>
    <row r="378" spans="1:11" hidden="1">
      <c r="A378" t="str">
        <f t="shared" si="10"/>
        <v>H</v>
      </c>
      <c r="B378" t="str">
        <f t="shared" si="11"/>
        <v>H1</v>
      </c>
      <c r="C378" s="568" t="s">
        <v>1771</v>
      </c>
      <c r="D378" s="568" t="s">
        <v>1662</v>
      </c>
      <c r="E378" s="569" t="s">
        <v>1765</v>
      </c>
      <c r="F378" t="s">
        <v>1616</v>
      </c>
      <c r="G378" t="s">
        <v>247</v>
      </c>
      <c r="H378">
        <v>2</v>
      </c>
      <c r="I378" t="s">
        <v>1604</v>
      </c>
      <c r="J378" t="s">
        <v>1605</v>
      </c>
      <c r="K378" t="s">
        <v>1606</v>
      </c>
    </row>
    <row r="379" spans="1:11" hidden="1">
      <c r="A379" t="str">
        <f t="shared" si="10"/>
        <v>H</v>
      </c>
      <c r="B379" t="str">
        <f t="shared" si="11"/>
        <v>H1</v>
      </c>
      <c r="C379" s="568" t="s">
        <v>1772</v>
      </c>
      <c r="D379" s="568" t="s">
        <v>1662</v>
      </c>
      <c r="E379" s="569" t="s">
        <v>1765</v>
      </c>
      <c r="F379" t="s">
        <v>1629</v>
      </c>
      <c r="G379" t="s">
        <v>247</v>
      </c>
      <c r="H379">
        <v>2</v>
      </c>
      <c r="I379" t="s">
        <v>1604</v>
      </c>
      <c r="J379" t="s">
        <v>1605</v>
      </c>
      <c r="K379" t="s">
        <v>1606</v>
      </c>
    </row>
    <row r="380" spans="1:11" hidden="1">
      <c r="A380" t="str">
        <f t="shared" si="10"/>
        <v>H</v>
      </c>
      <c r="B380" t="str">
        <f t="shared" si="11"/>
        <v>H1</v>
      </c>
      <c r="C380" s="568" t="s">
        <v>1773</v>
      </c>
      <c r="D380" s="568" t="s">
        <v>1624</v>
      </c>
      <c r="E380" s="569" t="s">
        <v>1765</v>
      </c>
      <c r="F380" t="s">
        <v>1616</v>
      </c>
      <c r="G380" t="s">
        <v>247</v>
      </c>
      <c r="H380">
        <v>2</v>
      </c>
      <c r="I380" t="s">
        <v>1604</v>
      </c>
      <c r="J380" t="s">
        <v>1605</v>
      </c>
      <c r="K380" t="s">
        <v>1606</v>
      </c>
    </row>
    <row r="381" spans="1:11" hidden="1">
      <c r="A381" t="str">
        <f t="shared" si="10"/>
        <v>H</v>
      </c>
      <c r="B381" t="str">
        <f t="shared" si="11"/>
        <v>H1</v>
      </c>
      <c r="C381" s="568" t="s">
        <v>1774</v>
      </c>
      <c r="D381" s="568" t="s">
        <v>1624</v>
      </c>
      <c r="E381" s="569" t="s">
        <v>1765</v>
      </c>
      <c r="F381" t="s">
        <v>1616</v>
      </c>
      <c r="G381" t="s">
        <v>247</v>
      </c>
      <c r="H381">
        <v>2</v>
      </c>
      <c r="I381" t="s">
        <v>1604</v>
      </c>
      <c r="J381" t="s">
        <v>1605</v>
      </c>
      <c r="K381" t="s">
        <v>1606</v>
      </c>
    </row>
    <row r="382" spans="1:11" hidden="1">
      <c r="A382" t="str">
        <f t="shared" si="10"/>
        <v>H</v>
      </c>
      <c r="B382" t="str">
        <f t="shared" si="11"/>
        <v>H1</v>
      </c>
      <c r="C382" s="568" t="s">
        <v>1775</v>
      </c>
      <c r="D382" s="568" t="s">
        <v>1624</v>
      </c>
      <c r="E382" s="569" t="s">
        <v>1765</v>
      </c>
      <c r="F382" t="s">
        <v>1629</v>
      </c>
      <c r="G382" t="s">
        <v>247</v>
      </c>
      <c r="H382">
        <v>2</v>
      </c>
      <c r="I382" t="s">
        <v>1604</v>
      </c>
      <c r="J382" t="s">
        <v>1605</v>
      </c>
      <c r="K382" t="s">
        <v>1606</v>
      </c>
    </row>
    <row r="383" spans="1:11" hidden="1">
      <c r="A383" t="str">
        <f t="shared" si="10"/>
        <v>H</v>
      </c>
      <c r="B383" t="str">
        <f t="shared" si="11"/>
        <v>H1</v>
      </c>
      <c r="C383" s="568" t="s">
        <v>1776</v>
      </c>
      <c r="D383" s="568" t="s">
        <v>1624</v>
      </c>
      <c r="E383" s="569" t="s">
        <v>1765</v>
      </c>
      <c r="F383" t="s">
        <v>1616</v>
      </c>
      <c r="G383" t="s">
        <v>247</v>
      </c>
      <c r="H383">
        <v>2</v>
      </c>
      <c r="I383" t="s">
        <v>1604</v>
      </c>
      <c r="J383" t="s">
        <v>1605</v>
      </c>
      <c r="K383" t="s">
        <v>1606</v>
      </c>
    </row>
    <row r="384" spans="1:11" hidden="1">
      <c r="A384" t="str">
        <f t="shared" si="10"/>
        <v>H</v>
      </c>
      <c r="B384" t="str">
        <f t="shared" si="11"/>
        <v>H1</v>
      </c>
      <c r="C384" s="568" t="s">
        <v>1777</v>
      </c>
      <c r="D384" s="568" t="s">
        <v>1624</v>
      </c>
      <c r="E384" s="569" t="s">
        <v>1765</v>
      </c>
      <c r="F384" t="s">
        <v>1616</v>
      </c>
      <c r="G384" t="s">
        <v>247</v>
      </c>
      <c r="H384">
        <v>2</v>
      </c>
      <c r="I384" t="s">
        <v>1604</v>
      </c>
      <c r="J384" t="s">
        <v>1605</v>
      </c>
      <c r="K384" t="s">
        <v>1606</v>
      </c>
    </row>
    <row r="385" spans="1:11" hidden="1">
      <c r="A385" t="str">
        <f t="shared" si="10"/>
        <v>H</v>
      </c>
      <c r="B385" t="str">
        <f t="shared" si="11"/>
        <v>H1</v>
      </c>
      <c r="C385" s="568" t="s">
        <v>1778</v>
      </c>
      <c r="D385" s="568" t="s">
        <v>1624</v>
      </c>
      <c r="E385" s="569" t="s">
        <v>1763</v>
      </c>
      <c r="F385" t="s">
        <v>1616</v>
      </c>
      <c r="G385" t="s">
        <v>247</v>
      </c>
      <c r="H385">
        <v>2</v>
      </c>
      <c r="I385" t="s">
        <v>1604</v>
      </c>
      <c r="J385" t="s">
        <v>1605</v>
      </c>
      <c r="K385" t="s">
        <v>1606</v>
      </c>
    </row>
    <row r="386" spans="1:11" hidden="1">
      <c r="A386" t="str">
        <f t="shared" si="10"/>
        <v>H</v>
      </c>
      <c r="B386" t="str">
        <f t="shared" si="11"/>
        <v>H1</v>
      </c>
      <c r="C386" s="568" t="s">
        <v>1779</v>
      </c>
      <c r="D386" s="568" t="s">
        <v>1624</v>
      </c>
      <c r="E386" s="569" t="s">
        <v>1763</v>
      </c>
      <c r="F386" t="s">
        <v>1629</v>
      </c>
      <c r="G386" t="s">
        <v>247</v>
      </c>
      <c r="H386">
        <v>2</v>
      </c>
      <c r="I386" t="s">
        <v>1604</v>
      </c>
      <c r="J386" t="s">
        <v>1605</v>
      </c>
      <c r="K386" t="s">
        <v>1606</v>
      </c>
    </row>
    <row r="387" spans="1:11" hidden="1">
      <c r="A387" t="str">
        <f t="shared" ref="A387:A450" si="12">LEFT(C387)</f>
        <v>H</v>
      </c>
      <c r="B387" t="str">
        <f t="shared" si="11"/>
        <v>H1</v>
      </c>
      <c r="C387" s="568" t="s">
        <v>1780</v>
      </c>
      <c r="D387" s="568" t="s">
        <v>1638</v>
      </c>
      <c r="E387" s="569" t="s">
        <v>1763</v>
      </c>
      <c r="F387" t="s">
        <v>1629</v>
      </c>
      <c r="G387" t="s">
        <v>247</v>
      </c>
      <c r="H387">
        <v>2</v>
      </c>
      <c r="I387" t="s">
        <v>1604</v>
      </c>
      <c r="J387" t="s">
        <v>1605</v>
      </c>
      <c r="K387" t="s">
        <v>1606</v>
      </c>
    </row>
    <row r="388" spans="1:11" hidden="1">
      <c r="A388" t="str">
        <f t="shared" si="12"/>
        <v>H</v>
      </c>
      <c r="B388" t="str">
        <f t="shared" ref="B388:B451" si="13">LEFT(C388,2)</f>
        <v>H1</v>
      </c>
      <c r="C388" s="568" t="s">
        <v>1781</v>
      </c>
      <c r="D388" s="568" t="s">
        <v>1624</v>
      </c>
      <c r="E388" s="569" t="s">
        <v>1765</v>
      </c>
      <c r="F388" t="s">
        <v>1616</v>
      </c>
      <c r="G388" t="s">
        <v>247</v>
      </c>
      <c r="H388">
        <v>2</v>
      </c>
      <c r="I388" t="s">
        <v>1604</v>
      </c>
      <c r="J388" t="s">
        <v>1605</v>
      </c>
      <c r="K388" t="s">
        <v>1606</v>
      </c>
    </row>
    <row r="389" spans="1:11" hidden="1">
      <c r="A389" t="str">
        <f t="shared" si="12"/>
        <v>H</v>
      </c>
      <c r="B389" t="str">
        <f t="shared" si="13"/>
        <v>H1</v>
      </c>
      <c r="C389" s="568" t="s">
        <v>1782</v>
      </c>
      <c r="D389" s="568" t="s">
        <v>1638</v>
      </c>
      <c r="E389" s="569" t="s">
        <v>1763</v>
      </c>
      <c r="F389" t="s">
        <v>1616</v>
      </c>
      <c r="G389" t="s">
        <v>247</v>
      </c>
      <c r="H389">
        <v>2</v>
      </c>
      <c r="I389" t="s">
        <v>1604</v>
      </c>
      <c r="J389" t="s">
        <v>1605</v>
      </c>
      <c r="K389" t="s">
        <v>1606</v>
      </c>
    </row>
    <row r="390" spans="1:11" hidden="1">
      <c r="A390" t="str">
        <f t="shared" si="12"/>
        <v>H</v>
      </c>
      <c r="B390" t="str">
        <f t="shared" si="13"/>
        <v>H1</v>
      </c>
      <c r="C390" s="568" t="s">
        <v>1783</v>
      </c>
      <c r="D390" s="568" t="s">
        <v>1624</v>
      </c>
      <c r="E390" s="569" t="s">
        <v>1763</v>
      </c>
      <c r="F390" t="s">
        <v>1616</v>
      </c>
      <c r="G390" t="s">
        <v>247</v>
      </c>
      <c r="H390">
        <v>2</v>
      </c>
      <c r="I390" t="s">
        <v>1604</v>
      </c>
      <c r="J390" t="s">
        <v>1605</v>
      </c>
      <c r="K390" t="s">
        <v>1606</v>
      </c>
    </row>
    <row r="391" spans="1:11" hidden="1">
      <c r="A391" t="str">
        <f t="shared" si="12"/>
        <v>H</v>
      </c>
      <c r="B391" t="str">
        <f t="shared" si="13"/>
        <v>H2</v>
      </c>
      <c r="C391" s="568" t="s">
        <v>1784</v>
      </c>
      <c r="D391" s="568" t="s">
        <v>1662</v>
      </c>
      <c r="E391" s="569" t="s">
        <v>1763</v>
      </c>
      <c r="F391" t="s">
        <v>1616</v>
      </c>
      <c r="G391" t="s">
        <v>247</v>
      </c>
      <c r="H391">
        <v>2</v>
      </c>
      <c r="I391" t="s">
        <v>1604</v>
      </c>
      <c r="J391" t="s">
        <v>1605</v>
      </c>
      <c r="K391" t="s">
        <v>1606</v>
      </c>
    </row>
    <row r="392" spans="1:11" hidden="1">
      <c r="A392" t="str">
        <f t="shared" si="12"/>
        <v>H</v>
      </c>
      <c r="B392" t="str">
        <f t="shared" si="13"/>
        <v>H2</v>
      </c>
      <c r="C392" s="568" t="s">
        <v>1785</v>
      </c>
      <c r="D392" s="568" t="s">
        <v>1662</v>
      </c>
      <c r="E392" s="569" t="s">
        <v>1763</v>
      </c>
      <c r="F392" t="s">
        <v>1629</v>
      </c>
      <c r="G392" t="s">
        <v>247</v>
      </c>
      <c r="H392">
        <v>2</v>
      </c>
      <c r="I392" t="s">
        <v>1604</v>
      </c>
      <c r="J392" t="s">
        <v>1605</v>
      </c>
      <c r="K392" t="s">
        <v>1606</v>
      </c>
    </row>
    <row r="393" spans="1:11" hidden="1">
      <c r="A393" t="str">
        <f t="shared" si="12"/>
        <v>H</v>
      </c>
      <c r="B393" t="str">
        <f t="shared" si="13"/>
        <v>H2</v>
      </c>
      <c r="C393" s="568" t="s">
        <v>1786</v>
      </c>
      <c r="D393" s="568" t="s">
        <v>1662</v>
      </c>
      <c r="E393" s="569" t="s">
        <v>1763</v>
      </c>
      <c r="F393" t="s">
        <v>1629</v>
      </c>
      <c r="G393" t="s">
        <v>247</v>
      </c>
      <c r="H393">
        <v>2</v>
      </c>
      <c r="I393" t="s">
        <v>1604</v>
      </c>
      <c r="J393" t="s">
        <v>1605</v>
      </c>
      <c r="K393" t="s">
        <v>1606</v>
      </c>
    </row>
    <row r="394" spans="1:11" hidden="1">
      <c r="A394" t="str">
        <f t="shared" si="12"/>
        <v>H</v>
      </c>
      <c r="B394" t="str">
        <f t="shared" si="13"/>
        <v>H2</v>
      </c>
      <c r="C394" s="568" t="s">
        <v>1787</v>
      </c>
      <c r="D394" s="568" t="s">
        <v>1638</v>
      </c>
      <c r="E394" s="569" t="s">
        <v>1763</v>
      </c>
      <c r="F394" t="s">
        <v>1616</v>
      </c>
      <c r="G394" t="s">
        <v>247</v>
      </c>
      <c r="H394">
        <v>2</v>
      </c>
      <c r="I394" t="s">
        <v>1604</v>
      </c>
      <c r="J394" t="s">
        <v>1605</v>
      </c>
      <c r="K394" t="s">
        <v>1606</v>
      </c>
    </row>
    <row r="395" spans="1:11" hidden="1">
      <c r="A395" t="str">
        <f t="shared" si="12"/>
        <v>H</v>
      </c>
      <c r="B395" t="str">
        <f t="shared" si="13"/>
        <v>H2</v>
      </c>
      <c r="C395" s="568" t="s">
        <v>1788</v>
      </c>
      <c r="D395" s="568" t="s">
        <v>1638</v>
      </c>
      <c r="E395" s="569" t="s">
        <v>1763</v>
      </c>
      <c r="F395" t="s">
        <v>1616</v>
      </c>
      <c r="G395" t="s">
        <v>247</v>
      </c>
      <c r="H395">
        <v>2</v>
      </c>
      <c r="I395" t="s">
        <v>1604</v>
      </c>
      <c r="J395" t="s">
        <v>1605</v>
      </c>
      <c r="K395" t="s">
        <v>1606</v>
      </c>
    </row>
    <row r="396" spans="1:11" hidden="1">
      <c r="A396" t="str">
        <f t="shared" si="12"/>
        <v>H</v>
      </c>
      <c r="B396" t="str">
        <f t="shared" si="13"/>
        <v>H2</v>
      </c>
      <c r="C396" s="568" t="s">
        <v>1789</v>
      </c>
      <c r="D396" s="568" t="s">
        <v>1638</v>
      </c>
      <c r="E396" s="569" t="s">
        <v>1763</v>
      </c>
      <c r="F396" t="s">
        <v>1629</v>
      </c>
      <c r="G396" t="s">
        <v>247</v>
      </c>
      <c r="H396">
        <v>2</v>
      </c>
      <c r="I396" t="s">
        <v>1604</v>
      </c>
      <c r="J396" t="s">
        <v>1605</v>
      </c>
      <c r="K396" t="s">
        <v>1606</v>
      </c>
    </row>
    <row r="397" spans="1:11" hidden="1">
      <c r="A397" t="str">
        <f t="shared" si="12"/>
        <v>H</v>
      </c>
      <c r="B397" t="str">
        <f t="shared" si="13"/>
        <v>H2</v>
      </c>
      <c r="C397" s="568" t="s">
        <v>1790</v>
      </c>
      <c r="D397" s="568" t="s">
        <v>1638</v>
      </c>
      <c r="E397" s="569" t="s">
        <v>1763</v>
      </c>
      <c r="F397" t="s">
        <v>1629</v>
      </c>
      <c r="G397" t="s">
        <v>247</v>
      </c>
      <c r="H397">
        <v>2</v>
      </c>
      <c r="I397" t="s">
        <v>1604</v>
      </c>
      <c r="J397" t="s">
        <v>1605</v>
      </c>
      <c r="K397" t="s">
        <v>1606</v>
      </c>
    </row>
    <row r="398" spans="1:11" hidden="1">
      <c r="A398" t="str">
        <f t="shared" si="12"/>
        <v>H</v>
      </c>
      <c r="B398" t="str">
        <f t="shared" si="13"/>
        <v>H2</v>
      </c>
      <c r="C398" s="568" t="s">
        <v>1791</v>
      </c>
      <c r="D398" s="568" t="s">
        <v>1638</v>
      </c>
      <c r="E398" s="569" t="s">
        <v>1763</v>
      </c>
      <c r="F398" t="s">
        <v>1629</v>
      </c>
      <c r="G398" t="s">
        <v>247</v>
      </c>
      <c r="H398">
        <v>2</v>
      </c>
      <c r="I398" t="s">
        <v>1604</v>
      </c>
      <c r="J398" t="s">
        <v>1605</v>
      </c>
      <c r="K398" t="s">
        <v>1606</v>
      </c>
    </row>
    <row r="399" spans="1:11" hidden="1">
      <c r="A399" t="str">
        <f t="shared" si="12"/>
        <v>H</v>
      </c>
      <c r="B399" t="str">
        <f t="shared" si="13"/>
        <v>H2</v>
      </c>
      <c r="C399" s="568" t="s">
        <v>1792</v>
      </c>
      <c r="D399" s="568" t="s">
        <v>1638</v>
      </c>
      <c r="E399" s="569" t="s">
        <v>1793</v>
      </c>
      <c r="F399" t="s">
        <v>1629</v>
      </c>
      <c r="G399" t="s">
        <v>247</v>
      </c>
      <c r="H399">
        <v>2</v>
      </c>
      <c r="I399" t="s">
        <v>1604</v>
      </c>
      <c r="J399" t="s">
        <v>1605</v>
      </c>
      <c r="K399" t="s">
        <v>1606</v>
      </c>
    </row>
    <row r="400" spans="1:11" hidden="1">
      <c r="A400" t="str">
        <f t="shared" si="12"/>
        <v>H</v>
      </c>
      <c r="B400" t="str">
        <f t="shared" si="13"/>
        <v>H2</v>
      </c>
      <c r="C400" s="568" t="s">
        <v>1794</v>
      </c>
      <c r="D400" s="568" t="s">
        <v>1624</v>
      </c>
      <c r="E400" s="569" t="s">
        <v>1763</v>
      </c>
      <c r="F400" t="s">
        <v>1629</v>
      </c>
      <c r="G400" t="s">
        <v>247</v>
      </c>
      <c r="H400">
        <v>2</v>
      </c>
      <c r="I400" t="s">
        <v>1604</v>
      </c>
      <c r="J400" t="s">
        <v>1605</v>
      </c>
      <c r="K400" t="s">
        <v>1606</v>
      </c>
    </row>
    <row r="401" spans="1:11" hidden="1">
      <c r="A401" t="str">
        <f t="shared" si="12"/>
        <v>H</v>
      </c>
      <c r="B401" t="str">
        <f t="shared" si="13"/>
        <v>H2</v>
      </c>
      <c r="C401" s="568" t="s">
        <v>1795</v>
      </c>
      <c r="D401" s="568" t="s">
        <v>1662</v>
      </c>
      <c r="E401" s="569" t="s">
        <v>1763</v>
      </c>
      <c r="F401" t="s">
        <v>1629</v>
      </c>
      <c r="G401" t="s">
        <v>247</v>
      </c>
      <c r="H401">
        <v>2</v>
      </c>
      <c r="I401" t="s">
        <v>1604</v>
      </c>
      <c r="J401" t="s">
        <v>1605</v>
      </c>
      <c r="K401" t="s">
        <v>1606</v>
      </c>
    </row>
    <row r="402" spans="1:11" hidden="1">
      <c r="A402" t="str">
        <f t="shared" si="12"/>
        <v>H</v>
      </c>
      <c r="B402" t="str">
        <f t="shared" si="13"/>
        <v>H2</v>
      </c>
      <c r="C402" s="568" t="s">
        <v>1796</v>
      </c>
      <c r="D402" s="568" t="s">
        <v>1659</v>
      </c>
      <c r="E402" s="569" t="s">
        <v>1763</v>
      </c>
      <c r="F402" t="s">
        <v>1629</v>
      </c>
      <c r="G402" t="s">
        <v>247</v>
      </c>
      <c r="H402">
        <v>2</v>
      </c>
      <c r="I402" t="s">
        <v>1604</v>
      </c>
      <c r="J402" t="s">
        <v>1605</v>
      </c>
      <c r="K402" t="s">
        <v>1606</v>
      </c>
    </row>
    <row r="403" spans="1:11" hidden="1">
      <c r="A403" t="str">
        <f t="shared" si="12"/>
        <v>H</v>
      </c>
      <c r="B403" t="str">
        <f t="shared" si="13"/>
        <v>H2</v>
      </c>
      <c r="C403" s="568" t="s">
        <v>1797</v>
      </c>
      <c r="D403" s="568" t="s">
        <v>1659</v>
      </c>
      <c r="E403" s="569" t="s">
        <v>1763</v>
      </c>
      <c r="F403" t="s">
        <v>1616</v>
      </c>
      <c r="G403" t="s">
        <v>247</v>
      </c>
      <c r="H403">
        <v>2</v>
      </c>
      <c r="I403" t="s">
        <v>1604</v>
      </c>
      <c r="J403" t="s">
        <v>1605</v>
      </c>
      <c r="K403" t="s">
        <v>1606</v>
      </c>
    </row>
    <row r="404" spans="1:11" hidden="1">
      <c r="A404" t="str">
        <f t="shared" si="12"/>
        <v>H</v>
      </c>
      <c r="B404" t="str">
        <f t="shared" si="13"/>
        <v>H2</v>
      </c>
      <c r="C404" s="568" t="s">
        <v>1798</v>
      </c>
      <c r="D404" s="568" t="s">
        <v>1624</v>
      </c>
      <c r="E404" s="569" t="s">
        <v>1763</v>
      </c>
      <c r="F404" t="s">
        <v>1616</v>
      </c>
      <c r="G404" t="s">
        <v>247</v>
      </c>
      <c r="H404">
        <v>2</v>
      </c>
      <c r="I404" t="s">
        <v>1604</v>
      </c>
      <c r="J404" t="s">
        <v>1605</v>
      </c>
      <c r="K404" t="s">
        <v>1606</v>
      </c>
    </row>
    <row r="405" spans="1:11" hidden="1">
      <c r="A405" t="str">
        <f t="shared" si="12"/>
        <v>H</v>
      </c>
      <c r="B405" t="str">
        <f t="shared" si="13"/>
        <v>H2</v>
      </c>
      <c r="C405" s="568" t="s">
        <v>1799</v>
      </c>
      <c r="D405" s="568" t="s">
        <v>1638</v>
      </c>
      <c r="E405" s="569" t="s">
        <v>1763</v>
      </c>
      <c r="F405" t="s">
        <v>1616</v>
      </c>
      <c r="G405" t="s">
        <v>247</v>
      </c>
      <c r="H405">
        <v>2</v>
      </c>
      <c r="I405" t="s">
        <v>1604</v>
      </c>
      <c r="J405" t="s">
        <v>1605</v>
      </c>
      <c r="K405" t="s">
        <v>1606</v>
      </c>
    </row>
    <row r="406" spans="1:11" hidden="1">
      <c r="A406" t="str">
        <f t="shared" si="12"/>
        <v>H</v>
      </c>
      <c r="B406" t="str">
        <f t="shared" si="13"/>
        <v>H2</v>
      </c>
      <c r="C406" s="568" t="s">
        <v>1800</v>
      </c>
      <c r="D406" s="568" t="s">
        <v>1638</v>
      </c>
      <c r="E406" s="569" t="s">
        <v>1763</v>
      </c>
      <c r="F406" t="s">
        <v>1616</v>
      </c>
      <c r="G406" t="s">
        <v>247</v>
      </c>
      <c r="H406">
        <v>2</v>
      </c>
      <c r="I406" t="s">
        <v>1604</v>
      </c>
      <c r="J406" t="s">
        <v>1605</v>
      </c>
      <c r="K406" t="s">
        <v>1606</v>
      </c>
    </row>
    <row r="407" spans="1:11" hidden="1">
      <c r="A407" t="str">
        <f t="shared" si="12"/>
        <v>H</v>
      </c>
      <c r="B407" t="str">
        <f t="shared" si="13"/>
        <v>H2</v>
      </c>
      <c r="C407" s="568" t="s">
        <v>1801</v>
      </c>
      <c r="D407" s="568" t="s">
        <v>1624</v>
      </c>
      <c r="E407" s="569" t="s">
        <v>1763</v>
      </c>
      <c r="F407" t="s">
        <v>1616</v>
      </c>
      <c r="G407" t="s">
        <v>247</v>
      </c>
      <c r="H407">
        <v>2</v>
      </c>
      <c r="I407" t="s">
        <v>1604</v>
      </c>
      <c r="J407" t="s">
        <v>1605</v>
      </c>
      <c r="K407" t="s">
        <v>1606</v>
      </c>
    </row>
    <row r="408" spans="1:11" hidden="1">
      <c r="A408" t="str">
        <f t="shared" si="12"/>
        <v>H</v>
      </c>
      <c r="B408" t="str">
        <f t="shared" si="13"/>
        <v>H2</v>
      </c>
      <c r="C408" s="568" t="s">
        <v>1802</v>
      </c>
      <c r="D408" s="568" t="s">
        <v>1624</v>
      </c>
      <c r="E408" s="569" t="s">
        <v>1793</v>
      </c>
      <c r="F408" t="s">
        <v>1629</v>
      </c>
      <c r="G408" t="s">
        <v>247</v>
      </c>
      <c r="H408">
        <v>2</v>
      </c>
      <c r="I408" t="s">
        <v>1604</v>
      </c>
      <c r="J408" t="s">
        <v>1605</v>
      </c>
      <c r="K408" t="s">
        <v>1606</v>
      </c>
    </row>
    <row r="409" spans="1:11" hidden="1">
      <c r="A409" t="str">
        <f t="shared" si="12"/>
        <v>H</v>
      </c>
      <c r="B409" t="str">
        <f t="shared" si="13"/>
        <v>H2</v>
      </c>
      <c r="C409" s="568" t="s">
        <v>1803</v>
      </c>
      <c r="D409" s="568" t="s">
        <v>1662</v>
      </c>
      <c r="E409" s="569" t="s">
        <v>1793</v>
      </c>
      <c r="F409" t="s">
        <v>1629</v>
      </c>
      <c r="G409" t="s">
        <v>247</v>
      </c>
      <c r="H409">
        <v>2</v>
      </c>
      <c r="I409" t="s">
        <v>1604</v>
      </c>
      <c r="J409" t="s">
        <v>1605</v>
      </c>
      <c r="K409" t="s">
        <v>1606</v>
      </c>
    </row>
    <row r="410" spans="1:11" hidden="1">
      <c r="A410" t="str">
        <f t="shared" si="12"/>
        <v>H</v>
      </c>
      <c r="B410" t="str">
        <f t="shared" si="13"/>
        <v>H2</v>
      </c>
      <c r="C410" s="568" t="s">
        <v>1804</v>
      </c>
      <c r="D410" s="568" t="s">
        <v>1659</v>
      </c>
      <c r="E410" s="569" t="s">
        <v>1805</v>
      </c>
      <c r="F410" t="s">
        <v>1616</v>
      </c>
      <c r="G410" t="s">
        <v>247</v>
      </c>
      <c r="H410">
        <v>2</v>
      </c>
      <c r="I410" t="s">
        <v>1604</v>
      </c>
      <c r="J410" t="s">
        <v>1605</v>
      </c>
      <c r="K410" t="s">
        <v>1606</v>
      </c>
    </row>
    <row r="411" spans="1:11" hidden="1">
      <c r="A411" t="str">
        <f t="shared" si="12"/>
        <v>H</v>
      </c>
      <c r="B411" t="str">
        <f t="shared" si="13"/>
        <v>H3</v>
      </c>
      <c r="C411" s="568" t="s">
        <v>1806</v>
      </c>
      <c r="D411" s="568" t="s">
        <v>1659</v>
      </c>
      <c r="E411" s="569" t="s">
        <v>1805</v>
      </c>
      <c r="F411" t="s">
        <v>1616</v>
      </c>
      <c r="G411" t="s">
        <v>247</v>
      </c>
      <c r="H411">
        <v>2</v>
      </c>
      <c r="I411" t="s">
        <v>1604</v>
      </c>
      <c r="J411" t="s">
        <v>1605</v>
      </c>
      <c r="K411" t="s">
        <v>1606</v>
      </c>
    </row>
    <row r="412" spans="1:11" hidden="1">
      <c r="A412" t="str">
        <f t="shared" si="12"/>
        <v>H</v>
      </c>
      <c r="B412" t="str">
        <f t="shared" si="13"/>
        <v>H3</v>
      </c>
      <c r="C412" s="568" t="s">
        <v>1807</v>
      </c>
      <c r="D412" s="568" t="s">
        <v>1638</v>
      </c>
      <c r="E412" s="569" t="s">
        <v>1793</v>
      </c>
      <c r="F412" s="577" t="s">
        <v>1629</v>
      </c>
      <c r="G412" t="s">
        <v>247</v>
      </c>
      <c r="H412">
        <v>2</v>
      </c>
      <c r="I412" t="s">
        <v>1604</v>
      </c>
      <c r="J412" t="s">
        <v>1605</v>
      </c>
      <c r="K412" t="s">
        <v>1606</v>
      </c>
    </row>
    <row r="413" spans="1:11" hidden="1">
      <c r="A413" t="str">
        <f t="shared" si="12"/>
        <v>H</v>
      </c>
      <c r="B413" t="str">
        <f t="shared" si="13"/>
        <v>H3</v>
      </c>
      <c r="C413" s="568" t="s">
        <v>1808</v>
      </c>
      <c r="D413" s="568" t="s">
        <v>1624</v>
      </c>
      <c r="E413" s="569" t="s">
        <v>1763</v>
      </c>
      <c r="F413" t="s">
        <v>1629</v>
      </c>
      <c r="G413" t="s">
        <v>247</v>
      </c>
      <c r="H413">
        <v>2</v>
      </c>
      <c r="I413" t="s">
        <v>1604</v>
      </c>
      <c r="J413" t="s">
        <v>1605</v>
      </c>
      <c r="K413" t="s">
        <v>1606</v>
      </c>
    </row>
    <row r="414" spans="1:11" hidden="1">
      <c r="A414" t="str">
        <f t="shared" si="12"/>
        <v>H</v>
      </c>
      <c r="B414" t="str">
        <f t="shared" si="13"/>
        <v>H3</v>
      </c>
      <c r="C414" s="568" t="s">
        <v>1809</v>
      </c>
      <c r="D414" s="568" t="s">
        <v>1624</v>
      </c>
      <c r="E414" s="569" t="s">
        <v>1763</v>
      </c>
      <c r="F414" t="s">
        <v>1616</v>
      </c>
      <c r="G414" t="s">
        <v>247</v>
      </c>
      <c r="H414">
        <v>2</v>
      </c>
      <c r="I414" t="s">
        <v>1604</v>
      </c>
      <c r="J414" t="s">
        <v>1605</v>
      </c>
      <c r="K414" t="s">
        <v>1606</v>
      </c>
    </row>
    <row r="415" spans="1:11" hidden="1">
      <c r="A415" t="str">
        <f t="shared" si="12"/>
        <v>H</v>
      </c>
      <c r="B415" t="str">
        <f t="shared" si="13"/>
        <v>H3</v>
      </c>
      <c r="C415" s="568" t="s">
        <v>1810</v>
      </c>
      <c r="D415" s="568" t="s">
        <v>1638</v>
      </c>
      <c r="E415" s="569" t="s">
        <v>1763</v>
      </c>
      <c r="F415" t="s">
        <v>1629</v>
      </c>
      <c r="G415" t="s">
        <v>247</v>
      </c>
      <c r="H415">
        <v>2</v>
      </c>
      <c r="I415" t="s">
        <v>1604</v>
      </c>
      <c r="J415" t="s">
        <v>1605</v>
      </c>
      <c r="K415" t="s">
        <v>1606</v>
      </c>
    </row>
    <row r="416" spans="1:11" hidden="1">
      <c r="A416" t="str">
        <f t="shared" si="12"/>
        <v>H</v>
      </c>
      <c r="B416" t="str">
        <f t="shared" si="13"/>
        <v>H3</v>
      </c>
      <c r="C416" s="568" t="s">
        <v>1811</v>
      </c>
      <c r="D416" s="568" t="s">
        <v>1659</v>
      </c>
      <c r="E416" s="569" t="s">
        <v>1763</v>
      </c>
      <c r="F416" t="s">
        <v>1609</v>
      </c>
      <c r="G416" t="s">
        <v>247</v>
      </c>
      <c r="H416">
        <v>2</v>
      </c>
      <c r="I416" t="s">
        <v>1604</v>
      </c>
      <c r="J416" t="s">
        <v>1605</v>
      </c>
      <c r="K416" t="s">
        <v>1606</v>
      </c>
    </row>
    <row r="417" spans="1:11" hidden="1">
      <c r="A417" t="str">
        <f t="shared" si="12"/>
        <v>H</v>
      </c>
      <c r="B417" t="str">
        <f t="shared" si="13"/>
        <v>H3</v>
      </c>
      <c r="C417" s="568" t="s">
        <v>1812</v>
      </c>
      <c r="D417" s="568" t="s">
        <v>1638</v>
      </c>
      <c r="E417" s="569" t="s">
        <v>1763</v>
      </c>
      <c r="F417" t="s">
        <v>1629</v>
      </c>
      <c r="G417" t="s">
        <v>247</v>
      </c>
      <c r="H417">
        <v>2</v>
      </c>
      <c r="I417" t="s">
        <v>1604</v>
      </c>
      <c r="J417" t="s">
        <v>1605</v>
      </c>
      <c r="K417" t="s">
        <v>1606</v>
      </c>
    </row>
    <row r="418" spans="1:11" hidden="1">
      <c r="A418" t="str">
        <f t="shared" si="12"/>
        <v>H</v>
      </c>
      <c r="B418" t="str">
        <f t="shared" si="13"/>
        <v>H3</v>
      </c>
      <c r="C418" s="568" t="s">
        <v>1813</v>
      </c>
      <c r="D418" s="568" t="s">
        <v>1662</v>
      </c>
      <c r="E418" s="569" t="s">
        <v>1763</v>
      </c>
      <c r="F418" t="s">
        <v>1629</v>
      </c>
      <c r="G418" t="s">
        <v>247</v>
      </c>
      <c r="H418">
        <v>2</v>
      </c>
      <c r="I418" t="s">
        <v>1604</v>
      </c>
      <c r="J418" t="s">
        <v>1605</v>
      </c>
      <c r="K418" t="s">
        <v>1606</v>
      </c>
    </row>
    <row r="419" spans="1:11" hidden="1">
      <c r="A419" t="str">
        <f t="shared" si="12"/>
        <v>H</v>
      </c>
      <c r="B419" t="str">
        <f t="shared" si="13"/>
        <v>H3</v>
      </c>
      <c r="C419" s="568" t="s">
        <v>1814</v>
      </c>
      <c r="D419" s="568" t="s">
        <v>1626</v>
      </c>
      <c r="E419" s="569" t="s">
        <v>1763</v>
      </c>
      <c r="F419" t="s">
        <v>1629</v>
      </c>
      <c r="G419" t="s">
        <v>247</v>
      </c>
      <c r="H419">
        <v>2</v>
      </c>
      <c r="I419" t="s">
        <v>1604</v>
      </c>
      <c r="J419" t="s">
        <v>1605</v>
      </c>
      <c r="K419" t="s">
        <v>1606</v>
      </c>
    </row>
    <row r="420" spans="1:11" hidden="1">
      <c r="A420" t="str">
        <f t="shared" si="12"/>
        <v>H</v>
      </c>
      <c r="B420" t="str">
        <f t="shared" si="13"/>
        <v>H3</v>
      </c>
      <c r="C420" s="568" t="s">
        <v>1815</v>
      </c>
      <c r="D420" s="568" t="s">
        <v>1624</v>
      </c>
      <c r="E420" s="569" t="s">
        <v>1763</v>
      </c>
      <c r="F420" t="s">
        <v>1629</v>
      </c>
      <c r="G420" t="s">
        <v>247</v>
      </c>
      <c r="H420">
        <v>2</v>
      </c>
      <c r="I420" t="s">
        <v>1604</v>
      </c>
      <c r="J420" t="s">
        <v>1605</v>
      </c>
      <c r="K420" t="s">
        <v>1606</v>
      </c>
    </row>
    <row r="421" spans="1:11" hidden="1">
      <c r="A421" t="str">
        <f t="shared" si="12"/>
        <v>H</v>
      </c>
      <c r="B421" t="str">
        <f t="shared" si="13"/>
        <v>H3</v>
      </c>
      <c r="C421" s="568" t="s">
        <v>1816</v>
      </c>
      <c r="D421" s="568" t="s">
        <v>1659</v>
      </c>
      <c r="E421" s="569" t="s">
        <v>1793</v>
      </c>
      <c r="F421" t="s">
        <v>1616</v>
      </c>
      <c r="G421" t="s">
        <v>247</v>
      </c>
      <c r="H421">
        <v>2</v>
      </c>
      <c r="I421" t="s">
        <v>1604</v>
      </c>
      <c r="J421" t="s">
        <v>1605</v>
      </c>
      <c r="K421" t="s">
        <v>1606</v>
      </c>
    </row>
    <row r="422" spans="1:11" hidden="1">
      <c r="A422" t="str">
        <f t="shared" si="12"/>
        <v>H</v>
      </c>
      <c r="B422" t="str">
        <f t="shared" si="13"/>
        <v>H3</v>
      </c>
      <c r="C422" s="568" t="s">
        <v>1817</v>
      </c>
      <c r="D422" s="568" t="s">
        <v>1659</v>
      </c>
      <c r="E422" s="569" t="s">
        <v>1763</v>
      </c>
      <c r="F422" t="s">
        <v>1616</v>
      </c>
      <c r="G422" t="s">
        <v>247</v>
      </c>
      <c r="H422">
        <v>2</v>
      </c>
      <c r="I422" t="s">
        <v>1604</v>
      </c>
      <c r="J422" t="s">
        <v>1605</v>
      </c>
      <c r="K422" t="s">
        <v>1606</v>
      </c>
    </row>
    <row r="423" spans="1:11" hidden="1">
      <c r="A423" t="str">
        <f t="shared" si="12"/>
        <v>H</v>
      </c>
      <c r="B423" t="str">
        <f t="shared" si="13"/>
        <v>H3</v>
      </c>
      <c r="C423" s="568" t="s">
        <v>1818</v>
      </c>
      <c r="D423" s="568" t="s">
        <v>1662</v>
      </c>
      <c r="E423" s="569" t="s">
        <v>1793</v>
      </c>
      <c r="F423" t="s">
        <v>1629</v>
      </c>
      <c r="G423" t="s">
        <v>247</v>
      </c>
      <c r="H423">
        <v>2</v>
      </c>
      <c r="I423" t="s">
        <v>1604</v>
      </c>
      <c r="J423" t="s">
        <v>1605</v>
      </c>
      <c r="K423" t="s">
        <v>1606</v>
      </c>
    </row>
    <row r="424" spans="1:11" hidden="1">
      <c r="A424" t="str">
        <f t="shared" si="12"/>
        <v>H</v>
      </c>
      <c r="B424" t="str">
        <f t="shared" si="13"/>
        <v>H3</v>
      </c>
      <c r="C424" s="568" t="s">
        <v>1819</v>
      </c>
      <c r="D424" s="568" t="s">
        <v>1662</v>
      </c>
      <c r="E424" s="569" t="s">
        <v>1793</v>
      </c>
      <c r="F424" t="s">
        <v>1616</v>
      </c>
      <c r="G424" t="s">
        <v>247</v>
      </c>
      <c r="H424">
        <v>2</v>
      </c>
      <c r="I424" t="s">
        <v>1604</v>
      </c>
      <c r="J424" t="s">
        <v>1605</v>
      </c>
      <c r="K424" t="s">
        <v>1606</v>
      </c>
    </row>
    <row r="425" spans="1:11" hidden="1">
      <c r="A425" t="str">
        <f t="shared" si="12"/>
        <v>H</v>
      </c>
      <c r="B425" t="str">
        <f t="shared" si="13"/>
        <v>H3</v>
      </c>
      <c r="C425" s="568" t="s">
        <v>1820</v>
      </c>
      <c r="D425" s="568" t="s">
        <v>1638</v>
      </c>
      <c r="E425" s="569" t="s">
        <v>1793</v>
      </c>
      <c r="F425" t="s">
        <v>1616</v>
      </c>
      <c r="G425" t="s">
        <v>247</v>
      </c>
      <c r="H425">
        <v>2</v>
      </c>
      <c r="I425" t="s">
        <v>1604</v>
      </c>
      <c r="J425" t="s">
        <v>1605</v>
      </c>
      <c r="K425" t="s">
        <v>1606</v>
      </c>
    </row>
    <row r="426" spans="1:11" hidden="1">
      <c r="A426" t="str">
        <f t="shared" si="12"/>
        <v>H</v>
      </c>
      <c r="B426" t="str">
        <f t="shared" si="13"/>
        <v>H3</v>
      </c>
      <c r="C426" s="568" t="s">
        <v>1821</v>
      </c>
      <c r="D426" s="568" t="s">
        <v>1659</v>
      </c>
      <c r="E426" s="569" t="s">
        <v>1763</v>
      </c>
      <c r="F426" t="s">
        <v>1616</v>
      </c>
      <c r="G426" t="s">
        <v>247</v>
      </c>
      <c r="H426">
        <v>2</v>
      </c>
      <c r="I426" t="s">
        <v>1604</v>
      </c>
      <c r="J426" t="s">
        <v>1605</v>
      </c>
      <c r="K426" t="s">
        <v>1606</v>
      </c>
    </row>
    <row r="427" spans="1:11" hidden="1">
      <c r="A427" t="str">
        <f t="shared" si="12"/>
        <v>H</v>
      </c>
      <c r="B427" t="str">
        <f t="shared" si="13"/>
        <v>H3</v>
      </c>
      <c r="C427" s="568" t="s">
        <v>1822</v>
      </c>
      <c r="D427" s="568" t="s">
        <v>1638</v>
      </c>
      <c r="E427" s="569" t="s">
        <v>1793</v>
      </c>
      <c r="F427" t="s">
        <v>1629</v>
      </c>
      <c r="G427" t="s">
        <v>247</v>
      </c>
      <c r="H427">
        <v>2</v>
      </c>
      <c r="I427" t="s">
        <v>1604</v>
      </c>
      <c r="J427" t="s">
        <v>1605</v>
      </c>
      <c r="K427" t="s">
        <v>1606</v>
      </c>
    </row>
    <row r="428" spans="1:11" hidden="1">
      <c r="A428" t="str">
        <f t="shared" si="12"/>
        <v>H</v>
      </c>
      <c r="B428" t="str">
        <f t="shared" si="13"/>
        <v>H3</v>
      </c>
      <c r="C428" s="568" t="s">
        <v>1823</v>
      </c>
      <c r="D428" s="568" t="s">
        <v>1659</v>
      </c>
      <c r="E428" s="569" t="s">
        <v>1793</v>
      </c>
      <c r="F428" t="s">
        <v>1629</v>
      </c>
      <c r="G428" t="s">
        <v>247</v>
      </c>
      <c r="H428">
        <v>2</v>
      </c>
      <c r="I428" t="s">
        <v>1604</v>
      </c>
      <c r="J428" t="s">
        <v>1605</v>
      </c>
      <c r="K428" t="s">
        <v>1606</v>
      </c>
    </row>
    <row r="429" spans="1:11" hidden="1">
      <c r="A429" t="str">
        <f t="shared" si="12"/>
        <v>H</v>
      </c>
      <c r="B429" t="str">
        <f t="shared" si="13"/>
        <v>H3</v>
      </c>
      <c r="C429" s="568" t="s">
        <v>1824</v>
      </c>
      <c r="D429" s="568" t="s">
        <v>1659</v>
      </c>
      <c r="E429" s="569" t="s">
        <v>1763</v>
      </c>
      <c r="F429" t="s">
        <v>1629</v>
      </c>
      <c r="G429" t="s">
        <v>247</v>
      </c>
      <c r="H429">
        <v>2</v>
      </c>
      <c r="I429" t="s">
        <v>1604</v>
      </c>
      <c r="J429" t="s">
        <v>1605</v>
      </c>
      <c r="K429" t="s">
        <v>1606</v>
      </c>
    </row>
    <row r="430" spans="1:11" hidden="1">
      <c r="A430" t="str">
        <f t="shared" si="12"/>
        <v>H</v>
      </c>
      <c r="B430" t="str">
        <f t="shared" si="13"/>
        <v>H3</v>
      </c>
      <c r="C430" s="568" t="s">
        <v>1825</v>
      </c>
      <c r="D430" s="568" t="s">
        <v>1659</v>
      </c>
      <c r="E430" s="569" t="s">
        <v>1793</v>
      </c>
      <c r="F430" t="s">
        <v>1629</v>
      </c>
      <c r="G430" t="s">
        <v>247</v>
      </c>
      <c r="H430">
        <v>2</v>
      </c>
      <c r="I430" t="s">
        <v>1604</v>
      </c>
      <c r="J430" t="s">
        <v>1605</v>
      </c>
      <c r="K430" t="s">
        <v>1606</v>
      </c>
    </row>
    <row r="431" spans="1:11" hidden="1">
      <c r="A431" t="str">
        <f t="shared" si="12"/>
        <v>H</v>
      </c>
      <c r="B431" t="str">
        <f t="shared" si="13"/>
        <v>H4</v>
      </c>
      <c r="C431" s="568" t="s">
        <v>1826</v>
      </c>
      <c r="D431" s="568" t="s">
        <v>1662</v>
      </c>
      <c r="E431" s="569" t="s">
        <v>1793</v>
      </c>
      <c r="F431" t="s">
        <v>1629</v>
      </c>
      <c r="G431" t="s">
        <v>247</v>
      </c>
      <c r="H431">
        <v>2</v>
      </c>
      <c r="I431" t="s">
        <v>1604</v>
      </c>
      <c r="J431" t="s">
        <v>1605</v>
      </c>
      <c r="K431" t="s">
        <v>1606</v>
      </c>
    </row>
    <row r="432" spans="1:11" hidden="1">
      <c r="A432" t="str">
        <f t="shared" si="12"/>
        <v>H</v>
      </c>
      <c r="B432" t="str">
        <f t="shared" si="13"/>
        <v>H4</v>
      </c>
      <c r="C432" s="568" t="s">
        <v>1827</v>
      </c>
      <c r="D432" s="568" t="s">
        <v>1659</v>
      </c>
      <c r="E432" s="569" t="s">
        <v>1793</v>
      </c>
      <c r="F432" t="s">
        <v>1629</v>
      </c>
      <c r="G432" t="s">
        <v>247</v>
      </c>
      <c r="H432">
        <v>2</v>
      </c>
      <c r="I432" t="s">
        <v>1604</v>
      </c>
      <c r="J432" t="s">
        <v>1605</v>
      </c>
      <c r="K432" t="s">
        <v>1606</v>
      </c>
    </row>
    <row r="433" spans="1:11" hidden="1">
      <c r="A433" t="str">
        <f t="shared" si="12"/>
        <v>H</v>
      </c>
      <c r="B433" t="str">
        <f t="shared" si="13"/>
        <v>H4</v>
      </c>
      <c r="C433" s="568" t="s">
        <v>1828</v>
      </c>
      <c r="D433" s="568" t="s">
        <v>1662</v>
      </c>
      <c r="E433" s="569" t="s">
        <v>1763</v>
      </c>
      <c r="F433" t="s">
        <v>1629</v>
      </c>
      <c r="G433" t="s">
        <v>247</v>
      </c>
      <c r="H433">
        <v>2</v>
      </c>
      <c r="I433" t="s">
        <v>1604</v>
      </c>
      <c r="J433" t="s">
        <v>1605</v>
      </c>
      <c r="K433" t="s">
        <v>1606</v>
      </c>
    </row>
    <row r="434" spans="1:11" hidden="1">
      <c r="A434" t="str">
        <f t="shared" si="12"/>
        <v>H</v>
      </c>
      <c r="B434" t="str">
        <f t="shared" si="13"/>
        <v>H4</v>
      </c>
      <c r="C434" s="568" t="s">
        <v>1829</v>
      </c>
      <c r="D434" s="568" t="s">
        <v>1659</v>
      </c>
      <c r="E434" s="569" t="s">
        <v>1763</v>
      </c>
      <c r="F434" t="s">
        <v>1616</v>
      </c>
      <c r="G434" t="s">
        <v>247</v>
      </c>
      <c r="H434">
        <v>2</v>
      </c>
      <c r="I434" t="s">
        <v>1604</v>
      </c>
      <c r="J434" t="s">
        <v>1605</v>
      </c>
      <c r="K434" t="s">
        <v>1606</v>
      </c>
    </row>
    <row r="435" spans="1:11" hidden="1">
      <c r="A435" t="str">
        <f t="shared" si="12"/>
        <v>H</v>
      </c>
      <c r="B435" t="str">
        <f t="shared" si="13"/>
        <v>H4</v>
      </c>
      <c r="C435" s="568" t="s">
        <v>1830</v>
      </c>
      <c r="D435" s="568" t="s">
        <v>1624</v>
      </c>
      <c r="E435" s="569" t="s">
        <v>1763</v>
      </c>
      <c r="F435" t="s">
        <v>1616</v>
      </c>
      <c r="G435" t="s">
        <v>247</v>
      </c>
      <c r="H435">
        <v>2</v>
      </c>
      <c r="I435" t="s">
        <v>1604</v>
      </c>
      <c r="J435" t="s">
        <v>1605</v>
      </c>
      <c r="K435" t="s">
        <v>1606</v>
      </c>
    </row>
    <row r="436" spans="1:11" hidden="1">
      <c r="A436" t="str">
        <f t="shared" si="12"/>
        <v>H</v>
      </c>
      <c r="B436" t="str">
        <f t="shared" si="13"/>
        <v>H4</v>
      </c>
      <c r="C436" s="568" t="s">
        <v>1831</v>
      </c>
      <c r="D436" s="568" t="s">
        <v>1624</v>
      </c>
      <c r="E436" s="569" t="s">
        <v>1763</v>
      </c>
      <c r="F436" t="s">
        <v>1616</v>
      </c>
      <c r="G436" t="s">
        <v>247</v>
      </c>
      <c r="H436">
        <v>2</v>
      </c>
      <c r="I436" t="s">
        <v>1604</v>
      </c>
      <c r="J436" t="s">
        <v>1605</v>
      </c>
      <c r="K436" t="s">
        <v>1606</v>
      </c>
    </row>
    <row r="437" spans="1:11" hidden="1">
      <c r="A437" t="str">
        <f t="shared" si="12"/>
        <v>H</v>
      </c>
      <c r="B437" t="str">
        <f t="shared" si="13"/>
        <v>H4</v>
      </c>
      <c r="C437" s="568" t="s">
        <v>1832</v>
      </c>
      <c r="D437" s="568" t="s">
        <v>1662</v>
      </c>
      <c r="E437" s="569" t="s">
        <v>1763</v>
      </c>
      <c r="F437" t="s">
        <v>1616</v>
      </c>
      <c r="G437" t="s">
        <v>247</v>
      </c>
      <c r="H437">
        <v>2</v>
      </c>
      <c r="I437" t="s">
        <v>1604</v>
      </c>
      <c r="J437" t="s">
        <v>1605</v>
      </c>
      <c r="K437" t="s">
        <v>1606</v>
      </c>
    </row>
    <row r="438" spans="1:11" hidden="1">
      <c r="A438" t="str">
        <f t="shared" si="12"/>
        <v>H</v>
      </c>
      <c r="B438" t="str">
        <f t="shared" si="13"/>
        <v>H4</v>
      </c>
      <c r="C438" s="568" t="s">
        <v>1833</v>
      </c>
      <c r="D438" s="568" t="s">
        <v>1662</v>
      </c>
      <c r="E438" s="569" t="s">
        <v>1763</v>
      </c>
      <c r="F438" t="s">
        <v>1616</v>
      </c>
      <c r="G438" t="s">
        <v>247</v>
      </c>
      <c r="H438">
        <v>2</v>
      </c>
      <c r="I438" t="s">
        <v>1604</v>
      </c>
      <c r="J438" t="s">
        <v>1605</v>
      </c>
      <c r="K438" t="s">
        <v>1606</v>
      </c>
    </row>
    <row r="439" spans="1:11" hidden="1">
      <c r="A439" t="str">
        <f t="shared" si="12"/>
        <v>H</v>
      </c>
      <c r="B439" t="str">
        <f t="shared" si="13"/>
        <v>H4</v>
      </c>
      <c r="C439" s="568" t="s">
        <v>1834</v>
      </c>
      <c r="D439" s="568" t="s">
        <v>1659</v>
      </c>
      <c r="E439" s="569" t="s">
        <v>1793</v>
      </c>
      <c r="F439" t="s">
        <v>1616</v>
      </c>
      <c r="G439" t="s">
        <v>247</v>
      </c>
      <c r="H439">
        <v>2</v>
      </c>
      <c r="I439" t="s">
        <v>1604</v>
      </c>
      <c r="J439" t="s">
        <v>1605</v>
      </c>
      <c r="K439" t="s">
        <v>1606</v>
      </c>
    </row>
    <row r="440" spans="1:11" hidden="1">
      <c r="A440" t="str">
        <f t="shared" si="12"/>
        <v>H</v>
      </c>
      <c r="B440" t="str">
        <f t="shared" si="13"/>
        <v>H4</v>
      </c>
      <c r="C440" s="568" t="s">
        <v>1835</v>
      </c>
      <c r="D440" s="568" t="s">
        <v>1636</v>
      </c>
      <c r="E440" s="569" t="s">
        <v>1793</v>
      </c>
      <c r="F440" t="s">
        <v>1616</v>
      </c>
      <c r="G440" t="s">
        <v>247</v>
      </c>
      <c r="H440">
        <v>2</v>
      </c>
      <c r="I440" t="s">
        <v>1604</v>
      </c>
      <c r="J440" t="s">
        <v>1605</v>
      </c>
      <c r="K440" t="s">
        <v>1606</v>
      </c>
    </row>
    <row r="441" spans="1:11" hidden="1">
      <c r="A441" t="str">
        <f t="shared" si="12"/>
        <v>H</v>
      </c>
      <c r="B441" t="str">
        <f t="shared" si="13"/>
        <v>H4</v>
      </c>
      <c r="C441" s="568" t="s">
        <v>1836</v>
      </c>
      <c r="D441" s="568" t="s">
        <v>1624</v>
      </c>
      <c r="E441" s="569" t="s">
        <v>1763</v>
      </c>
      <c r="F441" t="s">
        <v>1616</v>
      </c>
      <c r="G441" t="s">
        <v>247</v>
      </c>
      <c r="H441">
        <v>2</v>
      </c>
      <c r="I441" t="s">
        <v>1604</v>
      </c>
      <c r="J441" t="s">
        <v>1605</v>
      </c>
      <c r="K441" t="s">
        <v>1606</v>
      </c>
    </row>
    <row r="442" spans="1:11" hidden="1">
      <c r="A442" t="str">
        <f t="shared" si="12"/>
        <v>H</v>
      </c>
      <c r="B442" t="str">
        <f t="shared" si="13"/>
        <v>H4</v>
      </c>
      <c r="C442" s="568" t="s">
        <v>1299</v>
      </c>
      <c r="D442" s="568" t="s">
        <v>1659</v>
      </c>
      <c r="E442" s="569" t="s">
        <v>1805</v>
      </c>
      <c r="F442" t="s">
        <v>1629</v>
      </c>
      <c r="G442" t="s">
        <v>247</v>
      </c>
      <c r="H442">
        <v>2</v>
      </c>
      <c r="I442" t="s">
        <v>1604</v>
      </c>
      <c r="J442" t="s">
        <v>1605</v>
      </c>
      <c r="K442" t="s">
        <v>1606</v>
      </c>
    </row>
    <row r="443" spans="1:11" hidden="1">
      <c r="A443" t="str">
        <f t="shared" si="12"/>
        <v>H</v>
      </c>
      <c r="B443" t="str">
        <f t="shared" si="13"/>
        <v>H4</v>
      </c>
      <c r="C443" s="568" t="s">
        <v>1837</v>
      </c>
      <c r="D443" s="568" t="s">
        <v>1624</v>
      </c>
      <c r="E443" s="569" t="s">
        <v>1763</v>
      </c>
      <c r="F443" t="s">
        <v>1629</v>
      </c>
      <c r="G443" t="s">
        <v>247</v>
      </c>
      <c r="H443">
        <v>2</v>
      </c>
      <c r="I443" t="s">
        <v>1604</v>
      </c>
      <c r="J443" t="s">
        <v>1605</v>
      </c>
      <c r="K443" t="s">
        <v>1606</v>
      </c>
    </row>
    <row r="444" spans="1:11" hidden="1">
      <c r="A444" t="str">
        <f t="shared" si="12"/>
        <v>H</v>
      </c>
      <c r="B444" t="str">
        <f t="shared" si="13"/>
        <v>H4</v>
      </c>
      <c r="C444" s="568" t="s">
        <v>1838</v>
      </c>
      <c r="D444" s="568" t="s">
        <v>1624</v>
      </c>
      <c r="E444" s="569" t="s">
        <v>1805</v>
      </c>
      <c r="F444" t="s">
        <v>1629</v>
      </c>
      <c r="G444" t="s">
        <v>247</v>
      </c>
      <c r="H444">
        <v>2</v>
      </c>
      <c r="I444" t="s">
        <v>1604</v>
      </c>
      <c r="J444" t="s">
        <v>1605</v>
      </c>
      <c r="K444" t="s">
        <v>1606</v>
      </c>
    </row>
    <row r="445" spans="1:11" hidden="1">
      <c r="A445" t="str">
        <f t="shared" si="12"/>
        <v>H</v>
      </c>
      <c r="B445" t="str">
        <f t="shared" si="13"/>
        <v>H4</v>
      </c>
      <c r="C445" s="568" t="s">
        <v>1839</v>
      </c>
      <c r="D445" s="568" t="s">
        <v>1662</v>
      </c>
      <c r="E445" s="569" t="s">
        <v>1793</v>
      </c>
      <c r="F445" t="s">
        <v>1616</v>
      </c>
      <c r="G445" t="s">
        <v>247</v>
      </c>
      <c r="H445">
        <v>2</v>
      </c>
      <c r="I445" t="s">
        <v>1604</v>
      </c>
      <c r="J445" t="s">
        <v>1605</v>
      </c>
      <c r="K445" t="s">
        <v>1606</v>
      </c>
    </row>
    <row r="446" spans="1:11" hidden="1">
      <c r="A446" t="str">
        <f t="shared" si="12"/>
        <v>H</v>
      </c>
      <c r="B446" t="str">
        <f t="shared" si="13"/>
        <v>H4</v>
      </c>
      <c r="C446" s="568" t="s">
        <v>1840</v>
      </c>
      <c r="D446" s="568" t="s">
        <v>1659</v>
      </c>
      <c r="E446" s="569" t="s">
        <v>1793</v>
      </c>
      <c r="F446" t="s">
        <v>1629</v>
      </c>
      <c r="G446" t="s">
        <v>247</v>
      </c>
      <c r="H446">
        <v>2</v>
      </c>
      <c r="I446" t="s">
        <v>1604</v>
      </c>
      <c r="J446" t="s">
        <v>1605</v>
      </c>
      <c r="K446" t="s">
        <v>1606</v>
      </c>
    </row>
    <row r="447" spans="1:11" hidden="1">
      <c r="A447" t="str">
        <f t="shared" si="12"/>
        <v>H</v>
      </c>
      <c r="B447" t="str">
        <f t="shared" si="13"/>
        <v>H4</v>
      </c>
      <c r="C447" s="568" t="s">
        <v>1841</v>
      </c>
      <c r="D447" s="568" t="s">
        <v>1662</v>
      </c>
      <c r="E447" s="569" t="s">
        <v>1793</v>
      </c>
      <c r="F447" t="s">
        <v>1616</v>
      </c>
      <c r="G447" t="s">
        <v>247</v>
      </c>
      <c r="H447">
        <v>2</v>
      </c>
      <c r="I447" t="s">
        <v>1604</v>
      </c>
      <c r="J447" t="s">
        <v>1605</v>
      </c>
      <c r="K447" t="s">
        <v>1606</v>
      </c>
    </row>
    <row r="448" spans="1:11" hidden="1">
      <c r="A448" t="str">
        <f t="shared" si="12"/>
        <v>H</v>
      </c>
      <c r="B448" t="str">
        <f t="shared" si="13"/>
        <v>H4</v>
      </c>
      <c r="C448" s="568" t="s">
        <v>1842</v>
      </c>
      <c r="D448" s="568" t="s">
        <v>1624</v>
      </c>
      <c r="E448" s="569" t="s">
        <v>1793</v>
      </c>
      <c r="F448" t="s">
        <v>1629</v>
      </c>
      <c r="G448" t="s">
        <v>247</v>
      </c>
      <c r="H448">
        <v>2</v>
      </c>
      <c r="I448" t="s">
        <v>1604</v>
      </c>
      <c r="J448" t="s">
        <v>1605</v>
      </c>
      <c r="K448" t="s">
        <v>1606</v>
      </c>
    </row>
    <row r="449" spans="1:11" hidden="1">
      <c r="A449" t="str">
        <f t="shared" si="12"/>
        <v>H</v>
      </c>
      <c r="B449" t="str">
        <f t="shared" si="13"/>
        <v>H4</v>
      </c>
      <c r="C449" s="568" t="s">
        <v>1843</v>
      </c>
      <c r="D449" s="568" t="s">
        <v>1659</v>
      </c>
      <c r="E449" s="569" t="s">
        <v>1805</v>
      </c>
      <c r="F449" t="s">
        <v>1618</v>
      </c>
      <c r="G449" t="s">
        <v>247</v>
      </c>
      <c r="H449">
        <v>2</v>
      </c>
      <c r="I449" t="s">
        <v>1604</v>
      </c>
      <c r="J449" t="s">
        <v>1605</v>
      </c>
      <c r="K449" t="s">
        <v>1606</v>
      </c>
    </row>
    <row r="450" spans="1:11" hidden="1">
      <c r="A450" t="str">
        <f t="shared" si="12"/>
        <v>H</v>
      </c>
      <c r="B450" t="str">
        <f t="shared" si="13"/>
        <v>H4</v>
      </c>
      <c r="C450" s="575" t="s">
        <v>1844</v>
      </c>
      <c r="D450" s="575" t="s">
        <v>1659</v>
      </c>
      <c r="E450" s="576" t="s">
        <v>1805</v>
      </c>
      <c r="F450" s="577" t="s">
        <v>1618</v>
      </c>
      <c r="G450" t="s">
        <v>247</v>
      </c>
      <c r="H450">
        <v>2</v>
      </c>
      <c r="I450" t="s">
        <v>1604</v>
      </c>
      <c r="J450" t="s">
        <v>1605</v>
      </c>
      <c r="K450" t="s">
        <v>1606</v>
      </c>
    </row>
    <row r="451" spans="1:11" hidden="1">
      <c r="A451" t="str">
        <f t="shared" ref="A451:A514" si="14">LEFT(C451)</f>
        <v>H</v>
      </c>
      <c r="B451" t="str">
        <f t="shared" si="13"/>
        <v>H5</v>
      </c>
      <c r="C451" s="575" t="s">
        <v>1845</v>
      </c>
      <c r="D451" s="575" t="s">
        <v>1626</v>
      </c>
      <c r="E451" s="576" t="s">
        <v>1763</v>
      </c>
      <c r="F451" s="577" t="s">
        <v>1629</v>
      </c>
      <c r="G451" t="s">
        <v>247</v>
      </c>
      <c r="H451">
        <v>2</v>
      </c>
      <c r="I451" t="s">
        <v>1604</v>
      </c>
      <c r="J451" t="s">
        <v>1605</v>
      </c>
      <c r="K451" t="s">
        <v>1606</v>
      </c>
    </row>
    <row r="452" spans="1:11" hidden="1">
      <c r="A452" t="str">
        <f t="shared" si="14"/>
        <v>H</v>
      </c>
      <c r="B452" t="str">
        <f t="shared" ref="B452:B515" si="15">LEFT(C452,2)</f>
        <v>H5</v>
      </c>
      <c r="C452" s="575" t="s">
        <v>1846</v>
      </c>
      <c r="D452" s="575" t="s">
        <v>1638</v>
      </c>
      <c r="E452" s="576" t="s">
        <v>1763</v>
      </c>
      <c r="F452" s="577" t="s">
        <v>1603</v>
      </c>
      <c r="G452" t="s">
        <v>247</v>
      </c>
      <c r="H452">
        <v>2</v>
      </c>
      <c r="I452" t="s">
        <v>1604</v>
      </c>
      <c r="J452" t="s">
        <v>1605</v>
      </c>
      <c r="K452" t="s">
        <v>1606</v>
      </c>
    </row>
    <row r="453" spans="1:11" hidden="1">
      <c r="A453" t="str">
        <f t="shared" si="14"/>
        <v>H</v>
      </c>
      <c r="B453" t="str">
        <f t="shared" si="15"/>
        <v>H7</v>
      </c>
      <c r="C453" s="568" t="s">
        <v>1847</v>
      </c>
      <c r="D453" s="568" t="s">
        <v>1662</v>
      </c>
      <c r="E453" s="569" t="s">
        <v>1763</v>
      </c>
      <c r="F453" t="s">
        <v>1618</v>
      </c>
      <c r="G453" t="s">
        <v>247</v>
      </c>
      <c r="H453">
        <v>2</v>
      </c>
      <c r="I453" t="s">
        <v>1604</v>
      </c>
      <c r="J453" t="s">
        <v>1605</v>
      </c>
      <c r="K453" t="s">
        <v>1606</v>
      </c>
    </row>
    <row r="454" spans="1:11" hidden="1">
      <c r="A454" t="str">
        <f t="shared" si="14"/>
        <v>H</v>
      </c>
      <c r="B454" t="str">
        <f t="shared" si="15"/>
        <v>H7</v>
      </c>
      <c r="C454" s="568" t="s">
        <v>1848</v>
      </c>
      <c r="D454" s="568" t="s">
        <v>1638</v>
      </c>
      <c r="E454" s="569" t="s">
        <v>1765</v>
      </c>
      <c r="F454" t="s">
        <v>1618</v>
      </c>
      <c r="G454" t="s">
        <v>247</v>
      </c>
      <c r="H454">
        <v>2</v>
      </c>
      <c r="I454" t="s">
        <v>1604</v>
      </c>
      <c r="J454" t="s">
        <v>1605</v>
      </c>
      <c r="K454" t="s">
        <v>1606</v>
      </c>
    </row>
    <row r="455" spans="1:11" hidden="1">
      <c r="A455" t="str">
        <f t="shared" si="14"/>
        <v>H</v>
      </c>
      <c r="B455" t="str">
        <f t="shared" si="15"/>
        <v>H7</v>
      </c>
      <c r="C455" s="568" t="s">
        <v>1849</v>
      </c>
      <c r="D455" s="568" t="s">
        <v>1638</v>
      </c>
      <c r="E455" s="569" t="s">
        <v>1765</v>
      </c>
      <c r="F455" t="s">
        <v>1603</v>
      </c>
      <c r="G455" t="s">
        <v>247</v>
      </c>
      <c r="H455">
        <v>2</v>
      </c>
      <c r="I455" t="s">
        <v>1604</v>
      </c>
      <c r="J455" t="s">
        <v>1605</v>
      </c>
      <c r="K455" t="s">
        <v>1606</v>
      </c>
    </row>
    <row r="456" spans="1:11" hidden="1">
      <c r="A456" t="str">
        <f t="shared" si="14"/>
        <v>H</v>
      </c>
      <c r="B456" t="str">
        <f t="shared" si="15"/>
        <v>H7</v>
      </c>
      <c r="C456" s="568" t="s">
        <v>1850</v>
      </c>
      <c r="D456" s="568" t="s">
        <v>1638</v>
      </c>
      <c r="E456" s="569" t="s">
        <v>1765</v>
      </c>
      <c r="F456" t="s">
        <v>1618</v>
      </c>
      <c r="G456" t="s">
        <v>247</v>
      </c>
      <c r="H456">
        <v>2</v>
      </c>
      <c r="I456" t="s">
        <v>1604</v>
      </c>
      <c r="J456" t="s">
        <v>1605</v>
      </c>
      <c r="K456" t="s">
        <v>1606</v>
      </c>
    </row>
    <row r="457" spans="1:11" hidden="1">
      <c r="A457" t="str">
        <f t="shared" si="14"/>
        <v>H</v>
      </c>
      <c r="B457" t="str">
        <f t="shared" si="15"/>
        <v>H7</v>
      </c>
      <c r="C457" s="568" t="s">
        <v>1851</v>
      </c>
      <c r="D457" s="568" t="s">
        <v>1659</v>
      </c>
      <c r="E457" s="569" t="s">
        <v>1763</v>
      </c>
      <c r="F457" t="s">
        <v>1618</v>
      </c>
      <c r="G457" t="s">
        <v>247</v>
      </c>
      <c r="H457">
        <v>2</v>
      </c>
      <c r="I457" t="s">
        <v>1604</v>
      </c>
      <c r="J457" t="s">
        <v>1605</v>
      </c>
      <c r="K457" t="s">
        <v>1606</v>
      </c>
    </row>
    <row r="458" spans="1:11" hidden="1">
      <c r="A458" t="str">
        <f t="shared" si="14"/>
        <v>H</v>
      </c>
      <c r="B458" t="str">
        <f t="shared" si="15"/>
        <v>H7</v>
      </c>
      <c r="C458" s="568" t="s">
        <v>1852</v>
      </c>
      <c r="D458" s="568" t="s">
        <v>1662</v>
      </c>
      <c r="E458" s="569" t="s">
        <v>1765</v>
      </c>
      <c r="F458" t="s">
        <v>1618</v>
      </c>
      <c r="G458" t="s">
        <v>247</v>
      </c>
      <c r="H458">
        <v>2</v>
      </c>
      <c r="I458" t="s">
        <v>1604</v>
      </c>
      <c r="J458" t="s">
        <v>1605</v>
      </c>
      <c r="K458" t="s">
        <v>1606</v>
      </c>
    </row>
    <row r="459" spans="1:11" hidden="1">
      <c r="A459" t="str">
        <f t="shared" si="14"/>
        <v>H</v>
      </c>
      <c r="B459" t="str">
        <f t="shared" si="15"/>
        <v>H7</v>
      </c>
      <c r="C459" s="568" t="s">
        <v>1853</v>
      </c>
      <c r="D459" s="568" t="s">
        <v>1659</v>
      </c>
      <c r="E459" s="569" t="s">
        <v>1765</v>
      </c>
      <c r="F459" t="s">
        <v>1618</v>
      </c>
      <c r="G459" t="s">
        <v>247</v>
      </c>
      <c r="H459">
        <v>2</v>
      </c>
      <c r="I459" t="s">
        <v>1604</v>
      </c>
      <c r="J459" t="s">
        <v>1605</v>
      </c>
      <c r="K459" t="s">
        <v>1606</v>
      </c>
    </row>
    <row r="460" spans="1:11" hidden="1">
      <c r="A460" t="str">
        <f t="shared" si="14"/>
        <v>H</v>
      </c>
      <c r="B460" t="str">
        <f t="shared" si="15"/>
        <v>H7</v>
      </c>
      <c r="C460" s="568" t="s">
        <v>1854</v>
      </c>
      <c r="D460" s="568" t="s">
        <v>1659</v>
      </c>
      <c r="E460" s="569" t="s">
        <v>1765</v>
      </c>
      <c r="F460" t="s">
        <v>1618</v>
      </c>
      <c r="G460" t="s">
        <v>247</v>
      </c>
      <c r="H460">
        <v>2</v>
      </c>
      <c r="I460" t="s">
        <v>1604</v>
      </c>
      <c r="J460" t="s">
        <v>1605</v>
      </c>
      <c r="K460" t="s">
        <v>1606</v>
      </c>
    </row>
    <row r="461" spans="1:11" hidden="1">
      <c r="A461" t="str">
        <f t="shared" si="14"/>
        <v>H</v>
      </c>
      <c r="B461" t="str">
        <f t="shared" si="15"/>
        <v>H7</v>
      </c>
      <c r="C461" s="568" t="s">
        <v>1855</v>
      </c>
      <c r="D461" s="568" t="s">
        <v>1659</v>
      </c>
      <c r="E461" s="569" t="s">
        <v>1763</v>
      </c>
      <c r="F461" t="s">
        <v>1618</v>
      </c>
      <c r="G461" t="s">
        <v>247</v>
      </c>
      <c r="H461">
        <v>2</v>
      </c>
      <c r="I461" t="s">
        <v>1604</v>
      </c>
      <c r="J461" t="s">
        <v>1605</v>
      </c>
      <c r="K461" t="s">
        <v>1606</v>
      </c>
    </row>
    <row r="462" spans="1:11" hidden="1">
      <c r="A462" t="str">
        <f t="shared" si="14"/>
        <v>H</v>
      </c>
      <c r="B462" t="str">
        <f t="shared" si="15"/>
        <v>H7</v>
      </c>
      <c r="C462" s="568" t="s">
        <v>1856</v>
      </c>
      <c r="D462" s="568" t="s">
        <v>1659</v>
      </c>
      <c r="E462" s="569" t="s">
        <v>1765</v>
      </c>
      <c r="F462" t="s">
        <v>1618</v>
      </c>
      <c r="G462" t="s">
        <v>247</v>
      </c>
      <c r="H462">
        <v>2</v>
      </c>
      <c r="I462" t="s">
        <v>1604</v>
      </c>
      <c r="J462" t="s">
        <v>1605</v>
      </c>
      <c r="K462" t="s">
        <v>1606</v>
      </c>
    </row>
    <row r="463" spans="1:11" hidden="1">
      <c r="A463" t="str">
        <f t="shared" si="14"/>
        <v>H</v>
      </c>
      <c r="B463" t="str">
        <f t="shared" si="15"/>
        <v>H7</v>
      </c>
      <c r="C463" s="568" t="s">
        <v>1857</v>
      </c>
      <c r="D463" s="568" t="s">
        <v>1662</v>
      </c>
      <c r="E463" s="569" t="s">
        <v>1765</v>
      </c>
      <c r="F463" t="s">
        <v>1618</v>
      </c>
      <c r="G463" t="s">
        <v>247</v>
      </c>
      <c r="H463">
        <v>2</v>
      </c>
      <c r="I463" t="s">
        <v>1604</v>
      </c>
      <c r="J463" t="s">
        <v>1605</v>
      </c>
      <c r="K463" t="s">
        <v>1606</v>
      </c>
    </row>
    <row r="464" spans="1:11" hidden="1">
      <c r="A464" t="str">
        <f t="shared" si="14"/>
        <v>H</v>
      </c>
      <c r="B464" t="str">
        <f t="shared" si="15"/>
        <v>H7</v>
      </c>
      <c r="C464" s="568" t="s">
        <v>1858</v>
      </c>
      <c r="D464" s="568" t="s">
        <v>1662</v>
      </c>
      <c r="E464" s="569" t="s">
        <v>1765</v>
      </c>
      <c r="F464" t="s">
        <v>1618</v>
      </c>
      <c r="G464" t="s">
        <v>247</v>
      </c>
      <c r="H464">
        <v>2</v>
      </c>
      <c r="I464" t="s">
        <v>1604</v>
      </c>
      <c r="J464" t="s">
        <v>1605</v>
      </c>
      <c r="K464" t="s">
        <v>1606</v>
      </c>
    </row>
    <row r="465" spans="1:11" hidden="1">
      <c r="A465" t="str">
        <f t="shared" si="14"/>
        <v>H</v>
      </c>
      <c r="B465" t="str">
        <f t="shared" si="15"/>
        <v>H7</v>
      </c>
      <c r="C465" s="568" t="s">
        <v>1859</v>
      </c>
      <c r="D465" s="568" t="s">
        <v>1626</v>
      </c>
      <c r="E465" s="569" t="s">
        <v>1763</v>
      </c>
      <c r="F465" t="s">
        <v>1629</v>
      </c>
      <c r="G465" t="s">
        <v>247</v>
      </c>
      <c r="H465">
        <v>2</v>
      </c>
      <c r="I465" t="s">
        <v>1604</v>
      </c>
      <c r="J465" t="s">
        <v>1605</v>
      </c>
      <c r="K465" t="s">
        <v>1606</v>
      </c>
    </row>
    <row r="466" spans="1:11" hidden="1">
      <c r="A466" t="str">
        <f t="shared" si="14"/>
        <v>H</v>
      </c>
      <c r="B466" t="str">
        <f t="shared" si="15"/>
        <v>H7</v>
      </c>
      <c r="C466" s="568" t="s">
        <v>1860</v>
      </c>
      <c r="D466" s="568" t="s">
        <v>1659</v>
      </c>
      <c r="E466" s="569" t="s">
        <v>1763</v>
      </c>
      <c r="F466" t="s">
        <v>1618</v>
      </c>
      <c r="G466" t="s">
        <v>247</v>
      </c>
      <c r="H466">
        <v>2</v>
      </c>
      <c r="I466" t="s">
        <v>1604</v>
      </c>
      <c r="J466" t="s">
        <v>1605</v>
      </c>
      <c r="K466" t="s">
        <v>1606</v>
      </c>
    </row>
    <row r="467" spans="1:11" hidden="1">
      <c r="A467" t="str">
        <f t="shared" si="14"/>
        <v>H</v>
      </c>
      <c r="B467" t="str">
        <f t="shared" si="15"/>
        <v>H7</v>
      </c>
      <c r="C467" s="568" t="s">
        <v>1861</v>
      </c>
      <c r="D467" s="568" t="s">
        <v>1659</v>
      </c>
      <c r="E467" s="569" t="s">
        <v>1763</v>
      </c>
      <c r="F467" t="s">
        <v>1618</v>
      </c>
      <c r="G467" t="s">
        <v>247</v>
      </c>
      <c r="H467">
        <v>2</v>
      </c>
      <c r="I467" t="s">
        <v>1604</v>
      </c>
      <c r="J467" t="s">
        <v>1605</v>
      </c>
      <c r="K467" t="s">
        <v>1606</v>
      </c>
    </row>
    <row r="468" spans="1:11" hidden="1">
      <c r="A468" t="str">
        <f t="shared" si="14"/>
        <v>H</v>
      </c>
      <c r="B468" t="str">
        <f t="shared" si="15"/>
        <v>H7</v>
      </c>
      <c r="C468" s="568" t="s">
        <v>1862</v>
      </c>
      <c r="D468" s="568" t="s">
        <v>1638</v>
      </c>
      <c r="E468" s="569" t="s">
        <v>1763</v>
      </c>
      <c r="F468" t="s">
        <v>1618</v>
      </c>
      <c r="G468" t="s">
        <v>247</v>
      </c>
      <c r="H468">
        <v>2</v>
      </c>
      <c r="I468" t="s">
        <v>1604</v>
      </c>
      <c r="J468" t="s">
        <v>1605</v>
      </c>
      <c r="K468" t="s">
        <v>1606</v>
      </c>
    </row>
    <row r="469" spans="1:11" hidden="1">
      <c r="A469" t="str">
        <f t="shared" si="14"/>
        <v>H</v>
      </c>
      <c r="B469" t="str">
        <f t="shared" si="15"/>
        <v>H7</v>
      </c>
      <c r="C469" s="568" t="s">
        <v>1863</v>
      </c>
      <c r="D469" s="568" t="s">
        <v>1659</v>
      </c>
      <c r="E469" s="569" t="s">
        <v>1763</v>
      </c>
      <c r="F469" t="s">
        <v>1618</v>
      </c>
      <c r="G469" t="s">
        <v>247</v>
      </c>
      <c r="H469">
        <v>2</v>
      </c>
      <c r="I469" t="s">
        <v>1604</v>
      </c>
      <c r="J469" t="s">
        <v>1605</v>
      </c>
      <c r="K469" t="s">
        <v>1606</v>
      </c>
    </row>
    <row r="470" spans="1:11" hidden="1">
      <c r="A470" t="str">
        <f t="shared" si="14"/>
        <v>H</v>
      </c>
      <c r="B470" t="str">
        <f t="shared" si="15"/>
        <v>H7</v>
      </c>
      <c r="C470" s="568" t="s">
        <v>1864</v>
      </c>
      <c r="D470" s="568" t="s">
        <v>1662</v>
      </c>
      <c r="E470" s="569" t="s">
        <v>1763</v>
      </c>
      <c r="F470" t="s">
        <v>1618</v>
      </c>
      <c r="G470" t="s">
        <v>247</v>
      </c>
      <c r="H470">
        <v>2</v>
      </c>
      <c r="I470" t="s">
        <v>1604</v>
      </c>
      <c r="J470" t="s">
        <v>1605</v>
      </c>
      <c r="K470" t="s">
        <v>1606</v>
      </c>
    </row>
    <row r="471" spans="1:11" hidden="1">
      <c r="A471" t="str">
        <f t="shared" si="14"/>
        <v>H</v>
      </c>
      <c r="B471" t="str">
        <f t="shared" si="15"/>
        <v>H7</v>
      </c>
      <c r="C471" s="568" t="s">
        <v>1865</v>
      </c>
      <c r="D471" s="568" t="s">
        <v>1626</v>
      </c>
      <c r="E471" s="569" t="s">
        <v>1765</v>
      </c>
      <c r="F471" t="s">
        <v>1629</v>
      </c>
      <c r="G471" t="s">
        <v>247</v>
      </c>
      <c r="H471">
        <v>2</v>
      </c>
      <c r="I471" t="s">
        <v>1604</v>
      </c>
      <c r="J471" t="s">
        <v>1605</v>
      </c>
      <c r="K471" t="s">
        <v>1606</v>
      </c>
    </row>
    <row r="472" spans="1:11" hidden="1">
      <c r="A472" t="str">
        <f t="shared" si="14"/>
        <v>H</v>
      </c>
      <c r="B472" t="str">
        <f t="shared" si="15"/>
        <v>H8</v>
      </c>
      <c r="C472" s="568" t="s">
        <v>1866</v>
      </c>
      <c r="D472" s="568" t="s">
        <v>1662</v>
      </c>
      <c r="E472" s="569" t="s">
        <v>1763</v>
      </c>
      <c r="F472" t="s">
        <v>1616</v>
      </c>
      <c r="G472" t="s">
        <v>247</v>
      </c>
      <c r="H472">
        <v>2</v>
      </c>
      <c r="I472" t="s">
        <v>1604</v>
      </c>
      <c r="J472" t="s">
        <v>1605</v>
      </c>
      <c r="K472" t="s">
        <v>1606</v>
      </c>
    </row>
    <row r="473" spans="1:11" hidden="1">
      <c r="A473" t="str">
        <f t="shared" si="14"/>
        <v>H</v>
      </c>
      <c r="B473" t="str">
        <f t="shared" si="15"/>
        <v>H8</v>
      </c>
      <c r="C473" s="568" t="s">
        <v>1867</v>
      </c>
      <c r="D473" s="568" t="s">
        <v>1659</v>
      </c>
      <c r="E473" s="569" t="s">
        <v>1763</v>
      </c>
      <c r="F473" t="s">
        <v>1616</v>
      </c>
      <c r="G473" t="s">
        <v>247</v>
      </c>
      <c r="H473">
        <v>2</v>
      </c>
      <c r="I473" t="s">
        <v>1604</v>
      </c>
      <c r="J473" t="s">
        <v>1605</v>
      </c>
      <c r="K473" t="s">
        <v>1606</v>
      </c>
    </row>
    <row r="474" spans="1:11" hidden="1">
      <c r="A474" t="str">
        <f t="shared" si="14"/>
        <v>H</v>
      </c>
      <c r="B474" t="str">
        <f t="shared" si="15"/>
        <v>H8</v>
      </c>
      <c r="C474" s="568" t="s">
        <v>1868</v>
      </c>
      <c r="D474" s="568" t="s">
        <v>1624</v>
      </c>
      <c r="E474" s="569" t="s">
        <v>1793</v>
      </c>
      <c r="F474" t="s">
        <v>1616</v>
      </c>
      <c r="G474" t="s">
        <v>247</v>
      </c>
      <c r="H474">
        <v>2</v>
      </c>
      <c r="I474" t="s">
        <v>1604</v>
      </c>
      <c r="J474" t="s">
        <v>1605</v>
      </c>
      <c r="K474" t="s">
        <v>1606</v>
      </c>
    </row>
    <row r="475" spans="1:11" hidden="1">
      <c r="A475" t="str">
        <f t="shared" si="14"/>
        <v>H</v>
      </c>
      <c r="B475" t="str">
        <f t="shared" si="15"/>
        <v>H8</v>
      </c>
      <c r="C475" s="568" t="s">
        <v>1869</v>
      </c>
      <c r="D475" s="568" t="s">
        <v>1662</v>
      </c>
      <c r="E475" s="569" t="s">
        <v>1793</v>
      </c>
      <c r="F475" t="s">
        <v>1616</v>
      </c>
      <c r="G475" t="s">
        <v>247</v>
      </c>
      <c r="H475">
        <v>2</v>
      </c>
      <c r="I475" t="s">
        <v>1604</v>
      </c>
      <c r="J475" t="s">
        <v>1605</v>
      </c>
      <c r="K475" t="s">
        <v>1606</v>
      </c>
    </row>
    <row r="476" spans="1:11" hidden="1">
      <c r="A476" t="str">
        <f t="shared" si="14"/>
        <v>H</v>
      </c>
      <c r="B476" t="str">
        <f t="shared" si="15"/>
        <v>H8</v>
      </c>
      <c r="C476" s="568" t="s">
        <v>1870</v>
      </c>
      <c r="D476" s="568" t="s">
        <v>1659</v>
      </c>
      <c r="E476" s="569" t="s">
        <v>1763</v>
      </c>
      <c r="F476" t="s">
        <v>1616</v>
      </c>
      <c r="G476" t="s">
        <v>247</v>
      </c>
      <c r="H476">
        <v>2</v>
      </c>
      <c r="I476" t="s">
        <v>1604</v>
      </c>
      <c r="J476" t="s">
        <v>1605</v>
      </c>
      <c r="K476" t="s">
        <v>1606</v>
      </c>
    </row>
    <row r="477" spans="1:11" hidden="1">
      <c r="A477" t="str">
        <f t="shared" si="14"/>
        <v>H</v>
      </c>
      <c r="B477" t="str">
        <f t="shared" si="15"/>
        <v>H8</v>
      </c>
      <c r="C477" s="568" t="s">
        <v>1871</v>
      </c>
      <c r="D477" s="568" t="s">
        <v>1636</v>
      </c>
      <c r="E477" s="569" t="s">
        <v>1763</v>
      </c>
      <c r="F477" t="s">
        <v>1616</v>
      </c>
      <c r="G477" t="s">
        <v>247</v>
      </c>
      <c r="H477">
        <v>2</v>
      </c>
      <c r="I477" t="s">
        <v>1604</v>
      </c>
      <c r="J477" t="s">
        <v>1605</v>
      </c>
      <c r="K477" t="s">
        <v>1606</v>
      </c>
    </row>
    <row r="478" spans="1:11" hidden="1">
      <c r="A478" t="str">
        <f t="shared" si="14"/>
        <v>H</v>
      </c>
      <c r="B478" t="str">
        <f t="shared" si="15"/>
        <v>H8</v>
      </c>
      <c r="C478" s="568" t="s">
        <v>1872</v>
      </c>
      <c r="D478" s="568" t="s">
        <v>1636</v>
      </c>
      <c r="E478" s="569" t="s">
        <v>1763</v>
      </c>
      <c r="F478" t="s">
        <v>1616</v>
      </c>
      <c r="G478" t="s">
        <v>247</v>
      </c>
      <c r="H478">
        <v>2</v>
      </c>
      <c r="I478" t="s">
        <v>1604</v>
      </c>
      <c r="J478" t="s">
        <v>1605</v>
      </c>
      <c r="K478" t="s">
        <v>1606</v>
      </c>
    </row>
    <row r="479" spans="1:11" hidden="1">
      <c r="A479" t="str">
        <f t="shared" si="14"/>
        <v>H</v>
      </c>
      <c r="B479" t="str">
        <f t="shared" si="15"/>
        <v>H9</v>
      </c>
      <c r="C479" s="568" t="s">
        <v>1873</v>
      </c>
      <c r="D479" s="568" t="s">
        <v>1636</v>
      </c>
      <c r="E479" s="569" t="s">
        <v>1763</v>
      </c>
      <c r="F479" t="s">
        <v>1616</v>
      </c>
      <c r="G479" t="s">
        <v>247</v>
      </c>
      <c r="H479">
        <v>2</v>
      </c>
      <c r="I479" t="s">
        <v>1604</v>
      </c>
      <c r="J479" t="s">
        <v>1605</v>
      </c>
      <c r="K479" t="s">
        <v>1606</v>
      </c>
    </row>
    <row r="480" spans="1:11" hidden="1">
      <c r="A480" t="str">
        <f t="shared" si="14"/>
        <v>H</v>
      </c>
      <c r="B480" t="str">
        <f t="shared" si="15"/>
        <v>H9</v>
      </c>
      <c r="C480" s="568" t="s">
        <v>1874</v>
      </c>
      <c r="D480" s="568" t="s">
        <v>1626</v>
      </c>
      <c r="E480" s="569" t="s">
        <v>1763</v>
      </c>
      <c r="F480" t="s">
        <v>1616</v>
      </c>
      <c r="G480" t="s">
        <v>247</v>
      </c>
      <c r="H480">
        <v>2</v>
      </c>
      <c r="I480" t="s">
        <v>1604</v>
      </c>
      <c r="J480" t="s">
        <v>1605</v>
      </c>
      <c r="K480" t="s">
        <v>1606</v>
      </c>
    </row>
    <row r="481" spans="1:11" hidden="1">
      <c r="A481" t="str">
        <f t="shared" si="14"/>
        <v>H</v>
      </c>
      <c r="B481" t="str">
        <f t="shared" si="15"/>
        <v>H9</v>
      </c>
      <c r="C481" s="568" t="s">
        <v>1875</v>
      </c>
      <c r="D481" s="568" t="s">
        <v>1659</v>
      </c>
      <c r="E481" s="569" t="s">
        <v>1763</v>
      </c>
      <c r="F481" t="s">
        <v>1616</v>
      </c>
      <c r="G481" t="s">
        <v>247</v>
      </c>
      <c r="H481">
        <v>2</v>
      </c>
      <c r="I481" t="s">
        <v>1604</v>
      </c>
      <c r="J481" t="s">
        <v>1605</v>
      </c>
      <c r="K481" t="s">
        <v>1606</v>
      </c>
    </row>
    <row r="482" spans="1:11" hidden="1">
      <c r="A482" t="str">
        <f t="shared" si="14"/>
        <v>H</v>
      </c>
      <c r="B482" t="str">
        <f t="shared" si="15"/>
        <v>H9</v>
      </c>
      <c r="C482" s="568" t="s">
        <v>1876</v>
      </c>
      <c r="D482" s="568" t="s">
        <v>1662</v>
      </c>
      <c r="E482" s="569" t="s">
        <v>1765</v>
      </c>
      <c r="F482" t="s">
        <v>1616</v>
      </c>
      <c r="G482" t="s">
        <v>247</v>
      </c>
      <c r="H482">
        <v>2</v>
      </c>
      <c r="I482" t="s">
        <v>1604</v>
      </c>
      <c r="J482" t="s">
        <v>1605</v>
      </c>
      <c r="K482" t="s">
        <v>1606</v>
      </c>
    </row>
    <row r="483" spans="1:11" hidden="1">
      <c r="A483" t="str">
        <f t="shared" si="14"/>
        <v>H</v>
      </c>
      <c r="B483" t="str">
        <f t="shared" si="15"/>
        <v>H9</v>
      </c>
      <c r="C483" s="568" t="s">
        <v>1877</v>
      </c>
      <c r="D483" s="568" t="s">
        <v>1626</v>
      </c>
      <c r="E483" s="569" t="s">
        <v>1763</v>
      </c>
      <c r="F483" t="s">
        <v>1616</v>
      </c>
      <c r="G483" t="s">
        <v>247</v>
      </c>
      <c r="H483">
        <v>2</v>
      </c>
      <c r="I483" t="s">
        <v>1604</v>
      </c>
      <c r="J483" t="s">
        <v>1605</v>
      </c>
      <c r="K483" t="s">
        <v>1606</v>
      </c>
    </row>
    <row r="484" spans="1:11" hidden="1">
      <c r="A484" t="str">
        <f t="shared" si="14"/>
        <v>H</v>
      </c>
      <c r="B484" t="str">
        <f t="shared" si="15"/>
        <v>H9</v>
      </c>
      <c r="C484" s="568" t="s">
        <v>1878</v>
      </c>
      <c r="D484" s="568" t="s">
        <v>1662</v>
      </c>
      <c r="E484" s="569" t="s">
        <v>1763</v>
      </c>
      <c r="F484" t="s">
        <v>1629</v>
      </c>
      <c r="G484" t="s">
        <v>247</v>
      </c>
      <c r="H484">
        <v>2</v>
      </c>
      <c r="I484" t="s">
        <v>1604</v>
      </c>
      <c r="J484" t="s">
        <v>1605</v>
      </c>
      <c r="K484" t="s">
        <v>1606</v>
      </c>
    </row>
    <row r="485" spans="1:11" hidden="1">
      <c r="A485" t="str">
        <f t="shared" si="14"/>
        <v>H</v>
      </c>
      <c r="B485" t="str">
        <f t="shared" si="15"/>
        <v>H9</v>
      </c>
      <c r="C485" s="568" t="s">
        <v>1879</v>
      </c>
      <c r="D485" s="568" t="s">
        <v>1638</v>
      </c>
      <c r="E485" s="569" t="s">
        <v>1763</v>
      </c>
      <c r="F485" t="s">
        <v>1629</v>
      </c>
      <c r="G485" t="s">
        <v>247</v>
      </c>
      <c r="H485">
        <v>2</v>
      </c>
      <c r="I485" t="s">
        <v>1604</v>
      </c>
      <c r="J485" t="s">
        <v>1605</v>
      </c>
      <c r="K485" t="s">
        <v>1606</v>
      </c>
    </row>
    <row r="486" spans="1:11" hidden="1">
      <c r="A486" t="str">
        <f t="shared" si="14"/>
        <v>H</v>
      </c>
      <c r="B486" t="str">
        <f t="shared" si="15"/>
        <v>H9</v>
      </c>
      <c r="C486" s="568" t="s">
        <v>1880</v>
      </c>
      <c r="D486" s="568" t="s">
        <v>1626</v>
      </c>
      <c r="E486" s="569" t="s">
        <v>1763</v>
      </c>
      <c r="F486" t="s">
        <v>1629</v>
      </c>
      <c r="G486" t="s">
        <v>247</v>
      </c>
      <c r="H486">
        <v>2</v>
      </c>
      <c r="I486" t="s">
        <v>1604</v>
      </c>
      <c r="J486" t="s">
        <v>1605</v>
      </c>
      <c r="K486" t="s">
        <v>1606</v>
      </c>
    </row>
    <row r="487" spans="1:11" hidden="1">
      <c r="A487" t="str">
        <f t="shared" si="14"/>
        <v>H</v>
      </c>
      <c r="B487" t="str">
        <f t="shared" si="15"/>
        <v>H9</v>
      </c>
      <c r="C487" s="568" t="s">
        <v>1881</v>
      </c>
      <c r="D487" s="568" t="s">
        <v>1659</v>
      </c>
      <c r="E487" s="569" t="s">
        <v>1805</v>
      </c>
      <c r="F487" t="s">
        <v>1629</v>
      </c>
      <c r="G487" t="s">
        <v>247</v>
      </c>
      <c r="H487">
        <v>2</v>
      </c>
      <c r="I487" t="s">
        <v>1604</v>
      </c>
      <c r="J487" t="s">
        <v>1605</v>
      </c>
      <c r="K487" t="s">
        <v>1606</v>
      </c>
    </row>
    <row r="488" spans="1:11" hidden="1">
      <c r="A488" t="str">
        <f t="shared" si="14"/>
        <v>H</v>
      </c>
      <c r="B488" t="str">
        <f t="shared" si="15"/>
        <v>H9</v>
      </c>
      <c r="C488" s="568" t="s">
        <v>1882</v>
      </c>
      <c r="D488" s="568" t="s">
        <v>1659</v>
      </c>
      <c r="E488" s="569" t="s">
        <v>1793</v>
      </c>
      <c r="F488" t="s">
        <v>1629</v>
      </c>
      <c r="G488" t="s">
        <v>247</v>
      </c>
      <c r="H488">
        <v>2</v>
      </c>
      <c r="I488" t="s">
        <v>1604</v>
      </c>
      <c r="J488" t="s">
        <v>1605</v>
      </c>
      <c r="K488" t="s">
        <v>1606</v>
      </c>
    </row>
    <row r="489" spans="1:11" hidden="1">
      <c r="A489" t="str">
        <f t="shared" si="14"/>
        <v>H</v>
      </c>
      <c r="B489" t="str">
        <f t="shared" si="15"/>
        <v>H9</v>
      </c>
      <c r="C489" s="568" t="s">
        <v>1883</v>
      </c>
      <c r="D489" s="568" t="s">
        <v>1659</v>
      </c>
      <c r="E489" s="569" t="s">
        <v>1805</v>
      </c>
      <c r="F489" t="s">
        <v>1629</v>
      </c>
      <c r="G489" t="s">
        <v>247</v>
      </c>
      <c r="H489">
        <v>2</v>
      </c>
      <c r="I489" t="s">
        <v>1604</v>
      </c>
      <c r="J489" t="s">
        <v>1605</v>
      </c>
      <c r="K489" t="s">
        <v>1606</v>
      </c>
    </row>
    <row r="490" spans="1:11" hidden="1">
      <c r="A490" t="str">
        <f t="shared" si="14"/>
        <v>H</v>
      </c>
      <c r="B490" t="str">
        <f t="shared" si="15"/>
        <v>H9</v>
      </c>
      <c r="C490" s="568" t="s">
        <v>1884</v>
      </c>
      <c r="D490" s="568" t="s">
        <v>1638</v>
      </c>
      <c r="E490" s="569" t="s">
        <v>1763</v>
      </c>
      <c r="F490" t="s">
        <v>1629</v>
      </c>
      <c r="G490" t="s">
        <v>247</v>
      </c>
      <c r="H490">
        <v>2</v>
      </c>
      <c r="I490" t="s">
        <v>1604</v>
      </c>
      <c r="J490" t="s">
        <v>1605</v>
      </c>
      <c r="K490" t="s">
        <v>1606</v>
      </c>
    </row>
    <row r="491" spans="1:11" hidden="1">
      <c r="A491" t="str">
        <f t="shared" si="14"/>
        <v>H</v>
      </c>
      <c r="B491" t="str">
        <f t="shared" si="15"/>
        <v>H9</v>
      </c>
      <c r="C491" s="568" t="s">
        <v>1885</v>
      </c>
      <c r="D491" s="568" t="s">
        <v>1626</v>
      </c>
      <c r="E491" s="569" t="s">
        <v>1763</v>
      </c>
      <c r="F491" t="s">
        <v>1629</v>
      </c>
      <c r="G491" t="s">
        <v>247</v>
      </c>
      <c r="H491">
        <v>2</v>
      </c>
      <c r="I491" t="s">
        <v>1604</v>
      </c>
      <c r="J491" t="s">
        <v>1605</v>
      </c>
      <c r="K491" t="s">
        <v>1606</v>
      </c>
    </row>
    <row r="492" spans="1:11" hidden="1">
      <c r="A492" t="str">
        <f t="shared" si="14"/>
        <v>J</v>
      </c>
      <c r="B492" t="str">
        <f t="shared" si="15"/>
        <v>J0</v>
      </c>
      <c r="C492" s="568" t="s">
        <v>1886</v>
      </c>
      <c r="D492" s="568" t="s">
        <v>1611</v>
      </c>
      <c r="E492" s="569">
        <v>16</v>
      </c>
      <c r="F492" t="s">
        <v>1609</v>
      </c>
      <c r="G492" t="s">
        <v>247</v>
      </c>
      <c r="H492">
        <v>1</v>
      </c>
      <c r="I492" t="s">
        <v>1604</v>
      </c>
      <c r="J492" t="s">
        <v>1605</v>
      </c>
      <c r="K492" t="s">
        <v>1606</v>
      </c>
    </row>
    <row r="493" spans="1:11" hidden="1">
      <c r="A493" t="str">
        <f t="shared" si="14"/>
        <v>J</v>
      </c>
      <c r="B493" t="str">
        <f t="shared" si="15"/>
        <v>J0</v>
      </c>
      <c r="C493" s="568" t="s">
        <v>1887</v>
      </c>
      <c r="D493" s="568" t="s">
        <v>1611</v>
      </c>
      <c r="E493" s="569">
        <v>16</v>
      </c>
      <c r="F493" t="s">
        <v>1609</v>
      </c>
      <c r="G493" t="s">
        <v>247</v>
      </c>
      <c r="H493">
        <v>1</v>
      </c>
      <c r="I493" t="s">
        <v>1604</v>
      </c>
      <c r="J493" t="s">
        <v>1605</v>
      </c>
      <c r="K493" t="s">
        <v>1606</v>
      </c>
    </row>
    <row r="494" spans="1:11" hidden="1">
      <c r="A494" t="str">
        <f t="shared" si="14"/>
        <v>J</v>
      </c>
      <c r="B494" t="str">
        <f t="shared" si="15"/>
        <v>J0</v>
      </c>
      <c r="C494" s="568" t="s">
        <v>1888</v>
      </c>
      <c r="D494" s="568" t="s">
        <v>1631</v>
      </c>
      <c r="E494" s="569">
        <v>16</v>
      </c>
      <c r="F494" t="s">
        <v>1629</v>
      </c>
      <c r="G494" t="s">
        <v>247</v>
      </c>
      <c r="H494">
        <v>1</v>
      </c>
      <c r="I494" t="s">
        <v>1604</v>
      </c>
      <c r="J494" t="s">
        <v>1605</v>
      </c>
      <c r="K494" t="s">
        <v>1606</v>
      </c>
    </row>
    <row r="495" spans="1:11" hidden="1">
      <c r="A495" t="str">
        <f t="shared" si="14"/>
        <v>J</v>
      </c>
      <c r="B495" t="str">
        <f t="shared" si="15"/>
        <v>J0</v>
      </c>
      <c r="C495" s="568" t="s">
        <v>1889</v>
      </c>
      <c r="D495" s="568" t="s">
        <v>1614</v>
      </c>
      <c r="E495" s="569">
        <v>16</v>
      </c>
      <c r="F495" t="s">
        <v>1616</v>
      </c>
      <c r="G495" t="s">
        <v>247</v>
      </c>
      <c r="H495">
        <v>1</v>
      </c>
      <c r="I495" t="s">
        <v>1604</v>
      </c>
      <c r="J495" t="s">
        <v>1605</v>
      </c>
      <c r="K495" t="s">
        <v>1606</v>
      </c>
    </row>
    <row r="496" spans="1:11" hidden="1">
      <c r="A496" t="str">
        <f t="shared" si="14"/>
        <v>J</v>
      </c>
      <c r="B496" t="str">
        <f t="shared" si="15"/>
        <v>J0</v>
      </c>
      <c r="C496" s="568" t="s">
        <v>1890</v>
      </c>
      <c r="D496" s="568" t="s">
        <v>1626</v>
      </c>
      <c r="E496" s="569">
        <v>16</v>
      </c>
      <c r="F496" t="s">
        <v>1616</v>
      </c>
      <c r="G496" t="s">
        <v>247</v>
      </c>
      <c r="H496">
        <v>1</v>
      </c>
      <c r="I496" t="s">
        <v>1604</v>
      </c>
      <c r="J496" t="s">
        <v>1605</v>
      </c>
      <c r="K496" t="s">
        <v>1606</v>
      </c>
    </row>
    <row r="497" spans="1:11" hidden="1">
      <c r="A497" t="str">
        <f t="shared" si="14"/>
        <v>J</v>
      </c>
      <c r="B497" t="str">
        <f t="shared" si="15"/>
        <v>J0</v>
      </c>
      <c r="C497" s="568" t="s">
        <v>1891</v>
      </c>
      <c r="D497" s="568" t="s">
        <v>1636</v>
      </c>
      <c r="E497" s="569" t="s">
        <v>1761</v>
      </c>
      <c r="F497" t="s">
        <v>1629</v>
      </c>
      <c r="G497" t="s">
        <v>247</v>
      </c>
      <c r="H497">
        <v>1</v>
      </c>
      <c r="I497" t="s">
        <v>1604</v>
      </c>
      <c r="J497" t="s">
        <v>1605</v>
      </c>
      <c r="K497" t="s">
        <v>1606</v>
      </c>
    </row>
    <row r="498" spans="1:11" hidden="1">
      <c r="A498" t="str">
        <f t="shared" si="14"/>
        <v>J</v>
      </c>
      <c r="B498" t="str">
        <f t="shared" si="15"/>
        <v>J0</v>
      </c>
      <c r="C498" s="568" t="s">
        <v>1892</v>
      </c>
      <c r="D498" s="568" t="s">
        <v>1631</v>
      </c>
      <c r="E498" s="569" t="s">
        <v>1761</v>
      </c>
      <c r="F498" t="s">
        <v>1618</v>
      </c>
      <c r="G498" t="s">
        <v>247</v>
      </c>
      <c r="H498">
        <v>1</v>
      </c>
      <c r="I498" t="s">
        <v>1604</v>
      </c>
      <c r="J498" t="s">
        <v>1605</v>
      </c>
      <c r="K498" t="s">
        <v>1606</v>
      </c>
    </row>
    <row r="499" spans="1:11" hidden="1">
      <c r="A499" t="str">
        <f t="shared" si="14"/>
        <v>J</v>
      </c>
      <c r="B499" t="str">
        <f t="shared" si="15"/>
        <v>J0</v>
      </c>
      <c r="C499" s="568" t="s">
        <v>1893</v>
      </c>
      <c r="D499" s="568" t="s">
        <v>1636</v>
      </c>
      <c r="E499" s="569">
        <v>16</v>
      </c>
      <c r="F499" t="s">
        <v>1616</v>
      </c>
      <c r="G499" t="s">
        <v>247</v>
      </c>
      <c r="H499">
        <v>1</v>
      </c>
      <c r="I499" t="s">
        <v>1604</v>
      </c>
      <c r="J499" t="s">
        <v>1605</v>
      </c>
      <c r="K499" t="s">
        <v>1606</v>
      </c>
    </row>
    <row r="500" spans="1:11" hidden="1">
      <c r="A500" t="str">
        <f t="shared" si="14"/>
        <v>J</v>
      </c>
      <c r="B500" t="str">
        <f t="shared" si="15"/>
        <v>J0</v>
      </c>
      <c r="C500" s="568" t="s">
        <v>1894</v>
      </c>
      <c r="D500" s="568" t="s">
        <v>1626</v>
      </c>
      <c r="E500" s="569" t="s">
        <v>1765</v>
      </c>
      <c r="F500" t="s">
        <v>1629</v>
      </c>
      <c r="G500" t="s">
        <v>247</v>
      </c>
      <c r="H500">
        <v>1</v>
      </c>
      <c r="I500" t="s">
        <v>1604</v>
      </c>
      <c r="J500" t="s">
        <v>1605</v>
      </c>
      <c r="K500" t="s">
        <v>1606</v>
      </c>
    </row>
    <row r="501" spans="1:11" hidden="1">
      <c r="A501" t="str">
        <f t="shared" si="14"/>
        <v>J</v>
      </c>
      <c r="B501" t="str">
        <f t="shared" si="15"/>
        <v>J0</v>
      </c>
      <c r="C501" s="568" t="s">
        <v>1895</v>
      </c>
      <c r="D501" s="568" t="s">
        <v>1608</v>
      </c>
      <c r="E501" s="569">
        <v>16</v>
      </c>
      <c r="F501" t="s">
        <v>1609</v>
      </c>
      <c r="G501" t="s">
        <v>247</v>
      </c>
      <c r="H501">
        <v>1</v>
      </c>
      <c r="I501" t="s">
        <v>1604</v>
      </c>
      <c r="J501" t="s">
        <v>1605</v>
      </c>
      <c r="K501" t="s">
        <v>1606</v>
      </c>
    </row>
    <row r="502" spans="1:11" hidden="1">
      <c r="A502" t="str">
        <f t="shared" si="14"/>
        <v>J</v>
      </c>
      <c r="B502" t="str">
        <f t="shared" si="15"/>
        <v>J0</v>
      </c>
      <c r="C502" s="568" t="s">
        <v>1896</v>
      </c>
      <c r="D502" s="568" t="s">
        <v>1626</v>
      </c>
      <c r="E502" s="569" t="s">
        <v>1765</v>
      </c>
      <c r="F502" t="s">
        <v>1618</v>
      </c>
      <c r="G502" t="s">
        <v>247</v>
      </c>
      <c r="H502">
        <v>1</v>
      </c>
      <c r="I502" t="s">
        <v>1604</v>
      </c>
      <c r="J502" t="s">
        <v>1605</v>
      </c>
      <c r="K502" t="s">
        <v>1606</v>
      </c>
    </row>
    <row r="503" spans="1:11" hidden="1">
      <c r="A503" t="str">
        <f t="shared" si="14"/>
        <v>J</v>
      </c>
      <c r="B503" t="str">
        <f t="shared" si="15"/>
        <v>J0</v>
      </c>
      <c r="C503" s="568" t="s">
        <v>1897</v>
      </c>
      <c r="D503" s="568" t="s">
        <v>1626</v>
      </c>
      <c r="E503" s="569" t="s">
        <v>1761</v>
      </c>
      <c r="F503" t="s">
        <v>1618</v>
      </c>
      <c r="G503" t="s">
        <v>247</v>
      </c>
      <c r="H503">
        <v>1</v>
      </c>
      <c r="I503" t="s">
        <v>1604</v>
      </c>
      <c r="J503" t="s">
        <v>1605</v>
      </c>
      <c r="K503" t="s">
        <v>1606</v>
      </c>
    </row>
    <row r="504" spans="1:11" hidden="1">
      <c r="A504" t="str">
        <f t="shared" si="14"/>
        <v>J</v>
      </c>
      <c r="B504" t="str">
        <f t="shared" si="15"/>
        <v>J0</v>
      </c>
      <c r="C504" s="568" t="s">
        <v>1898</v>
      </c>
      <c r="D504" s="568" t="s">
        <v>1634</v>
      </c>
      <c r="E504" s="569">
        <v>16</v>
      </c>
      <c r="F504" t="s">
        <v>1609</v>
      </c>
      <c r="G504" t="s">
        <v>247</v>
      </c>
      <c r="H504">
        <v>1</v>
      </c>
      <c r="I504" t="s">
        <v>1604</v>
      </c>
      <c r="J504" t="s">
        <v>1605</v>
      </c>
      <c r="K504" t="s">
        <v>1606</v>
      </c>
    </row>
    <row r="505" spans="1:11" hidden="1">
      <c r="A505" t="str">
        <f t="shared" si="14"/>
        <v>J</v>
      </c>
      <c r="B505" t="str">
        <f t="shared" si="15"/>
        <v>J0</v>
      </c>
      <c r="C505" s="568" t="s">
        <v>1899</v>
      </c>
      <c r="D505" s="568" t="s">
        <v>1659</v>
      </c>
      <c r="E505" s="569" t="s">
        <v>1761</v>
      </c>
      <c r="F505" t="s">
        <v>1603</v>
      </c>
      <c r="G505" t="s">
        <v>247</v>
      </c>
      <c r="H505">
        <v>1</v>
      </c>
      <c r="I505" t="s">
        <v>1604</v>
      </c>
      <c r="J505" t="s">
        <v>1605</v>
      </c>
      <c r="K505" t="s">
        <v>1606</v>
      </c>
    </row>
    <row r="506" spans="1:11" hidden="1">
      <c r="A506" t="str">
        <f t="shared" si="14"/>
        <v>J</v>
      </c>
      <c r="B506" t="str">
        <f t="shared" si="15"/>
        <v>J0</v>
      </c>
      <c r="C506" s="568" t="s">
        <v>1900</v>
      </c>
      <c r="D506" s="568" t="s">
        <v>1614</v>
      </c>
      <c r="E506" s="569">
        <v>16</v>
      </c>
      <c r="F506" t="s">
        <v>1609</v>
      </c>
      <c r="G506" t="s">
        <v>247</v>
      </c>
      <c r="H506">
        <v>1</v>
      </c>
      <c r="I506" t="s">
        <v>1604</v>
      </c>
      <c r="J506" t="s">
        <v>1605</v>
      </c>
      <c r="K506" t="s">
        <v>1606</v>
      </c>
    </row>
    <row r="507" spans="1:11" hidden="1">
      <c r="A507" t="str">
        <f t="shared" si="14"/>
        <v>J</v>
      </c>
      <c r="B507" t="str">
        <f t="shared" si="15"/>
        <v>J0</v>
      </c>
      <c r="C507" s="568" t="s">
        <v>1901</v>
      </c>
      <c r="D507" s="568" t="s">
        <v>1631</v>
      </c>
      <c r="E507" s="569">
        <v>16</v>
      </c>
      <c r="F507" t="s">
        <v>1629</v>
      </c>
      <c r="G507" t="s">
        <v>247</v>
      </c>
      <c r="H507">
        <v>1</v>
      </c>
      <c r="I507" t="s">
        <v>1604</v>
      </c>
      <c r="J507" t="s">
        <v>1605</v>
      </c>
      <c r="K507" t="s">
        <v>1606</v>
      </c>
    </row>
    <row r="508" spans="1:11" hidden="1">
      <c r="A508" t="str">
        <f t="shared" si="14"/>
        <v>J</v>
      </c>
      <c r="B508" t="str">
        <f t="shared" si="15"/>
        <v>J0</v>
      </c>
      <c r="C508" s="568" t="s">
        <v>1902</v>
      </c>
      <c r="D508" s="568" t="s">
        <v>1614</v>
      </c>
      <c r="E508" s="569">
        <v>16</v>
      </c>
      <c r="F508" t="s">
        <v>1629</v>
      </c>
      <c r="G508" t="s">
        <v>247</v>
      </c>
      <c r="H508">
        <v>1</v>
      </c>
      <c r="I508" t="s">
        <v>1604</v>
      </c>
      <c r="J508" t="s">
        <v>1605</v>
      </c>
      <c r="K508" t="s">
        <v>1606</v>
      </c>
    </row>
    <row r="509" spans="1:11" hidden="1">
      <c r="A509" t="str">
        <f t="shared" si="14"/>
        <v>J</v>
      </c>
      <c r="B509" t="str">
        <f t="shared" si="15"/>
        <v>J0</v>
      </c>
      <c r="C509" s="568" t="s">
        <v>1903</v>
      </c>
      <c r="D509" s="568" t="s">
        <v>1614</v>
      </c>
      <c r="E509" s="569">
        <v>16</v>
      </c>
      <c r="F509" t="s">
        <v>1616</v>
      </c>
      <c r="G509" t="s">
        <v>247</v>
      </c>
      <c r="H509">
        <v>1</v>
      </c>
      <c r="I509" t="s">
        <v>1604</v>
      </c>
      <c r="J509" t="s">
        <v>1605</v>
      </c>
      <c r="K509" t="s">
        <v>1606</v>
      </c>
    </row>
    <row r="510" spans="1:11" hidden="1">
      <c r="A510" t="str">
        <f t="shared" si="14"/>
        <v>J</v>
      </c>
      <c r="B510" t="str">
        <f t="shared" si="15"/>
        <v>J0</v>
      </c>
      <c r="C510" s="568" t="s">
        <v>1904</v>
      </c>
      <c r="D510" s="568" t="s">
        <v>1611</v>
      </c>
      <c r="E510" s="569">
        <v>16</v>
      </c>
      <c r="F510" t="s">
        <v>1609</v>
      </c>
      <c r="G510" t="s">
        <v>247</v>
      </c>
      <c r="H510">
        <v>1</v>
      </c>
      <c r="I510" t="s">
        <v>1604</v>
      </c>
      <c r="J510" t="s">
        <v>1605</v>
      </c>
      <c r="K510" t="s">
        <v>1606</v>
      </c>
    </row>
    <row r="511" spans="1:11" hidden="1">
      <c r="A511" t="str">
        <f t="shared" si="14"/>
        <v>J</v>
      </c>
      <c r="B511" t="str">
        <f t="shared" si="15"/>
        <v>J0</v>
      </c>
      <c r="C511" s="568" t="s">
        <v>1905</v>
      </c>
      <c r="D511" s="568" t="s">
        <v>1614</v>
      </c>
      <c r="E511" s="569">
        <v>16</v>
      </c>
      <c r="F511" t="s">
        <v>1609</v>
      </c>
      <c r="G511" t="s">
        <v>247</v>
      </c>
      <c r="H511">
        <v>1</v>
      </c>
      <c r="I511" t="s">
        <v>1604</v>
      </c>
      <c r="J511" t="s">
        <v>1605</v>
      </c>
      <c r="K511" t="s">
        <v>1606</v>
      </c>
    </row>
    <row r="512" spans="1:11" hidden="1">
      <c r="A512" t="str">
        <f t="shared" si="14"/>
        <v>J</v>
      </c>
      <c r="B512" t="str">
        <f t="shared" si="15"/>
        <v>J1</v>
      </c>
      <c r="C512" s="568" t="s">
        <v>1906</v>
      </c>
      <c r="D512" s="568" t="s">
        <v>1608</v>
      </c>
      <c r="E512" s="569">
        <v>16</v>
      </c>
      <c r="F512" t="s">
        <v>1609</v>
      </c>
      <c r="G512" t="s">
        <v>247</v>
      </c>
      <c r="H512">
        <v>1</v>
      </c>
      <c r="I512" t="s">
        <v>1604</v>
      </c>
      <c r="J512" t="s">
        <v>1605</v>
      </c>
      <c r="K512" t="s">
        <v>1606</v>
      </c>
    </row>
    <row r="513" spans="1:11" hidden="1">
      <c r="A513" t="str">
        <f t="shared" si="14"/>
        <v>J</v>
      </c>
      <c r="B513" t="str">
        <f t="shared" si="15"/>
        <v>J1</v>
      </c>
      <c r="C513" s="575" t="s">
        <v>1907</v>
      </c>
      <c r="D513" s="575" t="s">
        <v>1611</v>
      </c>
      <c r="E513" s="576">
        <v>16</v>
      </c>
      <c r="F513" t="s">
        <v>1609</v>
      </c>
      <c r="G513" t="s">
        <v>247</v>
      </c>
      <c r="H513">
        <v>1</v>
      </c>
      <c r="I513" t="s">
        <v>1604</v>
      </c>
      <c r="J513" t="s">
        <v>1605</v>
      </c>
      <c r="K513" t="s">
        <v>1606</v>
      </c>
    </row>
    <row r="514" spans="1:11" hidden="1">
      <c r="A514" t="str">
        <f t="shared" si="14"/>
        <v>J</v>
      </c>
      <c r="B514" t="str">
        <f t="shared" si="15"/>
        <v>J1</v>
      </c>
      <c r="C514" s="568" t="s">
        <v>1908</v>
      </c>
      <c r="D514" s="568" t="s">
        <v>1611</v>
      </c>
      <c r="E514" s="569">
        <v>16</v>
      </c>
      <c r="F514" t="s">
        <v>1609</v>
      </c>
      <c r="G514" t="s">
        <v>247</v>
      </c>
      <c r="H514">
        <v>1</v>
      </c>
      <c r="I514" t="s">
        <v>1604</v>
      </c>
      <c r="J514" t="s">
        <v>1605</v>
      </c>
      <c r="K514" t="s">
        <v>1606</v>
      </c>
    </row>
    <row r="515" spans="1:11" hidden="1">
      <c r="A515" t="str">
        <f t="shared" ref="A515:A578" si="16">LEFT(C515)</f>
        <v>J</v>
      </c>
      <c r="B515" t="str">
        <f t="shared" si="15"/>
        <v>J1</v>
      </c>
      <c r="C515" s="568" t="s">
        <v>1909</v>
      </c>
      <c r="D515" s="568" t="s">
        <v>1611</v>
      </c>
      <c r="E515" s="569">
        <v>16</v>
      </c>
      <c r="F515" t="s">
        <v>1609</v>
      </c>
      <c r="G515" t="s">
        <v>247</v>
      </c>
      <c r="H515">
        <v>1</v>
      </c>
      <c r="I515" t="s">
        <v>1604</v>
      </c>
      <c r="J515" t="s">
        <v>1605</v>
      </c>
      <c r="K515" t="s">
        <v>1606</v>
      </c>
    </row>
    <row r="516" spans="1:11" hidden="1">
      <c r="A516" t="str">
        <f t="shared" si="16"/>
        <v>J</v>
      </c>
      <c r="B516" t="str">
        <f t="shared" ref="B516:B579" si="17">LEFT(C516,2)</f>
        <v>J1</v>
      </c>
      <c r="C516" s="568" t="s">
        <v>1910</v>
      </c>
      <c r="D516" s="568" t="s">
        <v>1611</v>
      </c>
      <c r="E516" s="569">
        <v>16</v>
      </c>
      <c r="F516" t="s">
        <v>1609</v>
      </c>
      <c r="G516" t="s">
        <v>247</v>
      </c>
      <c r="H516">
        <v>1</v>
      </c>
      <c r="I516" t="s">
        <v>1604</v>
      </c>
      <c r="J516" t="s">
        <v>1605</v>
      </c>
      <c r="K516" t="s">
        <v>1606</v>
      </c>
    </row>
    <row r="517" spans="1:11" hidden="1">
      <c r="A517" t="str">
        <f t="shared" si="16"/>
        <v>J</v>
      </c>
      <c r="B517" t="str">
        <f t="shared" si="17"/>
        <v>J1</v>
      </c>
      <c r="C517" s="568" t="s">
        <v>1911</v>
      </c>
      <c r="D517" s="568" t="s">
        <v>1608</v>
      </c>
      <c r="E517" s="569">
        <v>16</v>
      </c>
      <c r="F517" t="s">
        <v>1609</v>
      </c>
      <c r="G517" t="s">
        <v>247</v>
      </c>
      <c r="H517">
        <v>1</v>
      </c>
      <c r="I517" t="s">
        <v>1604</v>
      </c>
      <c r="J517" t="s">
        <v>1605</v>
      </c>
      <c r="K517" t="s">
        <v>1606</v>
      </c>
    </row>
    <row r="518" spans="1:11" hidden="1">
      <c r="A518" t="str">
        <f t="shared" si="16"/>
        <v>J</v>
      </c>
      <c r="B518" t="str">
        <f t="shared" si="17"/>
        <v>J1</v>
      </c>
      <c r="C518" s="568" t="s">
        <v>1912</v>
      </c>
      <c r="D518" s="568" t="s">
        <v>1611</v>
      </c>
      <c r="E518" s="569">
        <v>16</v>
      </c>
      <c r="F518" t="s">
        <v>1609</v>
      </c>
      <c r="G518" t="s">
        <v>247</v>
      </c>
      <c r="H518">
        <v>1</v>
      </c>
      <c r="I518" t="s">
        <v>1604</v>
      </c>
      <c r="J518" t="s">
        <v>1605</v>
      </c>
      <c r="K518" t="s">
        <v>1606</v>
      </c>
    </row>
    <row r="519" spans="1:11" hidden="1">
      <c r="A519" t="str">
        <f t="shared" si="16"/>
        <v>J</v>
      </c>
      <c r="B519" t="str">
        <f t="shared" si="17"/>
        <v>J1</v>
      </c>
      <c r="C519" s="568" t="s">
        <v>1913</v>
      </c>
      <c r="D519" s="568" t="s">
        <v>1608</v>
      </c>
      <c r="E519" s="569">
        <v>16</v>
      </c>
      <c r="F519" t="s">
        <v>1609</v>
      </c>
      <c r="G519" t="s">
        <v>247</v>
      </c>
      <c r="H519">
        <v>1</v>
      </c>
      <c r="I519" t="s">
        <v>1604</v>
      </c>
      <c r="J519" t="s">
        <v>1605</v>
      </c>
      <c r="K519" t="s">
        <v>1606</v>
      </c>
    </row>
    <row r="520" spans="1:11" hidden="1">
      <c r="A520" t="str">
        <f t="shared" si="16"/>
        <v>J</v>
      </c>
      <c r="B520" t="str">
        <f t="shared" si="17"/>
        <v>J1</v>
      </c>
      <c r="C520" s="568" t="s">
        <v>1914</v>
      </c>
      <c r="D520" s="568" t="s">
        <v>1611</v>
      </c>
      <c r="E520" s="569">
        <v>16</v>
      </c>
      <c r="F520" t="s">
        <v>1609</v>
      </c>
      <c r="G520" t="s">
        <v>247</v>
      </c>
      <c r="H520">
        <v>1</v>
      </c>
      <c r="I520" t="s">
        <v>1604</v>
      </c>
      <c r="J520" t="s">
        <v>1605</v>
      </c>
      <c r="K520" t="s">
        <v>1606</v>
      </c>
    </row>
    <row r="521" spans="1:11" hidden="1">
      <c r="A521" t="str">
        <f t="shared" si="16"/>
        <v>J</v>
      </c>
      <c r="B521" t="str">
        <f t="shared" si="17"/>
        <v>J1</v>
      </c>
      <c r="C521" s="568" t="s">
        <v>1915</v>
      </c>
      <c r="D521" s="568" t="s">
        <v>1611</v>
      </c>
      <c r="E521" s="569">
        <v>16</v>
      </c>
      <c r="F521" t="s">
        <v>1609</v>
      </c>
      <c r="G521" t="s">
        <v>247</v>
      </c>
      <c r="H521">
        <v>1</v>
      </c>
      <c r="I521" t="s">
        <v>1604</v>
      </c>
      <c r="J521" t="s">
        <v>1605</v>
      </c>
      <c r="K521" t="s">
        <v>1606</v>
      </c>
    </row>
    <row r="522" spans="1:11" hidden="1">
      <c r="A522" t="str">
        <f t="shared" si="16"/>
        <v>J</v>
      </c>
      <c r="B522" t="str">
        <f t="shared" si="17"/>
        <v>J1</v>
      </c>
      <c r="C522" s="575" t="s">
        <v>1916</v>
      </c>
      <c r="D522" s="575" t="s">
        <v>1608</v>
      </c>
      <c r="E522" s="576">
        <v>16</v>
      </c>
      <c r="F522" t="s">
        <v>1609</v>
      </c>
      <c r="G522" t="s">
        <v>247</v>
      </c>
      <c r="H522">
        <v>1</v>
      </c>
      <c r="I522" t="s">
        <v>1604</v>
      </c>
      <c r="J522" t="s">
        <v>1605</v>
      </c>
      <c r="K522" t="s">
        <v>1606</v>
      </c>
    </row>
    <row r="523" spans="1:11" hidden="1">
      <c r="A523" t="str">
        <f t="shared" si="16"/>
        <v>J</v>
      </c>
      <c r="B523" t="str">
        <f t="shared" si="17"/>
        <v>J1</v>
      </c>
      <c r="C523" s="568" t="s">
        <v>1917</v>
      </c>
      <c r="D523" s="568" t="s">
        <v>1608</v>
      </c>
      <c r="E523" s="569">
        <v>16</v>
      </c>
      <c r="F523" t="s">
        <v>1609</v>
      </c>
      <c r="G523" t="s">
        <v>247</v>
      </c>
      <c r="H523">
        <v>1</v>
      </c>
      <c r="I523" t="s">
        <v>1604</v>
      </c>
      <c r="J523" t="s">
        <v>1605</v>
      </c>
      <c r="K523" t="s">
        <v>1606</v>
      </c>
    </row>
    <row r="524" spans="1:11" hidden="1">
      <c r="A524" t="str">
        <f t="shared" si="16"/>
        <v>J</v>
      </c>
      <c r="B524" t="str">
        <f t="shared" si="17"/>
        <v>J1</v>
      </c>
      <c r="C524" s="568" t="s">
        <v>1918</v>
      </c>
      <c r="D524" s="568" t="s">
        <v>1611</v>
      </c>
      <c r="E524" s="569">
        <v>16</v>
      </c>
      <c r="F524" t="s">
        <v>1609</v>
      </c>
      <c r="G524" t="s">
        <v>247</v>
      </c>
      <c r="H524">
        <v>1</v>
      </c>
      <c r="I524" t="s">
        <v>1604</v>
      </c>
      <c r="J524" t="s">
        <v>1605</v>
      </c>
      <c r="K524" t="s">
        <v>1606</v>
      </c>
    </row>
    <row r="525" spans="1:11" hidden="1">
      <c r="A525" t="str">
        <f t="shared" si="16"/>
        <v>J</v>
      </c>
      <c r="B525" t="str">
        <f t="shared" si="17"/>
        <v>J1</v>
      </c>
      <c r="C525" s="568" t="s">
        <v>1919</v>
      </c>
      <c r="D525" s="568" t="s">
        <v>1636</v>
      </c>
      <c r="E525" s="569">
        <v>16</v>
      </c>
      <c r="F525" t="s">
        <v>1609</v>
      </c>
      <c r="G525" t="s">
        <v>247</v>
      </c>
      <c r="H525">
        <v>1</v>
      </c>
      <c r="I525" t="s">
        <v>1604</v>
      </c>
      <c r="J525" t="s">
        <v>1605</v>
      </c>
      <c r="K525" t="s">
        <v>1606</v>
      </c>
    </row>
    <row r="526" spans="1:11" hidden="1">
      <c r="A526" t="str">
        <f t="shared" si="16"/>
        <v>J</v>
      </c>
      <c r="B526" t="str">
        <f t="shared" si="17"/>
        <v>J1</v>
      </c>
      <c r="C526" s="568" t="s">
        <v>1920</v>
      </c>
      <c r="D526" s="568" t="s">
        <v>1634</v>
      </c>
      <c r="E526" s="569">
        <v>16</v>
      </c>
      <c r="F526" t="s">
        <v>1616</v>
      </c>
      <c r="G526" t="s">
        <v>247</v>
      </c>
      <c r="H526">
        <v>1</v>
      </c>
      <c r="I526" t="s">
        <v>1604</v>
      </c>
      <c r="J526" t="s">
        <v>1605</v>
      </c>
      <c r="K526" t="s">
        <v>1606</v>
      </c>
    </row>
    <row r="527" spans="1:11" hidden="1">
      <c r="A527" t="str">
        <f t="shared" si="16"/>
        <v>J</v>
      </c>
      <c r="B527" t="str">
        <f t="shared" si="17"/>
        <v>J2</v>
      </c>
      <c r="C527" s="568" t="s">
        <v>1921</v>
      </c>
      <c r="D527" s="568" t="s">
        <v>1634</v>
      </c>
      <c r="E527" s="569">
        <v>16</v>
      </c>
      <c r="F527" t="s">
        <v>1629</v>
      </c>
      <c r="G527" t="s">
        <v>247</v>
      </c>
      <c r="H527">
        <v>1</v>
      </c>
      <c r="I527" t="s">
        <v>1604</v>
      </c>
      <c r="J527" t="s">
        <v>1605</v>
      </c>
      <c r="K527" t="s">
        <v>1606</v>
      </c>
    </row>
    <row r="528" spans="1:11" hidden="1">
      <c r="A528" t="str">
        <f t="shared" si="16"/>
        <v>J</v>
      </c>
      <c r="B528" t="str">
        <f t="shared" si="17"/>
        <v>J2</v>
      </c>
      <c r="C528" s="568" t="s">
        <v>1922</v>
      </c>
      <c r="D528" s="568" t="s">
        <v>1634</v>
      </c>
      <c r="E528" s="569">
        <v>16</v>
      </c>
      <c r="F528" t="s">
        <v>1629</v>
      </c>
      <c r="G528" t="s">
        <v>247</v>
      </c>
      <c r="H528">
        <v>1</v>
      </c>
      <c r="I528" t="s">
        <v>1604</v>
      </c>
      <c r="J528" t="s">
        <v>1605</v>
      </c>
      <c r="K528" t="s">
        <v>1606</v>
      </c>
    </row>
    <row r="529" spans="1:11" hidden="1">
      <c r="A529" t="str">
        <f t="shared" si="16"/>
        <v>J</v>
      </c>
      <c r="B529" t="str">
        <f t="shared" si="17"/>
        <v>J2</v>
      </c>
      <c r="C529" s="568" t="s">
        <v>1923</v>
      </c>
      <c r="D529" s="568" t="s">
        <v>1634</v>
      </c>
      <c r="E529" s="569">
        <v>16</v>
      </c>
      <c r="F529" t="s">
        <v>1629</v>
      </c>
      <c r="G529" t="s">
        <v>247</v>
      </c>
      <c r="H529">
        <v>1</v>
      </c>
      <c r="I529" t="s">
        <v>1604</v>
      </c>
      <c r="J529" t="s">
        <v>1605</v>
      </c>
      <c r="K529" t="s">
        <v>1606</v>
      </c>
    </row>
    <row r="530" spans="1:11" hidden="1">
      <c r="A530" t="str">
        <f t="shared" si="16"/>
        <v>J</v>
      </c>
      <c r="B530" t="str">
        <f t="shared" si="17"/>
        <v>J2</v>
      </c>
      <c r="C530" s="568" t="s">
        <v>1924</v>
      </c>
      <c r="D530" s="568" t="s">
        <v>1634</v>
      </c>
      <c r="E530" s="569">
        <v>16</v>
      </c>
      <c r="F530" t="s">
        <v>1629</v>
      </c>
      <c r="G530" t="s">
        <v>247</v>
      </c>
      <c r="H530">
        <v>1</v>
      </c>
      <c r="I530" t="s">
        <v>1604</v>
      </c>
      <c r="J530" t="s">
        <v>1605</v>
      </c>
      <c r="K530" t="s">
        <v>1606</v>
      </c>
    </row>
    <row r="531" spans="1:11" hidden="1">
      <c r="A531" t="str">
        <f t="shared" si="16"/>
        <v>J</v>
      </c>
      <c r="B531" t="str">
        <f t="shared" si="17"/>
        <v>J2</v>
      </c>
      <c r="C531" s="568" t="s">
        <v>1925</v>
      </c>
      <c r="D531" s="568" t="s">
        <v>1614</v>
      </c>
      <c r="E531" s="569">
        <v>16</v>
      </c>
      <c r="F531" t="s">
        <v>1629</v>
      </c>
      <c r="G531" t="s">
        <v>247</v>
      </c>
      <c r="H531">
        <v>1</v>
      </c>
      <c r="I531" t="s">
        <v>1604</v>
      </c>
      <c r="J531" t="s">
        <v>1605</v>
      </c>
      <c r="K531" t="s">
        <v>1606</v>
      </c>
    </row>
    <row r="532" spans="1:11" hidden="1">
      <c r="A532" t="str">
        <f t="shared" si="16"/>
        <v>J</v>
      </c>
      <c r="B532" t="str">
        <f t="shared" si="17"/>
        <v>J2</v>
      </c>
      <c r="C532" s="568" t="s">
        <v>1926</v>
      </c>
      <c r="D532" s="568" t="s">
        <v>1614</v>
      </c>
      <c r="E532" s="569">
        <v>16</v>
      </c>
      <c r="F532" t="s">
        <v>1618</v>
      </c>
      <c r="G532" t="s">
        <v>247</v>
      </c>
      <c r="H532">
        <v>1</v>
      </c>
      <c r="I532" t="s">
        <v>1604</v>
      </c>
      <c r="J532" t="s">
        <v>1605</v>
      </c>
      <c r="K532" t="s">
        <v>1606</v>
      </c>
    </row>
    <row r="533" spans="1:11" hidden="1">
      <c r="A533" t="str">
        <f t="shared" si="16"/>
        <v>J</v>
      </c>
      <c r="B533" t="str">
        <f t="shared" si="17"/>
        <v>J2</v>
      </c>
      <c r="C533" s="568" t="s">
        <v>1927</v>
      </c>
      <c r="D533" s="568" t="s">
        <v>1614</v>
      </c>
      <c r="E533" s="569">
        <v>16</v>
      </c>
      <c r="F533" t="s">
        <v>1618</v>
      </c>
      <c r="G533" t="s">
        <v>247</v>
      </c>
      <c r="H533">
        <v>1</v>
      </c>
      <c r="I533" t="s">
        <v>1604</v>
      </c>
      <c r="J533" t="s">
        <v>1605</v>
      </c>
      <c r="K533" t="s">
        <v>1606</v>
      </c>
    </row>
    <row r="534" spans="1:11" hidden="1">
      <c r="A534" t="str">
        <f t="shared" si="16"/>
        <v>J</v>
      </c>
      <c r="B534" t="str">
        <f t="shared" si="17"/>
        <v>J2</v>
      </c>
      <c r="C534" s="568" t="s">
        <v>1928</v>
      </c>
      <c r="D534" s="568" t="s">
        <v>1614</v>
      </c>
      <c r="E534" s="569">
        <v>16</v>
      </c>
      <c r="F534" t="s">
        <v>1629</v>
      </c>
      <c r="G534" t="s">
        <v>247</v>
      </c>
      <c r="H534">
        <v>1</v>
      </c>
      <c r="I534" t="s">
        <v>1604</v>
      </c>
      <c r="J534" t="s">
        <v>1605</v>
      </c>
      <c r="K534" t="s">
        <v>1606</v>
      </c>
    </row>
    <row r="535" spans="1:11" hidden="1">
      <c r="A535" t="str">
        <f t="shared" si="16"/>
        <v>J</v>
      </c>
      <c r="B535" t="str">
        <f t="shared" si="17"/>
        <v>J2</v>
      </c>
      <c r="C535" s="568" t="s">
        <v>1929</v>
      </c>
      <c r="D535" s="568" t="s">
        <v>1638</v>
      </c>
      <c r="E535" s="569">
        <v>16</v>
      </c>
      <c r="F535" t="s">
        <v>1618</v>
      </c>
      <c r="G535" t="s">
        <v>247</v>
      </c>
      <c r="H535">
        <v>1</v>
      </c>
      <c r="I535" t="s">
        <v>1604</v>
      </c>
      <c r="J535" t="s">
        <v>1605</v>
      </c>
      <c r="K535" t="s">
        <v>1606</v>
      </c>
    </row>
    <row r="536" spans="1:11" hidden="1">
      <c r="A536" t="str">
        <f t="shared" si="16"/>
        <v>J</v>
      </c>
      <c r="B536" t="str">
        <f t="shared" si="17"/>
        <v>J2</v>
      </c>
      <c r="C536" s="568" t="s">
        <v>1930</v>
      </c>
      <c r="D536" s="568" t="s">
        <v>1614</v>
      </c>
      <c r="E536" s="569">
        <v>16</v>
      </c>
      <c r="F536" t="s">
        <v>1616</v>
      </c>
      <c r="G536" t="s">
        <v>247</v>
      </c>
      <c r="H536">
        <v>1</v>
      </c>
      <c r="I536" t="s">
        <v>1604</v>
      </c>
      <c r="J536" t="s">
        <v>1605</v>
      </c>
      <c r="K536" t="s">
        <v>1606</v>
      </c>
    </row>
    <row r="537" spans="1:11" hidden="1">
      <c r="A537" t="str">
        <f t="shared" si="16"/>
        <v>J</v>
      </c>
      <c r="B537" t="str">
        <f t="shared" si="17"/>
        <v>J2</v>
      </c>
      <c r="C537" s="568" t="s">
        <v>1931</v>
      </c>
      <c r="D537" s="568" t="s">
        <v>1634</v>
      </c>
      <c r="E537" s="569" t="s">
        <v>1761</v>
      </c>
      <c r="F537" t="s">
        <v>1618</v>
      </c>
      <c r="G537" t="s">
        <v>247</v>
      </c>
      <c r="H537">
        <v>1</v>
      </c>
      <c r="I537" t="s">
        <v>1604</v>
      </c>
      <c r="J537" t="s">
        <v>1605</v>
      </c>
      <c r="K537" t="s">
        <v>1606</v>
      </c>
    </row>
    <row r="538" spans="1:11" hidden="1">
      <c r="A538" t="str">
        <f t="shared" si="16"/>
        <v>J</v>
      </c>
      <c r="B538" t="str">
        <f t="shared" si="17"/>
        <v>J2</v>
      </c>
      <c r="C538" s="568" t="s">
        <v>1932</v>
      </c>
      <c r="D538" s="568" t="s">
        <v>1631</v>
      </c>
      <c r="E538" s="569">
        <v>16</v>
      </c>
      <c r="F538" s="577" t="s">
        <v>1618</v>
      </c>
      <c r="G538" t="s">
        <v>247</v>
      </c>
      <c r="H538">
        <v>1</v>
      </c>
      <c r="I538" t="s">
        <v>1604</v>
      </c>
      <c r="J538" t="s">
        <v>1605</v>
      </c>
      <c r="K538" t="s">
        <v>1606</v>
      </c>
    </row>
    <row r="539" spans="1:11" hidden="1">
      <c r="A539" t="str">
        <f t="shared" si="16"/>
        <v>J</v>
      </c>
      <c r="B539" t="str">
        <f t="shared" si="17"/>
        <v>J2</v>
      </c>
      <c r="C539" s="568" t="s">
        <v>1933</v>
      </c>
      <c r="D539" s="568" t="s">
        <v>1631</v>
      </c>
      <c r="E539" s="569" t="s">
        <v>1761</v>
      </c>
      <c r="F539" t="s">
        <v>1618</v>
      </c>
      <c r="G539" t="s">
        <v>247</v>
      </c>
      <c r="H539">
        <v>1</v>
      </c>
      <c r="I539" t="s">
        <v>1604</v>
      </c>
      <c r="J539" t="s">
        <v>1605</v>
      </c>
      <c r="K539" t="s">
        <v>1606</v>
      </c>
    </row>
    <row r="540" spans="1:11" hidden="1">
      <c r="A540" t="str">
        <f t="shared" si="16"/>
        <v>J</v>
      </c>
      <c r="B540" t="str">
        <f t="shared" si="17"/>
        <v>J2</v>
      </c>
      <c r="C540" s="568" t="s">
        <v>1934</v>
      </c>
      <c r="D540" s="568" t="s">
        <v>1631</v>
      </c>
      <c r="E540" s="569" t="s">
        <v>1761</v>
      </c>
      <c r="F540" t="s">
        <v>1618</v>
      </c>
      <c r="G540" t="s">
        <v>247</v>
      </c>
      <c r="H540">
        <v>1</v>
      </c>
      <c r="I540" t="s">
        <v>1604</v>
      </c>
      <c r="J540" t="s">
        <v>1605</v>
      </c>
      <c r="K540" t="s">
        <v>1606</v>
      </c>
    </row>
    <row r="541" spans="1:11" hidden="1">
      <c r="A541" t="str">
        <f t="shared" si="16"/>
        <v>J</v>
      </c>
      <c r="B541" t="str">
        <f t="shared" si="17"/>
        <v>J2</v>
      </c>
      <c r="C541" s="568" t="s">
        <v>1935</v>
      </c>
      <c r="D541" s="568" t="s">
        <v>1638</v>
      </c>
      <c r="E541" s="569" t="s">
        <v>1765</v>
      </c>
      <c r="F541" t="s">
        <v>1618</v>
      </c>
      <c r="G541" t="s">
        <v>247</v>
      </c>
      <c r="H541">
        <v>1</v>
      </c>
      <c r="I541" t="s">
        <v>1604</v>
      </c>
      <c r="J541" t="s">
        <v>1605</v>
      </c>
      <c r="K541" t="s">
        <v>1606</v>
      </c>
    </row>
    <row r="542" spans="1:11" hidden="1">
      <c r="A542" t="str">
        <f t="shared" si="16"/>
        <v>J</v>
      </c>
      <c r="B542" t="str">
        <f t="shared" si="17"/>
        <v>J2</v>
      </c>
      <c r="C542" s="568" t="s">
        <v>1936</v>
      </c>
      <c r="D542" s="568" t="s">
        <v>1626</v>
      </c>
      <c r="E542" s="569" t="s">
        <v>1765</v>
      </c>
      <c r="F542" t="s">
        <v>1618</v>
      </c>
      <c r="G542" t="s">
        <v>247</v>
      </c>
      <c r="H542">
        <v>1</v>
      </c>
      <c r="I542" t="s">
        <v>1604</v>
      </c>
      <c r="J542" t="s">
        <v>1605</v>
      </c>
      <c r="K542" t="s">
        <v>1606</v>
      </c>
    </row>
    <row r="543" spans="1:11" hidden="1">
      <c r="A543" t="str">
        <f t="shared" si="16"/>
        <v>J</v>
      </c>
      <c r="B543" t="str">
        <f t="shared" si="17"/>
        <v>J2</v>
      </c>
      <c r="C543" s="568" t="s">
        <v>1937</v>
      </c>
      <c r="D543" s="568" t="s">
        <v>1636</v>
      </c>
      <c r="E543" s="569" t="s">
        <v>1765</v>
      </c>
      <c r="F543" t="s">
        <v>1618</v>
      </c>
      <c r="G543" t="s">
        <v>247</v>
      </c>
      <c r="H543">
        <v>1</v>
      </c>
      <c r="I543" t="s">
        <v>1604</v>
      </c>
      <c r="J543" t="s">
        <v>1605</v>
      </c>
      <c r="K543" t="s">
        <v>1606</v>
      </c>
    </row>
    <row r="544" spans="1:11" hidden="1">
      <c r="A544" t="str">
        <f t="shared" si="16"/>
        <v>J</v>
      </c>
      <c r="B544" t="str">
        <f t="shared" si="17"/>
        <v>J3</v>
      </c>
      <c r="C544" s="568" t="s">
        <v>1938</v>
      </c>
      <c r="D544" s="568" t="s">
        <v>1636</v>
      </c>
      <c r="E544" s="569" t="s">
        <v>1765</v>
      </c>
      <c r="F544" t="s">
        <v>1618</v>
      </c>
      <c r="G544" t="s">
        <v>247</v>
      </c>
      <c r="H544">
        <v>2</v>
      </c>
      <c r="I544" t="s">
        <v>1604</v>
      </c>
      <c r="J544" t="s">
        <v>1605</v>
      </c>
      <c r="K544" t="s">
        <v>1606</v>
      </c>
    </row>
    <row r="545" spans="1:11" hidden="1">
      <c r="A545" t="str">
        <f t="shared" si="16"/>
        <v>J</v>
      </c>
      <c r="B545" t="str">
        <f t="shared" si="17"/>
        <v>J3</v>
      </c>
      <c r="C545" s="568" t="s">
        <v>1939</v>
      </c>
      <c r="D545" s="568" t="s">
        <v>1659</v>
      </c>
      <c r="E545" s="569" t="s">
        <v>1765</v>
      </c>
      <c r="F545" t="s">
        <v>1618</v>
      </c>
      <c r="G545" t="s">
        <v>247</v>
      </c>
      <c r="H545">
        <v>2</v>
      </c>
      <c r="I545" t="s">
        <v>1604</v>
      </c>
      <c r="J545" t="s">
        <v>1605</v>
      </c>
      <c r="K545" t="s">
        <v>1606</v>
      </c>
    </row>
    <row r="546" spans="1:11" hidden="1">
      <c r="A546" t="str">
        <f t="shared" si="16"/>
        <v>J</v>
      </c>
      <c r="B546" t="str">
        <f t="shared" si="17"/>
        <v>J3</v>
      </c>
      <c r="C546" s="568" t="s">
        <v>1940</v>
      </c>
      <c r="D546" s="568" t="s">
        <v>1638</v>
      </c>
      <c r="E546" s="569" t="s">
        <v>1765</v>
      </c>
      <c r="F546" t="s">
        <v>1629</v>
      </c>
      <c r="G546" t="s">
        <v>247</v>
      </c>
      <c r="H546">
        <v>2</v>
      </c>
      <c r="I546" t="s">
        <v>1604</v>
      </c>
      <c r="J546" t="s">
        <v>1605</v>
      </c>
      <c r="K546" t="s">
        <v>1606</v>
      </c>
    </row>
    <row r="547" spans="1:11" hidden="1">
      <c r="A547" t="str">
        <f t="shared" si="16"/>
        <v>J</v>
      </c>
      <c r="B547" t="str">
        <f t="shared" si="17"/>
        <v>J3</v>
      </c>
      <c r="C547" s="568" t="s">
        <v>1941</v>
      </c>
      <c r="D547" s="568" t="s">
        <v>1638</v>
      </c>
      <c r="E547" s="569" t="s">
        <v>1765</v>
      </c>
      <c r="F547" t="s">
        <v>1629</v>
      </c>
      <c r="G547" t="s">
        <v>247</v>
      </c>
      <c r="H547">
        <v>2</v>
      </c>
      <c r="I547" t="s">
        <v>1604</v>
      </c>
      <c r="J547" t="s">
        <v>1605</v>
      </c>
      <c r="K547" t="s">
        <v>1606</v>
      </c>
    </row>
    <row r="548" spans="1:11" hidden="1">
      <c r="A548" t="str">
        <f t="shared" si="16"/>
        <v>J</v>
      </c>
      <c r="B548" t="str">
        <f t="shared" si="17"/>
        <v>J3</v>
      </c>
      <c r="C548" s="568" t="s">
        <v>1942</v>
      </c>
      <c r="D548" s="568" t="s">
        <v>1659</v>
      </c>
      <c r="E548" s="569" t="s">
        <v>1761</v>
      </c>
      <c r="F548" t="s">
        <v>1629</v>
      </c>
      <c r="G548" t="s">
        <v>247</v>
      </c>
      <c r="H548">
        <v>2</v>
      </c>
      <c r="I548" t="s">
        <v>1604</v>
      </c>
      <c r="J548" t="s">
        <v>1605</v>
      </c>
      <c r="K548" t="s">
        <v>1606</v>
      </c>
    </row>
    <row r="549" spans="1:11" hidden="1">
      <c r="A549" t="str">
        <f t="shared" si="16"/>
        <v>J</v>
      </c>
      <c r="B549" t="str">
        <f t="shared" si="17"/>
        <v>J3</v>
      </c>
      <c r="C549" s="568" t="s">
        <v>1943</v>
      </c>
      <c r="D549" s="568" t="s">
        <v>1638</v>
      </c>
      <c r="E549" s="569" t="s">
        <v>1765</v>
      </c>
      <c r="F549" t="s">
        <v>1629</v>
      </c>
      <c r="G549" t="s">
        <v>247</v>
      </c>
      <c r="H549">
        <v>2</v>
      </c>
      <c r="I549" t="s">
        <v>1604</v>
      </c>
      <c r="J549" t="s">
        <v>1605</v>
      </c>
      <c r="K549" t="s">
        <v>1606</v>
      </c>
    </row>
    <row r="550" spans="1:11" hidden="1">
      <c r="A550" t="str">
        <f t="shared" si="16"/>
        <v>J</v>
      </c>
      <c r="B550" t="str">
        <f t="shared" si="17"/>
        <v>J3</v>
      </c>
      <c r="C550" s="568" t="s">
        <v>1944</v>
      </c>
      <c r="D550" s="568" t="s">
        <v>1626</v>
      </c>
      <c r="E550" s="569" t="s">
        <v>1761</v>
      </c>
      <c r="F550" t="s">
        <v>1618</v>
      </c>
      <c r="G550" t="s">
        <v>247</v>
      </c>
      <c r="H550">
        <v>2</v>
      </c>
      <c r="I550" t="s">
        <v>1604</v>
      </c>
      <c r="J550" t="s">
        <v>1605</v>
      </c>
      <c r="K550" t="s">
        <v>1606</v>
      </c>
    </row>
    <row r="551" spans="1:11" hidden="1">
      <c r="A551" t="str">
        <f t="shared" si="16"/>
        <v>J</v>
      </c>
      <c r="B551" t="str">
        <f t="shared" si="17"/>
        <v>J3</v>
      </c>
      <c r="C551" s="568" t="s">
        <v>1945</v>
      </c>
      <c r="D551" s="568" t="s">
        <v>1638</v>
      </c>
      <c r="E551" s="569" t="s">
        <v>1765</v>
      </c>
      <c r="F551" t="s">
        <v>1629</v>
      </c>
      <c r="G551" t="s">
        <v>247</v>
      </c>
      <c r="H551">
        <v>2</v>
      </c>
      <c r="I551" t="s">
        <v>1604</v>
      </c>
      <c r="J551" t="s">
        <v>1605</v>
      </c>
      <c r="K551" t="s">
        <v>1606</v>
      </c>
    </row>
    <row r="552" spans="1:11" hidden="1">
      <c r="A552" t="str">
        <f t="shared" si="16"/>
        <v>J</v>
      </c>
      <c r="B552" t="str">
        <f t="shared" si="17"/>
        <v>J3</v>
      </c>
      <c r="C552" s="568" t="s">
        <v>1946</v>
      </c>
      <c r="D552" s="568" t="s">
        <v>1638</v>
      </c>
      <c r="E552" s="569">
        <v>16</v>
      </c>
      <c r="F552" t="s">
        <v>1616</v>
      </c>
      <c r="G552" t="s">
        <v>247</v>
      </c>
      <c r="H552">
        <v>2</v>
      </c>
      <c r="I552" t="s">
        <v>1604</v>
      </c>
      <c r="J552" t="s">
        <v>1605</v>
      </c>
      <c r="K552" t="s">
        <v>1606</v>
      </c>
    </row>
    <row r="553" spans="1:11" hidden="1">
      <c r="A553" t="str">
        <f t="shared" si="16"/>
        <v>J</v>
      </c>
      <c r="B553" t="str">
        <f t="shared" si="17"/>
        <v>J3</v>
      </c>
      <c r="C553" s="568" t="s">
        <v>1947</v>
      </c>
      <c r="D553" s="568" t="s">
        <v>1636</v>
      </c>
      <c r="E553" s="569" t="s">
        <v>1761</v>
      </c>
      <c r="F553" t="s">
        <v>1618</v>
      </c>
      <c r="G553" t="s">
        <v>247</v>
      </c>
      <c r="H553">
        <v>2</v>
      </c>
      <c r="I553" t="s">
        <v>1604</v>
      </c>
      <c r="J553" t="s">
        <v>1605</v>
      </c>
      <c r="K553" t="s">
        <v>1606</v>
      </c>
    </row>
    <row r="554" spans="1:11" hidden="1">
      <c r="A554" t="str">
        <f t="shared" si="16"/>
        <v>J</v>
      </c>
      <c r="B554" t="str">
        <f t="shared" si="17"/>
        <v>J3</v>
      </c>
      <c r="C554" s="568" t="s">
        <v>1948</v>
      </c>
      <c r="D554" s="568" t="s">
        <v>1631</v>
      </c>
      <c r="E554" s="569">
        <v>16</v>
      </c>
      <c r="F554" t="s">
        <v>1629</v>
      </c>
      <c r="G554" t="s">
        <v>247</v>
      </c>
      <c r="H554">
        <v>2</v>
      </c>
      <c r="I554" t="s">
        <v>1604</v>
      </c>
      <c r="J554" t="s">
        <v>1605</v>
      </c>
      <c r="K554" t="s">
        <v>1606</v>
      </c>
    </row>
    <row r="555" spans="1:11" hidden="1">
      <c r="A555" t="str">
        <f t="shared" si="16"/>
        <v>J</v>
      </c>
      <c r="B555" t="str">
        <f t="shared" si="17"/>
        <v>J3</v>
      </c>
      <c r="C555" s="568" t="s">
        <v>1949</v>
      </c>
      <c r="D555" s="568" t="s">
        <v>1638</v>
      </c>
      <c r="E555" s="569" t="s">
        <v>1763</v>
      </c>
      <c r="F555" t="s">
        <v>1616</v>
      </c>
      <c r="G555" t="s">
        <v>247</v>
      </c>
      <c r="H555">
        <v>2</v>
      </c>
      <c r="I555" t="s">
        <v>1604</v>
      </c>
      <c r="J555" t="s">
        <v>1605</v>
      </c>
      <c r="K555" t="s">
        <v>1606</v>
      </c>
    </row>
    <row r="556" spans="1:11" hidden="1">
      <c r="A556" t="str">
        <f t="shared" si="16"/>
        <v>J</v>
      </c>
      <c r="B556" t="str">
        <f t="shared" si="17"/>
        <v>J3</v>
      </c>
      <c r="C556" s="568" t="s">
        <v>1950</v>
      </c>
      <c r="D556" s="568" t="s">
        <v>1662</v>
      </c>
      <c r="E556" s="569" t="s">
        <v>1765</v>
      </c>
      <c r="F556" t="s">
        <v>1629</v>
      </c>
      <c r="G556" t="s">
        <v>247</v>
      </c>
      <c r="H556">
        <v>2</v>
      </c>
      <c r="I556" t="s">
        <v>1604</v>
      </c>
      <c r="J556" t="s">
        <v>1605</v>
      </c>
      <c r="K556" t="s">
        <v>1606</v>
      </c>
    </row>
    <row r="557" spans="1:11" hidden="1">
      <c r="A557" t="str">
        <f t="shared" si="16"/>
        <v>J</v>
      </c>
      <c r="B557" t="str">
        <f t="shared" si="17"/>
        <v>J3</v>
      </c>
      <c r="C557" s="568" t="s">
        <v>1951</v>
      </c>
      <c r="D557" s="568" t="s">
        <v>1662</v>
      </c>
      <c r="E557" s="569" t="s">
        <v>1763</v>
      </c>
      <c r="F557" t="s">
        <v>1629</v>
      </c>
      <c r="G557" t="s">
        <v>247</v>
      </c>
      <c r="H557">
        <v>2</v>
      </c>
      <c r="I557" t="s">
        <v>1604</v>
      </c>
      <c r="J557" t="s">
        <v>1605</v>
      </c>
      <c r="K557" t="s">
        <v>1606</v>
      </c>
    </row>
    <row r="558" spans="1:11" hidden="1">
      <c r="A558" t="str">
        <f t="shared" si="16"/>
        <v>J</v>
      </c>
      <c r="B558" t="str">
        <f t="shared" si="17"/>
        <v>J3</v>
      </c>
      <c r="C558" s="568" t="s">
        <v>1952</v>
      </c>
      <c r="D558" s="568" t="s">
        <v>1662</v>
      </c>
      <c r="E558" s="569" t="s">
        <v>1765</v>
      </c>
      <c r="F558" t="s">
        <v>1616</v>
      </c>
      <c r="G558" t="s">
        <v>247</v>
      </c>
      <c r="H558">
        <v>2</v>
      </c>
      <c r="I558" t="s">
        <v>1604</v>
      </c>
      <c r="J558" t="s">
        <v>1605</v>
      </c>
      <c r="K558" t="s">
        <v>1606</v>
      </c>
    </row>
    <row r="559" spans="1:11" hidden="1">
      <c r="A559" t="str">
        <f t="shared" si="16"/>
        <v>J</v>
      </c>
      <c r="B559" t="str">
        <f t="shared" si="17"/>
        <v>J4</v>
      </c>
      <c r="C559" s="568" t="s">
        <v>1953</v>
      </c>
      <c r="D559" s="568" t="s">
        <v>1662</v>
      </c>
      <c r="E559" s="569" t="s">
        <v>1763</v>
      </c>
      <c r="F559" t="s">
        <v>1616</v>
      </c>
      <c r="G559" t="s">
        <v>247</v>
      </c>
      <c r="H559">
        <v>2</v>
      </c>
      <c r="I559" t="s">
        <v>1604</v>
      </c>
      <c r="J559" t="s">
        <v>1605</v>
      </c>
      <c r="K559" t="s">
        <v>1606</v>
      </c>
    </row>
    <row r="560" spans="1:11" hidden="1">
      <c r="A560" t="str">
        <f t="shared" si="16"/>
        <v>J</v>
      </c>
      <c r="B560" t="str">
        <f t="shared" si="17"/>
        <v>J4</v>
      </c>
      <c r="C560" s="568" t="s">
        <v>1954</v>
      </c>
      <c r="D560" s="568" t="s">
        <v>1662</v>
      </c>
      <c r="E560" s="569" t="s">
        <v>1763</v>
      </c>
      <c r="F560" t="s">
        <v>1629</v>
      </c>
      <c r="G560" t="s">
        <v>247</v>
      </c>
      <c r="H560">
        <v>2</v>
      </c>
      <c r="I560" t="s">
        <v>1604</v>
      </c>
      <c r="J560" t="s">
        <v>1605</v>
      </c>
      <c r="K560" t="s">
        <v>1606</v>
      </c>
    </row>
    <row r="561" spans="1:11" hidden="1">
      <c r="A561" t="str">
        <f t="shared" si="16"/>
        <v>J</v>
      </c>
      <c r="B561" t="str">
        <f t="shared" si="17"/>
        <v>J4</v>
      </c>
      <c r="C561" s="568" t="s">
        <v>1955</v>
      </c>
      <c r="D561" s="568" t="s">
        <v>1638</v>
      </c>
      <c r="E561" s="569" t="s">
        <v>1763</v>
      </c>
      <c r="F561" t="s">
        <v>1629</v>
      </c>
      <c r="G561" t="s">
        <v>247</v>
      </c>
      <c r="H561">
        <v>2</v>
      </c>
      <c r="I561" t="s">
        <v>1604</v>
      </c>
      <c r="J561" t="s">
        <v>1605</v>
      </c>
      <c r="K561" t="s">
        <v>1606</v>
      </c>
    </row>
    <row r="562" spans="1:11" hidden="1">
      <c r="A562" t="str">
        <f t="shared" si="16"/>
        <v>J</v>
      </c>
      <c r="B562" t="str">
        <f t="shared" si="17"/>
        <v>J4</v>
      </c>
      <c r="C562" s="568" t="s">
        <v>1956</v>
      </c>
      <c r="D562" s="568" t="s">
        <v>1638</v>
      </c>
      <c r="E562" s="569" t="s">
        <v>1763</v>
      </c>
      <c r="F562" t="s">
        <v>1616</v>
      </c>
      <c r="G562" t="s">
        <v>247</v>
      </c>
      <c r="H562">
        <v>2</v>
      </c>
      <c r="I562" t="s">
        <v>1604</v>
      </c>
      <c r="J562" t="s">
        <v>1605</v>
      </c>
      <c r="K562" t="s">
        <v>1606</v>
      </c>
    </row>
    <row r="563" spans="1:11" hidden="1">
      <c r="A563" t="str">
        <f t="shared" si="16"/>
        <v>J</v>
      </c>
      <c r="B563" t="str">
        <f t="shared" si="17"/>
        <v>J4</v>
      </c>
      <c r="C563" s="568" t="s">
        <v>1957</v>
      </c>
      <c r="D563" s="568" t="s">
        <v>1638</v>
      </c>
      <c r="E563" s="569" t="s">
        <v>1763</v>
      </c>
      <c r="F563" t="s">
        <v>1629</v>
      </c>
      <c r="G563" t="s">
        <v>247</v>
      </c>
      <c r="H563">
        <v>2</v>
      </c>
      <c r="I563" t="s">
        <v>1604</v>
      </c>
      <c r="J563" t="s">
        <v>1605</v>
      </c>
      <c r="K563" t="s">
        <v>1606</v>
      </c>
    </row>
    <row r="564" spans="1:11" hidden="1">
      <c r="A564" t="str">
        <f t="shared" si="16"/>
        <v>J</v>
      </c>
      <c r="B564" t="str">
        <f t="shared" si="17"/>
        <v>J4</v>
      </c>
      <c r="C564" s="568" t="s">
        <v>1958</v>
      </c>
      <c r="D564" s="568" t="s">
        <v>1638</v>
      </c>
      <c r="E564" s="569" t="s">
        <v>1763</v>
      </c>
      <c r="F564" t="s">
        <v>1616</v>
      </c>
      <c r="G564" t="s">
        <v>247</v>
      </c>
      <c r="H564">
        <v>2</v>
      </c>
      <c r="I564" t="s">
        <v>1604</v>
      </c>
      <c r="J564" t="s">
        <v>1605</v>
      </c>
      <c r="K564" t="s">
        <v>1606</v>
      </c>
    </row>
    <row r="565" spans="1:11" hidden="1">
      <c r="A565" t="str">
        <f t="shared" si="16"/>
        <v>J</v>
      </c>
      <c r="B565" t="str">
        <f t="shared" si="17"/>
        <v>J4</v>
      </c>
      <c r="C565" s="568" t="s">
        <v>1959</v>
      </c>
      <c r="D565" s="568" t="s">
        <v>1638</v>
      </c>
      <c r="E565" s="569" t="s">
        <v>1763</v>
      </c>
      <c r="F565" t="s">
        <v>1629</v>
      </c>
      <c r="G565" t="s">
        <v>247</v>
      </c>
      <c r="H565">
        <v>2</v>
      </c>
      <c r="I565" t="s">
        <v>1604</v>
      </c>
      <c r="J565" t="s">
        <v>1605</v>
      </c>
      <c r="K565" t="s">
        <v>1606</v>
      </c>
    </row>
    <row r="566" spans="1:11" hidden="1">
      <c r="A566" t="str">
        <f t="shared" si="16"/>
        <v>J</v>
      </c>
      <c r="B566" t="str">
        <f t="shared" si="17"/>
        <v>J4</v>
      </c>
      <c r="C566" s="568" t="s">
        <v>1960</v>
      </c>
      <c r="D566" s="568" t="s">
        <v>1638</v>
      </c>
      <c r="E566" s="569" t="s">
        <v>1763</v>
      </c>
      <c r="F566" t="s">
        <v>1629</v>
      </c>
      <c r="G566" t="s">
        <v>247</v>
      </c>
      <c r="H566">
        <v>2</v>
      </c>
      <c r="I566" t="s">
        <v>1604</v>
      </c>
      <c r="J566" t="s">
        <v>1605</v>
      </c>
      <c r="K566" t="s">
        <v>1606</v>
      </c>
    </row>
    <row r="567" spans="1:11" hidden="1">
      <c r="A567" t="str">
        <f t="shared" si="16"/>
        <v>J</v>
      </c>
      <c r="B567" t="str">
        <f t="shared" si="17"/>
        <v>J4</v>
      </c>
      <c r="C567" s="568" t="s">
        <v>1961</v>
      </c>
      <c r="D567" s="568" t="s">
        <v>1638</v>
      </c>
      <c r="E567" s="569" t="s">
        <v>1763</v>
      </c>
      <c r="F567" t="s">
        <v>1616</v>
      </c>
      <c r="G567" t="s">
        <v>247</v>
      </c>
      <c r="H567">
        <v>2</v>
      </c>
      <c r="I567" t="s">
        <v>1604</v>
      </c>
      <c r="J567" t="s">
        <v>1605</v>
      </c>
      <c r="K567" t="s">
        <v>1606</v>
      </c>
    </row>
    <row r="568" spans="1:11" hidden="1">
      <c r="A568" t="str">
        <f t="shared" si="16"/>
        <v>J</v>
      </c>
      <c r="B568" t="str">
        <f t="shared" si="17"/>
        <v>J4</v>
      </c>
      <c r="C568" s="568" t="s">
        <v>1962</v>
      </c>
      <c r="D568" s="568" t="s">
        <v>1662</v>
      </c>
      <c r="E568" s="569" t="s">
        <v>1763</v>
      </c>
      <c r="F568" t="s">
        <v>1629</v>
      </c>
      <c r="G568" t="s">
        <v>247</v>
      </c>
      <c r="H568">
        <v>2</v>
      </c>
      <c r="I568" t="s">
        <v>1604</v>
      </c>
      <c r="J568" t="s">
        <v>1605</v>
      </c>
      <c r="K568" t="s">
        <v>1606</v>
      </c>
    </row>
    <row r="569" spans="1:11" hidden="1">
      <c r="A569" t="str">
        <f t="shared" si="16"/>
        <v>J</v>
      </c>
      <c r="B569" t="str">
        <f t="shared" si="17"/>
        <v>J4</v>
      </c>
      <c r="C569" s="568" t="s">
        <v>1963</v>
      </c>
      <c r="D569" s="568" t="s">
        <v>1662</v>
      </c>
      <c r="E569" s="569" t="s">
        <v>1763</v>
      </c>
      <c r="F569" t="s">
        <v>1616</v>
      </c>
      <c r="G569" t="s">
        <v>247</v>
      </c>
      <c r="H569">
        <v>2</v>
      </c>
      <c r="I569" t="s">
        <v>1604</v>
      </c>
      <c r="J569" t="s">
        <v>1605</v>
      </c>
      <c r="K569" t="s">
        <v>1606</v>
      </c>
    </row>
    <row r="570" spans="1:11" hidden="1">
      <c r="A570" t="str">
        <f t="shared" si="16"/>
        <v>J</v>
      </c>
      <c r="B570" t="str">
        <f t="shared" si="17"/>
        <v>J4</v>
      </c>
      <c r="C570" s="568" t="s">
        <v>1964</v>
      </c>
      <c r="D570" s="568" t="s">
        <v>1662</v>
      </c>
      <c r="E570" s="569" t="s">
        <v>1763</v>
      </c>
      <c r="F570" t="s">
        <v>1629</v>
      </c>
      <c r="G570" t="s">
        <v>247</v>
      </c>
      <c r="H570">
        <v>2</v>
      </c>
      <c r="I570" t="s">
        <v>1604</v>
      </c>
      <c r="J570" t="s">
        <v>1605</v>
      </c>
      <c r="K570" t="s">
        <v>1606</v>
      </c>
    </row>
    <row r="571" spans="1:11" hidden="1">
      <c r="A571" t="str">
        <f t="shared" si="16"/>
        <v>J</v>
      </c>
      <c r="B571" t="str">
        <f t="shared" si="17"/>
        <v>J4</v>
      </c>
      <c r="C571" s="568" t="s">
        <v>1965</v>
      </c>
      <c r="D571" s="568" t="s">
        <v>1662</v>
      </c>
      <c r="E571" s="569" t="s">
        <v>1763</v>
      </c>
      <c r="F571" t="s">
        <v>1616</v>
      </c>
      <c r="G571" t="s">
        <v>247</v>
      </c>
      <c r="H571">
        <v>2</v>
      </c>
      <c r="I571" t="s">
        <v>1604</v>
      </c>
      <c r="J571" t="s">
        <v>1605</v>
      </c>
      <c r="K571" t="s">
        <v>1606</v>
      </c>
    </row>
    <row r="572" spans="1:11" hidden="1">
      <c r="A572" t="str">
        <f t="shared" si="16"/>
        <v>J</v>
      </c>
      <c r="B572" t="str">
        <f t="shared" si="17"/>
        <v>J4</v>
      </c>
      <c r="C572" s="568" t="s">
        <v>1966</v>
      </c>
      <c r="D572" s="568" t="s">
        <v>1659</v>
      </c>
      <c r="E572" s="569" t="s">
        <v>1763</v>
      </c>
      <c r="F572" t="s">
        <v>1629</v>
      </c>
      <c r="G572" t="s">
        <v>247</v>
      </c>
      <c r="H572">
        <v>2</v>
      </c>
      <c r="I572" t="s">
        <v>1604</v>
      </c>
      <c r="J572" t="s">
        <v>1605</v>
      </c>
      <c r="K572" t="s">
        <v>1606</v>
      </c>
    </row>
    <row r="573" spans="1:11" hidden="1">
      <c r="A573" t="str">
        <f t="shared" si="16"/>
        <v>J</v>
      </c>
      <c r="B573" t="str">
        <f t="shared" si="17"/>
        <v>J4</v>
      </c>
      <c r="C573" s="568" t="s">
        <v>1967</v>
      </c>
      <c r="D573" s="568" t="s">
        <v>1626</v>
      </c>
      <c r="E573" s="569" t="s">
        <v>1763</v>
      </c>
      <c r="F573" t="s">
        <v>1629</v>
      </c>
      <c r="G573" t="s">
        <v>247</v>
      </c>
      <c r="H573">
        <v>2</v>
      </c>
      <c r="I573" t="s">
        <v>1604</v>
      </c>
      <c r="J573" t="s">
        <v>1605</v>
      </c>
      <c r="K573" t="s">
        <v>1606</v>
      </c>
    </row>
    <row r="574" spans="1:11" hidden="1">
      <c r="A574" t="str">
        <f t="shared" si="16"/>
        <v>J</v>
      </c>
      <c r="B574" t="str">
        <f t="shared" si="17"/>
        <v>J4</v>
      </c>
      <c r="C574" s="568" t="s">
        <v>1968</v>
      </c>
      <c r="D574" s="568" t="s">
        <v>1626</v>
      </c>
      <c r="E574" s="569" t="s">
        <v>1763</v>
      </c>
      <c r="F574" t="s">
        <v>1629</v>
      </c>
      <c r="G574" t="s">
        <v>247</v>
      </c>
      <c r="H574">
        <v>2</v>
      </c>
      <c r="I574" t="s">
        <v>1604</v>
      </c>
      <c r="J574" t="s">
        <v>1605</v>
      </c>
      <c r="K574" t="s">
        <v>1606</v>
      </c>
    </row>
    <row r="575" spans="1:11" hidden="1">
      <c r="A575" t="str">
        <f t="shared" si="16"/>
        <v>J</v>
      </c>
      <c r="B575" t="str">
        <f t="shared" si="17"/>
        <v>J4</v>
      </c>
      <c r="C575" s="568" t="s">
        <v>1969</v>
      </c>
      <c r="D575" s="568" t="s">
        <v>1626</v>
      </c>
      <c r="E575" s="569" t="s">
        <v>1763</v>
      </c>
      <c r="F575" t="s">
        <v>1629</v>
      </c>
      <c r="G575" t="s">
        <v>247</v>
      </c>
      <c r="H575">
        <v>2</v>
      </c>
      <c r="I575" t="s">
        <v>1604</v>
      </c>
      <c r="J575" t="s">
        <v>1605</v>
      </c>
      <c r="K575" t="s">
        <v>1606</v>
      </c>
    </row>
    <row r="576" spans="1:11" hidden="1">
      <c r="A576" t="str">
        <f t="shared" si="16"/>
        <v>J</v>
      </c>
      <c r="B576" t="str">
        <f t="shared" si="17"/>
        <v>J5</v>
      </c>
      <c r="C576" s="568" t="s">
        <v>1970</v>
      </c>
      <c r="D576" s="568" t="s">
        <v>1626</v>
      </c>
      <c r="E576" s="569" t="s">
        <v>1763</v>
      </c>
      <c r="F576" t="s">
        <v>1629</v>
      </c>
      <c r="G576" t="s">
        <v>247</v>
      </c>
      <c r="H576">
        <v>2</v>
      </c>
      <c r="I576" t="s">
        <v>1604</v>
      </c>
      <c r="J576" t="s">
        <v>1605</v>
      </c>
      <c r="K576" t="s">
        <v>1606</v>
      </c>
    </row>
    <row r="577" spans="1:11" hidden="1">
      <c r="A577" t="str">
        <f t="shared" si="16"/>
        <v>J</v>
      </c>
      <c r="B577" t="str">
        <f t="shared" si="17"/>
        <v>J5</v>
      </c>
      <c r="C577" s="568" t="s">
        <v>1971</v>
      </c>
      <c r="D577" s="568" t="s">
        <v>1626</v>
      </c>
      <c r="E577" s="569">
        <v>16</v>
      </c>
      <c r="F577" t="s">
        <v>1616</v>
      </c>
      <c r="G577" t="s">
        <v>247</v>
      </c>
      <c r="H577">
        <v>2</v>
      </c>
      <c r="I577" t="s">
        <v>1604</v>
      </c>
      <c r="J577" t="s">
        <v>1605</v>
      </c>
      <c r="K577" t="s">
        <v>1606</v>
      </c>
    </row>
    <row r="578" spans="1:11" hidden="1">
      <c r="A578" t="str">
        <f t="shared" si="16"/>
        <v>J</v>
      </c>
      <c r="B578" t="str">
        <f t="shared" si="17"/>
        <v>J5</v>
      </c>
      <c r="C578" s="568" t="s">
        <v>1972</v>
      </c>
      <c r="D578" s="568" t="s">
        <v>1638</v>
      </c>
      <c r="E578" s="569">
        <v>16</v>
      </c>
      <c r="F578" t="s">
        <v>1616</v>
      </c>
      <c r="G578" t="s">
        <v>247</v>
      </c>
      <c r="H578">
        <v>2</v>
      </c>
      <c r="I578" t="s">
        <v>1604</v>
      </c>
      <c r="J578" t="s">
        <v>1605</v>
      </c>
      <c r="K578" t="s">
        <v>1606</v>
      </c>
    </row>
    <row r="579" spans="1:11" hidden="1">
      <c r="A579" t="str">
        <f t="shared" ref="A579:A642" si="18">LEFT(C579)</f>
        <v>J</v>
      </c>
      <c r="B579" t="str">
        <f t="shared" si="17"/>
        <v>J5</v>
      </c>
      <c r="C579" s="568" t="s">
        <v>1973</v>
      </c>
      <c r="D579" s="568" t="s">
        <v>1659</v>
      </c>
      <c r="E579" s="569" t="s">
        <v>1761</v>
      </c>
      <c r="F579" t="s">
        <v>1616</v>
      </c>
      <c r="G579" t="s">
        <v>247</v>
      </c>
      <c r="H579">
        <v>2</v>
      </c>
      <c r="I579" t="s">
        <v>1604</v>
      </c>
      <c r="J579" t="s">
        <v>1605</v>
      </c>
      <c r="K579" t="s">
        <v>1606</v>
      </c>
    </row>
    <row r="580" spans="1:11" hidden="1">
      <c r="A580" t="str">
        <f t="shared" si="18"/>
        <v>J</v>
      </c>
      <c r="B580" t="str">
        <f t="shared" ref="B580:B643" si="19">LEFT(C580,2)</f>
        <v>J5</v>
      </c>
      <c r="C580" s="568" t="s">
        <v>1974</v>
      </c>
      <c r="D580" s="568" t="s">
        <v>1631</v>
      </c>
      <c r="E580" s="569">
        <v>16</v>
      </c>
      <c r="F580" t="s">
        <v>1616</v>
      </c>
      <c r="G580" t="s">
        <v>247</v>
      </c>
      <c r="H580">
        <v>2</v>
      </c>
      <c r="I580" t="s">
        <v>1604</v>
      </c>
      <c r="J580" t="s">
        <v>1605</v>
      </c>
      <c r="K580" t="s">
        <v>1606</v>
      </c>
    </row>
    <row r="581" spans="1:11" hidden="1">
      <c r="A581" t="str">
        <f t="shared" si="18"/>
        <v>J</v>
      </c>
      <c r="B581" t="str">
        <f t="shared" si="19"/>
        <v>J5</v>
      </c>
      <c r="C581" s="568" t="s">
        <v>1975</v>
      </c>
      <c r="D581" s="568" t="s">
        <v>1626</v>
      </c>
      <c r="E581" s="569">
        <v>16</v>
      </c>
      <c r="F581" t="s">
        <v>1609</v>
      </c>
      <c r="G581" t="s">
        <v>247</v>
      </c>
      <c r="H581">
        <v>2</v>
      </c>
      <c r="I581" t="s">
        <v>1604</v>
      </c>
      <c r="J581" t="s">
        <v>1605</v>
      </c>
      <c r="K581" t="s">
        <v>1606</v>
      </c>
    </row>
    <row r="582" spans="1:11" hidden="1">
      <c r="A582" t="str">
        <f t="shared" si="18"/>
        <v>J</v>
      </c>
      <c r="B582" t="str">
        <f t="shared" si="19"/>
        <v>J5</v>
      </c>
      <c r="C582" s="568" t="s">
        <v>1976</v>
      </c>
      <c r="D582" s="568" t="s">
        <v>1626</v>
      </c>
      <c r="E582" s="569" t="s">
        <v>1761</v>
      </c>
      <c r="F582" t="s">
        <v>1616</v>
      </c>
      <c r="G582" t="s">
        <v>247</v>
      </c>
      <c r="H582">
        <v>2</v>
      </c>
      <c r="I582" t="s">
        <v>1604</v>
      </c>
      <c r="J582" t="s">
        <v>1605</v>
      </c>
      <c r="K582" t="s">
        <v>1606</v>
      </c>
    </row>
    <row r="583" spans="1:11" hidden="1">
      <c r="A583" t="str">
        <f t="shared" si="18"/>
        <v>J</v>
      </c>
      <c r="B583" t="str">
        <f t="shared" si="19"/>
        <v>J5</v>
      </c>
      <c r="C583" s="568" t="s">
        <v>1977</v>
      </c>
      <c r="D583" s="568" t="s">
        <v>1659</v>
      </c>
      <c r="E583" s="569" t="s">
        <v>1763</v>
      </c>
      <c r="F583" t="s">
        <v>1629</v>
      </c>
      <c r="G583" t="s">
        <v>247</v>
      </c>
      <c r="H583">
        <v>2</v>
      </c>
      <c r="I583" t="s">
        <v>1604</v>
      </c>
      <c r="J583" t="s">
        <v>1605</v>
      </c>
      <c r="K583" t="s">
        <v>1606</v>
      </c>
    </row>
    <row r="584" spans="1:11" hidden="1">
      <c r="A584" t="str">
        <f t="shared" si="18"/>
        <v>J</v>
      </c>
      <c r="B584" t="str">
        <f t="shared" si="19"/>
        <v>J5</v>
      </c>
      <c r="C584" s="568" t="s">
        <v>1978</v>
      </c>
      <c r="D584" s="568" t="s">
        <v>1626</v>
      </c>
      <c r="E584" s="569">
        <v>16</v>
      </c>
      <c r="F584" t="s">
        <v>1629</v>
      </c>
      <c r="G584" t="s">
        <v>247</v>
      </c>
      <c r="H584">
        <v>2</v>
      </c>
      <c r="I584" t="s">
        <v>1604</v>
      </c>
      <c r="J584" t="s">
        <v>1605</v>
      </c>
      <c r="K584" t="s">
        <v>1606</v>
      </c>
    </row>
    <row r="585" spans="1:11" hidden="1">
      <c r="A585" t="str">
        <f t="shared" si="18"/>
        <v>J</v>
      </c>
      <c r="B585" t="str">
        <f t="shared" si="19"/>
        <v>J5</v>
      </c>
      <c r="C585" s="568" t="s">
        <v>1979</v>
      </c>
      <c r="D585" s="568" t="s">
        <v>1631</v>
      </c>
      <c r="E585" s="569">
        <v>16</v>
      </c>
      <c r="F585" t="s">
        <v>1629</v>
      </c>
      <c r="G585" t="s">
        <v>247</v>
      </c>
      <c r="H585">
        <v>2</v>
      </c>
      <c r="I585" t="s">
        <v>1604</v>
      </c>
      <c r="J585" t="s">
        <v>1605</v>
      </c>
      <c r="K585" t="s">
        <v>1606</v>
      </c>
    </row>
    <row r="586" spans="1:11" hidden="1">
      <c r="A586" t="str">
        <f t="shared" si="18"/>
        <v>J</v>
      </c>
      <c r="B586" t="str">
        <f t="shared" si="19"/>
        <v>J5</v>
      </c>
      <c r="C586" s="568" t="s">
        <v>1980</v>
      </c>
      <c r="D586" s="568" t="s">
        <v>1626</v>
      </c>
      <c r="E586" s="569" t="s">
        <v>1761</v>
      </c>
      <c r="F586" t="s">
        <v>1629</v>
      </c>
      <c r="G586" t="s">
        <v>247</v>
      </c>
      <c r="H586">
        <v>2</v>
      </c>
      <c r="I586" t="s">
        <v>1604</v>
      </c>
      <c r="J586" t="s">
        <v>1605</v>
      </c>
      <c r="K586" t="s">
        <v>1606</v>
      </c>
    </row>
    <row r="587" spans="1:11" hidden="1">
      <c r="A587" t="str">
        <f t="shared" si="18"/>
        <v>J</v>
      </c>
      <c r="B587" t="str">
        <f t="shared" si="19"/>
        <v>J5</v>
      </c>
      <c r="C587" s="568" t="s">
        <v>1981</v>
      </c>
      <c r="D587" s="568" t="s">
        <v>1626</v>
      </c>
      <c r="E587" s="569" t="s">
        <v>1761</v>
      </c>
      <c r="F587" t="s">
        <v>1629</v>
      </c>
      <c r="G587" t="s">
        <v>247</v>
      </c>
      <c r="H587">
        <v>2</v>
      </c>
      <c r="I587" t="s">
        <v>1604</v>
      </c>
      <c r="J587" t="s">
        <v>1605</v>
      </c>
      <c r="K587" t="s">
        <v>1606</v>
      </c>
    </row>
    <row r="588" spans="1:11" hidden="1">
      <c r="A588" t="str">
        <f t="shared" si="18"/>
        <v>J</v>
      </c>
      <c r="B588" t="str">
        <f t="shared" si="19"/>
        <v>J5</v>
      </c>
      <c r="C588" s="568" t="s">
        <v>1982</v>
      </c>
      <c r="D588" s="568" t="s">
        <v>1626</v>
      </c>
      <c r="E588" s="569" t="s">
        <v>1761</v>
      </c>
      <c r="F588" t="s">
        <v>1616</v>
      </c>
      <c r="G588" t="s">
        <v>247</v>
      </c>
      <c r="H588">
        <v>2</v>
      </c>
      <c r="I588" t="s">
        <v>1604</v>
      </c>
      <c r="J588" t="s">
        <v>1605</v>
      </c>
      <c r="K588" t="s">
        <v>1606</v>
      </c>
    </row>
    <row r="589" spans="1:11" hidden="1">
      <c r="A589" t="str">
        <f t="shared" si="18"/>
        <v>J</v>
      </c>
      <c r="B589" t="str">
        <f t="shared" si="19"/>
        <v>J5</v>
      </c>
      <c r="C589" s="568" t="s">
        <v>1983</v>
      </c>
      <c r="D589" s="568" t="s">
        <v>1662</v>
      </c>
      <c r="E589" s="569" t="s">
        <v>1765</v>
      </c>
      <c r="F589" t="s">
        <v>1629</v>
      </c>
      <c r="G589" t="s">
        <v>247</v>
      </c>
      <c r="H589">
        <v>2</v>
      </c>
      <c r="I589" t="s">
        <v>1604</v>
      </c>
      <c r="J589" t="s">
        <v>1605</v>
      </c>
      <c r="K589" t="s">
        <v>1606</v>
      </c>
    </row>
    <row r="590" spans="1:11" hidden="1">
      <c r="A590" t="str">
        <f t="shared" si="18"/>
        <v>J</v>
      </c>
      <c r="B590" t="str">
        <f t="shared" si="19"/>
        <v>J6</v>
      </c>
      <c r="C590" s="568" t="s">
        <v>1984</v>
      </c>
      <c r="D590" s="568" t="s">
        <v>1626</v>
      </c>
      <c r="E590" s="569" t="s">
        <v>1765</v>
      </c>
      <c r="F590" t="s">
        <v>1629</v>
      </c>
      <c r="G590" t="s">
        <v>247</v>
      </c>
      <c r="H590">
        <v>2</v>
      </c>
      <c r="I590" t="s">
        <v>1604</v>
      </c>
      <c r="J590" t="s">
        <v>1605</v>
      </c>
      <c r="K590" t="s">
        <v>1606</v>
      </c>
    </row>
    <row r="591" spans="1:11" hidden="1">
      <c r="A591" t="str">
        <f t="shared" si="18"/>
        <v>J</v>
      </c>
      <c r="B591" t="str">
        <f t="shared" si="19"/>
        <v>J6</v>
      </c>
      <c r="C591" s="568" t="s">
        <v>1985</v>
      </c>
      <c r="D591" s="568" t="s">
        <v>1626</v>
      </c>
      <c r="E591" s="569" t="s">
        <v>1761</v>
      </c>
      <c r="F591" t="s">
        <v>1616</v>
      </c>
      <c r="G591" t="s">
        <v>247</v>
      </c>
      <c r="H591">
        <v>2</v>
      </c>
      <c r="I591" t="s">
        <v>1604</v>
      </c>
      <c r="J591" t="s">
        <v>1605</v>
      </c>
      <c r="K591" t="s">
        <v>1606</v>
      </c>
    </row>
    <row r="592" spans="1:11" hidden="1">
      <c r="A592" t="str">
        <f t="shared" si="18"/>
        <v>J</v>
      </c>
      <c r="B592" t="str">
        <f t="shared" si="19"/>
        <v>J6</v>
      </c>
      <c r="C592" s="568" t="s">
        <v>1986</v>
      </c>
      <c r="D592" s="568" t="s">
        <v>1624</v>
      </c>
      <c r="E592" s="569" t="s">
        <v>1793</v>
      </c>
      <c r="F592" t="s">
        <v>1616</v>
      </c>
      <c r="G592" t="s">
        <v>247</v>
      </c>
      <c r="H592">
        <v>2</v>
      </c>
      <c r="I592" t="s">
        <v>1604</v>
      </c>
      <c r="J592" t="s">
        <v>1605</v>
      </c>
      <c r="K592" t="s">
        <v>1606</v>
      </c>
    </row>
    <row r="593" spans="1:11" hidden="1">
      <c r="A593" t="str">
        <f t="shared" si="18"/>
        <v>J</v>
      </c>
      <c r="B593" t="str">
        <f t="shared" si="19"/>
        <v>J6</v>
      </c>
      <c r="C593" s="568" t="s">
        <v>1987</v>
      </c>
      <c r="D593" s="568" t="s">
        <v>1659</v>
      </c>
      <c r="E593" s="569" t="s">
        <v>1793</v>
      </c>
      <c r="F593" t="s">
        <v>1618</v>
      </c>
      <c r="G593" t="s">
        <v>247</v>
      </c>
      <c r="H593">
        <v>2</v>
      </c>
      <c r="I593" t="s">
        <v>1604</v>
      </c>
      <c r="J593" t="s">
        <v>1605</v>
      </c>
      <c r="K593" t="s">
        <v>1606</v>
      </c>
    </row>
    <row r="594" spans="1:11" hidden="1">
      <c r="A594" t="str">
        <f t="shared" si="18"/>
        <v>J</v>
      </c>
      <c r="B594" t="str">
        <f t="shared" si="19"/>
        <v>J6</v>
      </c>
      <c r="C594" s="568" t="s">
        <v>1988</v>
      </c>
      <c r="D594" s="568" t="s">
        <v>1624</v>
      </c>
      <c r="E594" s="569" t="s">
        <v>1763</v>
      </c>
      <c r="F594" t="s">
        <v>1618</v>
      </c>
      <c r="G594" t="s">
        <v>247</v>
      </c>
      <c r="H594">
        <v>2</v>
      </c>
      <c r="I594" t="s">
        <v>1604</v>
      </c>
      <c r="J594" t="s">
        <v>1605</v>
      </c>
      <c r="K594" t="s">
        <v>1606</v>
      </c>
    </row>
    <row r="595" spans="1:11" hidden="1">
      <c r="A595" t="str">
        <f t="shared" si="18"/>
        <v>J</v>
      </c>
      <c r="B595" t="str">
        <f t="shared" si="19"/>
        <v>J6</v>
      </c>
      <c r="C595" s="568" t="s">
        <v>1989</v>
      </c>
      <c r="D595" s="568" t="s">
        <v>1626</v>
      </c>
      <c r="E595" s="569" t="s">
        <v>1763</v>
      </c>
      <c r="F595" t="s">
        <v>1618</v>
      </c>
      <c r="G595" t="s">
        <v>247</v>
      </c>
      <c r="H595">
        <v>2</v>
      </c>
      <c r="I595" t="s">
        <v>1604</v>
      </c>
      <c r="J595" t="s">
        <v>1605</v>
      </c>
      <c r="K595" t="s">
        <v>1606</v>
      </c>
    </row>
    <row r="596" spans="1:11" hidden="1">
      <c r="A596" t="str">
        <f t="shared" si="18"/>
        <v>J</v>
      </c>
      <c r="B596" t="str">
        <f t="shared" si="19"/>
        <v>J6</v>
      </c>
      <c r="C596" s="568" t="s">
        <v>1990</v>
      </c>
      <c r="D596" s="568" t="s">
        <v>1659</v>
      </c>
      <c r="E596" s="569" t="s">
        <v>1765</v>
      </c>
      <c r="F596" t="s">
        <v>1618</v>
      </c>
      <c r="G596" t="s">
        <v>247</v>
      </c>
      <c r="H596">
        <v>2</v>
      </c>
      <c r="I596" t="s">
        <v>1604</v>
      </c>
      <c r="J596" t="s">
        <v>1605</v>
      </c>
      <c r="K596" t="s">
        <v>1606</v>
      </c>
    </row>
    <row r="597" spans="1:11" hidden="1">
      <c r="A597" t="str">
        <f t="shared" si="18"/>
        <v>J</v>
      </c>
      <c r="B597" t="str">
        <f t="shared" si="19"/>
        <v>J6</v>
      </c>
      <c r="C597" s="568" t="s">
        <v>1991</v>
      </c>
      <c r="D597" s="568" t="s">
        <v>1659</v>
      </c>
      <c r="E597" s="569" t="s">
        <v>1765</v>
      </c>
      <c r="F597" t="s">
        <v>1603</v>
      </c>
      <c r="G597" t="s">
        <v>247</v>
      </c>
      <c r="H597">
        <v>2</v>
      </c>
      <c r="I597" t="s">
        <v>1604</v>
      </c>
      <c r="J597" t="s">
        <v>1605</v>
      </c>
      <c r="K597" t="s">
        <v>1606</v>
      </c>
    </row>
    <row r="598" spans="1:11" hidden="1">
      <c r="A598" t="str">
        <f t="shared" si="18"/>
        <v>J</v>
      </c>
      <c r="B598" t="str">
        <f t="shared" si="19"/>
        <v>J6</v>
      </c>
      <c r="C598" s="568" t="s">
        <v>1992</v>
      </c>
      <c r="D598" s="568" t="s">
        <v>1638</v>
      </c>
      <c r="E598" s="569" t="s">
        <v>1765</v>
      </c>
      <c r="F598" t="s">
        <v>1629</v>
      </c>
      <c r="G598" t="s">
        <v>247</v>
      </c>
      <c r="H598">
        <v>2</v>
      </c>
      <c r="I598" t="s">
        <v>1604</v>
      </c>
      <c r="J598" t="s">
        <v>1605</v>
      </c>
      <c r="K598" t="s">
        <v>1606</v>
      </c>
    </row>
    <row r="599" spans="1:11" hidden="1">
      <c r="A599" t="str">
        <f t="shared" si="18"/>
        <v>J</v>
      </c>
      <c r="B599" t="str">
        <f t="shared" si="19"/>
        <v>J6</v>
      </c>
      <c r="C599" s="568" t="s">
        <v>1993</v>
      </c>
      <c r="D599" s="568" t="s">
        <v>1662</v>
      </c>
      <c r="E599" s="569" t="s">
        <v>1765</v>
      </c>
      <c r="F599" t="s">
        <v>1618</v>
      </c>
      <c r="G599" t="s">
        <v>247</v>
      </c>
      <c r="H599">
        <v>2</v>
      </c>
      <c r="I599" t="s">
        <v>1604</v>
      </c>
      <c r="J599" t="s">
        <v>1605</v>
      </c>
      <c r="K599" t="s">
        <v>1606</v>
      </c>
    </row>
    <row r="600" spans="1:11" hidden="1">
      <c r="A600" t="str">
        <f t="shared" si="18"/>
        <v>J</v>
      </c>
      <c r="B600" t="str">
        <f t="shared" si="19"/>
        <v>J6</v>
      </c>
      <c r="C600" s="568" t="s">
        <v>1994</v>
      </c>
      <c r="D600" s="568" t="s">
        <v>1638</v>
      </c>
      <c r="E600" s="569" t="s">
        <v>1765</v>
      </c>
      <c r="F600" t="s">
        <v>1618</v>
      </c>
      <c r="G600" t="s">
        <v>247</v>
      </c>
      <c r="H600">
        <v>2</v>
      </c>
      <c r="I600" t="s">
        <v>1604</v>
      </c>
      <c r="J600" t="s">
        <v>1605</v>
      </c>
      <c r="K600" t="s">
        <v>1606</v>
      </c>
    </row>
    <row r="601" spans="1:11" hidden="1">
      <c r="A601" t="str">
        <f t="shared" si="18"/>
        <v>J</v>
      </c>
      <c r="B601" t="str">
        <f t="shared" si="19"/>
        <v>J6</v>
      </c>
      <c r="C601" s="568" t="s">
        <v>1995</v>
      </c>
      <c r="D601" s="568" t="s">
        <v>1624</v>
      </c>
      <c r="E601" s="569" t="s">
        <v>1765</v>
      </c>
      <c r="F601" t="s">
        <v>1618</v>
      </c>
      <c r="G601" t="s">
        <v>247</v>
      </c>
      <c r="H601">
        <v>2</v>
      </c>
      <c r="I601" t="s">
        <v>1604</v>
      </c>
      <c r="J601" t="s">
        <v>1605</v>
      </c>
      <c r="K601" t="s">
        <v>1606</v>
      </c>
    </row>
    <row r="602" spans="1:11" hidden="1">
      <c r="A602" t="str">
        <f t="shared" si="18"/>
        <v>J</v>
      </c>
      <c r="B602" t="str">
        <f t="shared" si="19"/>
        <v>J6</v>
      </c>
      <c r="C602" s="568" t="s">
        <v>1996</v>
      </c>
      <c r="D602" s="568" t="s">
        <v>1662</v>
      </c>
      <c r="E602" s="569" t="s">
        <v>1763</v>
      </c>
      <c r="F602" t="s">
        <v>1618</v>
      </c>
      <c r="G602" t="s">
        <v>247</v>
      </c>
      <c r="H602">
        <v>2</v>
      </c>
      <c r="I602" t="s">
        <v>1604</v>
      </c>
      <c r="J602" t="s">
        <v>1605</v>
      </c>
      <c r="K602" t="s">
        <v>1606</v>
      </c>
    </row>
    <row r="603" spans="1:11" hidden="1">
      <c r="A603" t="str">
        <f t="shared" si="18"/>
        <v>J</v>
      </c>
      <c r="B603" t="str">
        <f t="shared" si="19"/>
        <v>J7</v>
      </c>
      <c r="C603" s="568" t="s">
        <v>1997</v>
      </c>
      <c r="D603" s="568" t="s">
        <v>1659</v>
      </c>
      <c r="E603" s="569" t="s">
        <v>1765</v>
      </c>
      <c r="F603" t="s">
        <v>1618</v>
      </c>
      <c r="G603" t="s">
        <v>247</v>
      </c>
      <c r="H603">
        <v>2</v>
      </c>
      <c r="I603" t="s">
        <v>1604</v>
      </c>
      <c r="J603" t="s">
        <v>1605</v>
      </c>
      <c r="K603" t="s">
        <v>1606</v>
      </c>
    </row>
    <row r="604" spans="1:11" hidden="1">
      <c r="A604" t="str">
        <f t="shared" si="18"/>
        <v>J</v>
      </c>
      <c r="B604" t="str">
        <f t="shared" si="19"/>
        <v>J7</v>
      </c>
      <c r="C604" s="568" t="s">
        <v>1998</v>
      </c>
      <c r="D604" s="568" t="s">
        <v>1626</v>
      </c>
      <c r="E604" s="569" t="s">
        <v>1763</v>
      </c>
      <c r="F604" t="s">
        <v>1618</v>
      </c>
      <c r="G604" t="s">
        <v>247</v>
      </c>
      <c r="H604">
        <v>2</v>
      </c>
      <c r="I604" t="s">
        <v>1604</v>
      </c>
      <c r="J604" t="s">
        <v>1605</v>
      </c>
      <c r="K604" t="s">
        <v>1606</v>
      </c>
    </row>
    <row r="605" spans="1:11" hidden="1">
      <c r="A605" t="str">
        <f t="shared" si="18"/>
        <v>J</v>
      </c>
      <c r="B605" t="str">
        <f t="shared" si="19"/>
        <v>J7</v>
      </c>
      <c r="C605" s="568" t="s">
        <v>1999</v>
      </c>
      <c r="D605" s="568" t="s">
        <v>1659</v>
      </c>
      <c r="E605" s="569" t="s">
        <v>1765</v>
      </c>
      <c r="F605" t="s">
        <v>1629</v>
      </c>
      <c r="G605" t="s">
        <v>247</v>
      </c>
      <c r="H605">
        <v>2</v>
      </c>
      <c r="I605" t="s">
        <v>1604</v>
      </c>
      <c r="J605" t="s">
        <v>1605</v>
      </c>
      <c r="K605" t="s">
        <v>1606</v>
      </c>
    </row>
    <row r="606" spans="1:11" hidden="1">
      <c r="A606" t="str">
        <f t="shared" si="18"/>
        <v>J</v>
      </c>
      <c r="B606" t="str">
        <f t="shared" si="19"/>
        <v>J7</v>
      </c>
      <c r="C606" s="568" t="s">
        <v>2000</v>
      </c>
      <c r="D606" s="568" t="s">
        <v>1638</v>
      </c>
      <c r="E606" s="569" t="s">
        <v>1763</v>
      </c>
      <c r="F606" t="s">
        <v>1618</v>
      </c>
      <c r="G606" t="s">
        <v>247</v>
      </c>
      <c r="H606">
        <v>2</v>
      </c>
      <c r="I606" t="s">
        <v>1604</v>
      </c>
      <c r="J606" t="s">
        <v>1605</v>
      </c>
      <c r="K606" t="s">
        <v>1606</v>
      </c>
    </row>
    <row r="607" spans="1:11" hidden="1">
      <c r="A607" t="str">
        <f t="shared" si="18"/>
        <v>J</v>
      </c>
      <c r="B607" t="str">
        <f t="shared" si="19"/>
        <v>J7</v>
      </c>
      <c r="C607" s="568" t="s">
        <v>2001</v>
      </c>
      <c r="D607" s="568" t="s">
        <v>1659</v>
      </c>
      <c r="E607" s="569" t="s">
        <v>1765</v>
      </c>
      <c r="F607" t="s">
        <v>1618</v>
      </c>
      <c r="G607" t="s">
        <v>247</v>
      </c>
      <c r="H607">
        <v>2</v>
      </c>
      <c r="I607" t="s">
        <v>1604</v>
      </c>
      <c r="J607" t="s">
        <v>1605</v>
      </c>
      <c r="K607" t="s">
        <v>1606</v>
      </c>
    </row>
    <row r="608" spans="1:11" hidden="1">
      <c r="A608" t="str">
        <f t="shared" si="18"/>
        <v>J</v>
      </c>
      <c r="B608" t="str">
        <f t="shared" si="19"/>
        <v>J7</v>
      </c>
      <c r="C608" s="568" t="s">
        <v>2002</v>
      </c>
      <c r="D608" s="568" t="s">
        <v>1636</v>
      </c>
      <c r="E608" s="569" t="s">
        <v>1765</v>
      </c>
      <c r="F608" t="s">
        <v>1618</v>
      </c>
      <c r="G608" t="s">
        <v>247</v>
      </c>
      <c r="H608">
        <v>2</v>
      </c>
      <c r="I608" t="s">
        <v>1604</v>
      </c>
      <c r="J608" t="s">
        <v>1605</v>
      </c>
      <c r="K608" t="s">
        <v>1606</v>
      </c>
    </row>
    <row r="609" spans="1:11" hidden="1">
      <c r="A609" t="str">
        <f t="shared" si="18"/>
        <v>J</v>
      </c>
      <c r="B609" t="str">
        <f t="shared" si="19"/>
        <v>J7</v>
      </c>
      <c r="C609" s="568" t="s">
        <v>2003</v>
      </c>
      <c r="D609" s="568" t="s">
        <v>1659</v>
      </c>
      <c r="E609" s="569" t="s">
        <v>1765</v>
      </c>
      <c r="F609" t="s">
        <v>1629</v>
      </c>
      <c r="G609" t="s">
        <v>247</v>
      </c>
      <c r="H609">
        <v>2</v>
      </c>
      <c r="I609" t="s">
        <v>1604</v>
      </c>
      <c r="J609" t="s">
        <v>1605</v>
      </c>
      <c r="K609" t="s">
        <v>1606</v>
      </c>
    </row>
    <row r="610" spans="1:11" hidden="1">
      <c r="A610" t="str">
        <f t="shared" si="18"/>
        <v>J</v>
      </c>
      <c r="B610" t="str">
        <f t="shared" si="19"/>
        <v>J7</v>
      </c>
      <c r="C610" s="568" t="s">
        <v>2004</v>
      </c>
      <c r="D610" s="568" t="s">
        <v>1662</v>
      </c>
      <c r="E610" s="569" t="s">
        <v>1765</v>
      </c>
      <c r="F610" t="s">
        <v>1618</v>
      </c>
      <c r="G610" t="s">
        <v>247</v>
      </c>
      <c r="H610">
        <v>2</v>
      </c>
      <c r="I610" t="s">
        <v>1604</v>
      </c>
      <c r="J610" t="s">
        <v>1605</v>
      </c>
      <c r="K610" t="s">
        <v>1606</v>
      </c>
    </row>
    <row r="611" spans="1:11" hidden="1">
      <c r="A611" t="str">
        <f t="shared" si="18"/>
        <v>J</v>
      </c>
      <c r="B611" t="str">
        <f t="shared" si="19"/>
        <v>J7</v>
      </c>
      <c r="C611" s="568" t="s">
        <v>2005</v>
      </c>
      <c r="D611" s="568" t="s">
        <v>1662</v>
      </c>
      <c r="E611" s="569" t="s">
        <v>1765</v>
      </c>
      <c r="F611" t="s">
        <v>1629</v>
      </c>
      <c r="G611" t="s">
        <v>247</v>
      </c>
      <c r="H611">
        <v>2</v>
      </c>
      <c r="I611" t="s">
        <v>1604</v>
      </c>
      <c r="J611" t="s">
        <v>1605</v>
      </c>
      <c r="K611" t="s">
        <v>1606</v>
      </c>
    </row>
    <row r="612" spans="1:11" hidden="1">
      <c r="A612" t="str">
        <f t="shared" si="18"/>
        <v>J</v>
      </c>
      <c r="B612" t="str">
        <f t="shared" si="19"/>
        <v>J7</v>
      </c>
      <c r="C612" s="568" t="s">
        <v>2006</v>
      </c>
      <c r="D612" s="568" t="s">
        <v>1638</v>
      </c>
      <c r="E612" s="569">
        <v>16</v>
      </c>
      <c r="F612" t="s">
        <v>1629</v>
      </c>
      <c r="G612" t="s">
        <v>247</v>
      </c>
      <c r="H612">
        <v>2</v>
      </c>
      <c r="I612" t="s">
        <v>1604</v>
      </c>
      <c r="J612" t="s">
        <v>1605</v>
      </c>
      <c r="K612" t="s">
        <v>1606</v>
      </c>
    </row>
    <row r="613" spans="1:11" hidden="1">
      <c r="A613" t="str">
        <f t="shared" si="18"/>
        <v>J</v>
      </c>
      <c r="B613" t="str">
        <f t="shared" si="19"/>
        <v>J7</v>
      </c>
      <c r="C613" s="568" t="s">
        <v>2007</v>
      </c>
      <c r="D613" s="568" t="s">
        <v>1626</v>
      </c>
      <c r="E613" s="569" t="s">
        <v>1765</v>
      </c>
      <c r="F613" t="s">
        <v>1629</v>
      </c>
      <c r="G613" t="s">
        <v>247</v>
      </c>
      <c r="H613">
        <v>2</v>
      </c>
      <c r="I613" t="s">
        <v>1604</v>
      </c>
      <c r="J613" t="s">
        <v>1605</v>
      </c>
      <c r="K613" t="s">
        <v>1606</v>
      </c>
    </row>
    <row r="614" spans="1:11" hidden="1">
      <c r="A614" t="str">
        <f t="shared" si="18"/>
        <v>J</v>
      </c>
      <c r="B614" t="str">
        <f t="shared" si="19"/>
        <v>J7</v>
      </c>
      <c r="C614" s="568" t="s">
        <v>2008</v>
      </c>
      <c r="D614" s="568" t="s">
        <v>1659</v>
      </c>
      <c r="E614" s="569" t="s">
        <v>1763</v>
      </c>
      <c r="F614" t="s">
        <v>1618</v>
      </c>
      <c r="G614" t="s">
        <v>247</v>
      </c>
      <c r="H614">
        <v>2</v>
      </c>
      <c r="I614" t="s">
        <v>1604</v>
      </c>
      <c r="J614" t="s">
        <v>1605</v>
      </c>
      <c r="K614" t="s">
        <v>1606</v>
      </c>
    </row>
    <row r="615" spans="1:11" hidden="1">
      <c r="A615" t="str">
        <f t="shared" si="18"/>
        <v>J</v>
      </c>
      <c r="B615" t="str">
        <f t="shared" si="19"/>
        <v>J7</v>
      </c>
      <c r="C615" s="568" t="s">
        <v>2009</v>
      </c>
      <c r="D615" s="568" t="s">
        <v>1636</v>
      </c>
      <c r="E615" s="569" t="s">
        <v>1763</v>
      </c>
      <c r="F615" t="s">
        <v>1618</v>
      </c>
      <c r="G615" t="s">
        <v>247</v>
      </c>
      <c r="H615">
        <v>2</v>
      </c>
      <c r="I615" t="s">
        <v>1604</v>
      </c>
      <c r="J615" t="s">
        <v>1605</v>
      </c>
      <c r="K615" t="s">
        <v>1606</v>
      </c>
    </row>
    <row r="616" spans="1:11" hidden="1">
      <c r="A616" t="str">
        <f t="shared" si="18"/>
        <v>J</v>
      </c>
      <c r="B616" t="str">
        <f t="shared" si="19"/>
        <v>J7</v>
      </c>
      <c r="C616" s="568" t="s">
        <v>2010</v>
      </c>
      <c r="D616" s="568" t="s">
        <v>1626</v>
      </c>
      <c r="E616" s="569" t="s">
        <v>1765</v>
      </c>
      <c r="F616" t="s">
        <v>1618</v>
      </c>
      <c r="G616" t="s">
        <v>247</v>
      </c>
      <c r="H616">
        <v>2</v>
      </c>
      <c r="I616" t="s">
        <v>1604</v>
      </c>
      <c r="J616" t="s">
        <v>1605</v>
      </c>
      <c r="K616" t="s">
        <v>1606</v>
      </c>
    </row>
    <row r="617" spans="1:11" hidden="1">
      <c r="A617" t="str">
        <f t="shared" si="18"/>
        <v>J</v>
      </c>
      <c r="B617" t="str">
        <f t="shared" si="19"/>
        <v>J7</v>
      </c>
      <c r="C617" s="568" t="s">
        <v>2011</v>
      </c>
      <c r="D617" s="568" t="s">
        <v>1626</v>
      </c>
      <c r="E617" s="569" t="s">
        <v>1765</v>
      </c>
      <c r="F617" t="s">
        <v>1618</v>
      </c>
      <c r="G617" t="s">
        <v>247</v>
      </c>
      <c r="H617">
        <v>2</v>
      </c>
      <c r="I617" t="s">
        <v>1604</v>
      </c>
      <c r="J617" t="s">
        <v>1605</v>
      </c>
      <c r="K617" t="s">
        <v>1606</v>
      </c>
    </row>
    <row r="618" spans="1:11" hidden="1">
      <c r="A618" t="str">
        <f t="shared" si="18"/>
        <v>J</v>
      </c>
      <c r="B618" t="str">
        <f t="shared" si="19"/>
        <v>J7</v>
      </c>
      <c r="C618" s="575" t="s">
        <v>2012</v>
      </c>
      <c r="D618" s="575" t="s">
        <v>1626</v>
      </c>
      <c r="E618" s="576" t="s">
        <v>1761</v>
      </c>
      <c r="F618" t="s">
        <v>1616</v>
      </c>
      <c r="G618" t="s">
        <v>247</v>
      </c>
      <c r="H618">
        <v>2</v>
      </c>
      <c r="I618" t="s">
        <v>1604</v>
      </c>
      <c r="J618" t="s">
        <v>1605</v>
      </c>
      <c r="K618" t="s">
        <v>1606</v>
      </c>
    </row>
    <row r="619" spans="1:11" hidden="1">
      <c r="A619" t="str">
        <f t="shared" si="18"/>
        <v>J</v>
      </c>
      <c r="B619" t="str">
        <f t="shared" si="19"/>
        <v>J7</v>
      </c>
      <c r="C619" s="568" t="s">
        <v>2013</v>
      </c>
      <c r="D619" s="568" t="s">
        <v>1626</v>
      </c>
      <c r="E619" s="569" t="s">
        <v>1761</v>
      </c>
      <c r="F619" t="s">
        <v>1603</v>
      </c>
      <c r="G619" t="s">
        <v>247</v>
      </c>
      <c r="H619">
        <v>2</v>
      </c>
      <c r="I619" t="s">
        <v>1604</v>
      </c>
      <c r="J619" t="s">
        <v>1605</v>
      </c>
      <c r="K619" t="s">
        <v>1606</v>
      </c>
    </row>
    <row r="620" spans="1:11" hidden="1">
      <c r="A620" t="str">
        <f t="shared" si="18"/>
        <v>J</v>
      </c>
      <c r="B620" t="str">
        <f t="shared" si="19"/>
        <v>J7</v>
      </c>
      <c r="C620" s="568" t="s">
        <v>2014</v>
      </c>
      <c r="D620" s="568" t="s">
        <v>1636</v>
      </c>
      <c r="E620" s="569" t="s">
        <v>1761</v>
      </c>
      <c r="F620" t="s">
        <v>1616</v>
      </c>
      <c r="G620" t="s">
        <v>247</v>
      </c>
      <c r="H620">
        <v>2</v>
      </c>
      <c r="I620" t="s">
        <v>1604</v>
      </c>
      <c r="J620" t="s">
        <v>1605</v>
      </c>
      <c r="K620" t="s">
        <v>1606</v>
      </c>
    </row>
    <row r="621" spans="1:11" hidden="1">
      <c r="A621" t="str">
        <f t="shared" si="18"/>
        <v>J</v>
      </c>
      <c r="B621" t="str">
        <f t="shared" si="19"/>
        <v>J7</v>
      </c>
      <c r="C621" s="568" t="s">
        <v>2015</v>
      </c>
      <c r="D621" s="568" t="s">
        <v>1659</v>
      </c>
      <c r="E621" s="569" t="s">
        <v>1761</v>
      </c>
      <c r="F621" t="s">
        <v>1609</v>
      </c>
      <c r="G621" t="s">
        <v>247</v>
      </c>
      <c r="H621">
        <v>2</v>
      </c>
      <c r="I621" t="s">
        <v>1604</v>
      </c>
      <c r="J621" t="s">
        <v>1605</v>
      </c>
      <c r="K621" t="s">
        <v>1606</v>
      </c>
    </row>
    <row r="622" spans="1:11" hidden="1">
      <c r="A622" t="str">
        <f t="shared" si="18"/>
        <v>J</v>
      </c>
      <c r="B622" t="str">
        <f t="shared" si="19"/>
        <v>J8</v>
      </c>
      <c r="C622" s="568" t="s">
        <v>2016</v>
      </c>
      <c r="D622" s="568" t="s">
        <v>1634</v>
      </c>
      <c r="E622" s="569">
        <v>16</v>
      </c>
      <c r="F622" t="s">
        <v>1609</v>
      </c>
      <c r="G622" t="s">
        <v>247</v>
      </c>
      <c r="H622">
        <v>1</v>
      </c>
      <c r="I622" t="s">
        <v>1604</v>
      </c>
      <c r="J622" t="s">
        <v>1605</v>
      </c>
      <c r="K622" t="s">
        <v>1606</v>
      </c>
    </row>
    <row r="623" spans="1:11" hidden="1">
      <c r="A623" t="str">
        <f t="shared" si="18"/>
        <v>J</v>
      </c>
      <c r="B623" t="str">
        <f t="shared" si="19"/>
        <v>J8</v>
      </c>
      <c r="C623" s="568" t="s">
        <v>2017</v>
      </c>
      <c r="D623" s="568" t="s">
        <v>1634</v>
      </c>
      <c r="E623" s="569">
        <v>16</v>
      </c>
      <c r="F623" t="s">
        <v>1609</v>
      </c>
      <c r="G623" t="s">
        <v>247</v>
      </c>
      <c r="H623">
        <v>1</v>
      </c>
      <c r="I623" t="s">
        <v>1604</v>
      </c>
      <c r="J623" t="s">
        <v>1605</v>
      </c>
      <c r="K623" t="s">
        <v>1606</v>
      </c>
    </row>
    <row r="624" spans="1:11" hidden="1">
      <c r="A624" t="str">
        <f t="shared" si="18"/>
        <v>J</v>
      </c>
      <c r="B624" t="str">
        <f t="shared" si="19"/>
        <v>J8</v>
      </c>
      <c r="C624" s="568" t="s">
        <v>2018</v>
      </c>
      <c r="D624" s="568" t="s">
        <v>1634</v>
      </c>
      <c r="E624" s="569">
        <v>16</v>
      </c>
      <c r="F624" t="s">
        <v>1609</v>
      </c>
      <c r="G624" t="s">
        <v>247</v>
      </c>
      <c r="H624">
        <v>1</v>
      </c>
      <c r="I624" t="s">
        <v>1604</v>
      </c>
      <c r="J624" t="s">
        <v>1605</v>
      </c>
      <c r="K624" t="s">
        <v>1606</v>
      </c>
    </row>
    <row r="625" spans="1:11" hidden="1">
      <c r="A625" t="str">
        <f t="shared" si="18"/>
        <v>J</v>
      </c>
      <c r="B625" t="str">
        <f t="shared" si="19"/>
        <v>J8</v>
      </c>
      <c r="C625" s="568" t="s">
        <v>2019</v>
      </c>
      <c r="D625" s="568" t="s">
        <v>1634</v>
      </c>
      <c r="E625" s="569">
        <v>16</v>
      </c>
      <c r="F625" t="s">
        <v>1609</v>
      </c>
      <c r="G625" t="s">
        <v>247</v>
      </c>
      <c r="H625">
        <v>1</v>
      </c>
      <c r="I625" t="s">
        <v>1604</v>
      </c>
      <c r="J625" t="s">
        <v>1605</v>
      </c>
      <c r="K625" t="s">
        <v>1606</v>
      </c>
    </row>
    <row r="626" spans="1:11" hidden="1">
      <c r="A626" t="str">
        <f t="shared" si="18"/>
        <v>J</v>
      </c>
      <c r="B626" t="str">
        <f t="shared" si="19"/>
        <v>J8</v>
      </c>
      <c r="C626" s="568" t="s">
        <v>2020</v>
      </c>
      <c r="D626" s="568" t="s">
        <v>1631</v>
      </c>
      <c r="E626" s="569">
        <v>16</v>
      </c>
      <c r="F626" t="s">
        <v>1629</v>
      </c>
      <c r="G626" t="s">
        <v>247</v>
      </c>
      <c r="H626">
        <v>1</v>
      </c>
      <c r="I626" t="s">
        <v>1604</v>
      </c>
      <c r="J626" t="s">
        <v>1605</v>
      </c>
      <c r="K626" t="s">
        <v>1606</v>
      </c>
    </row>
    <row r="627" spans="1:11" hidden="1">
      <c r="A627" t="str">
        <f t="shared" si="18"/>
        <v>J</v>
      </c>
      <c r="B627" t="str">
        <f t="shared" si="19"/>
        <v>J8</v>
      </c>
      <c r="C627" s="568" t="s">
        <v>2021</v>
      </c>
      <c r="D627" s="568" t="s">
        <v>1631</v>
      </c>
      <c r="E627" s="569" t="s">
        <v>1761</v>
      </c>
      <c r="F627" t="s">
        <v>1618</v>
      </c>
      <c r="G627" t="s">
        <v>247</v>
      </c>
      <c r="H627">
        <v>1</v>
      </c>
      <c r="I627" t="s">
        <v>1604</v>
      </c>
      <c r="J627" t="s">
        <v>1605</v>
      </c>
      <c r="K627" t="s">
        <v>1606</v>
      </c>
    </row>
    <row r="628" spans="1:11" hidden="1">
      <c r="A628" t="str">
        <f t="shared" si="18"/>
        <v>J</v>
      </c>
      <c r="B628" t="str">
        <f t="shared" si="19"/>
        <v>J8</v>
      </c>
      <c r="C628" s="568" t="s">
        <v>2022</v>
      </c>
      <c r="D628" s="568" t="s">
        <v>1631</v>
      </c>
      <c r="E628" s="569">
        <v>16</v>
      </c>
      <c r="F628" t="s">
        <v>1609</v>
      </c>
      <c r="G628" t="s">
        <v>247</v>
      </c>
      <c r="H628">
        <v>1</v>
      </c>
      <c r="I628" t="s">
        <v>1604</v>
      </c>
      <c r="J628" t="s">
        <v>1605</v>
      </c>
      <c r="K628" t="s">
        <v>1606</v>
      </c>
    </row>
    <row r="629" spans="1:11" hidden="1">
      <c r="A629" t="str">
        <f t="shared" si="18"/>
        <v>J</v>
      </c>
      <c r="B629" t="str">
        <f t="shared" si="19"/>
        <v>J8</v>
      </c>
      <c r="C629" s="568" t="s">
        <v>2023</v>
      </c>
      <c r="D629" s="568" t="s">
        <v>1631</v>
      </c>
      <c r="E629" s="569">
        <v>16</v>
      </c>
      <c r="F629" t="s">
        <v>1616</v>
      </c>
      <c r="G629" t="s">
        <v>247</v>
      </c>
      <c r="H629">
        <v>1</v>
      </c>
      <c r="I629" t="s">
        <v>1604</v>
      </c>
      <c r="J629" t="s">
        <v>1605</v>
      </c>
      <c r="K629" t="s">
        <v>1606</v>
      </c>
    </row>
    <row r="630" spans="1:11" hidden="1">
      <c r="A630" t="str">
        <f t="shared" si="18"/>
        <v>J</v>
      </c>
      <c r="B630" t="str">
        <f t="shared" si="19"/>
        <v>J8</v>
      </c>
      <c r="C630" s="568" t="s">
        <v>2024</v>
      </c>
      <c r="D630" s="568" t="s">
        <v>1614</v>
      </c>
      <c r="E630" s="569">
        <v>16</v>
      </c>
      <c r="F630" t="s">
        <v>1609</v>
      </c>
      <c r="G630" t="s">
        <v>247</v>
      </c>
      <c r="H630">
        <v>1</v>
      </c>
      <c r="I630" t="s">
        <v>1604</v>
      </c>
      <c r="J630" t="s">
        <v>1605</v>
      </c>
      <c r="K630" t="s">
        <v>1606</v>
      </c>
    </row>
    <row r="631" spans="1:11" hidden="1">
      <c r="A631" t="str">
        <f t="shared" si="18"/>
        <v>J</v>
      </c>
      <c r="B631" t="str">
        <f t="shared" si="19"/>
        <v>J8</v>
      </c>
      <c r="C631" s="568" t="s">
        <v>2025</v>
      </c>
      <c r="D631" s="568" t="s">
        <v>1634</v>
      </c>
      <c r="E631" s="569">
        <v>16</v>
      </c>
      <c r="F631" t="s">
        <v>1629</v>
      </c>
      <c r="G631" t="s">
        <v>247</v>
      </c>
      <c r="H631">
        <v>1</v>
      </c>
      <c r="I631" t="s">
        <v>1604</v>
      </c>
      <c r="J631" t="s">
        <v>1605</v>
      </c>
      <c r="K631" t="s">
        <v>1606</v>
      </c>
    </row>
    <row r="632" spans="1:11" hidden="1">
      <c r="A632" t="str">
        <f t="shared" si="18"/>
        <v>J</v>
      </c>
      <c r="B632" t="str">
        <f t="shared" si="19"/>
        <v>J8</v>
      </c>
      <c r="C632" s="568" t="s">
        <v>2026</v>
      </c>
      <c r="D632" s="568" t="s">
        <v>1614</v>
      </c>
      <c r="E632" s="569">
        <v>16</v>
      </c>
      <c r="F632" t="s">
        <v>1629</v>
      </c>
      <c r="G632" t="s">
        <v>247</v>
      </c>
      <c r="H632">
        <v>1</v>
      </c>
      <c r="I632" t="s">
        <v>1604</v>
      </c>
      <c r="J632" t="s">
        <v>1605</v>
      </c>
      <c r="K632" t="s">
        <v>1606</v>
      </c>
    </row>
    <row r="633" spans="1:11" hidden="1">
      <c r="A633" t="str">
        <f t="shared" si="18"/>
        <v>J</v>
      </c>
      <c r="B633" t="str">
        <f t="shared" si="19"/>
        <v>J8</v>
      </c>
      <c r="C633" s="568" t="s">
        <v>2027</v>
      </c>
      <c r="D633" s="568" t="s">
        <v>1634</v>
      </c>
      <c r="E633" s="569">
        <v>16</v>
      </c>
      <c r="F633" t="s">
        <v>1629</v>
      </c>
      <c r="G633" t="s">
        <v>247</v>
      </c>
      <c r="H633">
        <v>1</v>
      </c>
      <c r="I633" t="s">
        <v>1604</v>
      </c>
      <c r="J633" t="s">
        <v>1605</v>
      </c>
      <c r="K633" t="s">
        <v>1606</v>
      </c>
    </row>
    <row r="634" spans="1:11" hidden="1">
      <c r="A634" t="str">
        <f t="shared" si="18"/>
        <v>J</v>
      </c>
      <c r="B634" t="str">
        <f t="shared" si="19"/>
        <v>J8</v>
      </c>
      <c r="C634" s="568" t="s">
        <v>2028</v>
      </c>
      <c r="D634" s="568" t="s">
        <v>1614</v>
      </c>
      <c r="E634" s="569">
        <v>16</v>
      </c>
      <c r="F634" t="s">
        <v>1629</v>
      </c>
      <c r="G634" t="s">
        <v>247</v>
      </c>
      <c r="H634">
        <v>1</v>
      </c>
      <c r="I634" t="s">
        <v>1604</v>
      </c>
      <c r="J634" t="s">
        <v>1605</v>
      </c>
      <c r="K634" t="s">
        <v>1606</v>
      </c>
    </row>
    <row r="635" spans="1:11" hidden="1">
      <c r="A635" t="str">
        <f t="shared" si="18"/>
        <v>J</v>
      </c>
      <c r="B635" t="str">
        <f t="shared" si="19"/>
        <v>J8</v>
      </c>
      <c r="C635" s="568" t="s">
        <v>2029</v>
      </c>
      <c r="D635" s="568" t="s">
        <v>1634</v>
      </c>
      <c r="E635" s="569">
        <v>16</v>
      </c>
      <c r="F635" t="s">
        <v>1616</v>
      </c>
      <c r="G635" t="s">
        <v>247</v>
      </c>
      <c r="H635">
        <v>1</v>
      </c>
      <c r="I635" t="s">
        <v>1604</v>
      </c>
      <c r="J635" t="s">
        <v>1605</v>
      </c>
      <c r="K635" t="s">
        <v>1606</v>
      </c>
    </row>
    <row r="636" spans="1:11" hidden="1">
      <c r="A636" t="str">
        <f t="shared" si="18"/>
        <v>J</v>
      </c>
      <c r="B636" t="str">
        <f t="shared" si="19"/>
        <v>J8</v>
      </c>
      <c r="C636" s="568" t="s">
        <v>2030</v>
      </c>
      <c r="D636" s="568" t="s">
        <v>1614</v>
      </c>
      <c r="E636" s="569">
        <v>16</v>
      </c>
      <c r="F636" t="s">
        <v>1616</v>
      </c>
      <c r="G636" t="s">
        <v>247</v>
      </c>
      <c r="H636">
        <v>1</v>
      </c>
      <c r="I636" t="s">
        <v>1604</v>
      </c>
      <c r="J636" t="s">
        <v>1605</v>
      </c>
      <c r="K636" t="s">
        <v>1606</v>
      </c>
    </row>
    <row r="637" spans="1:11" hidden="1">
      <c r="A637" t="str">
        <f t="shared" si="18"/>
        <v>J</v>
      </c>
      <c r="B637" t="str">
        <f t="shared" si="19"/>
        <v>J8</v>
      </c>
      <c r="C637" s="568" t="s">
        <v>2031</v>
      </c>
      <c r="D637" s="568" t="s">
        <v>1614</v>
      </c>
      <c r="E637" s="569">
        <v>16</v>
      </c>
      <c r="F637" t="s">
        <v>1618</v>
      </c>
      <c r="G637" t="s">
        <v>247</v>
      </c>
      <c r="H637">
        <v>1</v>
      </c>
      <c r="I637" t="s">
        <v>1604</v>
      </c>
      <c r="J637" t="s">
        <v>1605</v>
      </c>
      <c r="K637" t="s">
        <v>1606</v>
      </c>
    </row>
    <row r="638" spans="1:11" hidden="1">
      <c r="A638" t="str">
        <f t="shared" si="18"/>
        <v>J</v>
      </c>
      <c r="B638" t="str">
        <f t="shared" si="19"/>
        <v>J9</v>
      </c>
      <c r="C638" s="568" t="s">
        <v>2032</v>
      </c>
      <c r="D638" s="568" t="s">
        <v>1614</v>
      </c>
      <c r="E638" s="569">
        <v>16</v>
      </c>
      <c r="F638" t="s">
        <v>1616</v>
      </c>
      <c r="G638" t="s">
        <v>247</v>
      </c>
      <c r="H638">
        <v>1</v>
      </c>
      <c r="I638" t="s">
        <v>1604</v>
      </c>
      <c r="J638" t="s">
        <v>1605</v>
      </c>
      <c r="K638" t="s">
        <v>1606</v>
      </c>
    </row>
    <row r="639" spans="1:11" hidden="1">
      <c r="A639" t="str">
        <f t="shared" si="18"/>
        <v>J</v>
      </c>
      <c r="B639" t="str">
        <f t="shared" si="19"/>
        <v>J9</v>
      </c>
      <c r="C639" s="568" t="s">
        <v>2033</v>
      </c>
      <c r="D639" s="568" t="s">
        <v>1614</v>
      </c>
      <c r="E639" s="569">
        <v>16</v>
      </c>
      <c r="F639" t="s">
        <v>1629</v>
      </c>
      <c r="G639" t="s">
        <v>247</v>
      </c>
      <c r="H639">
        <v>1</v>
      </c>
      <c r="I639" t="s">
        <v>1604</v>
      </c>
      <c r="J639" t="s">
        <v>1605</v>
      </c>
      <c r="K639" t="s">
        <v>1606</v>
      </c>
    </row>
    <row r="640" spans="1:11" hidden="1">
      <c r="A640" t="str">
        <f t="shared" si="18"/>
        <v>J</v>
      </c>
      <c r="B640" t="str">
        <f t="shared" si="19"/>
        <v>J9</v>
      </c>
      <c r="C640" s="568" t="s">
        <v>2034</v>
      </c>
      <c r="D640" s="568" t="s">
        <v>1614</v>
      </c>
      <c r="E640" s="569">
        <v>16</v>
      </c>
      <c r="F640" t="s">
        <v>1629</v>
      </c>
      <c r="G640" t="s">
        <v>247</v>
      </c>
      <c r="H640">
        <v>1</v>
      </c>
      <c r="I640" t="s">
        <v>1604</v>
      </c>
      <c r="J640" t="s">
        <v>1605</v>
      </c>
      <c r="K640" t="s">
        <v>1606</v>
      </c>
    </row>
    <row r="641" spans="1:11" hidden="1">
      <c r="A641" t="str">
        <f t="shared" si="18"/>
        <v>J</v>
      </c>
      <c r="B641" t="str">
        <f t="shared" si="19"/>
        <v>J9</v>
      </c>
      <c r="C641" s="568" t="s">
        <v>2035</v>
      </c>
      <c r="D641" s="568" t="s">
        <v>1614</v>
      </c>
      <c r="E641" s="569">
        <v>16</v>
      </c>
      <c r="F641" t="s">
        <v>1616</v>
      </c>
      <c r="G641" t="s">
        <v>247</v>
      </c>
      <c r="H641">
        <v>1</v>
      </c>
      <c r="I641" t="s">
        <v>1604</v>
      </c>
      <c r="J641" t="s">
        <v>1605</v>
      </c>
      <c r="K641" t="s">
        <v>1606</v>
      </c>
    </row>
    <row r="642" spans="1:11" hidden="1">
      <c r="A642" t="str">
        <f t="shared" si="18"/>
        <v>J</v>
      </c>
      <c r="B642" t="str">
        <f t="shared" si="19"/>
        <v>J9</v>
      </c>
      <c r="C642" s="568" t="s">
        <v>2036</v>
      </c>
      <c r="D642" s="568" t="s">
        <v>1614</v>
      </c>
      <c r="E642" s="569">
        <v>16</v>
      </c>
      <c r="F642" t="s">
        <v>1616</v>
      </c>
      <c r="G642" t="s">
        <v>247</v>
      </c>
      <c r="H642">
        <v>1</v>
      </c>
      <c r="I642" t="s">
        <v>1604</v>
      </c>
      <c r="J642" t="s">
        <v>1605</v>
      </c>
      <c r="K642" t="s">
        <v>1606</v>
      </c>
    </row>
    <row r="643" spans="1:11" hidden="1">
      <c r="A643" t="str">
        <f t="shared" ref="A643:A706" si="20">LEFT(C643)</f>
        <v>J</v>
      </c>
      <c r="B643" t="str">
        <f t="shared" si="19"/>
        <v>J9</v>
      </c>
      <c r="C643" s="568" t="s">
        <v>2037</v>
      </c>
      <c r="D643" s="568" t="s">
        <v>1614</v>
      </c>
      <c r="E643" s="569">
        <v>16</v>
      </c>
      <c r="F643" t="s">
        <v>1629</v>
      </c>
      <c r="G643" t="s">
        <v>247</v>
      </c>
      <c r="H643">
        <v>1</v>
      </c>
      <c r="I643" t="s">
        <v>1604</v>
      </c>
      <c r="J643" t="s">
        <v>1605</v>
      </c>
      <c r="K643" t="s">
        <v>1606</v>
      </c>
    </row>
    <row r="644" spans="1:11" hidden="1">
      <c r="A644" t="str">
        <f t="shared" si="20"/>
        <v>J</v>
      </c>
      <c r="B644" t="str">
        <f t="shared" ref="B644:B707" si="21">LEFT(C644,2)</f>
        <v>J9</v>
      </c>
      <c r="C644" s="568" t="s">
        <v>2038</v>
      </c>
      <c r="D644" s="568" t="s">
        <v>1614</v>
      </c>
      <c r="E644" s="569">
        <v>16</v>
      </c>
      <c r="F644" t="s">
        <v>1609</v>
      </c>
      <c r="G644" t="s">
        <v>247</v>
      </c>
      <c r="H644">
        <v>1</v>
      </c>
      <c r="I644" t="s">
        <v>1604</v>
      </c>
      <c r="J644" t="s">
        <v>1605</v>
      </c>
      <c r="K644" t="s">
        <v>1606</v>
      </c>
    </row>
    <row r="645" spans="1:11" hidden="1">
      <c r="A645" t="str">
        <f t="shared" si="20"/>
        <v>J</v>
      </c>
      <c r="B645" t="str">
        <f t="shared" si="21"/>
        <v>J9</v>
      </c>
      <c r="C645" s="568" t="s">
        <v>2039</v>
      </c>
      <c r="D645" s="568" t="s">
        <v>1611</v>
      </c>
      <c r="E645" s="569">
        <v>16</v>
      </c>
      <c r="F645" t="s">
        <v>1609</v>
      </c>
      <c r="G645" t="s">
        <v>247</v>
      </c>
      <c r="H645">
        <v>1</v>
      </c>
      <c r="I645" t="s">
        <v>1604</v>
      </c>
      <c r="J645" t="s">
        <v>1605</v>
      </c>
      <c r="K645" t="s">
        <v>1606</v>
      </c>
    </row>
    <row r="646" spans="1:11" hidden="1">
      <c r="A646" t="str">
        <f t="shared" si="20"/>
        <v>J</v>
      </c>
      <c r="B646" t="str">
        <f t="shared" si="21"/>
        <v>J9</v>
      </c>
      <c r="C646" s="568" t="s">
        <v>2040</v>
      </c>
      <c r="D646" s="568" t="s">
        <v>1614</v>
      </c>
      <c r="E646" s="569">
        <v>16</v>
      </c>
      <c r="F646" t="s">
        <v>1609</v>
      </c>
      <c r="G646" t="s">
        <v>247</v>
      </c>
      <c r="H646">
        <v>1</v>
      </c>
      <c r="I646" t="s">
        <v>1604</v>
      </c>
      <c r="J646" t="s">
        <v>1605</v>
      </c>
      <c r="K646" t="s">
        <v>1606</v>
      </c>
    </row>
    <row r="647" spans="1:11" hidden="1">
      <c r="A647" t="str">
        <f t="shared" si="20"/>
        <v>J</v>
      </c>
      <c r="B647" t="str">
        <f t="shared" si="21"/>
        <v>J9</v>
      </c>
      <c r="C647" s="568" t="s">
        <v>2041</v>
      </c>
      <c r="D647" s="568" t="s">
        <v>1614</v>
      </c>
      <c r="E647" s="569">
        <v>16</v>
      </c>
      <c r="F647" t="s">
        <v>1609</v>
      </c>
      <c r="G647" t="s">
        <v>247</v>
      </c>
      <c r="H647">
        <v>1</v>
      </c>
      <c r="I647" t="s">
        <v>1604</v>
      </c>
      <c r="J647" t="s">
        <v>1605</v>
      </c>
      <c r="K647" t="s">
        <v>1606</v>
      </c>
    </row>
    <row r="648" spans="1:11" hidden="1">
      <c r="A648" t="str">
        <f t="shared" si="20"/>
        <v>J</v>
      </c>
      <c r="B648" t="str">
        <f t="shared" si="21"/>
        <v>J9</v>
      </c>
      <c r="C648" s="568" t="s">
        <v>2042</v>
      </c>
      <c r="D648" s="568" t="s">
        <v>1611</v>
      </c>
      <c r="E648" s="569">
        <v>16</v>
      </c>
      <c r="F648" t="s">
        <v>1609</v>
      </c>
      <c r="G648" t="s">
        <v>247</v>
      </c>
      <c r="H648">
        <v>1</v>
      </c>
      <c r="I648" t="s">
        <v>1604</v>
      </c>
      <c r="J648" t="s">
        <v>1605</v>
      </c>
      <c r="K648" t="s">
        <v>1606</v>
      </c>
    </row>
    <row r="649" spans="1:11" hidden="1">
      <c r="A649" t="str">
        <f t="shared" si="20"/>
        <v>J</v>
      </c>
      <c r="B649" t="str">
        <f t="shared" si="21"/>
        <v>J9</v>
      </c>
      <c r="C649" s="568" t="s">
        <v>2043</v>
      </c>
      <c r="D649" s="568" t="s">
        <v>1611</v>
      </c>
      <c r="E649" s="569">
        <v>16</v>
      </c>
      <c r="F649" t="s">
        <v>1609</v>
      </c>
      <c r="G649" t="s">
        <v>247</v>
      </c>
      <c r="H649">
        <v>1</v>
      </c>
      <c r="I649" t="s">
        <v>1604</v>
      </c>
      <c r="J649" t="s">
        <v>1605</v>
      </c>
      <c r="K649" t="s">
        <v>1606</v>
      </c>
    </row>
    <row r="650" spans="1:11" hidden="1">
      <c r="A650" t="str">
        <f t="shared" si="20"/>
        <v>K</v>
      </c>
      <c r="B650" t="str">
        <f t="shared" si="21"/>
        <v>K0</v>
      </c>
      <c r="C650" s="568" t="s">
        <v>2044</v>
      </c>
      <c r="D650" s="568" t="s">
        <v>2045</v>
      </c>
      <c r="E650" s="569">
        <v>15</v>
      </c>
      <c r="F650" t="s">
        <v>1616</v>
      </c>
      <c r="G650" t="s">
        <v>1191</v>
      </c>
      <c r="H650">
        <v>3</v>
      </c>
      <c r="I650" t="s">
        <v>2046</v>
      </c>
      <c r="J650" t="s">
        <v>2047</v>
      </c>
      <c r="K650" t="s">
        <v>2048</v>
      </c>
    </row>
    <row r="651" spans="1:11" hidden="1">
      <c r="A651" t="str">
        <f t="shared" si="20"/>
        <v>K</v>
      </c>
      <c r="B651" t="str">
        <f t="shared" si="21"/>
        <v>K0</v>
      </c>
      <c r="C651" s="568" t="s">
        <v>2049</v>
      </c>
      <c r="D651" s="568" t="s">
        <v>2050</v>
      </c>
      <c r="E651" s="569">
        <v>15</v>
      </c>
      <c r="F651" t="s">
        <v>1629</v>
      </c>
      <c r="G651" t="s">
        <v>1191</v>
      </c>
      <c r="H651">
        <v>3</v>
      </c>
      <c r="I651" t="s">
        <v>2046</v>
      </c>
      <c r="J651" t="s">
        <v>2047</v>
      </c>
      <c r="K651" t="s">
        <v>2048</v>
      </c>
    </row>
    <row r="652" spans="1:11" hidden="1">
      <c r="A652" t="str">
        <f t="shared" si="20"/>
        <v>K</v>
      </c>
      <c r="B652" t="str">
        <f t="shared" si="21"/>
        <v>K0</v>
      </c>
      <c r="C652" s="568" t="s">
        <v>2051</v>
      </c>
      <c r="D652" s="568" t="s">
        <v>2050</v>
      </c>
      <c r="E652" s="569">
        <v>15</v>
      </c>
      <c r="F652" t="s">
        <v>1618</v>
      </c>
      <c r="G652" t="s">
        <v>1191</v>
      </c>
      <c r="H652">
        <v>3</v>
      </c>
      <c r="I652" t="s">
        <v>2046</v>
      </c>
      <c r="J652" t="s">
        <v>2047</v>
      </c>
      <c r="K652" t="s">
        <v>2048</v>
      </c>
    </row>
    <row r="653" spans="1:11" hidden="1">
      <c r="A653" t="str">
        <f t="shared" si="20"/>
        <v>K</v>
      </c>
      <c r="B653" t="str">
        <f t="shared" si="21"/>
        <v>K0</v>
      </c>
      <c r="C653" s="568" t="s">
        <v>2052</v>
      </c>
      <c r="D653" s="568" t="s">
        <v>2053</v>
      </c>
      <c r="E653" s="569">
        <v>15</v>
      </c>
      <c r="F653" t="s">
        <v>1609</v>
      </c>
      <c r="G653" t="s">
        <v>1191</v>
      </c>
      <c r="H653">
        <v>3</v>
      </c>
      <c r="I653" t="s">
        <v>2046</v>
      </c>
      <c r="J653" t="s">
        <v>2047</v>
      </c>
      <c r="K653" t="s">
        <v>2048</v>
      </c>
    </row>
    <row r="654" spans="1:11" hidden="1">
      <c r="A654" t="str">
        <f t="shared" si="20"/>
        <v>K</v>
      </c>
      <c r="B654" t="str">
        <f t="shared" si="21"/>
        <v>K0</v>
      </c>
      <c r="C654" s="568" t="s">
        <v>2054</v>
      </c>
      <c r="D654" s="568" t="s">
        <v>2055</v>
      </c>
      <c r="E654" s="569">
        <v>15</v>
      </c>
      <c r="F654" t="s">
        <v>1609</v>
      </c>
      <c r="G654" t="s">
        <v>1191</v>
      </c>
      <c r="H654">
        <v>3</v>
      </c>
      <c r="I654" t="s">
        <v>2046</v>
      </c>
      <c r="J654" t="s">
        <v>2047</v>
      </c>
      <c r="K654" t="s">
        <v>2048</v>
      </c>
    </row>
    <row r="655" spans="1:11" hidden="1">
      <c r="A655" t="str">
        <f t="shared" si="20"/>
        <v>K</v>
      </c>
      <c r="B655" t="str">
        <f t="shared" si="21"/>
        <v>K0</v>
      </c>
      <c r="C655" s="568" t="s">
        <v>2056</v>
      </c>
      <c r="D655" s="568" t="s">
        <v>2057</v>
      </c>
      <c r="E655" s="569">
        <v>15</v>
      </c>
      <c r="F655" t="s">
        <v>1609</v>
      </c>
      <c r="G655" t="s">
        <v>1191</v>
      </c>
      <c r="H655">
        <v>1</v>
      </c>
      <c r="I655" t="s">
        <v>2046</v>
      </c>
      <c r="J655" t="s">
        <v>2047</v>
      </c>
      <c r="K655" t="s">
        <v>2048</v>
      </c>
    </row>
    <row r="656" spans="1:11" hidden="1">
      <c r="A656" t="str">
        <f t="shared" si="20"/>
        <v>K</v>
      </c>
      <c r="B656" t="str">
        <f t="shared" si="21"/>
        <v>K0</v>
      </c>
      <c r="C656" s="568" t="s">
        <v>2058</v>
      </c>
      <c r="D656" s="568" t="s">
        <v>2059</v>
      </c>
      <c r="E656" s="569">
        <v>15</v>
      </c>
      <c r="F656" t="s">
        <v>1609</v>
      </c>
      <c r="G656" t="s">
        <v>1191</v>
      </c>
      <c r="H656">
        <v>1</v>
      </c>
      <c r="I656" t="s">
        <v>2046</v>
      </c>
      <c r="J656" t="s">
        <v>2047</v>
      </c>
      <c r="K656" t="s">
        <v>2048</v>
      </c>
    </row>
    <row r="657" spans="1:11" hidden="1">
      <c r="A657" t="str">
        <f t="shared" si="20"/>
        <v>K</v>
      </c>
      <c r="B657" t="str">
        <f t="shared" si="21"/>
        <v>K0</v>
      </c>
      <c r="C657" s="568" t="s">
        <v>2060</v>
      </c>
      <c r="D657" s="568" t="s">
        <v>2057</v>
      </c>
      <c r="E657" s="569">
        <v>15</v>
      </c>
      <c r="F657" t="s">
        <v>1609</v>
      </c>
      <c r="G657" t="s">
        <v>1191</v>
      </c>
      <c r="H657">
        <v>1</v>
      </c>
      <c r="I657" t="s">
        <v>2046</v>
      </c>
      <c r="J657" t="s">
        <v>2047</v>
      </c>
      <c r="K657" t="s">
        <v>2048</v>
      </c>
    </row>
    <row r="658" spans="1:11" hidden="1">
      <c r="A658" t="str">
        <f t="shared" si="20"/>
        <v>K</v>
      </c>
      <c r="B658" t="str">
        <f t="shared" si="21"/>
        <v>K0</v>
      </c>
      <c r="C658" s="568" t="s">
        <v>2061</v>
      </c>
      <c r="D658" s="568" t="s">
        <v>2057</v>
      </c>
      <c r="E658" s="569">
        <v>15</v>
      </c>
      <c r="F658" t="s">
        <v>1609</v>
      </c>
      <c r="G658" t="s">
        <v>1191</v>
      </c>
      <c r="H658">
        <v>1</v>
      </c>
      <c r="I658" t="s">
        <v>2046</v>
      </c>
      <c r="J658" t="s">
        <v>2047</v>
      </c>
      <c r="K658" t="s">
        <v>2048</v>
      </c>
    </row>
    <row r="659" spans="1:11" hidden="1">
      <c r="A659" t="str">
        <f t="shared" si="20"/>
        <v>K</v>
      </c>
      <c r="B659" t="str">
        <f t="shared" si="21"/>
        <v>K0</v>
      </c>
      <c r="C659" s="568" t="s">
        <v>2062</v>
      </c>
      <c r="D659" s="568" t="s">
        <v>2063</v>
      </c>
      <c r="E659" s="569">
        <v>15</v>
      </c>
      <c r="F659" t="s">
        <v>1609</v>
      </c>
      <c r="G659" t="s">
        <v>1191</v>
      </c>
      <c r="H659">
        <v>1</v>
      </c>
      <c r="I659" t="s">
        <v>2046</v>
      </c>
      <c r="J659" t="s">
        <v>2047</v>
      </c>
      <c r="K659" t="s">
        <v>2048</v>
      </c>
    </row>
    <row r="660" spans="1:11" hidden="1">
      <c r="A660" t="str">
        <f t="shared" si="20"/>
        <v>K</v>
      </c>
      <c r="B660" t="str">
        <f t="shared" si="21"/>
        <v>K1</v>
      </c>
      <c r="C660" s="568" t="s">
        <v>2064</v>
      </c>
      <c r="D660" s="568" t="s">
        <v>2055</v>
      </c>
      <c r="E660" s="569">
        <v>15</v>
      </c>
      <c r="F660" s="577" t="s">
        <v>1616</v>
      </c>
      <c r="G660" t="s">
        <v>1191</v>
      </c>
      <c r="H660">
        <v>3</v>
      </c>
      <c r="I660" t="s">
        <v>2046</v>
      </c>
      <c r="J660" t="s">
        <v>2047</v>
      </c>
      <c r="K660" t="s">
        <v>2048</v>
      </c>
    </row>
    <row r="661" spans="1:11" hidden="1">
      <c r="A661" t="str">
        <f t="shared" si="20"/>
        <v>K</v>
      </c>
      <c r="B661" t="str">
        <f t="shared" si="21"/>
        <v>K1</v>
      </c>
      <c r="C661" s="568" t="s">
        <v>2065</v>
      </c>
      <c r="D661" s="568" t="s">
        <v>2053</v>
      </c>
      <c r="E661" s="569">
        <v>15</v>
      </c>
      <c r="F661" t="s">
        <v>1616</v>
      </c>
      <c r="G661" t="s">
        <v>1191</v>
      </c>
      <c r="H661">
        <v>3</v>
      </c>
      <c r="I661" t="s">
        <v>2046</v>
      </c>
      <c r="J661" t="s">
        <v>2047</v>
      </c>
      <c r="K661" t="s">
        <v>2048</v>
      </c>
    </row>
    <row r="662" spans="1:11" hidden="1">
      <c r="A662" t="str">
        <f t="shared" si="20"/>
        <v>K</v>
      </c>
      <c r="B662" t="str">
        <f t="shared" si="21"/>
        <v>K1</v>
      </c>
      <c r="C662" s="568" t="s">
        <v>2066</v>
      </c>
      <c r="D662" s="568" t="s">
        <v>2045</v>
      </c>
      <c r="E662" s="569">
        <v>15</v>
      </c>
      <c r="F662" t="s">
        <v>1618</v>
      </c>
      <c r="G662" t="s">
        <v>1191</v>
      </c>
      <c r="H662">
        <v>3</v>
      </c>
      <c r="I662" t="s">
        <v>2046</v>
      </c>
      <c r="J662" t="s">
        <v>2047</v>
      </c>
      <c r="K662" t="s">
        <v>2048</v>
      </c>
    </row>
    <row r="663" spans="1:11" hidden="1">
      <c r="A663" t="str">
        <f t="shared" si="20"/>
        <v>K</v>
      </c>
      <c r="B663" t="str">
        <f t="shared" si="21"/>
        <v>K1</v>
      </c>
      <c r="C663" s="568" t="s">
        <v>2067</v>
      </c>
      <c r="D663" s="568" t="s">
        <v>2045</v>
      </c>
      <c r="E663" s="569">
        <v>15</v>
      </c>
      <c r="F663" t="s">
        <v>1616</v>
      </c>
      <c r="G663" t="s">
        <v>1191</v>
      </c>
      <c r="H663">
        <v>3</v>
      </c>
      <c r="I663" t="s">
        <v>2046</v>
      </c>
      <c r="J663" t="s">
        <v>2047</v>
      </c>
      <c r="K663" t="s">
        <v>2048</v>
      </c>
    </row>
    <row r="664" spans="1:11" hidden="1">
      <c r="A664" t="str">
        <f t="shared" si="20"/>
        <v>K</v>
      </c>
      <c r="B664" t="str">
        <f t="shared" si="21"/>
        <v>K1</v>
      </c>
      <c r="C664" s="568" t="s">
        <v>2068</v>
      </c>
      <c r="D664" s="568" t="s">
        <v>2053</v>
      </c>
      <c r="E664" s="569">
        <v>15</v>
      </c>
      <c r="F664" t="s">
        <v>1629</v>
      </c>
      <c r="G664" t="s">
        <v>1191</v>
      </c>
      <c r="H664">
        <v>3</v>
      </c>
      <c r="I664" t="s">
        <v>2046</v>
      </c>
      <c r="J664" t="s">
        <v>2047</v>
      </c>
      <c r="K664" t="s">
        <v>2048</v>
      </c>
    </row>
    <row r="665" spans="1:11" hidden="1">
      <c r="A665" t="str">
        <f t="shared" si="20"/>
        <v>K</v>
      </c>
      <c r="B665" t="str">
        <f t="shared" si="21"/>
        <v>K1</v>
      </c>
      <c r="C665" s="568" t="s">
        <v>2069</v>
      </c>
      <c r="D665" s="568" t="s">
        <v>2053</v>
      </c>
      <c r="E665" s="569">
        <v>15</v>
      </c>
      <c r="F665" t="s">
        <v>1616</v>
      </c>
      <c r="G665" t="s">
        <v>1191</v>
      </c>
      <c r="H665">
        <v>3</v>
      </c>
      <c r="I665" t="s">
        <v>2046</v>
      </c>
      <c r="J665" t="s">
        <v>2047</v>
      </c>
      <c r="K665" t="s">
        <v>2048</v>
      </c>
    </row>
    <row r="666" spans="1:11" hidden="1">
      <c r="A666" t="str">
        <f t="shared" si="20"/>
        <v>K</v>
      </c>
      <c r="B666" t="str">
        <f t="shared" si="21"/>
        <v>K1</v>
      </c>
      <c r="C666" s="568" t="s">
        <v>2070</v>
      </c>
      <c r="D666" s="568" t="s">
        <v>2053</v>
      </c>
      <c r="E666" s="569">
        <v>15</v>
      </c>
      <c r="F666" t="s">
        <v>1616</v>
      </c>
      <c r="G666" t="s">
        <v>1191</v>
      </c>
      <c r="H666">
        <v>3</v>
      </c>
      <c r="I666" t="s">
        <v>2046</v>
      </c>
      <c r="J666" t="s">
        <v>2047</v>
      </c>
      <c r="K666" t="s">
        <v>2048</v>
      </c>
    </row>
    <row r="667" spans="1:11" hidden="1">
      <c r="A667" t="str">
        <f t="shared" si="20"/>
        <v>K</v>
      </c>
      <c r="B667" t="str">
        <f t="shared" si="21"/>
        <v>K1</v>
      </c>
      <c r="C667" s="568" t="s">
        <v>2071</v>
      </c>
      <c r="D667" s="568" t="s">
        <v>2053</v>
      </c>
      <c r="E667" s="569">
        <v>15</v>
      </c>
      <c r="F667" t="s">
        <v>1616</v>
      </c>
      <c r="G667" t="s">
        <v>1191</v>
      </c>
      <c r="H667">
        <v>3</v>
      </c>
      <c r="I667" t="s">
        <v>2046</v>
      </c>
      <c r="J667" t="s">
        <v>2047</v>
      </c>
      <c r="K667" t="s">
        <v>2048</v>
      </c>
    </row>
    <row r="668" spans="1:11" hidden="1">
      <c r="A668" t="str">
        <f t="shared" si="20"/>
        <v>K</v>
      </c>
      <c r="B668" t="str">
        <f t="shared" si="21"/>
        <v>K1</v>
      </c>
      <c r="C668" s="568" t="s">
        <v>2072</v>
      </c>
      <c r="D668" s="568" t="s">
        <v>2053</v>
      </c>
      <c r="E668" s="569">
        <v>15</v>
      </c>
      <c r="F668" t="s">
        <v>1616</v>
      </c>
      <c r="G668" t="s">
        <v>1191</v>
      </c>
      <c r="H668">
        <v>3</v>
      </c>
      <c r="I668" t="s">
        <v>2046</v>
      </c>
      <c r="J668" t="s">
        <v>2047</v>
      </c>
      <c r="K668" t="s">
        <v>2048</v>
      </c>
    </row>
    <row r="669" spans="1:11" hidden="1">
      <c r="A669" t="str">
        <f t="shared" si="20"/>
        <v>K</v>
      </c>
      <c r="B669" t="str">
        <f t="shared" si="21"/>
        <v>K1</v>
      </c>
      <c r="C669" s="568" t="s">
        <v>2073</v>
      </c>
      <c r="D669" s="568" t="s">
        <v>2053</v>
      </c>
      <c r="E669" s="569">
        <v>15</v>
      </c>
      <c r="F669" t="s">
        <v>1629</v>
      </c>
      <c r="G669" t="s">
        <v>1191</v>
      </c>
      <c r="H669">
        <v>3</v>
      </c>
      <c r="I669" t="s">
        <v>2046</v>
      </c>
      <c r="J669" t="s">
        <v>2047</v>
      </c>
      <c r="K669" t="s">
        <v>2048</v>
      </c>
    </row>
    <row r="670" spans="1:11" hidden="1">
      <c r="A670" t="str">
        <f t="shared" si="20"/>
        <v>K</v>
      </c>
      <c r="B670" t="str">
        <f t="shared" si="21"/>
        <v>K1</v>
      </c>
      <c r="C670" s="568" t="s">
        <v>2074</v>
      </c>
      <c r="D670" s="568" t="s">
        <v>2053</v>
      </c>
      <c r="E670" s="569">
        <v>15</v>
      </c>
      <c r="F670" t="s">
        <v>1616</v>
      </c>
      <c r="G670" t="s">
        <v>1191</v>
      </c>
      <c r="H670">
        <v>3</v>
      </c>
      <c r="I670" t="s">
        <v>2046</v>
      </c>
      <c r="J670" t="s">
        <v>2047</v>
      </c>
      <c r="K670" t="s">
        <v>2048</v>
      </c>
    </row>
    <row r="671" spans="1:11" hidden="1">
      <c r="A671" t="str">
        <f t="shared" si="20"/>
        <v>K</v>
      </c>
      <c r="B671" t="str">
        <f t="shared" si="21"/>
        <v>K1</v>
      </c>
      <c r="C671" s="568" t="s">
        <v>2075</v>
      </c>
      <c r="D671" s="568" t="s">
        <v>2055</v>
      </c>
      <c r="E671" s="569">
        <v>15</v>
      </c>
      <c r="F671" t="s">
        <v>1616</v>
      </c>
      <c r="G671" t="s">
        <v>1191</v>
      </c>
      <c r="H671">
        <v>3</v>
      </c>
      <c r="I671" t="s">
        <v>2046</v>
      </c>
      <c r="J671" t="s">
        <v>2047</v>
      </c>
      <c r="K671" t="s">
        <v>2048</v>
      </c>
    </row>
    <row r="672" spans="1:11" hidden="1">
      <c r="A672" t="str">
        <f t="shared" si="20"/>
        <v>K</v>
      </c>
      <c r="B672" t="str">
        <f t="shared" si="21"/>
        <v>K1</v>
      </c>
      <c r="C672" s="568" t="s">
        <v>2076</v>
      </c>
      <c r="D672" s="568" t="s">
        <v>2055</v>
      </c>
      <c r="E672" s="569">
        <v>15</v>
      </c>
      <c r="F672" t="s">
        <v>1609</v>
      </c>
      <c r="G672" t="s">
        <v>1191</v>
      </c>
      <c r="H672">
        <v>3</v>
      </c>
      <c r="I672" t="s">
        <v>2046</v>
      </c>
      <c r="J672" t="s">
        <v>2047</v>
      </c>
      <c r="K672" t="s">
        <v>2048</v>
      </c>
    </row>
    <row r="673" spans="1:11" hidden="1">
      <c r="A673" t="str">
        <f t="shared" si="20"/>
        <v>K</v>
      </c>
      <c r="B673" t="str">
        <f t="shared" si="21"/>
        <v>K1</v>
      </c>
      <c r="C673" s="568" t="s">
        <v>2077</v>
      </c>
      <c r="D673" s="568" t="s">
        <v>2053</v>
      </c>
      <c r="E673" s="569">
        <v>15</v>
      </c>
      <c r="F673" t="s">
        <v>1629</v>
      </c>
      <c r="G673" t="s">
        <v>1191</v>
      </c>
      <c r="H673">
        <v>3</v>
      </c>
      <c r="I673" t="s">
        <v>2046</v>
      </c>
      <c r="J673" t="s">
        <v>2047</v>
      </c>
      <c r="K673" t="s">
        <v>2048</v>
      </c>
    </row>
    <row r="674" spans="1:11" hidden="1">
      <c r="A674" t="str">
        <f t="shared" si="20"/>
        <v>K</v>
      </c>
      <c r="B674" t="str">
        <f t="shared" si="21"/>
        <v>K1</v>
      </c>
      <c r="C674" s="568" t="s">
        <v>2078</v>
      </c>
      <c r="D674" s="568" t="s">
        <v>2045</v>
      </c>
      <c r="E674" s="569">
        <v>15</v>
      </c>
      <c r="F674" t="s">
        <v>1629</v>
      </c>
      <c r="G674" t="s">
        <v>1191</v>
      </c>
      <c r="H674">
        <v>3</v>
      </c>
      <c r="I674" t="s">
        <v>2046</v>
      </c>
      <c r="J674" t="s">
        <v>2047</v>
      </c>
      <c r="K674" t="s">
        <v>2048</v>
      </c>
    </row>
    <row r="675" spans="1:11" hidden="1">
      <c r="A675" t="str">
        <f t="shared" si="20"/>
        <v>K</v>
      </c>
      <c r="B675" t="str">
        <f t="shared" si="21"/>
        <v>K1</v>
      </c>
      <c r="C675" s="568" t="s">
        <v>2079</v>
      </c>
      <c r="D675" s="568" t="s">
        <v>2053</v>
      </c>
      <c r="E675" s="569">
        <v>15</v>
      </c>
      <c r="F675" t="s">
        <v>1616</v>
      </c>
      <c r="G675" t="s">
        <v>1191</v>
      </c>
      <c r="H675">
        <v>3</v>
      </c>
      <c r="I675" t="s">
        <v>2046</v>
      </c>
      <c r="J675" t="s">
        <v>2047</v>
      </c>
      <c r="K675" t="s">
        <v>2048</v>
      </c>
    </row>
    <row r="676" spans="1:11" hidden="1">
      <c r="A676" t="str">
        <f t="shared" si="20"/>
        <v>K</v>
      </c>
      <c r="B676" t="str">
        <f t="shared" si="21"/>
        <v>K1</v>
      </c>
      <c r="C676" s="568" t="s">
        <v>2080</v>
      </c>
      <c r="D676" s="568" t="s">
        <v>2050</v>
      </c>
      <c r="E676" s="569">
        <v>15</v>
      </c>
      <c r="F676" t="s">
        <v>1629</v>
      </c>
      <c r="G676" t="s">
        <v>1191</v>
      </c>
      <c r="H676">
        <v>3</v>
      </c>
      <c r="I676" t="s">
        <v>2046</v>
      </c>
      <c r="J676" t="s">
        <v>2047</v>
      </c>
      <c r="K676" t="s">
        <v>2048</v>
      </c>
    </row>
    <row r="677" spans="1:11" hidden="1">
      <c r="A677" t="str">
        <f t="shared" si="20"/>
        <v>K</v>
      </c>
      <c r="B677" t="str">
        <f t="shared" si="21"/>
        <v>K1</v>
      </c>
      <c r="C677" s="568" t="s">
        <v>2081</v>
      </c>
      <c r="D677" s="568" t="s">
        <v>2053</v>
      </c>
      <c r="E677" s="569">
        <v>15</v>
      </c>
      <c r="F677" t="s">
        <v>1629</v>
      </c>
      <c r="G677" t="s">
        <v>1191</v>
      </c>
      <c r="H677">
        <v>3</v>
      </c>
      <c r="I677" t="s">
        <v>2046</v>
      </c>
      <c r="J677" t="s">
        <v>2047</v>
      </c>
      <c r="K677" t="s">
        <v>2048</v>
      </c>
    </row>
    <row r="678" spans="1:11" hidden="1">
      <c r="A678" t="str">
        <f t="shared" si="20"/>
        <v>K</v>
      </c>
      <c r="B678" t="str">
        <f t="shared" si="21"/>
        <v>K1</v>
      </c>
      <c r="C678" s="568" t="s">
        <v>2082</v>
      </c>
      <c r="D678" s="568" t="s">
        <v>2055</v>
      </c>
      <c r="E678" s="569">
        <v>15</v>
      </c>
      <c r="F678" t="s">
        <v>1609</v>
      </c>
      <c r="G678" t="s">
        <v>1191</v>
      </c>
      <c r="H678">
        <v>3</v>
      </c>
      <c r="I678" t="s">
        <v>2046</v>
      </c>
      <c r="J678" t="s">
        <v>2047</v>
      </c>
      <c r="K678" t="s">
        <v>2048</v>
      </c>
    </row>
    <row r="679" spans="1:11" hidden="1">
      <c r="A679" t="str">
        <f t="shared" si="20"/>
        <v>K</v>
      </c>
      <c r="B679" t="str">
        <f t="shared" si="21"/>
        <v>K1</v>
      </c>
      <c r="C679" s="568" t="s">
        <v>2083</v>
      </c>
      <c r="D679" s="568" t="s">
        <v>2055</v>
      </c>
      <c r="E679" s="569">
        <v>15</v>
      </c>
      <c r="F679" t="s">
        <v>1618</v>
      </c>
      <c r="G679" t="s">
        <v>1191</v>
      </c>
      <c r="H679">
        <v>3</v>
      </c>
      <c r="I679" t="s">
        <v>2046</v>
      </c>
      <c r="J679" t="s">
        <v>2047</v>
      </c>
      <c r="K679" t="s">
        <v>2048</v>
      </c>
    </row>
    <row r="680" spans="1:11" hidden="1">
      <c r="A680" t="str">
        <f t="shared" si="20"/>
        <v>K</v>
      </c>
      <c r="B680" t="str">
        <f t="shared" si="21"/>
        <v>K2</v>
      </c>
      <c r="C680" s="568" t="s">
        <v>2084</v>
      </c>
      <c r="D680" s="568" t="s">
        <v>2055</v>
      </c>
      <c r="E680" s="569">
        <v>15</v>
      </c>
      <c r="F680" t="s">
        <v>1609</v>
      </c>
      <c r="G680" t="s">
        <v>1191</v>
      </c>
      <c r="H680">
        <v>3</v>
      </c>
      <c r="I680" t="s">
        <v>2046</v>
      </c>
      <c r="J680" t="s">
        <v>2047</v>
      </c>
      <c r="K680" t="s">
        <v>2048</v>
      </c>
    </row>
    <row r="681" spans="1:11" hidden="1">
      <c r="A681" t="str">
        <f t="shared" si="20"/>
        <v>K</v>
      </c>
      <c r="B681" t="str">
        <f t="shared" si="21"/>
        <v>K2</v>
      </c>
      <c r="C681" s="568" t="s">
        <v>2085</v>
      </c>
      <c r="D681" s="568" t="s">
        <v>2053</v>
      </c>
      <c r="E681" s="569">
        <v>15</v>
      </c>
      <c r="F681" t="s">
        <v>1616</v>
      </c>
      <c r="G681" t="s">
        <v>1191</v>
      </c>
      <c r="H681">
        <v>3</v>
      </c>
      <c r="I681" t="s">
        <v>2046</v>
      </c>
      <c r="J681" t="s">
        <v>2047</v>
      </c>
      <c r="K681" t="s">
        <v>2048</v>
      </c>
    </row>
    <row r="682" spans="1:11" hidden="1">
      <c r="A682" t="str">
        <f t="shared" si="20"/>
        <v>K</v>
      </c>
      <c r="B682" t="str">
        <f t="shared" si="21"/>
        <v>K2</v>
      </c>
      <c r="C682" s="568" t="s">
        <v>2086</v>
      </c>
      <c r="D682" s="568" t="s">
        <v>2053</v>
      </c>
      <c r="E682" s="569">
        <v>15</v>
      </c>
      <c r="F682" t="s">
        <v>1616</v>
      </c>
      <c r="G682" t="s">
        <v>1191</v>
      </c>
      <c r="H682">
        <v>3</v>
      </c>
      <c r="I682" t="s">
        <v>2046</v>
      </c>
      <c r="J682" t="s">
        <v>2047</v>
      </c>
      <c r="K682" t="s">
        <v>2048</v>
      </c>
    </row>
    <row r="683" spans="1:11" hidden="1">
      <c r="A683" t="str">
        <f t="shared" si="20"/>
        <v>K</v>
      </c>
      <c r="B683" t="str">
        <f t="shared" si="21"/>
        <v>K2</v>
      </c>
      <c r="C683" s="568" t="s">
        <v>2087</v>
      </c>
      <c r="D683" s="568" t="s">
        <v>2053</v>
      </c>
      <c r="E683" s="569">
        <v>15</v>
      </c>
      <c r="F683" t="s">
        <v>1629</v>
      </c>
      <c r="G683" t="s">
        <v>1191</v>
      </c>
      <c r="H683">
        <v>3</v>
      </c>
      <c r="I683" t="s">
        <v>2046</v>
      </c>
      <c r="J683" t="s">
        <v>2047</v>
      </c>
      <c r="K683" t="s">
        <v>2048</v>
      </c>
    </row>
    <row r="684" spans="1:11" hidden="1">
      <c r="A684" t="str">
        <f t="shared" si="20"/>
        <v>K</v>
      </c>
      <c r="B684" t="str">
        <f t="shared" si="21"/>
        <v>K2</v>
      </c>
      <c r="C684" s="568" t="s">
        <v>2088</v>
      </c>
      <c r="D684" s="568" t="s">
        <v>2053</v>
      </c>
      <c r="E684" s="569">
        <v>15</v>
      </c>
      <c r="F684" t="s">
        <v>1629</v>
      </c>
      <c r="G684" t="s">
        <v>1191</v>
      </c>
      <c r="H684">
        <v>3</v>
      </c>
      <c r="I684" t="s">
        <v>2046</v>
      </c>
      <c r="J684" t="s">
        <v>2047</v>
      </c>
      <c r="K684" t="s">
        <v>2048</v>
      </c>
    </row>
    <row r="685" spans="1:11" hidden="1">
      <c r="A685" t="str">
        <f t="shared" si="20"/>
        <v>K</v>
      </c>
      <c r="B685" t="str">
        <f t="shared" si="21"/>
        <v>K2</v>
      </c>
      <c r="C685" s="568" t="s">
        <v>2089</v>
      </c>
      <c r="D685" s="568" t="s">
        <v>2053</v>
      </c>
      <c r="E685" s="569">
        <v>15</v>
      </c>
      <c r="F685" t="s">
        <v>1616</v>
      </c>
      <c r="G685" t="s">
        <v>1191</v>
      </c>
      <c r="H685">
        <v>3</v>
      </c>
      <c r="I685" t="s">
        <v>2046</v>
      </c>
      <c r="J685" t="s">
        <v>2047</v>
      </c>
      <c r="K685" t="s">
        <v>2048</v>
      </c>
    </row>
    <row r="686" spans="1:11" hidden="1">
      <c r="A686" t="str">
        <f t="shared" si="20"/>
        <v>K</v>
      </c>
      <c r="B686" t="str">
        <f t="shared" si="21"/>
        <v>K2</v>
      </c>
      <c r="C686" s="568" t="s">
        <v>2090</v>
      </c>
      <c r="D686" s="568" t="s">
        <v>2053</v>
      </c>
      <c r="E686" s="569">
        <v>15</v>
      </c>
      <c r="F686" t="s">
        <v>1616</v>
      </c>
      <c r="G686" t="s">
        <v>1191</v>
      </c>
      <c r="H686">
        <v>3</v>
      </c>
      <c r="I686" t="s">
        <v>2046</v>
      </c>
      <c r="J686" t="s">
        <v>2047</v>
      </c>
      <c r="K686" t="s">
        <v>2048</v>
      </c>
    </row>
    <row r="687" spans="1:11" hidden="1">
      <c r="A687" t="str">
        <f t="shared" si="20"/>
        <v>K</v>
      </c>
      <c r="B687" t="str">
        <f t="shared" si="21"/>
        <v>K2</v>
      </c>
      <c r="C687" s="568" t="s">
        <v>2091</v>
      </c>
      <c r="D687" s="568" t="s">
        <v>2055</v>
      </c>
      <c r="E687" s="569">
        <v>15</v>
      </c>
      <c r="F687" t="s">
        <v>1616</v>
      </c>
      <c r="G687" t="s">
        <v>1191</v>
      </c>
      <c r="H687">
        <v>3</v>
      </c>
      <c r="I687" t="s">
        <v>2046</v>
      </c>
      <c r="J687" t="s">
        <v>2047</v>
      </c>
      <c r="K687" t="s">
        <v>2048</v>
      </c>
    </row>
    <row r="688" spans="1:11" hidden="1">
      <c r="A688" t="str">
        <f t="shared" si="20"/>
        <v>K</v>
      </c>
      <c r="B688" t="str">
        <f t="shared" si="21"/>
        <v>K2</v>
      </c>
      <c r="C688" s="568" t="s">
        <v>2092</v>
      </c>
      <c r="D688" s="568" t="s">
        <v>2055</v>
      </c>
      <c r="E688" s="569">
        <v>15</v>
      </c>
      <c r="F688" t="s">
        <v>1616</v>
      </c>
      <c r="G688" t="s">
        <v>1191</v>
      </c>
      <c r="H688">
        <v>3</v>
      </c>
      <c r="I688" t="s">
        <v>2046</v>
      </c>
      <c r="J688" t="s">
        <v>2047</v>
      </c>
      <c r="K688" t="s">
        <v>2048</v>
      </c>
    </row>
    <row r="689" spans="1:11" hidden="1">
      <c r="A689" t="str">
        <f t="shared" si="20"/>
        <v>K</v>
      </c>
      <c r="B689" t="str">
        <f t="shared" si="21"/>
        <v>K2</v>
      </c>
      <c r="C689" s="568" t="s">
        <v>2093</v>
      </c>
      <c r="D689" s="568" t="s">
        <v>2055</v>
      </c>
      <c r="E689" s="569">
        <v>15</v>
      </c>
      <c r="F689" t="s">
        <v>1629</v>
      </c>
      <c r="G689" t="s">
        <v>1191</v>
      </c>
      <c r="H689">
        <v>3</v>
      </c>
      <c r="I689" t="s">
        <v>2046</v>
      </c>
      <c r="J689" t="s">
        <v>2047</v>
      </c>
      <c r="K689" t="s">
        <v>2048</v>
      </c>
    </row>
    <row r="690" spans="1:11" hidden="1">
      <c r="A690" t="str">
        <f t="shared" si="20"/>
        <v>K</v>
      </c>
      <c r="B690" t="str">
        <f t="shared" si="21"/>
        <v>K2</v>
      </c>
      <c r="C690" s="568" t="s">
        <v>2094</v>
      </c>
      <c r="D690" s="568" t="s">
        <v>2045</v>
      </c>
      <c r="E690" s="569">
        <v>15</v>
      </c>
      <c r="F690" t="s">
        <v>1629</v>
      </c>
      <c r="G690" t="s">
        <v>1191</v>
      </c>
      <c r="H690">
        <v>3</v>
      </c>
      <c r="I690" t="s">
        <v>2046</v>
      </c>
      <c r="J690" t="s">
        <v>2047</v>
      </c>
      <c r="K690" t="s">
        <v>2048</v>
      </c>
    </row>
    <row r="691" spans="1:11" hidden="1">
      <c r="A691" t="str">
        <f t="shared" si="20"/>
        <v>K</v>
      </c>
      <c r="B691" t="str">
        <f t="shared" si="21"/>
        <v>K2</v>
      </c>
      <c r="C691" s="568" t="s">
        <v>2095</v>
      </c>
      <c r="D691" s="568" t="s">
        <v>2055</v>
      </c>
      <c r="E691" s="569">
        <v>15</v>
      </c>
      <c r="F691" t="s">
        <v>1629</v>
      </c>
      <c r="G691" t="s">
        <v>1191</v>
      </c>
      <c r="H691">
        <v>3</v>
      </c>
      <c r="I691" t="s">
        <v>2046</v>
      </c>
      <c r="J691" t="s">
        <v>2047</v>
      </c>
      <c r="K691" t="s">
        <v>2048</v>
      </c>
    </row>
    <row r="692" spans="1:11" hidden="1">
      <c r="A692" t="str">
        <f t="shared" si="20"/>
        <v>K</v>
      </c>
      <c r="B692" t="str">
        <f t="shared" si="21"/>
        <v>K2</v>
      </c>
      <c r="C692" s="568" t="s">
        <v>2096</v>
      </c>
      <c r="D692" s="568" t="s">
        <v>2055</v>
      </c>
      <c r="E692" s="569">
        <v>15</v>
      </c>
      <c r="F692" t="s">
        <v>1609</v>
      </c>
      <c r="G692" t="s">
        <v>1191</v>
      </c>
      <c r="H692">
        <v>3</v>
      </c>
      <c r="I692" t="s">
        <v>2046</v>
      </c>
      <c r="J692" t="s">
        <v>2047</v>
      </c>
      <c r="K692" t="s">
        <v>2048</v>
      </c>
    </row>
    <row r="693" spans="1:11" hidden="1">
      <c r="A693" t="str">
        <f t="shared" si="20"/>
        <v>K</v>
      </c>
      <c r="B693" t="str">
        <f t="shared" si="21"/>
        <v>K2</v>
      </c>
      <c r="C693" s="568" t="s">
        <v>2097</v>
      </c>
      <c r="D693" s="568" t="s">
        <v>2055</v>
      </c>
      <c r="E693" s="569">
        <v>15</v>
      </c>
      <c r="F693" t="s">
        <v>1609</v>
      </c>
      <c r="G693" t="s">
        <v>1191</v>
      </c>
      <c r="H693">
        <v>3</v>
      </c>
      <c r="I693" t="s">
        <v>2046</v>
      </c>
      <c r="J693" t="s">
        <v>2047</v>
      </c>
      <c r="K693" t="s">
        <v>2048</v>
      </c>
    </row>
    <row r="694" spans="1:11" hidden="1">
      <c r="A694" t="str">
        <f t="shared" si="20"/>
        <v>K</v>
      </c>
      <c r="B694" t="str">
        <f t="shared" si="21"/>
        <v>K2</v>
      </c>
      <c r="C694" s="568" t="s">
        <v>2098</v>
      </c>
      <c r="D694" s="568" t="s">
        <v>2053</v>
      </c>
      <c r="E694" s="569">
        <v>15</v>
      </c>
      <c r="F694" t="s">
        <v>1616</v>
      </c>
      <c r="G694" t="s">
        <v>1191</v>
      </c>
      <c r="H694">
        <v>3</v>
      </c>
      <c r="I694" t="s">
        <v>2046</v>
      </c>
      <c r="J694" t="s">
        <v>2047</v>
      </c>
      <c r="K694" t="s">
        <v>2048</v>
      </c>
    </row>
    <row r="695" spans="1:11" hidden="1">
      <c r="A695" t="str">
        <f t="shared" si="20"/>
        <v>K</v>
      </c>
      <c r="B695" t="str">
        <f t="shared" si="21"/>
        <v>K2</v>
      </c>
      <c r="C695" s="568" t="s">
        <v>2099</v>
      </c>
      <c r="D695" s="568" t="s">
        <v>2055</v>
      </c>
      <c r="E695" s="569">
        <v>15</v>
      </c>
      <c r="F695" t="s">
        <v>1609</v>
      </c>
      <c r="G695" t="s">
        <v>1191</v>
      </c>
      <c r="H695">
        <v>3</v>
      </c>
      <c r="I695" t="s">
        <v>2046</v>
      </c>
      <c r="J695" t="s">
        <v>2047</v>
      </c>
      <c r="K695" t="s">
        <v>2048</v>
      </c>
    </row>
    <row r="696" spans="1:11" hidden="1">
      <c r="A696" t="str">
        <f t="shared" si="20"/>
        <v>K</v>
      </c>
      <c r="B696" t="str">
        <f t="shared" si="21"/>
        <v>K4</v>
      </c>
      <c r="C696" s="568" t="s">
        <v>2100</v>
      </c>
      <c r="D696" s="568" t="s">
        <v>2050</v>
      </c>
      <c r="E696" s="569">
        <v>15</v>
      </c>
      <c r="F696" t="s">
        <v>1616</v>
      </c>
      <c r="G696" t="s">
        <v>1191</v>
      </c>
      <c r="H696">
        <v>3</v>
      </c>
      <c r="I696" t="s">
        <v>2046</v>
      </c>
      <c r="J696" t="s">
        <v>2047</v>
      </c>
      <c r="K696" t="s">
        <v>2048</v>
      </c>
    </row>
    <row r="697" spans="1:11" hidden="1">
      <c r="A697" t="str">
        <f t="shared" si="20"/>
        <v>K</v>
      </c>
      <c r="B697" t="str">
        <f t="shared" si="21"/>
        <v>K4</v>
      </c>
      <c r="C697" s="568" t="s">
        <v>2101</v>
      </c>
      <c r="D697" s="568" t="s">
        <v>2050</v>
      </c>
      <c r="E697" s="569">
        <v>15</v>
      </c>
      <c r="F697" t="s">
        <v>1629</v>
      </c>
      <c r="G697" t="s">
        <v>1191</v>
      </c>
      <c r="H697">
        <v>3</v>
      </c>
      <c r="I697" t="s">
        <v>2046</v>
      </c>
      <c r="J697" t="s">
        <v>2047</v>
      </c>
      <c r="K697" t="s">
        <v>2048</v>
      </c>
    </row>
    <row r="698" spans="1:11" hidden="1">
      <c r="A698" t="str">
        <f t="shared" si="20"/>
        <v>K</v>
      </c>
      <c r="B698" t="str">
        <f t="shared" si="21"/>
        <v>K4</v>
      </c>
      <c r="C698" s="568" t="s">
        <v>2102</v>
      </c>
      <c r="D698" s="568" t="s">
        <v>2045</v>
      </c>
      <c r="E698" s="569">
        <v>15</v>
      </c>
      <c r="F698" t="s">
        <v>1616</v>
      </c>
      <c r="G698" t="s">
        <v>1191</v>
      </c>
      <c r="H698">
        <v>3</v>
      </c>
      <c r="I698" t="s">
        <v>2046</v>
      </c>
      <c r="J698" t="s">
        <v>2047</v>
      </c>
      <c r="K698" t="s">
        <v>2048</v>
      </c>
    </row>
    <row r="699" spans="1:11" hidden="1">
      <c r="A699" t="str">
        <f t="shared" si="20"/>
        <v>K</v>
      </c>
      <c r="B699" t="str">
        <f t="shared" si="21"/>
        <v>K4</v>
      </c>
      <c r="C699" s="568" t="s">
        <v>2103</v>
      </c>
      <c r="D699" s="568" t="s">
        <v>2045</v>
      </c>
      <c r="E699" s="569">
        <v>15</v>
      </c>
      <c r="F699" t="s">
        <v>1609</v>
      </c>
      <c r="G699" t="s">
        <v>1191</v>
      </c>
      <c r="H699">
        <v>3</v>
      </c>
      <c r="I699" t="s">
        <v>2046</v>
      </c>
      <c r="J699" t="s">
        <v>2047</v>
      </c>
      <c r="K699" t="s">
        <v>2048</v>
      </c>
    </row>
    <row r="700" spans="1:11" hidden="1">
      <c r="A700" t="str">
        <f t="shared" si="20"/>
        <v>K</v>
      </c>
      <c r="B700" t="str">
        <f t="shared" si="21"/>
        <v>K4</v>
      </c>
      <c r="C700" s="568" t="s">
        <v>2104</v>
      </c>
      <c r="D700" s="568" t="s">
        <v>2053</v>
      </c>
      <c r="E700" s="569">
        <v>15</v>
      </c>
      <c r="F700" t="s">
        <v>1629</v>
      </c>
      <c r="G700" t="s">
        <v>1191</v>
      </c>
      <c r="H700">
        <v>3</v>
      </c>
      <c r="I700" t="s">
        <v>2046</v>
      </c>
      <c r="J700" t="s">
        <v>2047</v>
      </c>
      <c r="K700" t="s">
        <v>2048</v>
      </c>
    </row>
    <row r="701" spans="1:11" hidden="1">
      <c r="A701" t="str">
        <f t="shared" si="20"/>
        <v>K</v>
      </c>
      <c r="B701" t="str">
        <f t="shared" si="21"/>
        <v>K4</v>
      </c>
      <c r="C701" s="568" t="s">
        <v>2105</v>
      </c>
      <c r="D701" s="568" t="s">
        <v>2053</v>
      </c>
      <c r="E701" s="569">
        <v>15</v>
      </c>
      <c r="F701" t="s">
        <v>1629</v>
      </c>
      <c r="G701" t="s">
        <v>1191</v>
      </c>
      <c r="H701">
        <v>3</v>
      </c>
      <c r="I701" t="s">
        <v>2046</v>
      </c>
      <c r="J701" t="s">
        <v>2047</v>
      </c>
      <c r="K701" t="s">
        <v>2048</v>
      </c>
    </row>
    <row r="702" spans="1:11" hidden="1">
      <c r="A702" t="str">
        <f t="shared" si="20"/>
        <v>K</v>
      </c>
      <c r="B702" t="str">
        <f t="shared" si="21"/>
        <v>K4</v>
      </c>
      <c r="C702" s="568" t="s">
        <v>2106</v>
      </c>
      <c r="D702" s="568" t="s">
        <v>2050</v>
      </c>
      <c r="E702" s="569">
        <v>15</v>
      </c>
      <c r="F702" t="s">
        <v>1629</v>
      </c>
      <c r="G702" t="s">
        <v>1191</v>
      </c>
      <c r="H702">
        <v>3</v>
      </c>
      <c r="I702" t="s">
        <v>2046</v>
      </c>
      <c r="J702" t="s">
        <v>2047</v>
      </c>
      <c r="K702" t="s">
        <v>2048</v>
      </c>
    </row>
    <row r="703" spans="1:11" hidden="1">
      <c r="A703" t="str">
        <f t="shared" si="20"/>
        <v>K</v>
      </c>
      <c r="B703" t="str">
        <f t="shared" si="21"/>
        <v>K6</v>
      </c>
      <c r="C703" s="568" t="s">
        <v>2107</v>
      </c>
      <c r="D703" s="568" t="s">
        <v>2050</v>
      </c>
      <c r="E703" s="569" t="s">
        <v>1761</v>
      </c>
      <c r="F703" t="s">
        <v>1629</v>
      </c>
      <c r="G703" t="s">
        <v>1191</v>
      </c>
      <c r="H703">
        <v>3</v>
      </c>
      <c r="I703" t="s">
        <v>2046</v>
      </c>
      <c r="J703" t="s">
        <v>2047</v>
      </c>
      <c r="K703" t="s">
        <v>2048</v>
      </c>
    </row>
    <row r="704" spans="1:11" hidden="1">
      <c r="A704" t="str">
        <f t="shared" si="20"/>
        <v>K</v>
      </c>
      <c r="B704" t="str">
        <f t="shared" si="21"/>
        <v>K6</v>
      </c>
      <c r="C704" s="568" t="s">
        <v>2108</v>
      </c>
      <c r="D704" s="568" t="s">
        <v>2050</v>
      </c>
      <c r="E704" s="569">
        <v>15</v>
      </c>
      <c r="F704" t="s">
        <v>1618</v>
      </c>
      <c r="G704" t="s">
        <v>1191</v>
      </c>
      <c r="H704">
        <v>3</v>
      </c>
      <c r="I704" t="s">
        <v>2046</v>
      </c>
      <c r="J704" t="s">
        <v>2047</v>
      </c>
      <c r="K704" t="s">
        <v>2048</v>
      </c>
    </row>
    <row r="705" spans="1:11" hidden="1">
      <c r="A705" t="str">
        <f t="shared" si="20"/>
        <v>K</v>
      </c>
      <c r="B705" t="str">
        <f t="shared" si="21"/>
        <v>K6</v>
      </c>
      <c r="C705" s="568" t="s">
        <v>2109</v>
      </c>
      <c r="D705" s="568" t="s">
        <v>2050</v>
      </c>
      <c r="E705" s="569">
        <v>15</v>
      </c>
      <c r="F705" t="s">
        <v>1618</v>
      </c>
      <c r="G705" t="s">
        <v>1191</v>
      </c>
      <c r="H705">
        <v>3</v>
      </c>
      <c r="I705" t="s">
        <v>2046</v>
      </c>
      <c r="J705" t="s">
        <v>2047</v>
      </c>
      <c r="K705" t="s">
        <v>2048</v>
      </c>
    </row>
    <row r="706" spans="1:11" hidden="1">
      <c r="A706" t="str">
        <f t="shared" si="20"/>
        <v>K</v>
      </c>
      <c r="B706" t="str">
        <f t="shared" si="21"/>
        <v>K6</v>
      </c>
      <c r="C706" s="568" t="s">
        <v>2110</v>
      </c>
      <c r="D706" s="568" t="s">
        <v>2050</v>
      </c>
      <c r="E706" s="569">
        <v>15</v>
      </c>
      <c r="F706" t="s">
        <v>1618</v>
      </c>
      <c r="G706" t="s">
        <v>1191</v>
      </c>
      <c r="H706">
        <v>3</v>
      </c>
      <c r="I706" t="s">
        <v>2046</v>
      </c>
      <c r="J706" t="s">
        <v>2047</v>
      </c>
      <c r="K706" t="s">
        <v>2048</v>
      </c>
    </row>
    <row r="707" spans="1:11" hidden="1">
      <c r="A707" t="str">
        <f t="shared" ref="A707:A770" si="22">LEFT(C707)</f>
        <v>K</v>
      </c>
      <c r="B707" t="str">
        <f t="shared" si="21"/>
        <v>K6</v>
      </c>
      <c r="C707" s="568" t="s">
        <v>2111</v>
      </c>
      <c r="D707" s="568" t="s">
        <v>2055</v>
      </c>
      <c r="E707" s="569">
        <v>15</v>
      </c>
      <c r="F707" t="s">
        <v>1609</v>
      </c>
      <c r="G707" t="s">
        <v>1191</v>
      </c>
      <c r="H707">
        <v>3</v>
      </c>
      <c r="I707" t="s">
        <v>2046</v>
      </c>
      <c r="J707" t="s">
        <v>2047</v>
      </c>
      <c r="K707" t="s">
        <v>2048</v>
      </c>
    </row>
    <row r="708" spans="1:11" hidden="1">
      <c r="A708" t="str">
        <f t="shared" si="22"/>
        <v>K</v>
      </c>
      <c r="B708" t="str">
        <f t="shared" ref="B708:B771" si="23">LEFT(C708,2)</f>
        <v>K6</v>
      </c>
      <c r="C708" s="568" t="s">
        <v>2112</v>
      </c>
      <c r="D708" s="568" t="s">
        <v>2055</v>
      </c>
      <c r="E708" s="569">
        <v>15</v>
      </c>
      <c r="F708" t="s">
        <v>1609</v>
      </c>
      <c r="G708" t="s">
        <v>1191</v>
      </c>
      <c r="H708">
        <v>3</v>
      </c>
      <c r="I708" t="s">
        <v>2046</v>
      </c>
      <c r="J708" t="s">
        <v>2047</v>
      </c>
      <c r="K708" t="s">
        <v>2048</v>
      </c>
    </row>
    <row r="709" spans="1:11" hidden="1">
      <c r="A709" t="str">
        <f t="shared" si="22"/>
        <v>K</v>
      </c>
      <c r="B709" t="str">
        <f t="shared" si="23"/>
        <v>K7</v>
      </c>
      <c r="C709" s="568" t="s">
        <v>2113</v>
      </c>
      <c r="D709" s="568" t="s">
        <v>2059</v>
      </c>
      <c r="E709" s="569">
        <v>15</v>
      </c>
      <c r="F709" t="s">
        <v>1609</v>
      </c>
      <c r="G709" t="s">
        <v>1191</v>
      </c>
      <c r="H709">
        <v>1</v>
      </c>
      <c r="I709" t="s">
        <v>2046</v>
      </c>
      <c r="J709" t="s">
        <v>2047</v>
      </c>
      <c r="K709" t="s">
        <v>2048</v>
      </c>
    </row>
    <row r="710" spans="1:11" hidden="1">
      <c r="A710" t="str">
        <f t="shared" si="22"/>
        <v>K</v>
      </c>
      <c r="B710" t="str">
        <f t="shared" si="23"/>
        <v>K7</v>
      </c>
      <c r="C710" s="568" t="s">
        <v>2114</v>
      </c>
      <c r="D710" s="568" t="s">
        <v>2115</v>
      </c>
      <c r="E710" s="569">
        <v>15</v>
      </c>
      <c r="F710" t="s">
        <v>1609</v>
      </c>
      <c r="G710" t="s">
        <v>1191</v>
      </c>
      <c r="H710">
        <v>1</v>
      </c>
      <c r="I710" t="s">
        <v>2046</v>
      </c>
      <c r="J710" t="s">
        <v>2047</v>
      </c>
      <c r="K710" t="s">
        <v>2048</v>
      </c>
    </row>
    <row r="711" spans="1:11" hidden="1">
      <c r="A711" t="str">
        <f t="shared" si="22"/>
        <v>K</v>
      </c>
      <c r="B711" t="str">
        <f t="shared" si="23"/>
        <v>K7</v>
      </c>
      <c r="C711" s="568" t="s">
        <v>2116</v>
      </c>
      <c r="D711" s="568" t="s">
        <v>2059</v>
      </c>
      <c r="E711" s="569">
        <v>15</v>
      </c>
      <c r="F711" t="s">
        <v>1609</v>
      </c>
      <c r="G711" t="s">
        <v>1191</v>
      </c>
      <c r="H711">
        <v>1</v>
      </c>
      <c r="I711" t="s">
        <v>2046</v>
      </c>
      <c r="J711" t="s">
        <v>2047</v>
      </c>
      <c r="K711" t="s">
        <v>2048</v>
      </c>
    </row>
    <row r="712" spans="1:11" hidden="1">
      <c r="A712" t="str">
        <f t="shared" si="22"/>
        <v>K</v>
      </c>
      <c r="B712" t="str">
        <f t="shared" si="23"/>
        <v>K7</v>
      </c>
      <c r="C712" s="568" t="s">
        <v>2117</v>
      </c>
      <c r="D712" s="568" t="s">
        <v>2055</v>
      </c>
      <c r="E712" s="569">
        <v>15</v>
      </c>
      <c r="F712" t="s">
        <v>1609</v>
      </c>
      <c r="G712" t="s">
        <v>1191</v>
      </c>
      <c r="H712">
        <v>1</v>
      </c>
      <c r="I712" t="s">
        <v>2046</v>
      </c>
      <c r="J712" t="s">
        <v>2047</v>
      </c>
      <c r="K712" t="s">
        <v>2048</v>
      </c>
    </row>
    <row r="713" spans="1:11" hidden="1">
      <c r="A713" t="str">
        <f t="shared" si="22"/>
        <v>K</v>
      </c>
      <c r="B713" t="str">
        <f t="shared" si="23"/>
        <v>K7</v>
      </c>
      <c r="C713" s="568" t="s">
        <v>2118</v>
      </c>
      <c r="D713" s="568" t="s">
        <v>2119</v>
      </c>
      <c r="E713" s="569">
        <v>15</v>
      </c>
      <c r="F713" t="s">
        <v>1609</v>
      </c>
      <c r="G713" t="s">
        <v>1191</v>
      </c>
      <c r="H713">
        <v>1</v>
      </c>
      <c r="I713" t="s">
        <v>2046</v>
      </c>
      <c r="J713" t="s">
        <v>2047</v>
      </c>
      <c r="K713" t="s">
        <v>2048</v>
      </c>
    </row>
    <row r="714" spans="1:11" hidden="1">
      <c r="A714" t="str">
        <f t="shared" si="22"/>
        <v>K</v>
      </c>
      <c r="B714" t="str">
        <f t="shared" si="23"/>
        <v>K7</v>
      </c>
      <c r="C714" s="568" t="s">
        <v>2120</v>
      </c>
      <c r="D714" s="568" t="s">
        <v>2057</v>
      </c>
      <c r="E714" s="569">
        <v>15</v>
      </c>
      <c r="F714" t="s">
        <v>1609</v>
      </c>
      <c r="G714" t="s">
        <v>1191</v>
      </c>
      <c r="H714">
        <v>1</v>
      </c>
      <c r="I714" t="s">
        <v>2046</v>
      </c>
      <c r="J714" t="s">
        <v>2047</v>
      </c>
      <c r="K714" t="s">
        <v>2048</v>
      </c>
    </row>
    <row r="715" spans="1:11" hidden="1">
      <c r="A715" t="str">
        <f t="shared" si="22"/>
        <v>K</v>
      </c>
      <c r="B715" t="str">
        <f t="shared" si="23"/>
        <v>K7</v>
      </c>
      <c r="C715" s="568" t="s">
        <v>2121</v>
      </c>
      <c r="D715" s="568" t="s">
        <v>2122</v>
      </c>
      <c r="E715" s="569">
        <v>15</v>
      </c>
      <c r="F715" t="s">
        <v>1609</v>
      </c>
      <c r="G715" t="s">
        <v>1191</v>
      </c>
      <c r="H715">
        <v>1</v>
      </c>
      <c r="I715" t="s">
        <v>2046</v>
      </c>
      <c r="J715" t="s">
        <v>2047</v>
      </c>
      <c r="K715" t="s">
        <v>2048</v>
      </c>
    </row>
    <row r="716" spans="1:11" hidden="1">
      <c r="A716" t="str">
        <f t="shared" si="22"/>
        <v>K</v>
      </c>
      <c r="B716" t="str">
        <f t="shared" si="23"/>
        <v>K7</v>
      </c>
      <c r="C716" s="568" t="s">
        <v>2123</v>
      </c>
      <c r="D716" s="568" t="s">
        <v>2057</v>
      </c>
      <c r="E716" s="569">
        <v>15</v>
      </c>
      <c r="F716" t="s">
        <v>1609</v>
      </c>
      <c r="G716" t="s">
        <v>1191</v>
      </c>
      <c r="H716">
        <v>1</v>
      </c>
      <c r="I716" t="s">
        <v>2046</v>
      </c>
      <c r="J716" t="s">
        <v>2047</v>
      </c>
      <c r="K716" t="s">
        <v>2048</v>
      </c>
    </row>
    <row r="717" spans="1:11" hidden="1">
      <c r="A717" t="str">
        <f t="shared" si="22"/>
        <v>K</v>
      </c>
      <c r="B717" t="str">
        <f t="shared" si="23"/>
        <v>K7</v>
      </c>
      <c r="C717" s="568" t="s">
        <v>2124</v>
      </c>
      <c r="D717" s="568" t="s">
        <v>2057</v>
      </c>
      <c r="E717" s="569">
        <v>15</v>
      </c>
      <c r="F717" t="s">
        <v>1609</v>
      </c>
      <c r="G717" t="s">
        <v>1191</v>
      </c>
      <c r="H717">
        <v>1</v>
      </c>
      <c r="I717" t="s">
        <v>2046</v>
      </c>
      <c r="J717" t="s">
        <v>2047</v>
      </c>
      <c r="K717" t="s">
        <v>2048</v>
      </c>
    </row>
    <row r="718" spans="1:11" hidden="1">
      <c r="A718" t="str">
        <f t="shared" si="22"/>
        <v>K</v>
      </c>
      <c r="B718" t="str">
        <f t="shared" si="23"/>
        <v>K7</v>
      </c>
      <c r="C718" s="568" t="s">
        <v>2125</v>
      </c>
      <c r="D718" s="568" t="s">
        <v>2122</v>
      </c>
      <c r="E718" s="569">
        <v>15</v>
      </c>
      <c r="F718" t="s">
        <v>1609</v>
      </c>
      <c r="G718" t="s">
        <v>1191</v>
      </c>
      <c r="H718">
        <v>1</v>
      </c>
      <c r="I718" t="s">
        <v>2046</v>
      </c>
      <c r="J718" t="s">
        <v>2047</v>
      </c>
      <c r="K718" t="s">
        <v>2048</v>
      </c>
    </row>
    <row r="719" spans="1:11" hidden="1">
      <c r="A719" t="str">
        <f t="shared" si="22"/>
        <v>K</v>
      </c>
      <c r="B719" t="str">
        <f t="shared" si="23"/>
        <v>K7</v>
      </c>
      <c r="C719" s="568" t="s">
        <v>2126</v>
      </c>
      <c r="D719" s="568" t="s">
        <v>2059</v>
      </c>
      <c r="E719" s="569">
        <v>15</v>
      </c>
      <c r="F719" t="s">
        <v>1609</v>
      </c>
      <c r="G719" t="s">
        <v>1191</v>
      </c>
      <c r="H719">
        <v>1</v>
      </c>
      <c r="I719" t="s">
        <v>2046</v>
      </c>
      <c r="J719" t="s">
        <v>2047</v>
      </c>
      <c r="K719" t="s">
        <v>2048</v>
      </c>
    </row>
    <row r="720" spans="1:11" hidden="1">
      <c r="A720" t="str">
        <f t="shared" si="22"/>
        <v>K</v>
      </c>
      <c r="B720" t="str">
        <f t="shared" si="23"/>
        <v>K7</v>
      </c>
      <c r="C720" s="568" t="s">
        <v>2127</v>
      </c>
      <c r="D720" s="568" t="s">
        <v>2053</v>
      </c>
      <c r="E720" s="569">
        <v>15</v>
      </c>
      <c r="F720" t="s">
        <v>1609</v>
      </c>
      <c r="G720" t="s">
        <v>1191</v>
      </c>
      <c r="H720">
        <v>1</v>
      </c>
      <c r="I720" t="s">
        <v>2046</v>
      </c>
      <c r="J720" t="s">
        <v>2047</v>
      </c>
      <c r="K720" t="s">
        <v>2048</v>
      </c>
    </row>
    <row r="721" spans="1:11" hidden="1">
      <c r="A721" t="str">
        <f t="shared" si="22"/>
        <v>K</v>
      </c>
      <c r="B721" t="str">
        <f t="shared" si="23"/>
        <v>K8</v>
      </c>
      <c r="C721" s="568" t="s">
        <v>2128</v>
      </c>
      <c r="D721" s="568" t="s">
        <v>2055</v>
      </c>
      <c r="E721" s="569">
        <v>15</v>
      </c>
      <c r="F721" t="s">
        <v>1609</v>
      </c>
      <c r="G721" t="s">
        <v>1191</v>
      </c>
      <c r="H721">
        <v>1</v>
      </c>
      <c r="I721" t="s">
        <v>2046</v>
      </c>
      <c r="J721" t="s">
        <v>2047</v>
      </c>
      <c r="K721" t="s">
        <v>2048</v>
      </c>
    </row>
    <row r="722" spans="1:11" hidden="1">
      <c r="A722" t="str">
        <f t="shared" si="22"/>
        <v>K</v>
      </c>
      <c r="B722" t="str">
        <f t="shared" si="23"/>
        <v>K8</v>
      </c>
      <c r="C722" s="568" t="s">
        <v>2129</v>
      </c>
      <c r="D722" s="568" t="s">
        <v>2055</v>
      </c>
      <c r="E722" s="569">
        <v>15</v>
      </c>
      <c r="F722" t="s">
        <v>1609</v>
      </c>
      <c r="G722" t="s">
        <v>1191</v>
      </c>
      <c r="H722">
        <v>1</v>
      </c>
      <c r="I722" t="s">
        <v>2046</v>
      </c>
      <c r="J722" t="s">
        <v>2047</v>
      </c>
      <c r="K722" t="s">
        <v>2048</v>
      </c>
    </row>
    <row r="723" spans="1:11" hidden="1">
      <c r="A723" t="str">
        <f t="shared" si="22"/>
        <v>K</v>
      </c>
      <c r="B723" t="str">
        <f t="shared" si="23"/>
        <v>K8</v>
      </c>
      <c r="C723" s="568" t="s">
        <v>2130</v>
      </c>
      <c r="D723" s="568" t="s">
        <v>2055</v>
      </c>
      <c r="E723" s="569">
        <v>15</v>
      </c>
      <c r="F723" t="s">
        <v>1609</v>
      </c>
      <c r="G723" t="s">
        <v>1191</v>
      </c>
      <c r="H723">
        <v>1</v>
      </c>
      <c r="I723" t="s">
        <v>2046</v>
      </c>
      <c r="J723" t="s">
        <v>2047</v>
      </c>
      <c r="K723" t="s">
        <v>2048</v>
      </c>
    </row>
    <row r="724" spans="1:11" hidden="1">
      <c r="A724" t="str">
        <f t="shared" si="22"/>
        <v>K</v>
      </c>
      <c r="B724" t="str">
        <f t="shared" si="23"/>
        <v>K8</v>
      </c>
      <c r="C724" s="568" t="s">
        <v>2131</v>
      </c>
      <c r="D724" s="568" t="s">
        <v>2057</v>
      </c>
      <c r="E724" s="569">
        <v>15</v>
      </c>
      <c r="F724" t="s">
        <v>1609</v>
      </c>
      <c r="G724" t="s">
        <v>1191</v>
      </c>
      <c r="H724">
        <v>1</v>
      </c>
      <c r="I724" t="s">
        <v>2046</v>
      </c>
      <c r="J724" t="s">
        <v>2047</v>
      </c>
      <c r="K724" t="s">
        <v>2048</v>
      </c>
    </row>
    <row r="725" spans="1:11" hidden="1">
      <c r="A725" t="str">
        <f t="shared" si="22"/>
        <v>K</v>
      </c>
      <c r="B725" t="str">
        <f t="shared" si="23"/>
        <v>K8</v>
      </c>
      <c r="C725" s="568" t="s">
        <v>2132</v>
      </c>
      <c r="D725" s="568" t="s">
        <v>2057</v>
      </c>
      <c r="E725" s="569">
        <v>15</v>
      </c>
      <c r="F725" t="s">
        <v>1609</v>
      </c>
      <c r="G725" t="s">
        <v>1191</v>
      </c>
      <c r="H725">
        <v>1</v>
      </c>
      <c r="I725" t="s">
        <v>2046</v>
      </c>
      <c r="J725" t="s">
        <v>2047</v>
      </c>
      <c r="K725" t="s">
        <v>2048</v>
      </c>
    </row>
    <row r="726" spans="1:11" hidden="1">
      <c r="A726" t="str">
        <f t="shared" si="22"/>
        <v>K</v>
      </c>
      <c r="B726" t="str">
        <f t="shared" si="23"/>
        <v>K8</v>
      </c>
      <c r="C726" s="568" t="s">
        <v>2133</v>
      </c>
      <c r="D726" s="568" t="s">
        <v>2057</v>
      </c>
      <c r="E726" s="569">
        <v>15</v>
      </c>
      <c r="F726" t="s">
        <v>1609</v>
      </c>
      <c r="G726" t="s">
        <v>1191</v>
      </c>
      <c r="H726">
        <v>1</v>
      </c>
      <c r="I726" t="s">
        <v>2046</v>
      </c>
      <c r="J726" t="s">
        <v>2047</v>
      </c>
      <c r="K726" t="s">
        <v>2048</v>
      </c>
    </row>
    <row r="727" spans="1:11" hidden="1">
      <c r="A727" t="str">
        <f t="shared" si="22"/>
        <v>K</v>
      </c>
      <c r="B727" t="str">
        <f t="shared" si="23"/>
        <v>K8</v>
      </c>
      <c r="C727" s="568" t="s">
        <v>2134</v>
      </c>
      <c r="D727" s="568" t="s">
        <v>2057</v>
      </c>
      <c r="E727" s="569">
        <v>15</v>
      </c>
      <c r="F727" t="s">
        <v>1609</v>
      </c>
      <c r="G727" t="s">
        <v>1191</v>
      </c>
      <c r="H727">
        <v>1</v>
      </c>
      <c r="I727" t="s">
        <v>2046</v>
      </c>
      <c r="J727" t="s">
        <v>2047</v>
      </c>
      <c r="K727" t="s">
        <v>2048</v>
      </c>
    </row>
    <row r="728" spans="1:11" hidden="1">
      <c r="A728" t="str">
        <f t="shared" si="22"/>
        <v>K</v>
      </c>
      <c r="B728" t="str">
        <f t="shared" si="23"/>
        <v>K9</v>
      </c>
      <c r="C728" s="568" t="s">
        <v>2135</v>
      </c>
      <c r="D728" s="568" t="s">
        <v>2057</v>
      </c>
      <c r="E728" s="569">
        <v>15</v>
      </c>
      <c r="F728" t="s">
        <v>1609</v>
      </c>
      <c r="G728" t="s">
        <v>1191</v>
      </c>
      <c r="H728">
        <v>1</v>
      </c>
      <c r="I728" t="s">
        <v>2046</v>
      </c>
      <c r="J728" t="s">
        <v>2047</v>
      </c>
      <c r="K728" t="s">
        <v>2048</v>
      </c>
    </row>
    <row r="729" spans="1:11" hidden="1">
      <c r="A729" t="str">
        <f t="shared" si="22"/>
        <v>K</v>
      </c>
      <c r="B729" t="str">
        <f t="shared" si="23"/>
        <v>K9</v>
      </c>
      <c r="C729" s="568" t="s">
        <v>2136</v>
      </c>
      <c r="D729" s="568" t="s">
        <v>2057</v>
      </c>
      <c r="E729" s="569">
        <v>15</v>
      </c>
      <c r="F729" t="s">
        <v>1609</v>
      </c>
      <c r="G729" t="s">
        <v>1191</v>
      </c>
      <c r="H729">
        <v>1</v>
      </c>
      <c r="I729" t="s">
        <v>2046</v>
      </c>
      <c r="J729" t="s">
        <v>2047</v>
      </c>
      <c r="K729" t="s">
        <v>2048</v>
      </c>
    </row>
    <row r="730" spans="1:11" hidden="1">
      <c r="A730" t="str">
        <f t="shared" si="22"/>
        <v>K</v>
      </c>
      <c r="B730" t="str">
        <f t="shared" si="23"/>
        <v>K9</v>
      </c>
      <c r="C730" s="568" t="s">
        <v>2137</v>
      </c>
      <c r="D730" s="568" t="s">
        <v>2057</v>
      </c>
      <c r="E730" s="569">
        <v>15</v>
      </c>
      <c r="F730" t="s">
        <v>1609</v>
      </c>
      <c r="G730" t="s">
        <v>1191</v>
      </c>
      <c r="H730">
        <v>1</v>
      </c>
      <c r="I730" t="s">
        <v>2046</v>
      </c>
      <c r="J730" t="s">
        <v>2047</v>
      </c>
      <c r="K730" t="s">
        <v>2048</v>
      </c>
    </row>
    <row r="731" spans="1:11" hidden="1">
      <c r="A731" t="str">
        <f t="shared" si="22"/>
        <v>K</v>
      </c>
      <c r="B731" t="str">
        <f t="shared" si="23"/>
        <v>K9</v>
      </c>
      <c r="C731" s="568" t="s">
        <v>2138</v>
      </c>
      <c r="D731" s="568" t="s">
        <v>2057</v>
      </c>
      <c r="E731" s="569">
        <v>15</v>
      </c>
      <c r="F731" t="s">
        <v>1609</v>
      </c>
      <c r="G731" t="s">
        <v>1191</v>
      </c>
      <c r="H731">
        <v>1</v>
      </c>
      <c r="I731" t="s">
        <v>2046</v>
      </c>
      <c r="J731" t="s">
        <v>2047</v>
      </c>
      <c r="K731" t="s">
        <v>2048</v>
      </c>
    </row>
    <row r="732" spans="1:11" hidden="1">
      <c r="A732" t="str">
        <f t="shared" si="22"/>
        <v>K</v>
      </c>
      <c r="B732" t="str">
        <f t="shared" si="23"/>
        <v>K9</v>
      </c>
      <c r="C732" s="568" t="s">
        <v>2139</v>
      </c>
      <c r="D732" s="568" t="s">
        <v>2063</v>
      </c>
      <c r="E732" s="569">
        <v>15</v>
      </c>
      <c r="F732" t="s">
        <v>1609</v>
      </c>
      <c r="G732" t="s">
        <v>1191</v>
      </c>
      <c r="H732">
        <v>1</v>
      </c>
      <c r="I732" t="s">
        <v>2046</v>
      </c>
      <c r="J732" t="s">
        <v>2047</v>
      </c>
      <c r="K732" t="s">
        <v>2048</v>
      </c>
    </row>
    <row r="733" spans="1:11" hidden="1">
      <c r="A733" t="str">
        <f t="shared" si="22"/>
        <v>K</v>
      </c>
      <c r="B733" t="str">
        <f t="shared" si="23"/>
        <v>K9</v>
      </c>
      <c r="C733" s="568" t="s">
        <v>2140</v>
      </c>
      <c r="D733" s="568" t="s">
        <v>2057</v>
      </c>
      <c r="E733" s="569">
        <v>15</v>
      </c>
      <c r="F733" t="s">
        <v>1609</v>
      </c>
      <c r="G733" t="s">
        <v>1191</v>
      </c>
      <c r="H733">
        <v>1</v>
      </c>
      <c r="I733" t="s">
        <v>2046</v>
      </c>
      <c r="J733" t="s">
        <v>2047</v>
      </c>
      <c r="K733" t="s">
        <v>2048</v>
      </c>
    </row>
    <row r="734" spans="1:11" hidden="1">
      <c r="A734" t="str">
        <f t="shared" si="22"/>
        <v>L</v>
      </c>
      <c r="B734" t="str">
        <f t="shared" si="23"/>
        <v>L0</v>
      </c>
      <c r="C734" s="568" t="s">
        <v>2141</v>
      </c>
      <c r="D734" s="568" t="s">
        <v>2057</v>
      </c>
      <c r="E734" s="569">
        <v>15</v>
      </c>
      <c r="F734" t="s">
        <v>1609</v>
      </c>
      <c r="G734" t="s">
        <v>1191</v>
      </c>
      <c r="H734">
        <v>1</v>
      </c>
      <c r="I734" t="s">
        <v>2046</v>
      </c>
      <c r="J734" t="s">
        <v>2047</v>
      </c>
      <c r="K734" t="s">
        <v>2048</v>
      </c>
    </row>
    <row r="735" spans="1:11" hidden="1">
      <c r="A735" t="str">
        <f t="shared" si="22"/>
        <v>L</v>
      </c>
      <c r="B735" t="str">
        <f t="shared" si="23"/>
        <v>L0</v>
      </c>
      <c r="C735" s="568" t="s">
        <v>2142</v>
      </c>
      <c r="D735" s="568" t="s">
        <v>2057</v>
      </c>
      <c r="E735" s="569">
        <v>15</v>
      </c>
      <c r="F735" t="s">
        <v>1609</v>
      </c>
      <c r="G735" t="s">
        <v>1191</v>
      </c>
      <c r="H735">
        <v>1</v>
      </c>
      <c r="I735" t="s">
        <v>2046</v>
      </c>
      <c r="J735" t="s">
        <v>2047</v>
      </c>
      <c r="K735" t="s">
        <v>2048</v>
      </c>
    </row>
    <row r="736" spans="1:11" hidden="1">
      <c r="A736" t="str">
        <f t="shared" si="22"/>
        <v>L</v>
      </c>
      <c r="B736" t="str">
        <f t="shared" si="23"/>
        <v>L0</v>
      </c>
      <c r="C736" s="568" t="s">
        <v>2143</v>
      </c>
      <c r="D736" s="568" t="s">
        <v>2057</v>
      </c>
      <c r="E736" s="569">
        <v>15</v>
      </c>
      <c r="F736" t="s">
        <v>1609</v>
      </c>
      <c r="G736" t="s">
        <v>1191</v>
      </c>
      <c r="H736">
        <v>1</v>
      </c>
      <c r="I736" t="s">
        <v>2046</v>
      </c>
      <c r="J736" t="s">
        <v>2047</v>
      </c>
      <c r="K736" t="s">
        <v>2048</v>
      </c>
    </row>
    <row r="737" spans="1:11" hidden="1">
      <c r="A737" t="str">
        <f t="shared" si="22"/>
        <v>L</v>
      </c>
      <c r="B737" t="str">
        <f t="shared" si="23"/>
        <v>L0</v>
      </c>
      <c r="C737" s="568" t="s">
        <v>2144</v>
      </c>
      <c r="D737" s="568" t="s">
        <v>2063</v>
      </c>
      <c r="E737" s="569">
        <v>15</v>
      </c>
      <c r="F737" t="s">
        <v>1609</v>
      </c>
      <c r="G737" t="s">
        <v>1191</v>
      </c>
      <c r="H737">
        <v>1</v>
      </c>
      <c r="I737" t="s">
        <v>2046</v>
      </c>
      <c r="J737" t="s">
        <v>2047</v>
      </c>
      <c r="K737" t="s">
        <v>2048</v>
      </c>
    </row>
    <row r="738" spans="1:11" hidden="1">
      <c r="A738" t="str">
        <f t="shared" si="22"/>
        <v>L</v>
      </c>
      <c r="B738" t="str">
        <f t="shared" si="23"/>
        <v>L0</v>
      </c>
      <c r="C738" s="568" t="s">
        <v>2145</v>
      </c>
      <c r="D738" s="568" t="s">
        <v>2057</v>
      </c>
      <c r="E738" s="569">
        <v>15</v>
      </c>
      <c r="F738" t="s">
        <v>1609</v>
      </c>
      <c r="G738" t="s">
        <v>1191</v>
      </c>
      <c r="H738">
        <v>1</v>
      </c>
      <c r="I738" t="s">
        <v>2046</v>
      </c>
      <c r="J738" t="s">
        <v>2047</v>
      </c>
      <c r="K738" t="s">
        <v>2048</v>
      </c>
    </row>
    <row r="739" spans="1:11" hidden="1">
      <c r="A739" t="str">
        <f t="shared" si="22"/>
        <v>L</v>
      </c>
      <c r="B739" t="str">
        <f t="shared" si="23"/>
        <v>L0</v>
      </c>
      <c r="C739" s="568" t="s">
        <v>2146</v>
      </c>
      <c r="D739" s="568" t="s">
        <v>2122</v>
      </c>
      <c r="E739" s="569">
        <v>15</v>
      </c>
      <c r="F739" t="s">
        <v>1609</v>
      </c>
      <c r="G739" t="s">
        <v>1191</v>
      </c>
      <c r="H739">
        <v>1</v>
      </c>
      <c r="I739" t="s">
        <v>2046</v>
      </c>
      <c r="J739" t="s">
        <v>2047</v>
      </c>
      <c r="K739" t="s">
        <v>2048</v>
      </c>
    </row>
    <row r="740" spans="1:11" hidden="1">
      <c r="A740" t="str">
        <f t="shared" si="22"/>
        <v>L</v>
      </c>
      <c r="B740" t="str">
        <f t="shared" si="23"/>
        <v>L0</v>
      </c>
      <c r="C740" s="568" t="s">
        <v>2147</v>
      </c>
      <c r="D740" s="568" t="s">
        <v>2057</v>
      </c>
      <c r="E740" s="569">
        <v>15</v>
      </c>
      <c r="F740" t="s">
        <v>1609</v>
      </c>
      <c r="G740" t="s">
        <v>1191</v>
      </c>
      <c r="H740">
        <v>1</v>
      </c>
      <c r="I740" t="s">
        <v>2046</v>
      </c>
      <c r="J740" t="s">
        <v>2047</v>
      </c>
      <c r="K740" t="s">
        <v>2048</v>
      </c>
    </row>
    <row r="741" spans="1:11" hidden="1">
      <c r="A741" t="str">
        <f t="shared" si="22"/>
        <v>L</v>
      </c>
      <c r="B741" t="str">
        <f t="shared" si="23"/>
        <v>L0</v>
      </c>
      <c r="C741" s="568" t="s">
        <v>2148</v>
      </c>
      <c r="D741" s="568" t="s">
        <v>2063</v>
      </c>
      <c r="E741" s="569">
        <v>15</v>
      </c>
      <c r="F741" t="s">
        <v>1609</v>
      </c>
      <c r="G741" t="s">
        <v>1191</v>
      </c>
      <c r="H741">
        <v>1</v>
      </c>
      <c r="I741" t="s">
        <v>2046</v>
      </c>
      <c r="J741" t="s">
        <v>2047</v>
      </c>
      <c r="K741" t="s">
        <v>2048</v>
      </c>
    </row>
    <row r="742" spans="1:11" hidden="1">
      <c r="A742" t="str">
        <f t="shared" si="22"/>
        <v>L</v>
      </c>
      <c r="B742" t="str">
        <f t="shared" si="23"/>
        <v>L0</v>
      </c>
      <c r="C742" s="568" t="s">
        <v>2149</v>
      </c>
      <c r="D742" s="568" t="s">
        <v>2057</v>
      </c>
      <c r="E742" s="569">
        <v>15</v>
      </c>
      <c r="F742" t="s">
        <v>1609</v>
      </c>
      <c r="G742" t="s">
        <v>1191</v>
      </c>
      <c r="H742">
        <v>1</v>
      </c>
      <c r="I742" t="s">
        <v>2046</v>
      </c>
      <c r="J742" t="s">
        <v>2047</v>
      </c>
      <c r="K742" t="s">
        <v>2048</v>
      </c>
    </row>
    <row r="743" spans="1:11" hidden="1">
      <c r="A743" t="str">
        <f t="shared" si="22"/>
        <v>L</v>
      </c>
      <c r="B743" t="str">
        <f t="shared" si="23"/>
        <v>L0</v>
      </c>
      <c r="C743" s="568" t="s">
        <v>2150</v>
      </c>
      <c r="D743" s="568" t="s">
        <v>2063</v>
      </c>
      <c r="E743" s="569">
        <v>15</v>
      </c>
      <c r="F743" t="s">
        <v>1609</v>
      </c>
      <c r="G743" t="s">
        <v>1191</v>
      </c>
      <c r="H743">
        <v>1</v>
      </c>
      <c r="I743" t="s">
        <v>2046</v>
      </c>
      <c r="J743" t="s">
        <v>2047</v>
      </c>
      <c r="K743" t="s">
        <v>2048</v>
      </c>
    </row>
    <row r="744" spans="1:11" hidden="1">
      <c r="A744" t="str">
        <f t="shared" si="22"/>
        <v>L</v>
      </c>
      <c r="B744" t="str">
        <f t="shared" si="23"/>
        <v>L0</v>
      </c>
      <c r="C744" s="568" t="s">
        <v>2151</v>
      </c>
      <c r="D744" s="568" t="s">
        <v>2057</v>
      </c>
      <c r="E744" s="569">
        <v>15</v>
      </c>
      <c r="F744" t="s">
        <v>1609</v>
      </c>
      <c r="G744" t="s">
        <v>1191</v>
      </c>
      <c r="H744">
        <v>1</v>
      </c>
      <c r="I744" t="s">
        <v>2046</v>
      </c>
      <c r="J744" t="s">
        <v>2047</v>
      </c>
      <c r="K744" t="s">
        <v>2048</v>
      </c>
    </row>
    <row r="745" spans="1:11" hidden="1">
      <c r="A745" t="str">
        <f t="shared" si="22"/>
        <v>L</v>
      </c>
      <c r="B745" t="str">
        <f t="shared" si="23"/>
        <v>L0</v>
      </c>
      <c r="C745" s="568" t="s">
        <v>2152</v>
      </c>
      <c r="D745" s="568" t="s">
        <v>2122</v>
      </c>
      <c r="E745" s="569">
        <v>15</v>
      </c>
      <c r="F745" t="s">
        <v>1609</v>
      </c>
      <c r="G745" t="s">
        <v>1191</v>
      </c>
      <c r="H745">
        <v>1</v>
      </c>
      <c r="I745" t="s">
        <v>2046</v>
      </c>
      <c r="J745" t="s">
        <v>2047</v>
      </c>
      <c r="K745" t="s">
        <v>2048</v>
      </c>
    </row>
    <row r="746" spans="1:11" hidden="1">
      <c r="A746" t="str">
        <f t="shared" si="22"/>
        <v>L</v>
      </c>
      <c r="B746" t="str">
        <f t="shared" si="23"/>
        <v>L0</v>
      </c>
      <c r="C746" s="568" t="s">
        <v>2153</v>
      </c>
      <c r="D746" s="568" t="s">
        <v>2115</v>
      </c>
      <c r="E746" s="569">
        <v>15</v>
      </c>
      <c r="F746" t="s">
        <v>1609</v>
      </c>
      <c r="G746" t="s">
        <v>1191</v>
      </c>
      <c r="H746">
        <v>1</v>
      </c>
      <c r="I746" t="s">
        <v>2046</v>
      </c>
      <c r="J746" t="s">
        <v>2047</v>
      </c>
      <c r="K746" t="s">
        <v>2048</v>
      </c>
    </row>
    <row r="747" spans="1:11" hidden="1">
      <c r="A747" t="str">
        <f t="shared" si="22"/>
        <v>L</v>
      </c>
      <c r="B747" t="str">
        <f t="shared" si="23"/>
        <v>L0</v>
      </c>
      <c r="C747" s="568" t="s">
        <v>2154</v>
      </c>
      <c r="D747" s="568" t="s">
        <v>2059</v>
      </c>
      <c r="E747" s="569">
        <v>15</v>
      </c>
      <c r="F747" t="s">
        <v>1609</v>
      </c>
      <c r="G747" t="s">
        <v>1191</v>
      </c>
      <c r="H747">
        <v>1</v>
      </c>
      <c r="I747" t="s">
        <v>2046</v>
      </c>
      <c r="J747" t="s">
        <v>2047</v>
      </c>
      <c r="K747" t="s">
        <v>2048</v>
      </c>
    </row>
    <row r="748" spans="1:11" hidden="1">
      <c r="A748" t="str">
        <f t="shared" si="22"/>
        <v>L</v>
      </c>
      <c r="B748" t="str">
        <f t="shared" si="23"/>
        <v>L1</v>
      </c>
      <c r="C748" s="568" t="s">
        <v>25</v>
      </c>
      <c r="D748" s="568" t="s">
        <v>2057</v>
      </c>
      <c r="E748" s="569">
        <v>15</v>
      </c>
      <c r="F748" t="s">
        <v>1609</v>
      </c>
      <c r="G748" t="s">
        <v>1191</v>
      </c>
      <c r="H748">
        <v>1</v>
      </c>
      <c r="I748" t="s">
        <v>2046</v>
      </c>
      <c r="J748" t="s">
        <v>2047</v>
      </c>
      <c r="K748" t="s">
        <v>2048</v>
      </c>
    </row>
    <row r="749" spans="1:11" hidden="1">
      <c r="A749" t="str">
        <f t="shared" si="22"/>
        <v>L</v>
      </c>
      <c r="B749" t="str">
        <f t="shared" si="23"/>
        <v>L1</v>
      </c>
      <c r="C749" s="568" t="s">
        <v>2155</v>
      </c>
      <c r="D749" s="568" t="s">
        <v>2057</v>
      </c>
      <c r="E749" s="569">
        <v>15</v>
      </c>
      <c r="F749" t="s">
        <v>1609</v>
      </c>
      <c r="G749" t="s">
        <v>1191</v>
      </c>
      <c r="H749">
        <v>1</v>
      </c>
      <c r="I749" t="s">
        <v>2046</v>
      </c>
      <c r="J749" t="s">
        <v>2047</v>
      </c>
      <c r="K749" t="s">
        <v>2048</v>
      </c>
    </row>
    <row r="750" spans="1:11" hidden="1">
      <c r="A750" t="str">
        <f t="shared" si="22"/>
        <v>L</v>
      </c>
      <c r="B750" t="str">
        <f t="shared" si="23"/>
        <v>L1</v>
      </c>
      <c r="C750" s="568" t="s">
        <v>2156</v>
      </c>
      <c r="D750" s="568" t="s">
        <v>2057</v>
      </c>
      <c r="E750" s="569">
        <v>15</v>
      </c>
      <c r="F750" t="s">
        <v>1609</v>
      </c>
      <c r="G750" t="s">
        <v>1191</v>
      </c>
      <c r="H750">
        <v>1</v>
      </c>
      <c r="I750" t="s">
        <v>2046</v>
      </c>
      <c r="J750" t="s">
        <v>2047</v>
      </c>
      <c r="K750" t="s">
        <v>2048</v>
      </c>
    </row>
    <row r="751" spans="1:11" hidden="1">
      <c r="A751" t="str">
        <f t="shared" si="22"/>
        <v>L</v>
      </c>
      <c r="B751" t="str">
        <f t="shared" si="23"/>
        <v>L1</v>
      </c>
      <c r="C751" s="568" t="s">
        <v>2157</v>
      </c>
      <c r="D751" s="568" t="s">
        <v>2057</v>
      </c>
      <c r="E751" s="569">
        <v>15</v>
      </c>
      <c r="F751" t="s">
        <v>1609</v>
      </c>
      <c r="G751" t="s">
        <v>1191</v>
      </c>
      <c r="H751">
        <v>1</v>
      </c>
      <c r="I751" t="s">
        <v>2046</v>
      </c>
      <c r="J751" t="s">
        <v>2047</v>
      </c>
      <c r="K751" t="s">
        <v>2048</v>
      </c>
    </row>
    <row r="752" spans="1:11" hidden="1">
      <c r="A752" t="str">
        <f t="shared" si="22"/>
        <v>L</v>
      </c>
      <c r="B752" t="str">
        <f t="shared" si="23"/>
        <v>L1</v>
      </c>
      <c r="C752" s="568" t="s">
        <v>2158</v>
      </c>
      <c r="D752" s="568" t="s">
        <v>2122</v>
      </c>
      <c r="E752" s="569">
        <v>15</v>
      </c>
      <c r="F752" t="s">
        <v>1609</v>
      </c>
      <c r="G752" t="s">
        <v>1191</v>
      </c>
      <c r="H752">
        <v>1</v>
      </c>
      <c r="I752" t="s">
        <v>2046</v>
      </c>
      <c r="J752" t="s">
        <v>2047</v>
      </c>
      <c r="K752" t="s">
        <v>2048</v>
      </c>
    </row>
    <row r="753" spans="1:11" hidden="1">
      <c r="A753" t="str">
        <f t="shared" si="22"/>
        <v>L</v>
      </c>
      <c r="B753" t="str">
        <f t="shared" si="23"/>
        <v>L1</v>
      </c>
      <c r="C753" s="568" t="s">
        <v>2159</v>
      </c>
      <c r="D753" s="568" t="s">
        <v>2057</v>
      </c>
      <c r="E753" s="569">
        <v>15</v>
      </c>
      <c r="F753" t="s">
        <v>1609</v>
      </c>
      <c r="G753" t="s">
        <v>1191</v>
      </c>
      <c r="H753">
        <v>1</v>
      </c>
      <c r="I753" t="s">
        <v>2046</v>
      </c>
      <c r="J753" t="s">
        <v>2047</v>
      </c>
      <c r="K753" t="s">
        <v>2048</v>
      </c>
    </row>
    <row r="754" spans="1:11" hidden="1">
      <c r="A754" t="str">
        <f t="shared" si="22"/>
        <v>L</v>
      </c>
      <c r="B754" t="str">
        <f t="shared" si="23"/>
        <v>L1</v>
      </c>
      <c r="C754" s="568" t="s">
        <v>2160</v>
      </c>
      <c r="D754" s="568" t="s">
        <v>2122</v>
      </c>
      <c r="E754" s="569">
        <v>15</v>
      </c>
      <c r="F754" t="s">
        <v>1609</v>
      </c>
      <c r="G754" t="s">
        <v>1191</v>
      </c>
      <c r="H754">
        <v>1</v>
      </c>
      <c r="I754" t="s">
        <v>2046</v>
      </c>
      <c r="J754" t="s">
        <v>2047</v>
      </c>
      <c r="K754" t="s">
        <v>2048</v>
      </c>
    </row>
    <row r="755" spans="1:11" hidden="1">
      <c r="A755" t="str">
        <f t="shared" si="22"/>
        <v>L</v>
      </c>
      <c r="B755" t="str">
        <f t="shared" si="23"/>
        <v>L1</v>
      </c>
      <c r="C755" s="568" t="s">
        <v>2161</v>
      </c>
      <c r="D755" s="568" t="s">
        <v>2057</v>
      </c>
      <c r="E755" s="569">
        <v>15</v>
      </c>
      <c r="F755" t="s">
        <v>1609</v>
      </c>
      <c r="G755" t="s">
        <v>1191</v>
      </c>
      <c r="H755">
        <v>1</v>
      </c>
      <c r="I755" t="s">
        <v>2046</v>
      </c>
      <c r="J755" t="s">
        <v>2047</v>
      </c>
      <c r="K755" t="s">
        <v>2048</v>
      </c>
    </row>
    <row r="756" spans="1:11" hidden="1">
      <c r="A756" t="str">
        <f t="shared" si="22"/>
        <v>L</v>
      </c>
      <c r="B756" t="str">
        <f t="shared" si="23"/>
        <v>L1</v>
      </c>
      <c r="C756" s="568" t="s">
        <v>2162</v>
      </c>
      <c r="D756" s="568" t="s">
        <v>2122</v>
      </c>
      <c r="E756" s="569">
        <v>15</v>
      </c>
      <c r="F756" t="s">
        <v>1609</v>
      </c>
      <c r="G756" t="s">
        <v>1191</v>
      </c>
      <c r="H756">
        <v>1</v>
      </c>
      <c r="I756" t="s">
        <v>2046</v>
      </c>
      <c r="J756" t="s">
        <v>2047</v>
      </c>
      <c r="K756" t="s">
        <v>2048</v>
      </c>
    </row>
    <row r="757" spans="1:11" hidden="1">
      <c r="A757" t="str">
        <f t="shared" si="22"/>
        <v>L</v>
      </c>
      <c r="B757" t="str">
        <f t="shared" si="23"/>
        <v>L1</v>
      </c>
      <c r="C757" s="568" t="s">
        <v>2163</v>
      </c>
      <c r="D757" s="568" t="s">
        <v>2122</v>
      </c>
      <c r="E757" s="569">
        <v>15</v>
      </c>
      <c r="F757" t="s">
        <v>1609</v>
      </c>
      <c r="G757" t="s">
        <v>1191</v>
      </c>
      <c r="H757">
        <v>1</v>
      </c>
      <c r="I757" t="s">
        <v>2046</v>
      </c>
      <c r="J757" t="s">
        <v>2047</v>
      </c>
      <c r="K757" t="s">
        <v>2048</v>
      </c>
    </row>
    <row r="758" spans="1:11" hidden="1">
      <c r="A758" t="str">
        <f t="shared" si="22"/>
        <v>L</v>
      </c>
      <c r="B758" t="str">
        <f t="shared" si="23"/>
        <v>L1</v>
      </c>
      <c r="C758" s="568" t="s">
        <v>2164</v>
      </c>
      <c r="D758" s="568" t="s">
        <v>2122</v>
      </c>
      <c r="E758" s="569">
        <v>15</v>
      </c>
      <c r="F758" t="s">
        <v>1609</v>
      </c>
      <c r="G758" t="s">
        <v>1191</v>
      </c>
      <c r="H758">
        <v>1</v>
      </c>
      <c r="I758" t="s">
        <v>2046</v>
      </c>
      <c r="J758" t="s">
        <v>2047</v>
      </c>
      <c r="K758" t="s">
        <v>2048</v>
      </c>
    </row>
    <row r="759" spans="1:11" hidden="1">
      <c r="A759" t="str">
        <f t="shared" si="22"/>
        <v>L</v>
      </c>
      <c r="B759" t="str">
        <f t="shared" si="23"/>
        <v>L1</v>
      </c>
      <c r="C759" s="568" t="s">
        <v>2165</v>
      </c>
      <c r="D759" s="568" t="s">
        <v>2122</v>
      </c>
      <c r="E759" s="569">
        <v>15</v>
      </c>
      <c r="F759" t="s">
        <v>1609</v>
      </c>
      <c r="G759" t="s">
        <v>1191</v>
      </c>
      <c r="H759">
        <v>1</v>
      </c>
      <c r="I759" t="s">
        <v>2046</v>
      </c>
      <c r="J759" t="s">
        <v>2047</v>
      </c>
      <c r="K759" t="s">
        <v>2048</v>
      </c>
    </row>
    <row r="760" spans="1:11" hidden="1">
      <c r="A760" t="str">
        <f t="shared" si="22"/>
        <v>L</v>
      </c>
      <c r="B760" t="str">
        <f t="shared" si="23"/>
        <v>L1</v>
      </c>
      <c r="C760" s="568" t="s">
        <v>2166</v>
      </c>
      <c r="D760" s="568" t="s">
        <v>2122</v>
      </c>
      <c r="E760" s="569">
        <v>15</v>
      </c>
      <c r="F760" t="s">
        <v>1609</v>
      </c>
      <c r="G760" t="s">
        <v>1191</v>
      </c>
      <c r="H760">
        <v>1</v>
      </c>
      <c r="I760" t="s">
        <v>2046</v>
      </c>
      <c r="J760" t="s">
        <v>2047</v>
      </c>
      <c r="K760" t="s">
        <v>2048</v>
      </c>
    </row>
    <row r="761" spans="1:11" hidden="1">
      <c r="A761" t="str">
        <f t="shared" si="22"/>
        <v>L</v>
      </c>
      <c r="B761" t="str">
        <f t="shared" si="23"/>
        <v>L1</v>
      </c>
      <c r="C761" s="568" t="s">
        <v>2167</v>
      </c>
      <c r="D761" s="568" t="s">
        <v>2122</v>
      </c>
      <c r="E761" s="569">
        <v>15</v>
      </c>
      <c r="F761" t="s">
        <v>1609</v>
      </c>
      <c r="G761" t="s">
        <v>1191</v>
      </c>
      <c r="H761">
        <v>1</v>
      </c>
      <c r="I761" t="s">
        <v>2046</v>
      </c>
      <c r="J761" t="s">
        <v>2047</v>
      </c>
      <c r="K761" t="s">
        <v>2048</v>
      </c>
    </row>
    <row r="762" spans="1:11" hidden="1">
      <c r="A762" t="str">
        <f t="shared" si="22"/>
        <v>L</v>
      </c>
      <c r="B762" t="str">
        <f t="shared" si="23"/>
        <v>L1</v>
      </c>
      <c r="C762" s="568" t="s">
        <v>2168</v>
      </c>
      <c r="D762" s="568" t="s">
        <v>2122</v>
      </c>
      <c r="E762" s="569">
        <v>15</v>
      </c>
      <c r="F762" t="s">
        <v>1609</v>
      </c>
      <c r="G762" t="s">
        <v>1191</v>
      </c>
      <c r="H762">
        <v>1</v>
      </c>
      <c r="I762" t="s">
        <v>2046</v>
      </c>
      <c r="J762" t="s">
        <v>2047</v>
      </c>
      <c r="K762" t="s">
        <v>2048</v>
      </c>
    </row>
    <row r="763" spans="1:11" hidden="1">
      <c r="A763" t="str">
        <f t="shared" si="22"/>
        <v>L</v>
      </c>
      <c r="B763" t="str">
        <f t="shared" si="23"/>
        <v>L1</v>
      </c>
      <c r="C763" s="568" t="s">
        <v>2169</v>
      </c>
      <c r="D763" s="568" t="s">
        <v>2122</v>
      </c>
      <c r="E763" s="569">
        <v>15</v>
      </c>
      <c r="F763" t="s">
        <v>1609</v>
      </c>
      <c r="G763" t="s">
        <v>1191</v>
      </c>
      <c r="H763">
        <v>1</v>
      </c>
      <c r="I763" t="s">
        <v>2046</v>
      </c>
      <c r="J763" t="s">
        <v>2047</v>
      </c>
      <c r="K763" t="s">
        <v>2048</v>
      </c>
    </row>
    <row r="764" spans="1:11" hidden="1">
      <c r="A764" t="str">
        <f t="shared" si="22"/>
        <v>L</v>
      </c>
      <c r="B764" t="str">
        <f t="shared" si="23"/>
        <v>L1</v>
      </c>
      <c r="C764" s="568" t="s">
        <v>2170</v>
      </c>
      <c r="D764" s="568" t="s">
        <v>2122</v>
      </c>
      <c r="E764" s="569">
        <v>15</v>
      </c>
      <c r="F764" t="s">
        <v>1609</v>
      </c>
      <c r="G764" t="s">
        <v>1191</v>
      </c>
      <c r="H764">
        <v>1</v>
      </c>
      <c r="I764" t="s">
        <v>2046</v>
      </c>
      <c r="J764" t="s">
        <v>2047</v>
      </c>
      <c r="K764" t="s">
        <v>2048</v>
      </c>
    </row>
    <row r="765" spans="1:11" hidden="1">
      <c r="A765" t="str">
        <f t="shared" si="22"/>
        <v>L</v>
      </c>
      <c r="B765" t="str">
        <f t="shared" si="23"/>
        <v>L1</v>
      </c>
      <c r="C765" s="568" t="s">
        <v>2171</v>
      </c>
      <c r="D765" s="568" t="s">
        <v>2122</v>
      </c>
      <c r="E765" s="569">
        <v>15</v>
      </c>
      <c r="F765" t="s">
        <v>1609</v>
      </c>
      <c r="G765" t="s">
        <v>1191</v>
      </c>
      <c r="H765">
        <v>1</v>
      </c>
      <c r="I765" t="s">
        <v>2046</v>
      </c>
      <c r="J765" t="s">
        <v>2047</v>
      </c>
      <c r="K765" t="s">
        <v>2048</v>
      </c>
    </row>
    <row r="766" spans="1:11" hidden="1">
      <c r="A766" t="str">
        <f t="shared" si="22"/>
        <v>L</v>
      </c>
      <c r="B766" t="str">
        <f t="shared" si="23"/>
        <v>L1</v>
      </c>
      <c r="C766" s="568" t="s">
        <v>2172</v>
      </c>
      <c r="D766" s="568" t="s">
        <v>2122</v>
      </c>
      <c r="E766" s="569">
        <v>15</v>
      </c>
      <c r="F766" t="s">
        <v>1609</v>
      </c>
      <c r="G766" t="s">
        <v>1191</v>
      </c>
      <c r="H766">
        <v>1</v>
      </c>
      <c r="I766" t="s">
        <v>2046</v>
      </c>
      <c r="J766" t="s">
        <v>2047</v>
      </c>
      <c r="K766" t="s">
        <v>2048</v>
      </c>
    </row>
    <row r="767" spans="1:11" hidden="1">
      <c r="A767" t="str">
        <f t="shared" si="22"/>
        <v>L</v>
      </c>
      <c r="B767" t="str">
        <f t="shared" si="23"/>
        <v>L1</v>
      </c>
      <c r="C767" s="568" t="s">
        <v>2173</v>
      </c>
      <c r="D767" s="568" t="s">
        <v>2122</v>
      </c>
      <c r="E767" s="569">
        <v>15</v>
      </c>
      <c r="F767" t="s">
        <v>1609</v>
      </c>
      <c r="G767" t="s">
        <v>1191</v>
      </c>
      <c r="H767">
        <v>1</v>
      </c>
      <c r="I767" t="s">
        <v>2046</v>
      </c>
      <c r="J767" t="s">
        <v>2047</v>
      </c>
      <c r="K767" t="s">
        <v>2048</v>
      </c>
    </row>
    <row r="768" spans="1:11" hidden="1">
      <c r="A768" t="str">
        <f t="shared" si="22"/>
        <v>L</v>
      </c>
      <c r="B768" t="str">
        <f t="shared" si="23"/>
        <v>L2</v>
      </c>
      <c r="C768" s="568" t="s">
        <v>2174</v>
      </c>
      <c r="D768" s="568" t="s">
        <v>2059</v>
      </c>
      <c r="E768" s="569">
        <v>15</v>
      </c>
      <c r="F768" t="s">
        <v>1609</v>
      </c>
      <c r="G768" t="s">
        <v>1191</v>
      </c>
      <c r="H768">
        <v>1</v>
      </c>
      <c r="I768" t="s">
        <v>2046</v>
      </c>
      <c r="J768" t="s">
        <v>2047</v>
      </c>
      <c r="K768" t="s">
        <v>2048</v>
      </c>
    </row>
    <row r="769" spans="1:11" hidden="1">
      <c r="A769" t="str">
        <f t="shared" si="22"/>
        <v>L</v>
      </c>
      <c r="B769" t="str">
        <f t="shared" si="23"/>
        <v>L2</v>
      </c>
      <c r="C769" s="568" t="s">
        <v>2175</v>
      </c>
      <c r="D769" s="568" t="s">
        <v>2059</v>
      </c>
      <c r="E769" s="569">
        <v>15</v>
      </c>
      <c r="F769" t="s">
        <v>1609</v>
      </c>
      <c r="G769" t="s">
        <v>1191</v>
      </c>
      <c r="H769">
        <v>1</v>
      </c>
      <c r="I769" t="s">
        <v>2046</v>
      </c>
      <c r="J769" t="s">
        <v>2047</v>
      </c>
      <c r="K769" t="s">
        <v>2048</v>
      </c>
    </row>
    <row r="770" spans="1:11" hidden="1">
      <c r="A770" t="str">
        <f t="shared" si="22"/>
        <v>L</v>
      </c>
      <c r="B770" t="str">
        <f t="shared" si="23"/>
        <v>L2</v>
      </c>
      <c r="C770" s="568" t="s">
        <v>2176</v>
      </c>
      <c r="D770" s="568" t="s">
        <v>2059</v>
      </c>
      <c r="E770" s="569">
        <v>15</v>
      </c>
      <c r="F770" t="s">
        <v>1609</v>
      </c>
      <c r="G770" t="s">
        <v>1191</v>
      </c>
      <c r="H770">
        <v>1</v>
      </c>
      <c r="I770" t="s">
        <v>2046</v>
      </c>
      <c r="J770" t="s">
        <v>2047</v>
      </c>
      <c r="K770" t="s">
        <v>2048</v>
      </c>
    </row>
    <row r="771" spans="1:11" hidden="1">
      <c r="A771" t="str">
        <f t="shared" ref="A771:A834" si="24">LEFT(C771)</f>
        <v>L</v>
      </c>
      <c r="B771" t="str">
        <f t="shared" si="23"/>
        <v>L2</v>
      </c>
      <c r="C771" s="568" t="s">
        <v>2177</v>
      </c>
      <c r="D771" s="568" t="s">
        <v>2059</v>
      </c>
      <c r="E771" s="569">
        <v>15</v>
      </c>
      <c r="F771" t="s">
        <v>1609</v>
      </c>
      <c r="G771" t="s">
        <v>1191</v>
      </c>
      <c r="H771">
        <v>1</v>
      </c>
      <c r="I771" t="s">
        <v>2046</v>
      </c>
      <c r="J771" t="s">
        <v>2047</v>
      </c>
      <c r="K771" t="s">
        <v>2048</v>
      </c>
    </row>
    <row r="772" spans="1:11" hidden="1">
      <c r="A772" t="str">
        <f t="shared" si="24"/>
        <v>L</v>
      </c>
      <c r="B772" t="str">
        <f t="shared" ref="B772:B835" si="25">LEFT(C772,2)</f>
        <v>L2</v>
      </c>
      <c r="C772" s="568" t="s">
        <v>2178</v>
      </c>
      <c r="D772" s="568" t="s">
        <v>2059</v>
      </c>
      <c r="E772" s="569">
        <v>15</v>
      </c>
      <c r="F772" t="s">
        <v>1609</v>
      </c>
      <c r="G772" t="s">
        <v>1191</v>
      </c>
      <c r="H772">
        <v>1</v>
      </c>
      <c r="I772" t="s">
        <v>2046</v>
      </c>
      <c r="J772" t="s">
        <v>2047</v>
      </c>
      <c r="K772" t="s">
        <v>2048</v>
      </c>
    </row>
    <row r="773" spans="1:11" hidden="1">
      <c r="A773" t="str">
        <f t="shared" si="24"/>
        <v>L</v>
      </c>
      <c r="B773" t="str">
        <f t="shared" si="25"/>
        <v>L2</v>
      </c>
      <c r="C773" s="568" t="s">
        <v>2179</v>
      </c>
      <c r="D773" s="568" t="s">
        <v>2059</v>
      </c>
      <c r="E773" s="569">
        <v>15</v>
      </c>
      <c r="F773" t="s">
        <v>1609</v>
      </c>
      <c r="G773" t="s">
        <v>1191</v>
      </c>
      <c r="H773">
        <v>1</v>
      </c>
      <c r="I773" t="s">
        <v>2046</v>
      </c>
      <c r="J773" t="s">
        <v>2047</v>
      </c>
      <c r="K773" t="s">
        <v>2048</v>
      </c>
    </row>
    <row r="774" spans="1:11" hidden="1">
      <c r="A774" t="str">
        <f t="shared" si="24"/>
        <v>L</v>
      </c>
      <c r="B774" t="str">
        <f t="shared" si="25"/>
        <v>L2</v>
      </c>
      <c r="C774" s="568" t="s">
        <v>2180</v>
      </c>
      <c r="D774" s="568" t="s">
        <v>2059</v>
      </c>
      <c r="E774" s="569">
        <v>15</v>
      </c>
      <c r="F774" t="s">
        <v>1609</v>
      </c>
      <c r="G774" t="s">
        <v>1191</v>
      </c>
      <c r="H774">
        <v>1</v>
      </c>
      <c r="I774" t="s">
        <v>2046</v>
      </c>
      <c r="J774" t="s">
        <v>2047</v>
      </c>
      <c r="K774" t="s">
        <v>2048</v>
      </c>
    </row>
    <row r="775" spans="1:11" hidden="1">
      <c r="A775" t="str">
        <f t="shared" si="24"/>
        <v>L</v>
      </c>
      <c r="B775" t="str">
        <f t="shared" si="25"/>
        <v>L2</v>
      </c>
      <c r="C775" s="568" t="s">
        <v>2181</v>
      </c>
      <c r="D775" s="568" t="s">
        <v>2059</v>
      </c>
      <c r="E775" s="569">
        <v>15</v>
      </c>
      <c r="F775" t="s">
        <v>1609</v>
      </c>
      <c r="G775" t="s">
        <v>1191</v>
      </c>
      <c r="H775">
        <v>1</v>
      </c>
      <c r="I775" t="s">
        <v>2046</v>
      </c>
      <c r="J775" t="s">
        <v>2047</v>
      </c>
      <c r="K775" t="s">
        <v>2048</v>
      </c>
    </row>
    <row r="776" spans="1:11" hidden="1">
      <c r="A776" t="str">
        <f t="shared" si="24"/>
        <v>L</v>
      </c>
      <c r="B776" t="str">
        <f t="shared" si="25"/>
        <v>L2</v>
      </c>
      <c r="C776" s="568" t="s">
        <v>2182</v>
      </c>
      <c r="D776" s="568" t="s">
        <v>2059</v>
      </c>
      <c r="E776" s="569">
        <v>15</v>
      </c>
      <c r="F776" t="s">
        <v>1609</v>
      </c>
      <c r="G776" t="s">
        <v>1191</v>
      </c>
      <c r="H776">
        <v>1</v>
      </c>
      <c r="I776" t="s">
        <v>2046</v>
      </c>
      <c r="J776" t="s">
        <v>2047</v>
      </c>
      <c r="K776" t="s">
        <v>2048</v>
      </c>
    </row>
    <row r="777" spans="1:11" hidden="1">
      <c r="A777" t="str">
        <f t="shared" si="24"/>
        <v>L</v>
      </c>
      <c r="B777" t="str">
        <f t="shared" si="25"/>
        <v>L2</v>
      </c>
      <c r="C777" s="568" t="s">
        <v>2183</v>
      </c>
      <c r="D777" s="568" t="s">
        <v>2059</v>
      </c>
      <c r="E777" s="569">
        <v>15</v>
      </c>
      <c r="F777" t="s">
        <v>1609</v>
      </c>
      <c r="G777" t="s">
        <v>1191</v>
      </c>
      <c r="H777">
        <v>1</v>
      </c>
      <c r="I777" t="s">
        <v>2046</v>
      </c>
      <c r="J777" t="s">
        <v>2047</v>
      </c>
      <c r="K777" t="s">
        <v>2048</v>
      </c>
    </row>
    <row r="778" spans="1:11" hidden="1">
      <c r="A778" t="str">
        <f t="shared" si="24"/>
        <v>L</v>
      </c>
      <c r="B778" t="str">
        <f t="shared" si="25"/>
        <v>L2</v>
      </c>
      <c r="C778" s="568" t="s">
        <v>2184</v>
      </c>
      <c r="D778" s="568" t="s">
        <v>2059</v>
      </c>
      <c r="E778" s="569">
        <v>15</v>
      </c>
      <c r="F778" t="s">
        <v>1609</v>
      </c>
      <c r="G778" t="s">
        <v>1191</v>
      </c>
      <c r="H778">
        <v>1</v>
      </c>
      <c r="I778" t="s">
        <v>2046</v>
      </c>
      <c r="J778" t="s">
        <v>2047</v>
      </c>
      <c r="K778" t="s">
        <v>2048</v>
      </c>
    </row>
    <row r="779" spans="1:11" hidden="1">
      <c r="A779" t="str">
        <f t="shared" si="24"/>
        <v>L</v>
      </c>
      <c r="B779" t="str">
        <f t="shared" si="25"/>
        <v>L2</v>
      </c>
      <c r="C779" s="568" t="s">
        <v>2185</v>
      </c>
      <c r="D779" s="568" t="s">
        <v>2059</v>
      </c>
      <c r="E779" s="569">
        <v>15</v>
      </c>
      <c r="F779" t="s">
        <v>1609</v>
      </c>
      <c r="G779" t="s">
        <v>1191</v>
      </c>
      <c r="H779">
        <v>1</v>
      </c>
      <c r="I779" t="s">
        <v>2046</v>
      </c>
      <c r="J779" t="s">
        <v>2047</v>
      </c>
      <c r="K779" t="s">
        <v>2048</v>
      </c>
    </row>
    <row r="780" spans="1:11" hidden="1">
      <c r="A780" t="str">
        <f t="shared" si="24"/>
        <v>L</v>
      </c>
      <c r="B780" t="str">
        <f t="shared" si="25"/>
        <v>L2</v>
      </c>
      <c r="C780" s="568" t="s">
        <v>2186</v>
      </c>
      <c r="D780" s="568" t="s">
        <v>2059</v>
      </c>
      <c r="E780" s="569">
        <v>15</v>
      </c>
      <c r="F780" t="s">
        <v>1609</v>
      </c>
      <c r="G780" t="s">
        <v>1191</v>
      </c>
      <c r="H780">
        <v>1</v>
      </c>
      <c r="I780" t="s">
        <v>2046</v>
      </c>
      <c r="J780" t="s">
        <v>2047</v>
      </c>
      <c r="K780" t="s">
        <v>2048</v>
      </c>
    </row>
    <row r="781" spans="1:11" hidden="1">
      <c r="A781" t="str">
        <f t="shared" si="24"/>
        <v>L</v>
      </c>
      <c r="B781" t="str">
        <f t="shared" si="25"/>
        <v>L3</v>
      </c>
      <c r="C781" s="568" t="s">
        <v>2187</v>
      </c>
      <c r="D781" s="568" t="s">
        <v>2059</v>
      </c>
      <c r="E781" s="569">
        <v>15</v>
      </c>
      <c r="F781" t="s">
        <v>1609</v>
      </c>
      <c r="G781" t="s">
        <v>1191</v>
      </c>
      <c r="H781">
        <v>1</v>
      </c>
      <c r="I781" t="s">
        <v>2046</v>
      </c>
      <c r="J781" t="s">
        <v>2047</v>
      </c>
      <c r="K781" t="s">
        <v>2048</v>
      </c>
    </row>
    <row r="782" spans="1:11" hidden="1">
      <c r="A782" t="str">
        <f t="shared" si="24"/>
        <v>L</v>
      </c>
      <c r="B782" t="str">
        <f t="shared" si="25"/>
        <v>L3</v>
      </c>
      <c r="C782" s="568" t="s">
        <v>2188</v>
      </c>
      <c r="D782" s="568" t="s">
        <v>2059</v>
      </c>
      <c r="E782" s="569">
        <v>15</v>
      </c>
      <c r="F782" t="s">
        <v>1609</v>
      </c>
      <c r="G782" t="s">
        <v>1191</v>
      </c>
      <c r="H782">
        <v>1</v>
      </c>
      <c r="I782" t="s">
        <v>2046</v>
      </c>
      <c r="J782" t="s">
        <v>2047</v>
      </c>
      <c r="K782" t="s">
        <v>2048</v>
      </c>
    </row>
    <row r="783" spans="1:11" hidden="1">
      <c r="A783" t="str">
        <f t="shared" si="24"/>
        <v>L</v>
      </c>
      <c r="B783" t="str">
        <f t="shared" si="25"/>
        <v>L3</v>
      </c>
      <c r="C783" s="568" t="s">
        <v>2189</v>
      </c>
      <c r="D783" s="568" t="s">
        <v>2115</v>
      </c>
      <c r="E783" s="569">
        <v>15</v>
      </c>
      <c r="F783" t="s">
        <v>1609</v>
      </c>
      <c r="G783" t="s">
        <v>1191</v>
      </c>
      <c r="H783">
        <v>1</v>
      </c>
      <c r="I783" t="s">
        <v>2046</v>
      </c>
      <c r="J783" t="s">
        <v>2047</v>
      </c>
      <c r="K783" t="s">
        <v>2048</v>
      </c>
    </row>
    <row r="784" spans="1:11" hidden="1">
      <c r="A784" t="str">
        <f t="shared" si="24"/>
        <v>L</v>
      </c>
      <c r="B784" t="str">
        <f t="shared" si="25"/>
        <v>L3</v>
      </c>
      <c r="C784" s="568" t="s">
        <v>2190</v>
      </c>
      <c r="D784" s="568" t="s">
        <v>2115</v>
      </c>
      <c r="E784" s="569">
        <v>15</v>
      </c>
      <c r="F784" t="s">
        <v>1609</v>
      </c>
      <c r="G784" t="s">
        <v>1191</v>
      </c>
      <c r="H784">
        <v>1</v>
      </c>
      <c r="I784" t="s">
        <v>2046</v>
      </c>
      <c r="J784" t="s">
        <v>2047</v>
      </c>
      <c r="K784" t="s">
        <v>2048</v>
      </c>
    </row>
    <row r="785" spans="1:11" hidden="1">
      <c r="A785" t="str">
        <f t="shared" si="24"/>
        <v>L</v>
      </c>
      <c r="B785" t="str">
        <f t="shared" si="25"/>
        <v>L3</v>
      </c>
      <c r="C785" s="568" t="s">
        <v>2191</v>
      </c>
      <c r="D785" s="568" t="s">
        <v>2122</v>
      </c>
      <c r="E785" s="569">
        <v>15</v>
      </c>
      <c r="F785" t="s">
        <v>1609</v>
      </c>
      <c r="G785" t="s">
        <v>1191</v>
      </c>
      <c r="H785">
        <v>1</v>
      </c>
      <c r="I785" t="s">
        <v>2046</v>
      </c>
      <c r="J785" t="s">
        <v>2047</v>
      </c>
      <c r="K785" t="s">
        <v>2048</v>
      </c>
    </row>
    <row r="786" spans="1:11" hidden="1">
      <c r="A786" t="str">
        <f t="shared" si="24"/>
        <v>L</v>
      </c>
      <c r="B786" t="str">
        <f t="shared" si="25"/>
        <v>L3</v>
      </c>
      <c r="C786" s="568" t="s">
        <v>2192</v>
      </c>
      <c r="D786" s="568" t="s">
        <v>2122</v>
      </c>
      <c r="E786" s="569">
        <v>15</v>
      </c>
      <c r="F786" t="s">
        <v>1609</v>
      </c>
      <c r="G786" t="s">
        <v>1191</v>
      </c>
      <c r="H786">
        <v>1</v>
      </c>
      <c r="I786" t="s">
        <v>2046</v>
      </c>
      <c r="J786" t="s">
        <v>2047</v>
      </c>
      <c r="K786" t="s">
        <v>2048</v>
      </c>
    </row>
    <row r="787" spans="1:11" hidden="1">
      <c r="A787" t="str">
        <f t="shared" si="24"/>
        <v>L</v>
      </c>
      <c r="B787" t="str">
        <f t="shared" si="25"/>
        <v>L3</v>
      </c>
      <c r="C787" s="568" t="s">
        <v>2193</v>
      </c>
      <c r="D787" s="568" t="s">
        <v>2122</v>
      </c>
      <c r="E787" s="569">
        <v>15</v>
      </c>
      <c r="F787" t="s">
        <v>1609</v>
      </c>
      <c r="G787" t="s">
        <v>1191</v>
      </c>
      <c r="H787">
        <v>1</v>
      </c>
      <c r="I787" t="s">
        <v>2046</v>
      </c>
      <c r="J787" t="s">
        <v>2047</v>
      </c>
      <c r="K787" t="s">
        <v>2048</v>
      </c>
    </row>
    <row r="788" spans="1:11" hidden="1">
      <c r="A788" t="str">
        <f t="shared" si="24"/>
        <v>L</v>
      </c>
      <c r="B788" t="str">
        <f t="shared" si="25"/>
        <v>L3</v>
      </c>
      <c r="C788" s="568" t="s">
        <v>2194</v>
      </c>
      <c r="D788" s="568" t="s">
        <v>2122</v>
      </c>
      <c r="E788" s="569">
        <v>15</v>
      </c>
      <c r="F788" t="s">
        <v>1609</v>
      </c>
      <c r="G788" t="s">
        <v>1191</v>
      </c>
      <c r="H788">
        <v>1</v>
      </c>
      <c r="I788" t="s">
        <v>2046</v>
      </c>
      <c r="J788" t="s">
        <v>2047</v>
      </c>
      <c r="K788" t="s">
        <v>2048</v>
      </c>
    </row>
    <row r="789" spans="1:11" hidden="1">
      <c r="A789" t="str">
        <f t="shared" si="24"/>
        <v>L</v>
      </c>
      <c r="B789" t="str">
        <f t="shared" si="25"/>
        <v>L3</v>
      </c>
      <c r="C789" s="568" t="s">
        <v>2195</v>
      </c>
      <c r="D789" s="568" t="s">
        <v>2063</v>
      </c>
      <c r="E789" s="569">
        <v>15</v>
      </c>
      <c r="F789" t="s">
        <v>1609</v>
      </c>
      <c r="G789" t="s">
        <v>1191</v>
      </c>
      <c r="H789">
        <v>1</v>
      </c>
      <c r="I789" t="s">
        <v>2046</v>
      </c>
      <c r="J789" t="s">
        <v>2047</v>
      </c>
      <c r="K789" t="s">
        <v>2048</v>
      </c>
    </row>
    <row r="790" spans="1:11" hidden="1">
      <c r="A790" t="str">
        <f t="shared" si="24"/>
        <v>L</v>
      </c>
      <c r="B790" t="str">
        <f t="shared" si="25"/>
        <v>L3</v>
      </c>
      <c r="C790" s="568" t="s">
        <v>2196</v>
      </c>
      <c r="D790" s="568" t="s">
        <v>2057</v>
      </c>
      <c r="E790" s="569">
        <v>15</v>
      </c>
      <c r="F790" t="s">
        <v>1609</v>
      </c>
      <c r="G790" t="s">
        <v>1191</v>
      </c>
      <c r="H790">
        <v>1</v>
      </c>
      <c r="I790" t="s">
        <v>2046</v>
      </c>
      <c r="J790" t="s">
        <v>2047</v>
      </c>
      <c r="K790" t="s">
        <v>2048</v>
      </c>
    </row>
    <row r="791" spans="1:11" hidden="1">
      <c r="A791" t="str">
        <f t="shared" si="24"/>
        <v>L</v>
      </c>
      <c r="B791" t="str">
        <f t="shared" si="25"/>
        <v>L3</v>
      </c>
      <c r="C791" s="568" t="s">
        <v>2197</v>
      </c>
      <c r="D791" s="568" t="s">
        <v>2057</v>
      </c>
      <c r="E791" s="569">
        <v>15</v>
      </c>
      <c r="F791" t="s">
        <v>1609</v>
      </c>
      <c r="G791" t="s">
        <v>1191</v>
      </c>
      <c r="H791">
        <v>1</v>
      </c>
      <c r="I791" t="s">
        <v>2046</v>
      </c>
      <c r="J791" t="s">
        <v>2047</v>
      </c>
      <c r="K791" t="s">
        <v>2048</v>
      </c>
    </row>
    <row r="792" spans="1:11" hidden="1">
      <c r="A792" t="str">
        <f t="shared" si="24"/>
        <v>L</v>
      </c>
      <c r="B792" t="str">
        <f t="shared" si="25"/>
        <v>L3</v>
      </c>
      <c r="C792" s="568" t="s">
        <v>2198</v>
      </c>
      <c r="D792" s="568" t="s">
        <v>2057</v>
      </c>
      <c r="E792" s="569">
        <v>15</v>
      </c>
      <c r="F792" t="s">
        <v>1609</v>
      </c>
      <c r="G792" t="s">
        <v>1191</v>
      </c>
      <c r="H792">
        <v>1</v>
      </c>
      <c r="I792" t="s">
        <v>2046</v>
      </c>
      <c r="J792" t="s">
        <v>2047</v>
      </c>
      <c r="K792" t="s">
        <v>2048</v>
      </c>
    </row>
    <row r="793" spans="1:11" hidden="1">
      <c r="A793" t="str">
        <f t="shared" si="24"/>
        <v>L</v>
      </c>
      <c r="B793" t="str">
        <f t="shared" si="25"/>
        <v>L4</v>
      </c>
      <c r="C793" s="568" t="s">
        <v>2199</v>
      </c>
      <c r="D793" s="568" t="s">
        <v>2122</v>
      </c>
      <c r="E793" s="569">
        <v>15</v>
      </c>
      <c r="F793" t="s">
        <v>1609</v>
      </c>
      <c r="G793" t="s">
        <v>1191</v>
      </c>
      <c r="H793">
        <v>1</v>
      </c>
      <c r="I793" t="s">
        <v>2046</v>
      </c>
      <c r="J793" t="s">
        <v>2047</v>
      </c>
      <c r="K793" t="s">
        <v>2048</v>
      </c>
    </row>
    <row r="794" spans="1:11" hidden="1">
      <c r="A794" t="str">
        <f t="shared" si="24"/>
        <v>L</v>
      </c>
      <c r="B794" t="str">
        <f t="shared" si="25"/>
        <v>L4</v>
      </c>
      <c r="C794" s="568" t="s">
        <v>2200</v>
      </c>
      <c r="D794" s="568" t="s">
        <v>2122</v>
      </c>
      <c r="E794" s="569">
        <v>15</v>
      </c>
      <c r="F794" t="s">
        <v>1609</v>
      </c>
      <c r="G794" t="s">
        <v>1191</v>
      </c>
      <c r="H794">
        <v>1</v>
      </c>
      <c r="I794" t="s">
        <v>2046</v>
      </c>
      <c r="J794" t="s">
        <v>2047</v>
      </c>
      <c r="K794" t="s">
        <v>2048</v>
      </c>
    </row>
    <row r="795" spans="1:11" hidden="1">
      <c r="A795" t="str">
        <f t="shared" si="24"/>
        <v>L</v>
      </c>
      <c r="B795" t="str">
        <f t="shared" si="25"/>
        <v>L4</v>
      </c>
      <c r="C795" s="568" t="s">
        <v>2201</v>
      </c>
      <c r="D795" s="568" t="s">
        <v>2122</v>
      </c>
      <c r="E795" s="569">
        <v>15</v>
      </c>
      <c r="F795" t="s">
        <v>1609</v>
      </c>
      <c r="G795" t="s">
        <v>1191</v>
      </c>
      <c r="H795">
        <v>1</v>
      </c>
      <c r="I795" t="s">
        <v>2046</v>
      </c>
      <c r="J795" t="s">
        <v>2047</v>
      </c>
      <c r="K795" t="s">
        <v>2048</v>
      </c>
    </row>
    <row r="796" spans="1:11" hidden="1">
      <c r="A796" t="str">
        <f t="shared" si="24"/>
        <v>L</v>
      </c>
      <c r="B796" t="str">
        <f t="shared" si="25"/>
        <v>L4</v>
      </c>
      <c r="C796" s="568" t="s">
        <v>2202</v>
      </c>
      <c r="D796" s="568" t="s">
        <v>2122</v>
      </c>
      <c r="E796" s="569">
        <v>15</v>
      </c>
      <c r="F796" t="s">
        <v>1609</v>
      </c>
      <c r="G796" t="s">
        <v>1191</v>
      </c>
      <c r="H796">
        <v>1</v>
      </c>
      <c r="I796" t="s">
        <v>2046</v>
      </c>
      <c r="J796" t="s">
        <v>2047</v>
      </c>
      <c r="K796" t="s">
        <v>2048</v>
      </c>
    </row>
    <row r="797" spans="1:11" hidden="1">
      <c r="A797" t="str">
        <f t="shared" si="24"/>
        <v>L</v>
      </c>
      <c r="B797" t="str">
        <f t="shared" si="25"/>
        <v>L4</v>
      </c>
      <c r="C797" s="568" t="s">
        <v>2203</v>
      </c>
      <c r="D797" s="568" t="s">
        <v>2122</v>
      </c>
      <c r="E797" s="569">
        <v>15</v>
      </c>
      <c r="F797" t="s">
        <v>1609</v>
      </c>
      <c r="G797" t="s">
        <v>1191</v>
      </c>
      <c r="H797">
        <v>1</v>
      </c>
      <c r="I797" t="s">
        <v>2046</v>
      </c>
      <c r="J797" t="s">
        <v>2047</v>
      </c>
      <c r="K797" t="s">
        <v>2048</v>
      </c>
    </row>
    <row r="798" spans="1:11" hidden="1">
      <c r="A798" t="str">
        <f t="shared" si="24"/>
        <v>L</v>
      </c>
      <c r="B798" t="str">
        <f t="shared" si="25"/>
        <v>L4</v>
      </c>
      <c r="C798" s="568" t="s">
        <v>2204</v>
      </c>
      <c r="D798" s="568" t="s">
        <v>2122</v>
      </c>
      <c r="E798" s="569">
        <v>15</v>
      </c>
      <c r="F798" t="s">
        <v>1609</v>
      </c>
      <c r="G798" t="s">
        <v>1191</v>
      </c>
      <c r="H798">
        <v>1</v>
      </c>
      <c r="I798" t="s">
        <v>2046</v>
      </c>
      <c r="J798" t="s">
        <v>2047</v>
      </c>
      <c r="K798" t="s">
        <v>2048</v>
      </c>
    </row>
    <row r="799" spans="1:11" hidden="1">
      <c r="A799" t="str">
        <f t="shared" si="24"/>
        <v>L</v>
      </c>
      <c r="B799" t="str">
        <f t="shared" si="25"/>
        <v>L4</v>
      </c>
      <c r="C799" s="568" t="s">
        <v>2205</v>
      </c>
      <c r="D799" s="568" t="s">
        <v>2122</v>
      </c>
      <c r="E799" s="569">
        <v>15</v>
      </c>
      <c r="F799" t="s">
        <v>1609</v>
      </c>
      <c r="G799" t="s">
        <v>1191</v>
      </c>
      <c r="H799">
        <v>1</v>
      </c>
      <c r="I799" t="s">
        <v>2046</v>
      </c>
      <c r="J799" t="s">
        <v>2047</v>
      </c>
      <c r="K799" t="s">
        <v>2048</v>
      </c>
    </row>
    <row r="800" spans="1:11" hidden="1">
      <c r="A800" t="str">
        <f t="shared" si="24"/>
        <v>L</v>
      </c>
      <c r="B800" t="str">
        <f t="shared" si="25"/>
        <v>L4</v>
      </c>
      <c r="C800" s="568" t="s">
        <v>2206</v>
      </c>
      <c r="D800" s="568" t="s">
        <v>2122</v>
      </c>
      <c r="E800" s="569">
        <v>15</v>
      </c>
      <c r="F800" t="s">
        <v>1609</v>
      </c>
      <c r="G800" t="s">
        <v>1191</v>
      </c>
      <c r="H800">
        <v>1</v>
      </c>
      <c r="I800" t="s">
        <v>2046</v>
      </c>
      <c r="J800" t="s">
        <v>2047</v>
      </c>
      <c r="K800" t="s">
        <v>2048</v>
      </c>
    </row>
    <row r="801" spans="1:11" hidden="1">
      <c r="A801" t="str">
        <f t="shared" si="24"/>
        <v>L</v>
      </c>
      <c r="B801" t="str">
        <f t="shared" si="25"/>
        <v>L4</v>
      </c>
      <c r="C801" s="568" t="s">
        <v>2207</v>
      </c>
      <c r="D801" s="568" t="s">
        <v>2122</v>
      </c>
      <c r="E801" s="569">
        <v>15</v>
      </c>
      <c r="F801" t="s">
        <v>1609</v>
      </c>
      <c r="G801" t="s">
        <v>1191</v>
      </c>
      <c r="H801">
        <v>1</v>
      </c>
      <c r="I801" t="s">
        <v>2046</v>
      </c>
      <c r="J801" t="s">
        <v>2047</v>
      </c>
      <c r="K801" t="s">
        <v>2048</v>
      </c>
    </row>
    <row r="802" spans="1:11" hidden="1">
      <c r="A802" t="str">
        <f t="shared" si="24"/>
        <v>L</v>
      </c>
      <c r="B802" t="str">
        <f t="shared" si="25"/>
        <v>L4</v>
      </c>
      <c r="C802" s="568" t="s">
        <v>2208</v>
      </c>
      <c r="D802" s="568" t="s">
        <v>2063</v>
      </c>
      <c r="E802" s="569">
        <v>15</v>
      </c>
      <c r="F802" t="s">
        <v>1609</v>
      </c>
      <c r="G802" t="s">
        <v>1191</v>
      </c>
      <c r="H802">
        <v>1</v>
      </c>
      <c r="I802" t="s">
        <v>2046</v>
      </c>
      <c r="J802" t="s">
        <v>2047</v>
      </c>
      <c r="K802" t="s">
        <v>2048</v>
      </c>
    </row>
    <row r="803" spans="1:11" hidden="1">
      <c r="A803" t="str">
        <f t="shared" si="24"/>
        <v>L</v>
      </c>
      <c r="B803" t="str">
        <f t="shared" si="25"/>
        <v>L4</v>
      </c>
      <c r="C803" s="568" t="s">
        <v>2209</v>
      </c>
      <c r="D803" s="568" t="s">
        <v>2063</v>
      </c>
      <c r="E803" s="569">
        <v>15</v>
      </c>
      <c r="F803" t="s">
        <v>1609</v>
      </c>
      <c r="G803" t="s">
        <v>1191</v>
      </c>
      <c r="H803">
        <v>1</v>
      </c>
      <c r="I803" t="s">
        <v>2046</v>
      </c>
      <c r="J803" t="s">
        <v>2047</v>
      </c>
      <c r="K803" t="s">
        <v>2048</v>
      </c>
    </row>
    <row r="804" spans="1:11" hidden="1">
      <c r="A804" t="str">
        <f t="shared" si="24"/>
        <v>L</v>
      </c>
      <c r="B804" t="str">
        <f t="shared" si="25"/>
        <v>L4</v>
      </c>
      <c r="C804" s="568" t="s">
        <v>2210</v>
      </c>
      <c r="D804" s="568" t="s">
        <v>2057</v>
      </c>
      <c r="E804" s="569">
        <v>15</v>
      </c>
      <c r="F804" t="s">
        <v>1609</v>
      </c>
      <c r="G804" t="s">
        <v>1191</v>
      </c>
      <c r="H804">
        <v>1</v>
      </c>
      <c r="I804" t="s">
        <v>2046</v>
      </c>
      <c r="J804" t="s">
        <v>2047</v>
      </c>
      <c r="K804" t="s">
        <v>2048</v>
      </c>
    </row>
    <row r="805" spans="1:11" hidden="1">
      <c r="A805" t="str">
        <f t="shared" si="24"/>
        <v>L</v>
      </c>
      <c r="B805" t="str">
        <f t="shared" si="25"/>
        <v>L4</v>
      </c>
      <c r="C805" s="568" t="s">
        <v>2211</v>
      </c>
      <c r="D805" s="568" t="s">
        <v>2063</v>
      </c>
      <c r="E805" s="569">
        <v>15</v>
      </c>
      <c r="F805" t="s">
        <v>1609</v>
      </c>
      <c r="G805" t="s">
        <v>1191</v>
      </c>
      <c r="H805">
        <v>1</v>
      </c>
      <c r="I805" t="s">
        <v>2046</v>
      </c>
      <c r="J805" t="s">
        <v>2047</v>
      </c>
      <c r="K805" t="s">
        <v>2048</v>
      </c>
    </row>
    <row r="806" spans="1:11" hidden="1">
      <c r="A806" t="str">
        <f t="shared" si="24"/>
        <v>L</v>
      </c>
      <c r="B806" t="str">
        <f t="shared" si="25"/>
        <v>L4</v>
      </c>
      <c r="C806" s="568" t="s">
        <v>2212</v>
      </c>
      <c r="D806" s="568" t="s">
        <v>2122</v>
      </c>
      <c r="E806" s="569">
        <v>15</v>
      </c>
      <c r="F806" t="s">
        <v>1609</v>
      </c>
      <c r="G806" t="s">
        <v>1191</v>
      </c>
      <c r="H806">
        <v>1</v>
      </c>
      <c r="I806" t="s">
        <v>2046</v>
      </c>
      <c r="J806" t="s">
        <v>2047</v>
      </c>
      <c r="K806" t="s">
        <v>2048</v>
      </c>
    </row>
    <row r="807" spans="1:11" hidden="1">
      <c r="A807" t="str">
        <f t="shared" si="24"/>
        <v>L</v>
      </c>
      <c r="B807" t="str">
        <f t="shared" si="25"/>
        <v>L4</v>
      </c>
      <c r="C807" s="568" t="s">
        <v>2213</v>
      </c>
      <c r="D807" s="568" t="s">
        <v>2119</v>
      </c>
      <c r="E807" s="569">
        <v>15</v>
      </c>
      <c r="F807" t="s">
        <v>1609</v>
      </c>
      <c r="G807" t="s">
        <v>1191</v>
      </c>
      <c r="H807">
        <v>1</v>
      </c>
      <c r="I807" t="s">
        <v>2046</v>
      </c>
      <c r="J807" t="s">
        <v>2047</v>
      </c>
      <c r="K807" t="s">
        <v>2048</v>
      </c>
    </row>
    <row r="808" spans="1:11" hidden="1">
      <c r="A808" t="str">
        <f t="shared" si="24"/>
        <v>L</v>
      </c>
      <c r="B808" t="str">
        <f t="shared" si="25"/>
        <v>L4</v>
      </c>
      <c r="C808" s="568" t="s">
        <v>2214</v>
      </c>
      <c r="D808" s="568" t="s">
        <v>2122</v>
      </c>
      <c r="E808" s="569">
        <v>15</v>
      </c>
      <c r="F808" t="s">
        <v>1609</v>
      </c>
      <c r="G808" t="s">
        <v>1191</v>
      </c>
      <c r="H808">
        <v>1</v>
      </c>
      <c r="I808" t="s">
        <v>2046</v>
      </c>
      <c r="J808" t="s">
        <v>2047</v>
      </c>
      <c r="K808" t="s">
        <v>2048</v>
      </c>
    </row>
    <row r="809" spans="1:11" hidden="1">
      <c r="A809" t="str">
        <f t="shared" si="24"/>
        <v>L</v>
      </c>
      <c r="B809" t="str">
        <f t="shared" si="25"/>
        <v>L4</v>
      </c>
      <c r="C809" s="568" t="s">
        <v>2215</v>
      </c>
      <c r="D809" s="568" t="s">
        <v>2122</v>
      </c>
      <c r="E809" s="569">
        <v>15</v>
      </c>
      <c r="F809" t="s">
        <v>1609</v>
      </c>
      <c r="G809" t="s">
        <v>1191</v>
      </c>
      <c r="H809">
        <v>1</v>
      </c>
      <c r="I809" t="s">
        <v>2046</v>
      </c>
      <c r="J809" t="s">
        <v>2047</v>
      </c>
      <c r="K809" t="s">
        <v>2048</v>
      </c>
    </row>
    <row r="810" spans="1:11" hidden="1">
      <c r="A810" t="str">
        <f t="shared" si="24"/>
        <v>L</v>
      </c>
      <c r="B810" t="str">
        <f t="shared" si="25"/>
        <v>L4</v>
      </c>
      <c r="C810" s="568" t="s">
        <v>2216</v>
      </c>
      <c r="D810" s="568" t="s">
        <v>2119</v>
      </c>
      <c r="E810" s="569">
        <v>15</v>
      </c>
      <c r="F810" t="s">
        <v>1609</v>
      </c>
      <c r="G810" t="s">
        <v>1191</v>
      </c>
      <c r="H810">
        <v>1</v>
      </c>
      <c r="I810" t="s">
        <v>2046</v>
      </c>
      <c r="J810" t="s">
        <v>2047</v>
      </c>
      <c r="K810" t="s">
        <v>2048</v>
      </c>
    </row>
    <row r="811" spans="1:11" hidden="1">
      <c r="A811" t="str">
        <f t="shared" si="24"/>
        <v>L</v>
      </c>
      <c r="B811" t="str">
        <f t="shared" si="25"/>
        <v>L4</v>
      </c>
      <c r="C811" s="568" t="s">
        <v>2217</v>
      </c>
      <c r="D811" s="568" t="s">
        <v>2119</v>
      </c>
      <c r="E811" s="569">
        <v>15</v>
      </c>
      <c r="F811" t="s">
        <v>1609</v>
      </c>
      <c r="G811" t="s">
        <v>1191</v>
      </c>
      <c r="H811">
        <v>1</v>
      </c>
      <c r="I811" t="s">
        <v>2046</v>
      </c>
      <c r="J811" t="s">
        <v>2047</v>
      </c>
      <c r="K811" t="s">
        <v>2048</v>
      </c>
    </row>
    <row r="812" spans="1:11" hidden="1">
      <c r="A812" t="str">
        <f t="shared" si="24"/>
        <v>L</v>
      </c>
      <c r="B812" t="str">
        <f t="shared" si="25"/>
        <v>L4</v>
      </c>
      <c r="C812" s="568" t="s">
        <v>2218</v>
      </c>
      <c r="D812" s="568" t="s">
        <v>2122</v>
      </c>
      <c r="E812" s="569">
        <v>15</v>
      </c>
      <c r="F812" t="s">
        <v>1609</v>
      </c>
      <c r="G812" t="s">
        <v>1191</v>
      </c>
      <c r="H812">
        <v>1</v>
      </c>
      <c r="I812" t="s">
        <v>2046</v>
      </c>
      <c r="J812" t="s">
        <v>2047</v>
      </c>
      <c r="K812" t="s">
        <v>2048</v>
      </c>
    </row>
    <row r="813" spans="1:11" hidden="1">
      <c r="A813" t="str">
        <f t="shared" si="24"/>
        <v>L</v>
      </c>
      <c r="B813" t="str">
        <f t="shared" si="25"/>
        <v>L5</v>
      </c>
      <c r="C813" s="568" t="s">
        <v>2219</v>
      </c>
      <c r="D813" s="568" t="s">
        <v>2119</v>
      </c>
      <c r="E813" s="569">
        <v>15</v>
      </c>
      <c r="F813" t="s">
        <v>1609</v>
      </c>
      <c r="G813" t="s">
        <v>1191</v>
      </c>
      <c r="H813">
        <v>1</v>
      </c>
      <c r="I813" t="s">
        <v>2046</v>
      </c>
      <c r="J813" t="s">
        <v>2047</v>
      </c>
      <c r="K813" t="s">
        <v>2048</v>
      </c>
    </row>
    <row r="814" spans="1:11" hidden="1">
      <c r="A814" t="str">
        <f t="shared" si="24"/>
        <v>L</v>
      </c>
      <c r="B814" t="str">
        <f t="shared" si="25"/>
        <v>L5</v>
      </c>
      <c r="C814" s="568" t="s">
        <v>2220</v>
      </c>
      <c r="D814" s="568" t="s">
        <v>2122</v>
      </c>
      <c r="E814" s="569">
        <v>15</v>
      </c>
      <c r="F814" t="s">
        <v>1609</v>
      </c>
      <c r="G814" t="s">
        <v>1191</v>
      </c>
      <c r="H814">
        <v>1</v>
      </c>
      <c r="I814" t="s">
        <v>2046</v>
      </c>
      <c r="J814" t="s">
        <v>2047</v>
      </c>
      <c r="K814" t="s">
        <v>2048</v>
      </c>
    </row>
    <row r="815" spans="1:11" hidden="1">
      <c r="A815" t="str">
        <f t="shared" si="24"/>
        <v>L</v>
      </c>
      <c r="B815" t="str">
        <f t="shared" si="25"/>
        <v>L5</v>
      </c>
      <c r="C815" s="568" t="s">
        <v>2221</v>
      </c>
      <c r="D815" s="568" t="s">
        <v>2122</v>
      </c>
      <c r="E815" s="569">
        <v>15</v>
      </c>
      <c r="F815" t="s">
        <v>1609</v>
      </c>
      <c r="G815" t="s">
        <v>1191</v>
      </c>
      <c r="H815">
        <v>1</v>
      </c>
      <c r="I815" t="s">
        <v>2046</v>
      </c>
      <c r="J815" t="s">
        <v>2047</v>
      </c>
      <c r="K815" t="s">
        <v>2048</v>
      </c>
    </row>
    <row r="816" spans="1:11" hidden="1">
      <c r="A816" t="str">
        <f t="shared" si="24"/>
        <v>L</v>
      </c>
      <c r="B816" t="str">
        <f t="shared" si="25"/>
        <v>L5</v>
      </c>
      <c r="C816" s="568" t="s">
        <v>2222</v>
      </c>
      <c r="D816" s="568" t="s">
        <v>2119</v>
      </c>
      <c r="E816" s="569">
        <v>15</v>
      </c>
      <c r="F816" t="s">
        <v>1609</v>
      </c>
      <c r="G816" t="s">
        <v>1191</v>
      </c>
      <c r="H816">
        <v>1</v>
      </c>
      <c r="I816" t="s">
        <v>2046</v>
      </c>
      <c r="J816" t="s">
        <v>2047</v>
      </c>
      <c r="K816" t="s">
        <v>2048</v>
      </c>
    </row>
    <row r="817" spans="1:11" hidden="1">
      <c r="A817" t="str">
        <f t="shared" si="24"/>
        <v>L</v>
      </c>
      <c r="B817" t="str">
        <f t="shared" si="25"/>
        <v>L5</v>
      </c>
      <c r="C817" s="568" t="s">
        <v>2223</v>
      </c>
      <c r="D817" s="568" t="s">
        <v>2115</v>
      </c>
      <c r="E817" s="569">
        <v>15</v>
      </c>
      <c r="F817" t="s">
        <v>1609</v>
      </c>
      <c r="G817" t="s">
        <v>1191</v>
      </c>
      <c r="H817">
        <v>1</v>
      </c>
      <c r="I817" t="s">
        <v>2046</v>
      </c>
      <c r="J817" t="s">
        <v>2047</v>
      </c>
      <c r="K817" t="s">
        <v>2048</v>
      </c>
    </row>
    <row r="818" spans="1:11" hidden="1">
      <c r="A818" t="str">
        <f t="shared" si="24"/>
        <v>L</v>
      </c>
      <c r="B818" t="str">
        <f t="shared" si="25"/>
        <v>L5</v>
      </c>
      <c r="C818" s="568" t="s">
        <v>2224</v>
      </c>
      <c r="D818" s="568" t="s">
        <v>2119</v>
      </c>
      <c r="E818" s="569">
        <v>15</v>
      </c>
      <c r="F818" t="s">
        <v>1609</v>
      </c>
      <c r="G818" t="s">
        <v>1191</v>
      </c>
      <c r="H818">
        <v>1</v>
      </c>
      <c r="I818" t="s">
        <v>2046</v>
      </c>
      <c r="J818" t="s">
        <v>2047</v>
      </c>
      <c r="K818" t="s">
        <v>2048</v>
      </c>
    </row>
    <row r="819" spans="1:11" hidden="1">
      <c r="A819" t="str">
        <f t="shared" si="24"/>
        <v>L</v>
      </c>
      <c r="B819" t="str">
        <f t="shared" si="25"/>
        <v>L5</v>
      </c>
      <c r="C819" s="568" t="s">
        <v>2225</v>
      </c>
      <c r="D819" s="568" t="s">
        <v>2119</v>
      </c>
      <c r="E819" s="569">
        <v>15</v>
      </c>
      <c r="F819" t="s">
        <v>1609</v>
      </c>
      <c r="G819" t="s">
        <v>1191</v>
      </c>
      <c r="H819">
        <v>1</v>
      </c>
      <c r="I819" t="s">
        <v>2046</v>
      </c>
      <c r="J819" t="s">
        <v>2047</v>
      </c>
      <c r="K819" t="s">
        <v>2048</v>
      </c>
    </row>
    <row r="820" spans="1:11" hidden="1">
      <c r="A820" t="str">
        <f t="shared" si="24"/>
        <v>L</v>
      </c>
      <c r="B820" t="str">
        <f t="shared" si="25"/>
        <v>L5</v>
      </c>
      <c r="C820" s="568" t="s">
        <v>2226</v>
      </c>
      <c r="D820" s="568" t="s">
        <v>2122</v>
      </c>
      <c r="E820" s="569">
        <v>15</v>
      </c>
      <c r="F820" t="s">
        <v>1609</v>
      </c>
      <c r="G820" t="s">
        <v>1191</v>
      </c>
      <c r="H820">
        <v>1</v>
      </c>
      <c r="I820" t="s">
        <v>2046</v>
      </c>
      <c r="J820" t="s">
        <v>2047</v>
      </c>
      <c r="K820" t="s">
        <v>2048</v>
      </c>
    </row>
    <row r="821" spans="1:11" hidden="1">
      <c r="A821" t="str">
        <f t="shared" si="24"/>
        <v>L</v>
      </c>
      <c r="B821" t="str">
        <f t="shared" si="25"/>
        <v>L5</v>
      </c>
      <c r="C821" s="568" t="s">
        <v>2227</v>
      </c>
      <c r="D821" s="568" t="s">
        <v>2122</v>
      </c>
      <c r="E821" s="569">
        <v>15</v>
      </c>
      <c r="F821" t="s">
        <v>1609</v>
      </c>
      <c r="G821" t="s">
        <v>1191</v>
      </c>
      <c r="H821">
        <v>1</v>
      </c>
      <c r="I821" t="s">
        <v>2046</v>
      </c>
      <c r="J821" t="s">
        <v>2047</v>
      </c>
      <c r="K821" t="s">
        <v>2048</v>
      </c>
    </row>
    <row r="822" spans="1:11" hidden="1">
      <c r="A822" t="str">
        <f t="shared" si="24"/>
        <v>L</v>
      </c>
      <c r="B822" t="str">
        <f t="shared" si="25"/>
        <v>L5</v>
      </c>
      <c r="C822" s="568" t="s">
        <v>2228</v>
      </c>
      <c r="D822" s="568" t="s">
        <v>2122</v>
      </c>
      <c r="E822" s="569">
        <v>15</v>
      </c>
      <c r="F822" t="s">
        <v>1609</v>
      </c>
      <c r="G822" t="s">
        <v>1191</v>
      </c>
      <c r="H822">
        <v>1</v>
      </c>
      <c r="I822" t="s">
        <v>2046</v>
      </c>
      <c r="J822" t="s">
        <v>2047</v>
      </c>
      <c r="K822" t="s">
        <v>2048</v>
      </c>
    </row>
    <row r="823" spans="1:11" hidden="1">
      <c r="A823" t="str">
        <f t="shared" si="24"/>
        <v>L</v>
      </c>
      <c r="B823" t="str">
        <f t="shared" si="25"/>
        <v>L5</v>
      </c>
      <c r="C823" s="568" t="s">
        <v>2229</v>
      </c>
      <c r="D823" s="568" t="s">
        <v>2122</v>
      </c>
      <c r="E823" s="569">
        <v>15</v>
      </c>
      <c r="F823" t="s">
        <v>1609</v>
      </c>
      <c r="G823" t="s">
        <v>1191</v>
      </c>
      <c r="H823">
        <v>1</v>
      </c>
      <c r="I823" t="s">
        <v>2046</v>
      </c>
      <c r="J823" t="s">
        <v>2047</v>
      </c>
      <c r="K823" t="s">
        <v>2048</v>
      </c>
    </row>
    <row r="824" spans="1:11" hidden="1">
      <c r="A824" t="str">
        <f t="shared" si="24"/>
        <v>L</v>
      </c>
      <c r="B824" t="str">
        <f t="shared" si="25"/>
        <v>L5</v>
      </c>
      <c r="C824" s="568" t="s">
        <v>2230</v>
      </c>
      <c r="D824" s="568" t="s">
        <v>2057</v>
      </c>
      <c r="E824" s="569">
        <v>15</v>
      </c>
      <c r="F824" t="s">
        <v>1609</v>
      </c>
      <c r="G824" t="s">
        <v>1191</v>
      </c>
      <c r="H824">
        <v>1</v>
      </c>
      <c r="I824" t="s">
        <v>2046</v>
      </c>
      <c r="J824" t="s">
        <v>2047</v>
      </c>
      <c r="K824" t="s">
        <v>2048</v>
      </c>
    </row>
    <row r="825" spans="1:11" hidden="1">
      <c r="A825" t="str">
        <f t="shared" si="24"/>
        <v>L</v>
      </c>
      <c r="B825" t="str">
        <f t="shared" si="25"/>
        <v>L5</v>
      </c>
      <c r="C825" s="568" t="s">
        <v>2231</v>
      </c>
      <c r="D825" s="568" t="s">
        <v>2122</v>
      </c>
      <c r="E825" s="569">
        <v>15</v>
      </c>
      <c r="F825" t="s">
        <v>1609</v>
      </c>
      <c r="G825" t="s">
        <v>1191</v>
      </c>
      <c r="H825">
        <v>1</v>
      </c>
      <c r="I825" t="s">
        <v>2046</v>
      </c>
      <c r="J825" t="s">
        <v>2047</v>
      </c>
      <c r="K825" t="s">
        <v>2048</v>
      </c>
    </row>
    <row r="826" spans="1:11" hidden="1">
      <c r="A826" t="str">
        <f t="shared" si="24"/>
        <v>L</v>
      </c>
      <c r="B826" t="str">
        <f t="shared" si="25"/>
        <v>L5</v>
      </c>
      <c r="C826" s="568" t="s">
        <v>2232</v>
      </c>
      <c r="D826" s="568" t="s">
        <v>2122</v>
      </c>
      <c r="E826" s="569">
        <v>15</v>
      </c>
      <c r="F826" t="s">
        <v>1609</v>
      </c>
      <c r="G826" t="s">
        <v>1191</v>
      </c>
      <c r="H826">
        <v>1</v>
      </c>
      <c r="I826" t="s">
        <v>2046</v>
      </c>
      <c r="J826" t="s">
        <v>2047</v>
      </c>
      <c r="K826" t="s">
        <v>2048</v>
      </c>
    </row>
    <row r="827" spans="1:11" hidden="1">
      <c r="A827" t="str">
        <f t="shared" si="24"/>
        <v>L</v>
      </c>
      <c r="B827" t="str">
        <f t="shared" si="25"/>
        <v>L5</v>
      </c>
      <c r="C827" s="568" t="s">
        <v>2233</v>
      </c>
      <c r="D827" s="568" t="s">
        <v>2122</v>
      </c>
      <c r="E827" s="569">
        <v>15</v>
      </c>
      <c r="F827" t="s">
        <v>1609</v>
      </c>
      <c r="G827" t="s">
        <v>1191</v>
      </c>
      <c r="H827">
        <v>1</v>
      </c>
      <c r="I827" t="s">
        <v>2046</v>
      </c>
      <c r="J827" t="s">
        <v>2047</v>
      </c>
      <c r="K827" t="s">
        <v>2048</v>
      </c>
    </row>
    <row r="828" spans="1:11" hidden="1">
      <c r="A828" t="str">
        <f t="shared" si="24"/>
        <v>L</v>
      </c>
      <c r="B828" t="str">
        <f t="shared" si="25"/>
        <v>L5</v>
      </c>
      <c r="C828" s="568" t="s">
        <v>2234</v>
      </c>
      <c r="D828" s="568" t="s">
        <v>2122</v>
      </c>
      <c r="E828" s="569">
        <v>15</v>
      </c>
      <c r="F828" t="s">
        <v>1609</v>
      </c>
      <c r="G828" t="s">
        <v>1191</v>
      </c>
      <c r="H828">
        <v>1</v>
      </c>
      <c r="I828" t="s">
        <v>2046</v>
      </c>
      <c r="J828" t="s">
        <v>2047</v>
      </c>
      <c r="K828" t="s">
        <v>2048</v>
      </c>
    </row>
    <row r="829" spans="1:11" hidden="1">
      <c r="A829" t="str">
        <f t="shared" si="24"/>
        <v>L</v>
      </c>
      <c r="B829" t="str">
        <f t="shared" si="25"/>
        <v>L5</v>
      </c>
      <c r="C829" s="568" t="s">
        <v>2235</v>
      </c>
      <c r="D829" s="568" t="s">
        <v>2122</v>
      </c>
      <c r="E829" s="569">
        <v>15</v>
      </c>
      <c r="F829" t="s">
        <v>1609</v>
      </c>
      <c r="G829" t="s">
        <v>1191</v>
      </c>
      <c r="H829">
        <v>1</v>
      </c>
      <c r="I829" t="s">
        <v>2046</v>
      </c>
      <c r="J829" t="s">
        <v>2047</v>
      </c>
      <c r="K829" t="s">
        <v>2048</v>
      </c>
    </row>
    <row r="830" spans="1:11" hidden="1">
      <c r="A830" t="str">
        <f t="shared" si="24"/>
        <v>L</v>
      </c>
      <c r="B830" t="str">
        <f t="shared" si="25"/>
        <v>L6</v>
      </c>
      <c r="C830" s="568" t="s">
        <v>2236</v>
      </c>
      <c r="D830" s="568" t="s">
        <v>2122</v>
      </c>
      <c r="E830" s="569">
        <v>15</v>
      </c>
      <c r="F830" t="s">
        <v>1609</v>
      </c>
      <c r="G830" t="s">
        <v>1191</v>
      </c>
      <c r="H830">
        <v>1</v>
      </c>
      <c r="I830" t="s">
        <v>2046</v>
      </c>
      <c r="J830" t="s">
        <v>2047</v>
      </c>
      <c r="K830" t="s">
        <v>2048</v>
      </c>
    </row>
    <row r="831" spans="1:11" hidden="1">
      <c r="A831" t="str">
        <f t="shared" si="24"/>
        <v>L</v>
      </c>
      <c r="B831" t="str">
        <f t="shared" si="25"/>
        <v>L6</v>
      </c>
      <c r="C831" s="568" t="s">
        <v>2237</v>
      </c>
      <c r="D831" s="568" t="s">
        <v>2122</v>
      </c>
      <c r="E831" s="569">
        <v>15</v>
      </c>
      <c r="F831" t="s">
        <v>1609</v>
      </c>
      <c r="G831" t="s">
        <v>1191</v>
      </c>
      <c r="H831">
        <v>1</v>
      </c>
      <c r="I831" t="s">
        <v>2046</v>
      </c>
      <c r="J831" t="s">
        <v>2047</v>
      </c>
      <c r="K831" t="s">
        <v>2048</v>
      </c>
    </row>
    <row r="832" spans="1:11" hidden="1">
      <c r="A832" t="str">
        <f t="shared" si="24"/>
        <v>L</v>
      </c>
      <c r="B832" t="str">
        <f t="shared" si="25"/>
        <v>L6</v>
      </c>
      <c r="C832" s="568" t="s">
        <v>2238</v>
      </c>
      <c r="D832" s="568" t="s">
        <v>2122</v>
      </c>
      <c r="E832" s="569">
        <v>15</v>
      </c>
      <c r="F832" t="s">
        <v>1609</v>
      </c>
      <c r="G832" t="s">
        <v>1191</v>
      </c>
      <c r="H832">
        <v>1</v>
      </c>
      <c r="I832" t="s">
        <v>2046</v>
      </c>
      <c r="J832" t="s">
        <v>2047</v>
      </c>
      <c r="K832" t="s">
        <v>2048</v>
      </c>
    </row>
    <row r="833" spans="1:11" hidden="1">
      <c r="A833" t="str">
        <f t="shared" si="24"/>
        <v>L</v>
      </c>
      <c r="B833" t="str">
        <f t="shared" si="25"/>
        <v>L6</v>
      </c>
      <c r="C833" s="568" t="s">
        <v>2239</v>
      </c>
      <c r="D833" s="568" t="s">
        <v>2122</v>
      </c>
      <c r="E833" s="569">
        <v>15</v>
      </c>
      <c r="F833" t="s">
        <v>1609</v>
      </c>
      <c r="G833" t="s">
        <v>1191</v>
      </c>
      <c r="H833">
        <v>1</v>
      </c>
      <c r="I833" t="s">
        <v>2046</v>
      </c>
      <c r="J833" t="s">
        <v>2047</v>
      </c>
      <c r="K833" t="s">
        <v>2048</v>
      </c>
    </row>
    <row r="834" spans="1:11" hidden="1">
      <c r="A834" t="str">
        <f t="shared" si="24"/>
        <v>L</v>
      </c>
      <c r="B834" t="str">
        <f t="shared" si="25"/>
        <v>L6</v>
      </c>
      <c r="C834" s="568" t="s">
        <v>2240</v>
      </c>
      <c r="D834" s="568" t="s">
        <v>2119</v>
      </c>
      <c r="E834" s="569">
        <v>15</v>
      </c>
      <c r="F834" t="s">
        <v>1609</v>
      </c>
      <c r="G834" t="s">
        <v>1191</v>
      </c>
      <c r="H834">
        <v>1</v>
      </c>
      <c r="I834" t="s">
        <v>2046</v>
      </c>
      <c r="J834" t="s">
        <v>2047</v>
      </c>
      <c r="K834" t="s">
        <v>2048</v>
      </c>
    </row>
    <row r="835" spans="1:11" hidden="1">
      <c r="A835" t="str">
        <f t="shared" ref="A835:A898" si="26">LEFT(C835)</f>
        <v>L</v>
      </c>
      <c r="B835" t="str">
        <f t="shared" si="25"/>
        <v>L6</v>
      </c>
      <c r="C835" s="568" t="s">
        <v>2241</v>
      </c>
      <c r="D835" s="568" t="s">
        <v>2122</v>
      </c>
      <c r="E835" s="569">
        <v>15</v>
      </c>
      <c r="F835" t="s">
        <v>1609</v>
      </c>
      <c r="G835" t="s">
        <v>1191</v>
      </c>
      <c r="H835">
        <v>1</v>
      </c>
      <c r="I835" t="s">
        <v>2046</v>
      </c>
      <c r="J835" t="s">
        <v>2047</v>
      </c>
      <c r="K835" t="s">
        <v>2048</v>
      </c>
    </row>
    <row r="836" spans="1:11" hidden="1">
      <c r="A836" t="str">
        <f t="shared" si="26"/>
        <v>L</v>
      </c>
      <c r="B836" t="str">
        <f t="shared" ref="B836:B899" si="27">LEFT(C836,2)</f>
        <v>L6</v>
      </c>
      <c r="C836" s="568" t="s">
        <v>2242</v>
      </c>
      <c r="D836" s="568" t="s">
        <v>2119</v>
      </c>
      <c r="E836" s="569">
        <v>15</v>
      </c>
      <c r="F836" t="s">
        <v>1609</v>
      </c>
      <c r="G836" t="s">
        <v>1191</v>
      </c>
      <c r="H836">
        <v>1</v>
      </c>
      <c r="I836" t="s">
        <v>2046</v>
      </c>
      <c r="J836" t="s">
        <v>2047</v>
      </c>
      <c r="K836" t="s">
        <v>2048</v>
      </c>
    </row>
    <row r="837" spans="1:11" hidden="1">
      <c r="A837" t="str">
        <f t="shared" si="26"/>
        <v>L</v>
      </c>
      <c r="B837" t="str">
        <f t="shared" si="27"/>
        <v>L6</v>
      </c>
      <c r="C837" s="568" t="s">
        <v>2243</v>
      </c>
      <c r="D837" s="568" t="s">
        <v>2119</v>
      </c>
      <c r="E837" s="569">
        <v>15</v>
      </c>
      <c r="F837" t="s">
        <v>1609</v>
      </c>
      <c r="G837" t="s">
        <v>1191</v>
      </c>
      <c r="H837">
        <v>1</v>
      </c>
      <c r="I837" t="s">
        <v>2046</v>
      </c>
      <c r="J837" t="s">
        <v>2047</v>
      </c>
      <c r="K837" t="s">
        <v>2048</v>
      </c>
    </row>
    <row r="838" spans="1:11" hidden="1">
      <c r="A838" t="str">
        <f t="shared" si="26"/>
        <v>L</v>
      </c>
      <c r="B838" t="str">
        <f t="shared" si="27"/>
        <v>L6</v>
      </c>
      <c r="C838" s="568" t="s">
        <v>2244</v>
      </c>
      <c r="D838" s="568" t="s">
        <v>2119</v>
      </c>
      <c r="E838" s="569">
        <v>15</v>
      </c>
      <c r="F838" t="s">
        <v>1609</v>
      </c>
      <c r="G838" t="s">
        <v>1191</v>
      </c>
      <c r="H838">
        <v>1</v>
      </c>
      <c r="I838" t="s">
        <v>2046</v>
      </c>
      <c r="J838" t="s">
        <v>2047</v>
      </c>
      <c r="K838" t="s">
        <v>2048</v>
      </c>
    </row>
    <row r="839" spans="1:11" hidden="1">
      <c r="A839" t="str">
        <f t="shared" si="26"/>
        <v>L</v>
      </c>
      <c r="B839" t="str">
        <f t="shared" si="27"/>
        <v>L6</v>
      </c>
      <c r="C839" s="568" t="s">
        <v>2245</v>
      </c>
      <c r="D839" s="568" t="s">
        <v>2122</v>
      </c>
      <c r="E839" s="569">
        <v>15</v>
      </c>
      <c r="F839" t="s">
        <v>1609</v>
      </c>
      <c r="G839" t="s">
        <v>1191</v>
      </c>
      <c r="H839">
        <v>1</v>
      </c>
      <c r="I839" t="s">
        <v>2046</v>
      </c>
      <c r="J839" t="s">
        <v>2047</v>
      </c>
      <c r="K839" t="s">
        <v>2048</v>
      </c>
    </row>
    <row r="840" spans="1:11" hidden="1">
      <c r="A840" t="str">
        <f t="shared" si="26"/>
        <v>L</v>
      </c>
      <c r="B840" t="str">
        <f t="shared" si="27"/>
        <v>L6</v>
      </c>
      <c r="C840" s="568" t="s">
        <v>2246</v>
      </c>
      <c r="D840" s="568" t="s">
        <v>2122</v>
      </c>
      <c r="E840" s="569">
        <v>15</v>
      </c>
      <c r="F840" t="s">
        <v>1609</v>
      </c>
      <c r="G840" t="s">
        <v>1191</v>
      </c>
      <c r="H840">
        <v>1</v>
      </c>
      <c r="I840" t="s">
        <v>2046</v>
      </c>
      <c r="J840" t="s">
        <v>2047</v>
      </c>
      <c r="K840" t="s">
        <v>2048</v>
      </c>
    </row>
    <row r="841" spans="1:11" hidden="1">
      <c r="A841" t="str">
        <f t="shared" si="26"/>
        <v>L</v>
      </c>
      <c r="B841" t="str">
        <f t="shared" si="27"/>
        <v>L6</v>
      </c>
      <c r="C841" s="568" t="s">
        <v>2247</v>
      </c>
      <c r="D841" s="568" t="s">
        <v>2122</v>
      </c>
      <c r="E841" s="569">
        <v>15</v>
      </c>
      <c r="F841" t="s">
        <v>1609</v>
      </c>
      <c r="G841" t="s">
        <v>1191</v>
      </c>
      <c r="H841">
        <v>1</v>
      </c>
      <c r="I841" t="s">
        <v>2046</v>
      </c>
      <c r="J841" t="s">
        <v>2047</v>
      </c>
      <c r="K841" t="s">
        <v>2048</v>
      </c>
    </row>
    <row r="842" spans="1:11" hidden="1">
      <c r="A842" t="str">
        <f t="shared" si="26"/>
        <v>L</v>
      </c>
      <c r="B842" t="str">
        <f t="shared" si="27"/>
        <v>L6</v>
      </c>
      <c r="C842" s="568" t="s">
        <v>2248</v>
      </c>
      <c r="D842" s="568" t="s">
        <v>2122</v>
      </c>
      <c r="E842" s="569">
        <v>15</v>
      </c>
      <c r="F842" t="s">
        <v>1609</v>
      </c>
      <c r="G842" t="s">
        <v>1191</v>
      </c>
      <c r="H842">
        <v>1</v>
      </c>
      <c r="I842" t="s">
        <v>2046</v>
      </c>
      <c r="J842" t="s">
        <v>2047</v>
      </c>
      <c r="K842" t="s">
        <v>2048</v>
      </c>
    </row>
    <row r="843" spans="1:11" hidden="1">
      <c r="A843" t="str">
        <f t="shared" si="26"/>
        <v>L</v>
      </c>
      <c r="B843" t="str">
        <f t="shared" si="27"/>
        <v>L6</v>
      </c>
      <c r="C843" s="568" t="s">
        <v>2249</v>
      </c>
      <c r="D843" s="568" t="s">
        <v>2122</v>
      </c>
      <c r="E843" s="569">
        <v>15</v>
      </c>
      <c r="F843" t="s">
        <v>1609</v>
      </c>
      <c r="G843" t="s">
        <v>1191</v>
      </c>
      <c r="H843">
        <v>1</v>
      </c>
      <c r="I843" t="s">
        <v>2046</v>
      </c>
      <c r="J843" t="s">
        <v>2047</v>
      </c>
      <c r="K843" t="s">
        <v>2048</v>
      </c>
    </row>
    <row r="844" spans="1:11" hidden="1">
      <c r="A844" t="str">
        <f t="shared" si="26"/>
        <v>L</v>
      </c>
      <c r="B844" t="str">
        <f t="shared" si="27"/>
        <v>L6</v>
      </c>
      <c r="C844" s="568" t="s">
        <v>2250</v>
      </c>
      <c r="D844" s="568" t="s">
        <v>2122</v>
      </c>
      <c r="E844" s="569">
        <v>15</v>
      </c>
      <c r="F844" t="s">
        <v>1609</v>
      </c>
      <c r="G844" t="s">
        <v>1191</v>
      </c>
      <c r="H844">
        <v>1</v>
      </c>
      <c r="I844" t="s">
        <v>2046</v>
      </c>
      <c r="J844" t="s">
        <v>2047</v>
      </c>
      <c r="K844" t="s">
        <v>2048</v>
      </c>
    </row>
    <row r="845" spans="1:11" hidden="1">
      <c r="A845" t="str">
        <f t="shared" si="26"/>
        <v>L</v>
      </c>
      <c r="B845" t="str">
        <f t="shared" si="27"/>
        <v>L6</v>
      </c>
      <c r="C845" s="568" t="s">
        <v>2251</v>
      </c>
      <c r="D845" s="568" t="s">
        <v>2122</v>
      </c>
      <c r="E845" s="569">
        <v>15</v>
      </c>
      <c r="F845" t="s">
        <v>1609</v>
      </c>
      <c r="G845" t="s">
        <v>1191</v>
      </c>
      <c r="H845">
        <v>1</v>
      </c>
      <c r="I845" t="s">
        <v>2046</v>
      </c>
      <c r="J845" t="s">
        <v>2047</v>
      </c>
      <c r="K845" t="s">
        <v>2048</v>
      </c>
    </row>
    <row r="846" spans="1:11" hidden="1">
      <c r="A846" t="str">
        <f t="shared" si="26"/>
        <v>L</v>
      </c>
      <c r="B846" t="str">
        <f t="shared" si="27"/>
        <v>L6</v>
      </c>
      <c r="C846" s="568" t="s">
        <v>2252</v>
      </c>
      <c r="D846" s="568" t="s">
        <v>2122</v>
      </c>
      <c r="E846" s="569">
        <v>15</v>
      </c>
      <c r="F846" t="s">
        <v>1609</v>
      </c>
      <c r="G846" t="s">
        <v>1191</v>
      </c>
      <c r="H846">
        <v>1</v>
      </c>
      <c r="I846" t="s">
        <v>2046</v>
      </c>
      <c r="J846" t="s">
        <v>2047</v>
      </c>
      <c r="K846" t="s">
        <v>2048</v>
      </c>
    </row>
    <row r="847" spans="1:11" hidden="1">
      <c r="A847" t="str">
        <f t="shared" si="26"/>
        <v>L</v>
      </c>
      <c r="B847" t="str">
        <f t="shared" si="27"/>
        <v>L6</v>
      </c>
      <c r="C847" s="568" t="s">
        <v>2253</v>
      </c>
      <c r="D847" s="568" t="s">
        <v>2122</v>
      </c>
      <c r="E847" s="569">
        <v>15</v>
      </c>
      <c r="F847" t="s">
        <v>1609</v>
      </c>
      <c r="G847" t="s">
        <v>1191</v>
      </c>
      <c r="H847">
        <v>1</v>
      </c>
      <c r="I847" t="s">
        <v>2046</v>
      </c>
      <c r="J847" t="s">
        <v>2047</v>
      </c>
      <c r="K847" t="s">
        <v>2048</v>
      </c>
    </row>
    <row r="848" spans="1:11" hidden="1">
      <c r="A848" t="str">
        <f t="shared" si="26"/>
        <v>L</v>
      </c>
      <c r="B848" t="str">
        <f t="shared" si="27"/>
        <v>L6</v>
      </c>
      <c r="C848" s="568" t="s">
        <v>2254</v>
      </c>
      <c r="D848" s="568" t="s">
        <v>2122</v>
      </c>
      <c r="E848" s="569">
        <v>15</v>
      </c>
      <c r="F848" t="s">
        <v>1609</v>
      </c>
      <c r="G848" t="s">
        <v>1191</v>
      </c>
      <c r="H848">
        <v>1</v>
      </c>
      <c r="I848" t="s">
        <v>2046</v>
      </c>
      <c r="J848" t="s">
        <v>2047</v>
      </c>
      <c r="K848" t="s">
        <v>2048</v>
      </c>
    </row>
    <row r="849" spans="1:11" hidden="1">
      <c r="A849" t="str">
        <f t="shared" si="26"/>
        <v>L</v>
      </c>
      <c r="B849" t="str">
        <f t="shared" si="27"/>
        <v>L7</v>
      </c>
      <c r="C849" s="568" t="s">
        <v>2255</v>
      </c>
      <c r="D849" s="568" t="s">
        <v>2122</v>
      </c>
      <c r="E849" s="569">
        <v>15</v>
      </c>
      <c r="F849" t="s">
        <v>1609</v>
      </c>
      <c r="G849" t="s">
        <v>1191</v>
      </c>
      <c r="H849">
        <v>1</v>
      </c>
      <c r="I849" t="s">
        <v>2046</v>
      </c>
      <c r="J849" t="s">
        <v>2047</v>
      </c>
      <c r="K849" t="s">
        <v>2048</v>
      </c>
    </row>
    <row r="850" spans="1:11" hidden="1">
      <c r="A850" t="str">
        <f t="shared" si="26"/>
        <v>L</v>
      </c>
      <c r="B850" t="str">
        <f t="shared" si="27"/>
        <v>L7</v>
      </c>
      <c r="C850" s="568" t="s">
        <v>2256</v>
      </c>
      <c r="D850" s="568" t="s">
        <v>2122</v>
      </c>
      <c r="E850" s="569">
        <v>15</v>
      </c>
      <c r="F850" t="s">
        <v>1609</v>
      </c>
      <c r="G850" t="s">
        <v>1191</v>
      </c>
      <c r="H850">
        <v>1</v>
      </c>
      <c r="I850" t="s">
        <v>2046</v>
      </c>
      <c r="J850" t="s">
        <v>2047</v>
      </c>
      <c r="K850" t="s">
        <v>2048</v>
      </c>
    </row>
    <row r="851" spans="1:11" hidden="1">
      <c r="A851" t="str">
        <f t="shared" si="26"/>
        <v>L</v>
      </c>
      <c r="B851" t="str">
        <f t="shared" si="27"/>
        <v>L7</v>
      </c>
      <c r="C851" s="568" t="s">
        <v>2257</v>
      </c>
      <c r="D851" s="568" t="s">
        <v>2057</v>
      </c>
      <c r="E851" s="569">
        <v>15</v>
      </c>
      <c r="F851" t="s">
        <v>1609</v>
      </c>
      <c r="G851" t="s">
        <v>1191</v>
      </c>
      <c r="H851">
        <v>1</v>
      </c>
      <c r="I851" t="s">
        <v>2046</v>
      </c>
      <c r="J851" t="s">
        <v>2047</v>
      </c>
      <c r="K851" t="s">
        <v>2048</v>
      </c>
    </row>
    <row r="852" spans="1:11" hidden="1">
      <c r="A852" t="str">
        <f t="shared" si="26"/>
        <v>L</v>
      </c>
      <c r="B852" t="str">
        <f t="shared" si="27"/>
        <v>L7</v>
      </c>
      <c r="C852" s="568" t="s">
        <v>2258</v>
      </c>
      <c r="D852" s="568" t="s">
        <v>2122</v>
      </c>
      <c r="E852" s="569">
        <v>15</v>
      </c>
      <c r="F852" t="s">
        <v>1609</v>
      </c>
      <c r="G852" t="s">
        <v>1191</v>
      </c>
      <c r="H852">
        <v>1</v>
      </c>
      <c r="I852" t="s">
        <v>2046</v>
      </c>
      <c r="J852" t="s">
        <v>2047</v>
      </c>
      <c r="K852" t="s">
        <v>2048</v>
      </c>
    </row>
    <row r="853" spans="1:11" hidden="1">
      <c r="A853" t="str">
        <f t="shared" si="26"/>
        <v>L</v>
      </c>
      <c r="B853" t="str">
        <f t="shared" si="27"/>
        <v>L7</v>
      </c>
      <c r="C853" s="568" t="s">
        <v>2259</v>
      </c>
      <c r="D853" s="568" t="s">
        <v>2122</v>
      </c>
      <c r="E853" s="569">
        <v>15</v>
      </c>
      <c r="F853" t="s">
        <v>1609</v>
      </c>
      <c r="G853" t="s">
        <v>1191</v>
      </c>
      <c r="H853">
        <v>1</v>
      </c>
      <c r="I853" t="s">
        <v>2046</v>
      </c>
      <c r="J853" t="s">
        <v>2047</v>
      </c>
      <c r="K853" t="s">
        <v>2048</v>
      </c>
    </row>
    <row r="854" spans="1:11" hidden="1">
      <c r="A854" t="str">
        <f t="shared" si="26"/>
        <v>L</v>
      </c>
      <c r="B854" t="str">
        <f t="shared" si="27"/>
        <v>L7</v>
      </c>
      <c r="C854" s="568" t="s">
        <v>2260</v>
      </c>
      <c r="D854" s="568" t="s">
        <v>2057</v>
      </c>
      <c r="E854" s="569">
        <v>15</v>
      </c>
      <c r="F854" t="s">
        <v>1609</v>
      </c>
      <c r="G854" t="s">
        <v>1191</v>
      </c>
      <c r="H854">
        <v>1</v>
      </c>
      <c r="I854" t="s">
        <v>2046</v>
      </c>
      <c r="J854" t="s">
        <v>2047</v>
      </c>
      <c r="K854" t="s">
        <v>2048</v>
      </c>
    </row>
    <row r="855" spans="1:11" hidden="1">
      <c r="A855" t="str">
        <f t="shared" si="26"/>
        <v>L</v>
      </c>
      <c r="B855" t="str">
        <f t="shared" si="27"/>
        <v>L7</v>
      </c>
      <c r="C855" s="575" t="s">
        <v>2261</v>
      </c>
      <c r="D855" s="575" t="s">
        <v>2122</v>
      </c>
      <c r="E855" s="576">
        <v>15</v>
      </c>
      <c r="F855" t="s">
        <v>1609</v>
      </c>
      <c r="G855" t="s">
        <v>1191</v>
      </c>
      <c r="H855">
        <v>1</v>
      </c>
      <c r="I855" t="s">
        <v>2046</v>
      </c>
      <c r="J855" t="s">
        <v>2047</v>
      </c>
      <c r="K855" t="s">
        <v>2048</v>
      </c>
    </row>
    <row r="856" spans="1:11" hidden="1">
      <c r="A856" t="str">
        <f t="shared" si="26"/>
        <v>L</v>
      </c>
      <c r="B856" t="str">
        <f t="shared" si="27"/>
        <v>L7</v>
      </c>
      <c r="C856" s="568" t="s">
        <v>2262</v>
      </c>
      <c r="D856" s="568" t="s">
        <v>2122</v>
      </c>
      <c r="E856" s="569">
        <v>15</v>
      </c>
      <c r="F856" t="s">
        <v>1609</v>
      </c>
      <c r="G856" t="s">
        <v>1191</v>
      </c>
      <c r="H856">
        <v>1</v>
      </c>
      <c r="I856" t="s">
        <v>2046</v>
      </c>
      <c r="J856" t="s">
        <v>2047</v>
      </c>
      <c r="K856" t="s">
        <v>2048</v>
      </c>
    </row>
    <row r="857" spans="1:11" hidden="1">
      <c r="A857" t="str">
        <f t="shared" si="26"/>
        <v>L</v>
      </c>
      <c r="B857" t="str">
        <f t="shared" si="27"/>
        <v>L7</v>
      </c>
      <c r="C857" s="568" t="s">
        <v>2263</v>
      </c>
      <c r="D857" s="568" t="s">
        <v>2119</v>
      </c>
      <c r="E857" s="569">
        <v>15</v>
      </c>
      <c r="F857" t="s">
        <v>1609</v>
      </c>
      <c r="G857" t="s">
        <v>1191</v>
      </c>
      <c r="H857">
        <v>1</v>
      </c>
      <c r="I857" t="s">
        <v>2046</v>
      </c>
      <c r="J857" t="s">
        <v>2047</v>
      </c>
      <c r="K857" t="s">
        <v>2048</v>
      </c>
    </row>
    <row r="858" spans="1:11" hidden="1">
      <c r="A858" t="str">
        <f t="shared" si="26"/>
        <v>L</v>
      </c>
      <c r="B858" t="str">
        <f t="shared" si="27"/>
        <v>L7</v>
      </c>
      <c r="C858" s="568" t="s">
        <v>2264</v>
      </c>
      <c r="D858" s="568" t="s">
        <v>2115</v>
      </c>
      <c r="E858" s="569">
        <v>15</v>
      </c>
      <c r="F858" t="s">
        <v>1609</v>
      </c>
      <c r="G858" t="s">
        <v>1191</v>
      </c>
      <c r="H858">
        <v>1</v>
      </c>
      <c r="I858" t="s">
        <v>2046</v>
      </c>
      <c r="J858" t="s">
        <v>2047</v>
      </c>
      <c r="K858" t="s">
        <v>2048</v>
      </c>
    </row>
    <row r="859" spans="1:11" hidden="1">
      <c r="A859" t="str">
        <f t="shared" si="26"/>
        <v>L</v>
      </c>
      <c r="B859" t="str">
        <f t="shared" si="27"/>
        <v>L7</v>
      </c>
      <c r="C859" s="568" t="s">
        <v>2265</v>
      </c>
      <c r="D859" s="568" t="s">
        <v>2119</v>
      </c>
      <c r="E859" s="569">
        <v>15</v>
      </c>
      <c r="F859" t="s">
        <v>1609</v>
      </c>
      <c r="G859" t="s">
        <v>1191</v>
      </c>
      <c r="H859">
        <v>1</v>
      </c>
      <c r="I859" t="s">
        <v>2046</v>
      </c>
      <c r="J859" t="s">
        <v>2047</v>
      </c>
      <c r="K859" t="s">
        <v>2048</v>
      </c>
    </row>
    <row r="860" spans="1:11" hidden="1">
      <c r="A860" t="str">
        <f t="shared" si="26"/>
        <v>L</v>
      </c>
      <c r="B860" t="str">
        <f t="shared" si="27"/>
        <v>L7</v>
      </c>
      <c r="C860" s="568" t="s">
        <v>2266</v>
      </c>
      <c r="D860" s="568" t="s">
        <v>2115</v>
      </c>
      <c r="E860" s="569">
        <v>15</v>
      </c>
      <c r="F860" t="s">
        <v>1609</v>
      </c>
      <c r="G860" t="s">
        <v>1191</v>
      </c>
      <c r="H860">
        <v>1</v>
      </c>
      <c r="I860" t="s">
        <v>2046</v>
      </c>
      <c r="J860" t="s">
        <v>2047</v>
      </c>
      <c r="K860" t="s">
        <v>2048</v>
      </c>
    </row>
    <row r="861" spans="1:11" hidden="1">
      <c r="A861" t="str">
        <f t="shared" si="26"/>
        <v>L</v>
      </c>
      <c r="B861" t="str">
        <f t="shared" si="27"/>
        <v>L7</v>
      </c>
      <c r="C861" s="568" t="s">
        <v>2267</v>
      </c>
      <c r="D861" s="568" t="s">
        <v>2059</v>
      </c>
      <c r="E861" s="569">
        <v>15</v>
      </c>
      <c r="F861" t="s">
        <v>1609</v>
      </c>
      <c r="G861" t="s">
        <v>1191</v>
      </c>
      <c r="H861">
        <v>1</v>
      </c>
      <c r="I861" t="s">
        <v>2046</v>
      </c>
      <c r="J861" t="s">
        <v>2047</v>
      </c>
      <c r="K861" t="s">
        <v>2048</v>
      </c>
    </row>
    <row r="862" spans="1:11" hidden="1">
      <c r="A862" t="str">
        <f t="shared" si="26"/>
        <v>L</v>
      </c>
      <c r="B862" t="str">
        <f t="shared" si="27"/>
        <v>L7</v>
      </c>
      <c r="C862" s="568" t="s">
        <v>2268</v>
      </c>
      <c r="D862" s="568" t="s">
        <v>2115</v>
      </c>
      <c r="E862" s="569">
        <v>15</v>
      </c>
      <c r="F862" t="s">
        <v>1609</v>
      </c>
      <c r="G862" t="s">
        <v>1191</v>
      </c>
      <c r="H862">
        <v>1</v>
      </c>
      <c r="I862" t="s">
        <v>2046</v>
      </c>
      <c r="J862" t="s">
        <v>2047</v>
      </c>
      <c r="K862" t="s">
        <v>2048</v>
      </c>
    </row>
    <row r="863" spans="1:11" hidden="1">
      <c r="A863" t="str">
        <f t="shared" si="26"/>
        <v>L</v>
      </c>
      <c r="B863" t="str">
        <f t="shared" si="27"/>
        <v>L8</v>
      </c>
      <c r="C863" s="568" t="s">
        <v>2269</v>
      </c>
      <c r="D863" s="568" t="s">
        <v>2119</v>
      </c>
      <c r="E863" s="569">
        <v>15</v>
      </c>
      <c r="F863" t="s">
        <v>1609</v>
      </c>
      <c r="G863" t="s">
        <v>1191</v>
      </c>
      <c r="H863">
        <v>1</v>
      </c>
      <c r="I863" t="s">
        <v>2046</v>
      </c>
      <c r="J863" t="s">
        <v>2047</v>
      </c>
      <c r="K863" t="s">
        <v>2048</v>
      </c>
    </row>
    <row r="864" spans="1:11" hidden="1">
      <c r="A864" t="str">
        <f t="shared" si="26"/>
        <v>L</v>
      </c>
      <c r="B864" t="str">
        <f t="shared" si="27"/>
        <v>L8</v>
      </c>
      <c r="C864" s="568" t="s">
        <v>2270</v>
      </c>
      <c r="D864" s="568" t="s">
        <v>2119</v>
      </c>
      <c r="E864" s="569">
        <v>15</v>
      </c>
      <c r="F864" t="s">
        <v>1609</v>
      </c>
      <c r="G864" t="s">
        <v>1191</v>
      </c>
      <c r="H864">
        <v>1</v>
      </c>
      <c r="I864" t="s">
        <v>2046</v>
      </c>
      <c r="J864" t="s">
        <v>2047</v>
      </c>
      <c r="K864" t="s">
        <v>2048</v>
      </c>
    </row>
    <row r="865" spans="1:11" hidden="1">
      <c r="A865" t="str">
        <f t="shared" si="26"/>
        <v>L</v>
      </c>
      <c r="B865" t="str">
        <f t="shared" si="27"/>
        <v>L8</v>
      </c>
      <c r="C865" s="568" t="s">
        <v>2271</v>
      </c>
      <c r="D865" s="568" t="s">
        <v>2115</v>
      </c>
      <c r="E865" s="569">
        <v>15</v>
      </c>
      <c r="F865" t="s">
        <v>1609</v>
      </c>
      <c r="G865" t="s">
        <v>1191</v>
      </c>
      <c r="H865">
        <v>1</v>
      </c>
      <c r="I865" t="s">
        <v>2046</v>
      </c>
      <c r="J865" t="s">
        <v>2047</v>
      </c>
      <c r="K865" t="s">
        <v>2048</v>
      </c>
    </row>
    <row r="866" spans="1:11" hidden="1">
      <c r="A866" t="str">
        <f t="shared" si="26"/>
        <v>L</v>
      </c>
      <c r="B866" t="str">
        <f t="shared" si="27"/>
        <v>L8</v>
      </c>
      <c r="C866" s="568" t="s">
        <v>2272</v>
      </c>
      <c r="D866" s="568" t="s">
        <v>2115</v>
      </c>
      <c r="E866" s="569">
        <v>15</v>
      </c>
      <c r="F866" t="s">
        <v>1609</v>
      </c>
      <c r="G866" t="s">
        <v>1191</v>
      </c>
      <c r="H866">
        <v>1</v>
      </c>
      <c r="I866" t="s">
        <v>2046</v>
      </c>
      <c r="J866" t="s">
        <v>2047</v>
      </c>
      <c r="K866" t="s">
        <v>2048</v>
      </c>
    </row>
    <row r="867" spans="1:11" hidden="1">
      <c r="A867" t="str">
        <f t="shared" si="26"/>
        <v>L</v>
      </c>
      <c r="B867" t="str">
        <f t="shared" si="27"/>
        <v>L8</v>
      </c>
      <c r="C867" s="568" t="s">
        <v>2273</v>
      </c>
      <c r="D867" s="568" t="s">
        <v>2119</v>
      </c>
      <c r="E867" s="569">
        <v>15</v>
      </c>
      <c r="F867" t="s">
        <v>1609</v>
      </c>
      <c r="G867" t="s">
        <v>1191</v>
      </c>
      <c r="H867">
        <v>1</v>
      </c>
      <c r="I867" t="s">
        <v>2046</v>
      </c>
      <c r="J867" t="s">
        <v>2047</v>
      </c>
      <c r="K867" t="s">
        <v>2048</v>
      </c>
    </row>
    <row r="868" spans="1:11" hidden="1">
      <c r="A868" t="str">
        <f t="shared" si="26"/>
        <v>L</v>
      </c>
      <c r="B868" t="str">
        <f t="shared" si="27"/>
        <v>L8</v>
      </c>
      <c r="C868" s="568" t="s">
        <v>2274</v>
      </c>
      <c r="D868" s="568" t="s">
        <v>2115</v>
      </c>
      <c r="E868" s="569">
        <v>15</v>
      </c>
      <c r="F868" t="s">
        <v>1609</v>
      </c>
      <c r="G868" t="s">
        <v>1191</v>
      </c>
      <c r="H868">
        <v>1</v>
      </c>
      <c r="I868" t="s">
        <v>2046</v>
      </c>
      <c r="J868" t="s">
        <v>2047</v>
      </c>
      <c r="K868" t="s">
        <v>2048</v>
      </c>
    </row>
    <row r="869" spans="1:11" hidden="1">
      <c r="A869" t="str">
        <f t="shared" si="26"/>
        <v>L</v>
      </c>
      <c r="B869" t="str">
        <f t="shared" si="27"/>
        <v>L8</v>
      </c>
      <c r="C869" s="568" t="s">
        <v>2275</v>
      </c>
      <c r="D869" s="568" t="s">
        <v>2115</v>
      </c>
      <c r="E869" s="569">
        <v>15</v>
      </c>
      <c r="F869" t="s">
        <v>1609</v>
      </c>
      <c r="G869" t="s">
        <v>1191</v>
      </c>
      <c r="H869">
        <v>1</v>
      </c>
      <c r="I869" t="s">
        <v>2046</v>
      </c>
      <c r="J869" t="s">
        <v>2047</v>
      </c>
      <c r="K869" t="s">
        <v>2048</v>
      </c>
    </row>
    <row r="870" spans="1:11" hidden="1">
      <c r="A870" t="str">
        <f t="shared" si="26"/>
        <v>L</v>
      </c>
      <c r="B870" t="str">
        <f t="shared" si="27"/>
        <v>L8</v>
      </c>
      <c r="C870" s="568" t="s">
        <v>2276</v>
      </c>
      <c r="D870" s="568" t="s">
        <v>2115</v>
      </c>
      <c r="E870" s="569">
        <v>15</v>
      </c>
      <c r="F870" t="s">
        <v>1609</v>
      </c>
      <c r="G870" t="s">
        <v>1191</v>
      </c>
      <c r="H870">
        <v>1</v>
      </c>
      <c r="I870" t="s">
        <v>2046</v>
      </c>
      <c r="J870" t="s">
        <v>2047</v>
      </c>
      <c r="K870" t="s">
        <v>2048</v>
      </c>
    </row>
    <row r="871" spans="1:11" hidden="1">
      <c r="A871" t="str">
        <f t="shared" si="26"/>
        <v>L</v>
      </c>
      <c r="B871" t="str">
        <f t="shared" si="27"/>
        <v>L8</v>
      </c>
      <c r="C871" s="568" t="s">
        <v>2277</v>
      </c>
      <c r="D871" s="568" t="s">
        <v>2119</v>
      </c>
      <c r="E871" s="569">
        <v>15</v>
      </c>
      <c r="F871" s="577" t="s">
        <v>1609</v>
      </c>
      <c r="G871" t="s">
        <v>1191</v>
      </c>
      <c r="H871">
        <v>1</v>
      </c>
      <c r="I871" t="s">
        <v>2046</v>
      </c>
      <c r="J871" t="s">
        <v>2047</v>
      </c>
      <c r="K871" t="s">
        <v>2048</v>
      </c>
    </row>
    <row r="872" spans="1:11" hidden="1">
      <c r="A872" t="str">
        <f t="shared" si="26"/>
        <v>L</v>
      </c>
      <c r="B872" t="str">
        <f t="shared" si="27"/>
        <v>L8</v>
      </c>
      <c r="C872" s="568" t="s">
        <v>2278</v>
      </c>
      <c r="D872" s="568" t="s">
        <v>2115</v>
      </c>
      <c r="E872" s="569">
        <v>15</v>
      </c>
      <c r="F872" t="s">
        <v>1609</v>
      </c>
      <c r="G872" t="s">
        <v>1191</v>
      </c>
      <c r="H872">
        <v>1</v>
      </c>
      <c r="I872" t="s">
        <v>2046</v>
      </c>
      <c r="J872" t="s">
        <v>2047</v>
      </c>
      <c r="K872" t="s">
        <v>2048</v>
      </c>
    </row>
    <row r="873" spans="1:11" hidden="1">
      <c r="A873" t="str">
        <f t="shared" si="26"/>
        <v>L</v>
      </c>
      <c r="B873" t="str">
        <f t="shared" si="27"/>
        <v>L8</v>
      </c>
      <c r="C873" s="568" t="s">
        <v>2279</v>
      </c>
      <c r="D873" s="568" t="s">
        <v>2115</v>
      </c>
      <c r="E873" s="569">
        <v>15</v>
      </c>
      <c r="F873" t="s">
        <v>1609</v>
      </c>
      <c r="G873" t="s">
        <v>1191</v>
      </c>
      <c r="H873">
        <v>1</v>
      </c>
      <c r="I873" t="s">
        <v>2046</v>
      </c>
      <c r="J873" t="s">
        <v>2047</v>
      </c>
      <c r="K873" t="s">
        <v>2048</v>
      </c>
    </row>
    <row r="874" spans="1:11" hidden="1">
      <c r="A874" t="str">
        <f t="shared" si="26"/>
        <v>L</v>
      </c>
      <c r="B874" t="str">
        <f t="shared" si="27"/>
        <v>L8</v>
      </c>
      <c r="C874" s="568" t="s">
        <v>2280</v>
      </c>
      <c r="D874" s="568" t="s">
        <v>2115</v>
      </c>
      <c r="E874" s="569">
        <v>15</v>
      </c>
      <c r="F874" t="s">
        <v>1609</v>
      </c>
      <c r="G874" t="s">
        <v>1191</v>
      </c>
      <c r="H874">
        <v>1</v>
      </c>
      <c r="I874" t="s">
        <v>2046</v>
      </c>
      <c r="J874" t="s">
        <v>2047</v>
      </c>
      <c r="K874" t="s">
        <v>2048</v>
      </c>
    </row>
    <row r="875" spans="1:11" hidden="1">
      <c r="A875" t="str">
        <f t="shared" si="26"/>
        <v>L</v>
      </c>
      <c r="B875" t="str">
        <f t="shared" si="27"/>
        <v>L8</v>
      </c>
      <c r="C875" s="568" t="s">
        <v>2281</v>
      </c>
      <c r="D875" s="568" t="s">
        <v>2115</v>
      </c>
      <c r="E875" s="569">
        <v>15</v>
      </c>
      <c r="F875" t="s">
        <v>1609</v>
      </c>
      <c r="G875" t="s">
        <v>1191</v>
      </c>
      <c r="H875">
        <v>1</v>
      </c>
      <c r="I875" t="s">
        <v>2046</v>
      </c>
      <c r="J875" t="s">
        <v>2047</v>
      </c>
      <c r="K875" t="s">
        <v>2048</v>
      </c>
    </row>
    <row r="876" spans="1:11" hidden="1">
      <c r="A876" t="str">
        <f t="shared" si="26"/>
        <v>L</v>
      </c>
      <c r="B876" t="str">
        <f t="shared" si="27"/>
        <v>L8</v>
      </c>
      <c r="C876" s="568" t="s">
        <v>2282</v>
      </c>
      <c r="D876" s="568" t="s">
        <v>2115</v>
      </c>
      <c r="E876" s="569">
        <v>15</v>
      </c>
      <c r="F876" t="s">
        <v>1609</v>
      </c>
      <c r="G876" t="s">
        <v>1191</v>
      </c>
      <c r="H876">
        <v>1</v>
      </c>
      <c r="I876" t="s">
        <v>2046</v>
      </c>
      <c r="J876" t="s">
        <v>2047</v>
      </c>
      <c r="K876" t="s">
        <v>2048</v>
      </c>
    </row>
    <row r="877" spans="1:11" hidden="1">
      <c r="A877" t="str">
        <f t="shared" si="26"/>
        <v>L</v>
      </c>
      <c r="B877" t="str">
        <f t="shared" si="27"/>
        <v>L9</v>
      </c>
      <c r="C877" s="568" t="s">
        <v>2283</v>
      </c>
      <c r="D877" s="568" t="s">
        <v>2115</v>
      </c>
      <c r="E877" s="569">
        <v>15</v>
      </c>
      <c r="F877" t="s">
        <v>1609</v>
      </c>
      <c r="G877" t="s">
        <v>1191</v>
      </c>
      <c r="H877">
        <v>1</v>
      </c>
      <c r="I877" t="s">
        <v>2046</v>
      </c>
      <c r="J877" t="s">
        <v>2047</v>
      </c>
      <c r="K877" t="s">
        <v>2048</v>
      </c>
    </row>
    <row r="878" spans="1:11" hidden="1">
      <c r="A878" t="str">
        <f t="shared" si="26"/>
        <v>L</v>
      </c>
      <c r="B878" t="str">
        <f t="shared" si="27"/>
        <v>L9</v>
      </c>
      <c r="C878" s="568" t="s">
        <v>2284</v>
      </c>
      <c r="D878" s="568" t="s">
        <v>2115</v>
      </c>
      <c r="E878" s="569">
        <v>15</v>
      </c>
      <c r="F878" t="s">
        <v>1609</v>
      </c>
      <c r="G878" t="s">
        <v>1191</v>
      </c>
      <c r="H878">
        <v>1</v>
      </c>
      <c r="I878" t="s">
        <v>2046</v>
      </c>
      <c r="J878" t="s">
        <v>2047</v>
      </c>
      <c r="K878" t="s">
        <v>2048</v>
      </c>
    </row>
    <row r="879" spans="1:11" hidden="1">
      <c r="A879" t="str">
        <f t="shared" si="26"/>
        <v>L</v>
      </c>
      <c r="B879" t="str">
        <f t="shared" si="27"/>
        <v>L9</v>
      </c>
      <c r="C879" s="568" t="s">
        <v>2285</v>
      </c>
      <c r="D879" s="568" t="s">
        <v>2115</v>
      </c>
      <c r="E879" s="569">
        <v>15</v>
      </c>
      <c r="F879" t="s">
        <v>1609</v>
      </c>
      <c r="G879" t="s">
        <v>1191</v>
      </c>
      <c r="H879">
        <v>1</v>
      </c>
      <c r="I879" t="s">
        <v>2046</v>
      </c>
      <c r="J879" t="s">
        <v>2047</v>
      </c>
      <c r="K879" t="s">
        <v>2048</v>
      </c>
    </row>
    <row r="880" spans="1:11" hidden="1">
      <c r="A880" t="str">
        <f t="shared" si="26"/>
        <v>L</v>
      </c>
      <c r="B880" t="str">
        <f t="shared" si="27"/>
        <v>L9</v>
      </c>
      <c r="C880" s="568" t="s">
        <v>2286</v>
      </c>
      <c r="D880" s="568" t="s">
        <v>2115</v>
      </c>
      <c r="E880" s="569">
        <v>15</v>
      </c>
      <c r="F880" t="s">
        <v>1609</v>
      </c>
      <c r="G880" t="s">
        <v>1191</v>
      </c>
      <c r="H880">
        <v>1</v>
      </c>
      <c r="I880" t="s">
        <v>2046</v>
      </c>
      <c r="J880" t="s">
        <v>2047</v>
      </c>
      <c r="K880" t="s">
        <v>2048</v>
      </c>
    </row>
    <row r="881" spans="1:11" hidden="1">
      <c r="A881" t="str">
        <f t="shared" si="26"/>
        <v>L</v>
      </c>
      <c r="B881" t="str">
        <f t="shared" si="27"/>
        <v>L9</v>
      </c>
      <c r="C881" s="568" t="s">
        <v>2287</v>
      </c>
      <c r="D881" s="568" t="s">
        <v>2119</v>
      </c>
      <c r="E881" s="569">
        <v>15</v>
      </c>
      <c r="F881" t="s">
        <v>1609</v>
      </c>
      <c r="G881" t="s">
        <v>1191</v>
      </c>
      <c r="H881">
        <v>1</v>
      </c>
      <c r="I881" t="s">
        <v>2046</v>
      </c>
      <c r="J881" t="s">
        <v>2047</v>
      </c>
      <c r="K881" t="s">
        <v>2048</v>
      </c>
    </row>
    <row r="882" spans="1:11" hidden="1">
      <c r="A882" t="str">
        <f t="shared" si="26"/>
        <v>L</v>
      </c>
      <c r="B882" t="str">
        <f t="shared" si="27"/>
        <v>L9</v>
      </c>
      <c r="C882" s="575" t="s">
        <v>2288</v>
      </c>
      <c r="D882" s="575" t="s">
        <v>2063</v>
      </c>
      <c r="E882" s="576">
        <v>15</v>
      </c>
      <c r="F882" s="577" t="s">
        <v>1609</v>
      </c>
      <c r="G882" t="s">
        <v>1191</v>
      </c>
      <c r="H882">
        <v>1</v>
      </c>
      <c r="I882" t="s">
        <v>2046</v>
      </c>
      <c r="J882" t="s">
        <v>2047</v>
      </c>
      <c r="K882" t="s">
        <v>2048</v>
      </c>
    </row>
    <row r="883" spans="1:11" hidden="1">
      <c r="A883" t="str">
        <f t="shared" si="26"/>
        <v>L</v>
      </c>
      <c r="B883" t="str">
        <f t="shared" si="27"/>
        <v>L9</v>
      </c>
      <c r="C883" s="568" t="s">
        <v>2289</v>
      </c>
      <c r="D883" s="568" t="s">
        <v>2115</v>
      </c>
      <c r="E883" s="569">
        <v>15</v>
      </c>
      <c r="F883" t="s">
        <v>1609</v>
      </c>
      <c r="G883" t="s">
        <v>1191</v>
      </c>
      <c r="H883">
        <v>1</v>
      </c>
      <c r="I883" t="s">
        <v>2046</v>
      </c>
      <c r="J883" t="s">
        <v>2047</v>
      </c>
      <c r="K883" t="s">
        <v>2048</v>
      </c>
    </row>
    <row r="884" spans="1:11" hidden="1">
      <c r="A884" t="str">
        <f t="shared" si="26"/>
        <v>L</v>
      </c>
      <c r="B884" t="str">
        <f t="shared" si="27"/>
        <v>L9</v>
      </c>
      <c r="C884" s="568" t="s">
        <v>2290</v>
      </c>
      <c r="D884" s="568" t="s">
        <v>2057</v>
      </c>
      <c r="E884" s="569">
        <v>15</v>
      </c>
      <c r="F884" t="s">
        <v>1609</v>
      </c>
      <c r="G884" t="s">
        <v>1191</v>
      </c>
      <c r="H884">
        <v>1</v>
      </c>
      <c r="I884" t="s">
        <v>2046</v>
      </c>
      <c r="J884" t="s">
        <v>2047</v>
      </c>
      <c r="K884" t="s">
        <v>2048</v>
      </c>
    </row>
    <row r="885" spans="1:11" hidden="1">
      <c r="A885" t="str">
        <f t="shared" si="26"/>
        <v>L</v>
      </c>
      <c r="B885" t="str">
        <f t="shared" si="27"/>
        <v>L9</v>
      </c>
      <c r="C885" s="568" t="s">
        <v>2291</v>
      </c>
      <c r="D885" s="568" t="s">
        <v>2063</v>
      </c>
      <c r="E885" s="569">
        <v>15</v>
      </c>
      <c r="F885" t="s">
        <v>1609</v>
      </c>
      <c r="G885" t="s">
        <v>1191</v>
      </c>
      <c r="H885">
        <v>1</v>
      </c>
      <c r="I885" t="s">
        <v>2046</v>
      </c>
      <c r="J885" t="s">
        <v>2047</v>
      </c>
      <c r="K885" t="s">
        <v>2048</v>
      </c>
    </row>
    <row r="886" spans="1:11" hidden="1">
      <c r="A886" t="str">
        <f t="shared" si="26"/>
        <v>L</v>
      </c>
      <c r="B886" t="str">
        <f t="shared" si="27"/>
        <v>L9</v>
      </c>
      <c r="C886" s="568" t="s">
        <v>2292</v>
      </c>
      <c r="D886" s="568" t="s">
        <v>2057</v>
      </c>
      <c r="E886" s="569">
        <v>15</v>
      </c>
      <c r="F886" t="s">
        <v>1609</v>
      </c>
      <c r="G886" t="s">
        <v>1191</v>
      </c>
      <c r="H886">
        <v>1</v>
      </c>
      <c r="I886" t="s">
        <v>2046</v>
      </c>
      <c r="J886" t="s">
        <v>2047</v>
      </c>
      <c r="K886" t="s">
        <v>2048</v>
      </c>
    </row>
    <row r="887" spans="1:11" hidden="1">
      <c r="A887" t="str">
        <f t="shared" si="26"/>
        <v>L</v>
      </c>
      <c r="B887" t="str">
        <f t="shared" si="27"/>
        <v>L9</v>
      </c>
      <c r="C887" s="568" t="s">
        <v>2293</v>
      </c>
      <c r="D887" s="568" t="s">
        <v>2057</v>
      </c>
      <c r="E887" s="569">
        <v>15</v>
      </c>
      <c r="F887" t="s">
        <v>1609</v>
      </c>
      <c r="G887" t="s">
        <v>1191</v>
      </c>
      <c r="H887">
        <v>1</v>
      </c>
      <c r="I887" t="s">
        <v>2046</v>
      </c>
      <c r="J887" t="s">
        <v>2047</v>
      </c>
      <c r="K887" t="s">
        <v>2048</v>
      </c>
    </row>
    <row r="888" spans="1:11" hidden="1">
      <c r="A888" t="str">
        <f t="shared" si="26"/>
        <v>L</v>
      </c>
      <c r="B888" t="str">
        <f t="shared" si="27"/>
        <v>L9</v>
      </c>
      <c r="C888" s="568" t="s">
        <v>2294</v>
      </c>
      <c r="D888" s="568" t="s">
        <v>2063</v>
      </c>
      <c r="E888" s="569">
        <v>15</v>
      </c>
      <c r="F888" t="s">
        <v>1609</v>
      </c>
      <c r="G888" t="s">
        <v>1191</v>
      </c>
      <c r="H888">
        <v>1</v>
      </c>
      <c r="I888" t="s">
        <v>2046</v>
      </c>
      <c r="J888" t="s">
        <v>2047</v>
      </c>
      <c r="K888" t="s">
        <v>2048</v>
      </c>
    </row>
    <row r="889" spans="1:11" hidden="1">
      <c r="A889" t="str">
        <f t="shared" si="26"/>
        <v>L</v>
      </c>
      <c r="B889" t="str">
        <f t="shared" si="27"/>
        <v>L9</v>
      </c>
      <c r="C889" s="568" t="s">
        <v>2295</v>
      </c>
      <c r="D889" s="568" t="s">
        <v>2063</v>
      </c>
      <c r="E889" s="569">
        <v>15</v>
      </c>
      <c r="F889" t="s">
        <v>1609</v>
      </c>
      <c r="G889" t="s">
        <v>1191</v>
      </c>
      <c r="H889">
        <v>1</v>
      </c>
      <c r="I889" t="s">
        <v>2046</v>
      </c>
      <c r="J889" t="s">
        <v>2047</v>
      </c>
      <c r="K889" t="s">
        <v>2048</v>
      </c>
    </row>
    <row r="890" spans="1:11" hidden="1">
      <c r="A890" t="str">
        <f t="shared" si="26"/>
        <v>L</v>
      </c>
      <c r="B890" t="str">
        <f t="shared" si="27"/>
        <v>L9</v>
      </c>
      <c r="C890" s="568" t="s">
        <v>2296</v>
      </c>
      <c r="D890" s="568" t="s">
        <v>2119</v>
      </c>
      <c r="E890" s="569">
        <v>15</v>
      </c>
      <c r="F890" t="s">
        <v>1609</v>
      </c>
      <c r="G890" t="s">
        <v>1191</v>
      </c>
      <c r="H890">
        <v>1</v>
      </c>
      <c r="I890" t="s">
        <v>2046</v>
      </c>
      <c r="J890" t="s">
        <v>2047</v>
      </c>
      <c r="K890" t="s">
        <v>2048</v>
      </c>
    </row>
    <row r="891" spans="1:11" hidden="1">
      <c r="A891" t="str">
        <f t="shared" si="26"/>
        <v>L</v>
      </c>
      <c r="B891" t="str">
        <f t="shared" si="27"/>
        <v>L9</v>
      </c>
      <c r="C891" s="568" t="s">
        <v>2297</v>
      </c>
      <c r="D891" s="568" t="s">
        <v>2057</v>
      </c>
      <c r="E891" s="569">
        <v>15</v>
      </c>
      <c r="F891" t="s">
        <v>1609</v>
      </c>
      <c r="G891" t="s">
        <v>1191</v>
      </c>
      <c r="H891">
        <v>1</v>
      </c>
      <c r="I891" t="s">
        <v>2046</v>
      </c>
      <c r="J891" t="s">
        <v>2047</v>
      </c>
      <c r="K891" t="s">
        <v>2048</v>
      </c>
    </row>
    <row r="892" spans="1:11" hidden="1">
      <c r="A892" t="str">
        <f t="shared" si="26"/>
        <v>L</v>
      </c>
      <c r="B892" t="str">
        <f t="shared" si="27"/>
        <v>L9</v>
      </c>
      <c r="C892" s="568" t="s">
        <v>2298</v>
      </c>
      <c r="D892" s="568" t="s">
        <v>2057</v>
      </c>
      <c r="E892" s="569">
        <v>15</v>
      </c>
      <c r="F892" t="s">
        <v>1609</v>
      </c>
      <c r="G892" t="s">
        <v>1191</v>
      </c>
      <c r="H892">
        <v>1</v>
      </c>
      <c r="I892" t="s">
        <v>2046</v>
      </c>
      <c r="J892" t="s">
        <v>2047</v>
      </c>
      <c r="K892" t="s">
        <v>2048</v>
      </c>
    </row>
    <row r="893" spans="1:11" hidden="1">
      <c r="A893" t="str">
        <f t="shared" si="26"/>
        <v>L</v>
      </c>
      <c r="B893" t="str">
        <f t="shared" si="27"/>
        <v>L9</v>
      </c>
      <c r="C893" s="568" t="s">
        <v>2299</v>
      </c>
      <c r="D893" s="568" t="s">
        <v>2063</v>
      </c>
      <c r="E893" s="569">
        <v>15</v>
      </c>
      <c r="F893" t="s">
        <v>1609</v>
      </c>
      <c r="G893" t="s">
        <v>1191</v>
      </c>
      <c r="H893">
        <v>1</v>
      </c>
      <c r="I893" t="s">
        <v>2046</v>
      </c>
      <c r="J893" t="s">
        <v>2047</v>
      </c>
      <c r="K893" t="s">
        <v>2048</v>
      </c>
    </row>
    <row r="894" spans="1:11" hidden="1">
      <c r="A894" t="str">
        <f t="shared" si="26"/>
        <v>L</v>
      </c>
      <c r="B894" t="str">
        <f t="shared" si="27"/>
        <v>L9</v>
      </c>
      <c r="C894" s="568" t="s">
        <v>2300</v>
      </c>
      <c r="D894" s="568" t="s">
        <v>2057</v>
      </c>
      <c r="E894" s="569">
        <v>15</v>
      </c>
      <c r="F894" t="s">
        <v>1609</v>
      </c>
      <c r="G894" t="s">
        <v>1191</v>
      </c>
      <c r="H894">
        <v>1</v>
      </c>
      <c r="I894" t="s">
        <v>2046</v>
      </c>
      <c r="J894" t="s">
        <v>2047</v>
      </c>
      <c r="K894" t="s">
        <v>2048</v>
      </c>
    </row>
    <row r="895" spans="1:11" hidden="1">
      <c r="A895" t="str">
        <f t="shared" si="26"/>
        <v>M</v>
      </c>
      <c r="B895" t="str">
        <f t="shared" si="27"/>
        <v>M1</v>
      </c>
      <c r="C895" s="568" t="s">
        <v>2301</v>
      </c>
      <c r="D895" s="568" t="s">
        <v>2122</v>
      </c>
      <c r="E895" s="569">
        <v>15</v>
      </c>
      <c r="F895" t="s">
        <v>1609</v>
      </c>
      <c r="G895" t="s">
        <v>1191</v>
      </c>
      <c r="H895">
        <v>1</v>
      </c>
      <c r="I895" t="s">
        <v>2046</v>
      </c>
      <c r="J895" t="s">
        <v>2047</v>
      </c>
      <c r="K895" t="s">
        <v>2048</v>
      </c>
    </row>
    <row r="896" spans="1:11" hidden="1">
      <c r="A896" t="str">
        <f t="shared" si="26"/>
        <v>M</v>
      </c>
      <c r="B896" t="str">
        <f t="shared" si="27"/>
        <v>M1</v>
      </c>
      <c r="C896" s="568" t="s">
        <v>2302</v>
      </c>
      <c r="D896" s="568" t="s">
        <v>2119</v>
      </c>
      <c r="E896" s="569">
        <v>15</v>
      </c>
      <c r="F896" t="s">
        <v>1609</v>
      </c>
      <c r="G896" t="s">
        <v>1191</v>
      </c>
      <c r="H896">
        <v>1</v>
      </c>
      <c r="I896" t="s">
        <v>2046</v>
      </c>
      <c r="J896" t="s">
        <v>2047</v>
      </c>
      <c r="K896" t="s">
        <v>2048</v>
      </c>
    </row>
    <row r="897" spans="1:11" hidden="1">
      <c r="A897" t="str">
        <f t="shared" si="26"/>
        <v>M</v>
      </c>
      <c r="B897" t="str">
        <f t="shared" si="27"/>
        <v>M1</v>
      </c>
      <c r="C897" s="568" t="s">
        <v>2303</v>
      </c>
      <c r="D897" s="568" t="s">
        <v>2119</v>
      </c>
      <c r="E897" s="569">
        <v>15</v>
      </c>
      <c r="F897" t="s">
        <v>1609</v>
      </c>
      <c r="G897" t="s">
        <v>1191</v>
      </c>
      <c r="H897">
        <v>1</v>
      </c>
      <c r="I897" t="s">
        <v>2046</v>
      </c>
      <c r="J897" t="s">
        <v>2047</v>
      </c>
      <c r="K897" t="s">
        <v>2048</v>
      </c>
    </row>
    <row r="898" spans="1:11" hidden="1">
      <c r="A898" t="str">
        <f t="shared" si="26"/>
        <v>M</v>
      </c>
      <c r="B898" t="str">
        <f t="shared" si="27"/>
        <v>M1</v>
      </c>
      <c r="C898" s="568" t="s">
        <v>2304</v>
      </c>
      <c r="D898" s="568" t="s">
        <v>2122</v>
      </c>
      <c r="E898" s="569">
        <v>15</v>
      </c>
      <c r="F898" t="s">
        <v>1609</v>
      </c>
      <c r="G898" t="s">
        <v>1191</v>
      </c>
      <c r="H898">
        <v>1</v>
      </c>
      <c r="I898" t="s">
        <v>2046</v>
      </c>
      <c r="J898" t="s">
        <v>2047</v>
      </c>
      <c r="K898" t="s">
        <v>2048</v>
      </c>
    </row>
    <row r="899" spans="1:11" hidden="1">
      <c r="A899" t="str">
        <f t="shared" ref="A899:A962" si="28">LEFT(C899)</f>
        <v>M</v>
      </c>
      <c r="B899" t="str">
        <f t="shared" si="27"/>
        <v>M1</v>
      </c>
      <c r="C899" s="568" t="s">
        <v>2305</v>
      </c>
      <c r="D899" s="568" t="s">
        <v>2122</v>
      </c>
      <c r="E899" s="569">
        <v>15</v>
      </c>
      <c r="F899" t="s">
        <v>1609</v>
      </c>
      <c r="G899" t="s">
        <v>1191</v>
      </c>
      <c r="H899">
        <v>1</v>
      </c>
      <c r="I899" t="s">
        <v>2046</v>
      </c>
      <c r="J899" t="s">
        <v>2047</v>
      </c>
      <c r="K899" t="s">
        <v>2048</v>
      </c>
    </row>
    <row r="900" spans="1:11" hidden="1">
      <c r="A900" t="str">
        <f t="shared" si="28"/>
        <v>M</v>
      </c>
      <c r="B900" t="str">
        <f t="shared" ref="B900:B963" si="29">LEFT(C900,2)</f>
        <v>M1</v>
      </c>
      <c r="C900" s="568" t="s">
        <v>2306</v>
      </c>
      <c r="D900" s="568" t="s">
        <v>2122</v>
      </c>
      <c r="E900" s="569">
        <v>15</v>
      </c>
      <c r="F900" t="s">
        <v>1609</v>
      </c>
      <c r="G900" t="s">
        <v>1191</v>
      </c>
      <c r="H900">
        <v>1</v>
      </c>
      <c r="I900" t="s">
        <v>2046</v>
      </c>
      <c r="J900" t="s">
        <v>2047</v>
      </c>
      <c r="K900" t="s">
        <v>2048</v>
      </c>
    </row>
    <row r="901" spans="1:11" hidden="1">
      <c r="A901" t="str">
        <f t="shared" si="28"/>
        <v>M</v>
      </c>
      <c r="B901" t="str">
        <f t="shared" si="29"/>
        <v>M1</v>
      </c>
      <c r="C901" s="568" t="s">
        <v>2307</v>
      </c>
      <c r="D901" s="568" t="s">
        <v>2122</v>
      </c>
      <c r="E901" s="569">
        <v>15</v>
      </c>
      <c r="F901" t="s">
        <v>1609</v>
      </c>
      <c r="G901" t="s">
        <v>1191</v>
      </c>
      <c r="H901">
        <v>1</v>
      </c>
      <c r="I901" t="s">
        <v>2046</v>
      </c>
      <c r="J901" t="s">
        <v>2047</v>
      </c>
      <c r="K901" t="s">
        <v>2048</v>
      </c>
    </row>
    <row r="902" spans="1:11" hidden="1">
      <c r="A902" t="str">
        <f t="shared" si="28"/>
        <v>M</v>
      </c>
      <c r="B902" t="str">
        <f t="shared" si="29"/>
        <v>M1</v>
      </c>
      <c r="C902" s="568" t="s">
        <v>2308</v>
      </c>
      <c r="D902" s="568" t="s">
        <v>2122</v>
      </c>
      <c r="E902" s="569">
        <v>15</v>
      </c>
      <c r="F902" t="s">
        <v>1609</v>
      </c>
      <c r="G902" t="s">
        <v>1191</v>
      </c>
      <c r="H902">
        <v>1</v>
      </c>
      <c r="I902" t="s">
        <v>2046</v>
      </c>
      <c r="J902" t="s">
        <v>2047</v>
      </c>
      <c r="K902" t="s">
        <v>2048</v>
      </c>
    </row>
    <row r="903" spans="1:11" hidden="1">
      <c r="A903" t="str">
        <f t="shared" si="28"/>
        <v>M</v>
      </c>
      <c r="B903" t="str">
        <f t="shared" si="29"/>
        <v>M1</v>
      </c>
      <c r="C903" s="568" t="s">
        <v>2309</v>
      </c>
      <c r="D903" s="568" t="s">
        <v>2122</v>
      </c>
      <c r="E903" s="569">
        <v>15</v>
      </c>
      <c r="F903" t="s">
        <v>1609</v>
      </c>
      <c r="G903" t="s">
        <v>1191</v>
      </c>
      <c r="H903">
        <v>1</v>
      </c>
      <c r="I903" t="s">
        <v>2046</v>
      </c>
      <c r="J903" t="s">
        <v>2047</v>
      </c>
      <c r="K903" t="s">
        <v>2048</v>
      </c>
    </row>
    <row r="904" spans="1:11" hidden="1">
      <c r="A904" t="str">
        <f t="shared" si="28"/>
        <v>M</v>
      </c>
      <c r="B904" t="str">
        <f t="shared" si="29"/>
        <v>M1</v>
      </c>
      <c r="C904" s="568" t="s">
        <v>2310</v>
      </c>
      <c r="D904" s="568" t="s">
        <v>2119</v>
      </c>
      <c r="E904" s="569">
        <v>15</v>
      </c>
      <c r="F904" t="s">
        <v>1609</v>
      </c>
      <c r="G904" t="s">
        <v>1191</v>
      </c>
      <c r="H904">
        <v>1</v>
      </c>
      <c r="I904" t="s">
        <v>2046</v>
      </c>
      <c r="J904" t="s">
        <v>2047</v>
      </c>
      <c r="K904" t="s">
        <v>2048</v>
      </c>
    </row>
    <row r="905" spans="1:11" hidden="1">
      <c r="A905" t="str">
        <f t="shared" si="28"/>
        <v>M</v>
      </c>
      <c r="B905" t="str">
        <f t="shared" si="29"/>
        <v>M1</v>
      </c>
      <c r="C905" s="568" t="s">
        <v>2311</v>
      </c>
      <c r="D905" s="568" t="s">
        <v>2122</v>
      </c>
      <c r="E905" s="569">
        <v>15</v>
      </c>
      <c r="F905" t="s">
        <v>1609</v>
      </c>
      <c r="G905" t="s">
        <v>1191</v>
      </c>
      <c r="H905">
        <v>1</v>
      </c>
      <c r="I905" t="s">
        <v>2046</v>
      </c>
      <c r="J905" t="s">
        <v>2047</v>
      </c>
      <c r="K905" t="s">
        <v>2048</v>
      </c>
    </row>
    <row r="906" spans="1:11" hidden="1">
      <c r="A906" t="str">
        <f t="shared" si="28"/>
        <v>M</v>
      </c>
      <c r="B906" t="str">
        <f t="shared" si="29"/>
        <v>M1</v>
      </c>
      <c r="C906" s="568" t="s">
        <v>2312</v>
      </c>
      <c r="D906" s="568" t="s">
        <v>2057</v>
      </c>
      <c r="E906" s="569">
        <v>15</v>
      </c>
      <c r="F906" t="s">
        <v>1609</v>
      </c>
      <c r="G906" t="s">
        <v>1191</v>
      </c>
      <c r="H906">
        <v>1</v>
      </c>
      <c r="I906" t="s">
        <v>2046</v>
      </c>
      <c r="J906" t="s">
        <v>2047</v>
      </c>
      <c r="K906" t="s">
        <v>2048</v>
      </c>
    </row>
    <row r="907" spans="1:11" hidden="1">
      <c r="A907" t="str">
        <f t="shared" si="28"/>
        <v>M</v>
      </c>
      <c r="B907" t="str">
        <f t="shared" si="29"/>
        <v>M1</v>
      </c>
      <c r="C907" s="568" t="s">
        <v>2313</v>
      </c>
      <c r="D907" s="568" t="s">
        <v>2122</v>
      </c>
      <c r="E907" s="569">
        <v>15</v>
      </c>
      <c r="F907" t="s">
        <v>1609</v>
      </c>
      <c r="G907" t="s">
        <v>1191</v>
      </c>
      <c r="H907">
        <v>1</v>
      </c>
      <c r="I907" t="s">
        <v>2046</v>
      </c>
      <c r="J907" t="s">
        <v>2047</v>
      </c>
      <c r="K907" t="s">
        <v>2048</v>
      </c>
    </row>
    <row r="908" spans="1:11" hidden="1">
      <c r="A908" t="str">
        <f t="shared" si="28"/>
        <v>M</v>
      </c>
      <c r="B908" t="str">
        <f t="shared" si="29"/>
        <v>M1</v>
      </c>
      <c r="C908" s="568" t="s">
        <v>2314</v>
      </c>
      <c r="D908" s="568" t="s">
        <v>2057</v>
      </c>
      <c r="E908" s="569">
        <v>15</v>
      </c>
      <c r="F908" t="s">
        <v>1609</v>
      </c>
      <c r="G908" t="s">
        <v>1191</v>
      </c>
      <c r="H908">
        <v>1</v>
      </c>
      <c r="I908" t="s">
        <v>2046</v>
      </c>
      <c r="J908" t="s">
        <v>2047</v>
      </c>
      <c r="K908" t="s">
        <v>2048</v>
      </c>
    </row>
    <row r="909" spans="1:11" hidden="1">
      <c r="A909" t="str">
        <f t="shared" si="28"/>
        <v>M</v>
      </c>
      <c r="B909" t="str">
        <f t="shared" si="29"/>
        <v>M1</v>
      </c>
      <c r="C909" s="568" t="s">
        <v>2315</v>
      </c>
      <c r="D909" s="568" t="s">
        <v>2057</v>
      </c>
      <c r="E909" s="569">
        <v>15</v>
      </c>
      <c r="F909" t="s">
        <v>1609</v>
      </c>
      <c r="G909" t="s">
        <v>1191</v>
      </c>
      <c r="H909">
        <v>1</v>
      </c>
      <c r="I909" t="s">
        <v>2046</v>
      </c>
      <c r="J909" t="s">
        <v>2047</v>
      </c>
      <c r="K909" t="s">
        <v>2048</v>
      </c>
    </row>
    <row r="910" spans="1:11" hidden="1">
      <c r="A910" t="str">
        <f t="shared" si="28"/>
        <v>M</v>
      </c>
      <c r="B910" t="str">
        <f t="shared" si="29"/>
        <v>M1</v>
      </c>
      <c r="C910" s="568" t="s">
        <v>2316</v>
      </c>
      <c r="D910" s="568" t="s">
        <v>2122</v>
      </c>
      <c r="E910" s="569">
        <v>15</v>
      </c>
      <c r="F910" t="s">
        <v>1609</v>
      </c>
      <c r="G910" t="s">
        <v>1191</v>
      </c>
      <c r="H910">
        <v>1</v>
      </c>
      <c r="I910" t="s">
        <v>2046</v>
      </c>
      <c r="J910" t="s">
        <v>2047</v>
      </c>
      <c r="K910" t="s">
        <v>2048</v>
      </c>
    </row>
    <row r="911" spans="1:11" hidden="1">
      <c r="A911" t="str">
        <f t="shared" si="28"/>
        <v>M</v>
      </c>
      <c r="B911" t="str">
        <f t="shared" si="29"/>
        <v>M1</v>
      </c>
      <c r="C911" s="568" t="s">
        <v>2317</v>
      </c>
      <c r="D911" s="568" t="s">
        <v>2122</v>
      </c>
      <c r="E911" s="569">
        <v>15</v>
      </c>
      <c r="F911" t="s">
        <v>1609</v>
      </c>
      <c r="G911" t="s">
        <v>1191</v>
      </c>
      <c r="H911">
        <v>1</v>
      </c>
      <c r="I911" t="s">
        <v>2046</v>
      </c>
      <c r="J911" t="s">
        <v>2047</v>
      </c>
      <c r="K911" t="s">
        <v>2048</v>
      </c>
    </row>
    <row r="912" spans="1:11" hidden="1">
      <c r="A912" t="str">
        <f t="shared" si="28"/>
        <v>M</v>
      </c>
      <c r="B912" t="str">
        <f t="shared" si="29"/>
        <v>M2</v>
      </c>
      <c r="C912" s="568" t="s">
        <v>2318</v>
      </c>
      <c r="D912" s="568" t="s">
        <v>2122</v>
      </c>
      <c r="E912" s="569">
        <v>15</v>
      </c>
      <c r="F912" t="s">
        <v>1609</v>
      </c>
      <c r="G912" t="s">
        <v>1191</v>
      </c>
      <c r="H912">
        <v>1</v>
      </c>
      <c r="I912" t="s">
        <v>2046</v>
      </c>
      <c r="J912" t="s">
        <v>2047</v>
      </c>
      <c r="K912" t="s">
        <v>2048</v>
      </c>
    </row>
    <row r="913" spans="1:11" hidden="1">
      <c r="A913" t="str">
        <f t="shared" si="28"/>
        <v>M</v>
      </c>
      <c r="B913" t="str">
        <f t="shared" si="29"/>
        <v>M2</v>
      </c>
      <c r="C913" s="568" t="s">
        <v>2319</v>
      </c>
      <c r="D913" s="568" t="s">
        <v>2122</v>
      </c>
      <c r="E913" s="569">
        <v>15</v>
      </c>
      <c r="F913" t="s">
        <v>1609</v>
      </c>
      <c r="G913" t="s">
        <v>1191</v>
      </c>
      <c r="H913">
        <v>1</v>
      </c>
      <c r="I913" t="s">
        <v>2046</v>
      </c>
      <c r="J913" t="s">
        <v>2047</v>
      </c>
      <c r="K913" t="s">
        <v>2048</v>
      </c>
    </row>
    <row r="914" spans="1:11" hidden="1">
      <c r="A914" t="str">
        <f t="shared" si="28"/>
        <v>M</v>
      </c>
      <c r="B914" t="str">
        <f t="shared" si="29"/>
        <v>M2</v>
      </c>
      <c r="C914" s="568" t="s">
        <v>2320</v>
      </c>
      <c r="D914" s="568" t="s">
        <v>2122</v>
      </c>
      <c r="E914" s="569">
        <v>15</v>
      </c>
      <c r="F914" s="577" t="s">
        <v>1609</v>
      </c>
      <c r="G914" t="s">
        <v>1191</v>
      </c>
      <c r="H914">
        <v>1</v>
      </c>
      <c r="I914" t="s">
        <v>2046</v>
      </c>
      <c r="J914" t="s">
        <v>2047</v>
      </c>
      <c r="K914" t="s">
        <v>2048</v>
      </c>
    </row>
    <row r="915" spans="1:11" hidden="1">
      <c r="A915" t="str">
        <f t="shared" si="28"/>
        <v>M</v>
      </c>
      <c r="B915" t="str">
        <f t="shared" si="29"/>
        <v>M2</v>
      </c>
      <c r="C915" s="568" t="s">
        <v>2321</v>
      </c>
      <c r="D915" s="568" t="s">
        <v>2122</v>
      </c>
      <c r="E915" s="569">
        <v>15</v>
      </c>
      <c r="F915" t="s">
        <v>1609</v>
      </c>
      <c r="G915" t="s">
        <v>1191</v>
      </c>
      <c r="H915">
        <v>1</v>
      </c>
      <c r="I915" t="s">
        <v>2046</v>
      </c>
      <c r="J915" t="s">
        <v>2047</v>
      </c>
      <c r="K915" t="s">
        <v>2048</v>
      </c>
    </row>
    <row r="916" spans="1:11" hidden="1">
      <c r="A916" t="str">
        <f t="shared" si="28"/>
        <v>M</v>
      </c>
      <c r="B916" t="str">
        <f t="shared" si="29"/>
        <v>M2</v>
      </c>
      <c r="C916" s="568" t="s">
        <v>2322</v>
      </c>
      <c r="D916" s="568" t="s">
        <v>2122</v>
      </c>
      <c r="E916" s="569">
        <v>15</v>
      </c>
      <c r="F916" t="s">
        <v>1609</v>
      </c>
      <c r="G916" t="s">
        <v>1191</v>
      </c>
      <c r="H916">
        <v>1</v>
      </c>
      <c r="I916" t="s">
        <v>2046</v>
      </c>
      <c r="J916" t="s">
        <v>2047</v>
      </c>
      <c r="K916" t="s">
        <v>2048</v>
      </c>
    </row>
    <row r="917" spans="1:11" hidden="1">
      <c r="A917" t="str">
        <f t="shared" si="28"/>
        <v>M</v>
      </c>
      <c r="B917" t="str">
        <f t="shared" si="29"/>
        <v>M2</v>
      </c>
      <c r="C917" s="568" t="s">
        <v>2323</v>
      </c>
      <c r="D917" s="568" t="s">
        <v>2122</v>
      </c>
      <c r="E917" s="569">
        <v>15</v>
      </c>
      <c r="F917" t="s">
        <v>1609</v>
      </c>
      <c r="G917" t="s">
        <v>1191</v>
      </c>
      <c r="H917">
        <v>1</v>
      </c>
      <c r="I917" t="s">
        <v>2046</v>
      </c>
      <c r="J917" t="s">
        <v>2047</v>
      </c>
      <c r="K917" t="s">
        <v>2048</v>
      </c>
    </row>
    <row r="918" spans="1:11" hidden="1">
      <c r="A918" t="str">
        <f t="shared" si="28"/>
        <v>M</v>
      </c>
      <c r="B918" t="str">
        <f t="shared" si="29"/>
        <v>M2</v>
      </c>
      <c r="C918" s="568" t="s">
        <v>2324</v>
      </c>
      <c r="D918" s="568" t="s">
        <v>2122</v>
      </c>
      <c r="E918" s="569">
        <v>15</v>
      </c>
      <c r="F918" t="s">
        <v>1609</v>
      </c>
      <c r="G918" t="s">
        <v>1191</v>
      </c>
      <c r="H918">
        <v>1</v>
      </c>
      <c r="I918" t="s">
        <v>2046</v>
      </c>
      <c r="J918" t="s">
        <v>2047</v>
      </c>
      <c r="K918" t="s">
        <v>2048</v>
      </c>
    </row>
    <row r="919" spans="1:11" hidden="1">
      <c r="A919" t="str">
        <f t="shared" si="28"/>
        <v>M</v>
      </c>
      <c r="B919" t="str">
        <f t="shared" si="29"/>
        <v>M2</v>
      </c>
      <c r="C919" s="568" t="s">
        <v>2325</v>
      </c>
      <c r="D919" s="568" t="s">
        <v>2122</v>
      </c>
      <c r="E919" s="569">
        <v>15</v>
      </c>
      <c r="F919" t="s">
        <v>1609</v>
      </c>
      <c r="G919" t="s">
        <v>1191</v>
      </c>
      <c r="H919">
        <v>1</v>
      </c>
      <c r="I919" t="s">
        <v>2046</v>
      </c>
      <c r="J919" t="s">
        <v>2047</v>
      </c>
      <c r="K919" t="s">
        <v>2048</v>
      </c>
    </row>
    <row r="920" spans="1:11" hidden="1">
      <c r="A920" t="str">
        <f t="shared" si="28"/>
        <v>M</v>
      </c>
      <c r="B920" t="str">
        <f t="shared" si="29"/>
        <v>M3</v>
      </c>
      <c r="C920" s="568" t="s">
        <v>2326</v>
      </c>
      <c r="D920" s="568" t="s">
        <v>2122</v>
      </c>
      <c r="E920" s="569">
        <v>15</v>
      </c>
      <c r="F920" t="s">
        <v>1609</v>
      </c>
      <c r="G920" t="s">
        <v>1191</v>
      </c>
      <c r="H920">
        <v>1</v>
      </c>
      <c r="I920" t="s">
        <v>2046</v>
      </c>
      <c r="J920" t="s">
        <v>2047</v>
      </c>
      <c r="K920" t="s">
        <v>2048</v>
      </c>
    </row>
    <row r="921" spans="1:11" hidden="1">
      <c r="A921" t="str">
        <f t="shared" si="28"/>
        <v>M</v>
      </c>
      <c r="B921" t="str">
        <f t="shared" si="29"/>
        <v>M3</v>
      </c>
      <c r="C921" s="568" t="s">
        <v>2327</v>
      </c>
      <c r="D921" s="568" t="s">
        <v>2122</v>
      </c>
      <c r="E921" s="569">
        <v>15</v>
      </c>
      <c r="F921" t="s">
        <v>1609</v>
      </c>
      <c r="G921" t="s">
        <v>1191</v>
      </c>
      <c r="H921">
        <v>1</v>
      </c>
      <c r="I921" t="s">
        <v>2046</v>
      </c>
      <c r="J921" t="s">
        <v>2047</v>
      </c>
      <c r="K921" t="s">
        <v>2048</v>
      </c>
    </row>
    <row r="922" spans="1:11" hidden="1">
      <c r="A922" t="str">
        <f t="shared" si="28"/>
        <v>M</v>
      </c>
      <c r="B922" t="str">
        <f t="shared" si="29"/>
        <v>M3</v>
      </c>
      <c r="C922" s="568" t="s">
        <v>2328</v>
      </c>
      <c r="D922" s="568" t="s">
        <v>2119</v>
      </c>
      <c r="E922" s="569">
        <v>15</v>
      </c>
      <c r="F922" t="s">
        <v>1609</v>
      </c>
      <c r="G922" t="s">
        <v>1191</v>
      </c>
      <c r="H922">
        <v>1</v>
      </c>
      <c r="I922" t="s">
        <v>2046</v>
      </c>
      <c r="J922" t="s">
        <v>2047</v>
      </c>
      <c r="K922" t="s">
        <v>2048</v>
      </c>
    </row>
    <row r="923" spans="1:11" hidden="1">
      <c r="A923" t="str">
        <f t="shared" si="28"/>
        <v>M</v>
      </c>
      <c r="B923" t="str">
        <f t="shared" si="29"/>
        <v>M3</v>
      </c>
      <c r="C923" s="568" t="s">
        <v>2329</v>
      </c>
      <c r="D923" s="568" t="s">
        <v>2122</v>
      </c>
      <c r="E923" s="569">
        <v>15</v>
      </c>
      <c r="F923" t="s">
        <v>1609</v>
      </c>
      <c r="G923" t="s">
        <v>1191</v>
      </c>
      <c r="H923">
        <v>1</v>
      </c>
      <c r="I923" t="s">
        <v>2046</v>
      </c>
      <c r="J923" t="s">
        <v>2047</v>
      </c>
      <c r="K923" t="s">
        <v>2048</v>
      </c>
    </row>
    <row r="924" spans="1:11" hidden="1">
      <c r="A924" t="str">
        <f t="shared" si="28"/>
        <v>M</v>
      </c>
      <c r="B924" t="str">
        <f t="shared" si="29"/>
        <v>M3</v>
      </c>
      <c r="C924" s="568" t="s">
        <v>2330</v>
      </c>
      <c r="D924" s="568" t="s">
        <v>2122</v>
      </c>
      <c r="E924" s="569">
        <v>15</v>
      </c>
      <c r="F924" t="s">
        <v>1609</v>
      </c>
      <c r="G924" t="s">
        <v>1191</v>
      </c>
      <c r="H924">
        <v>1</v>
      </c>
      <c r="I924" t="s">
        <v>2046</v>
      </c>
      <c r="J924" t="s">
        <v>2047</v>
      </c>
      <c r="K924" t="s">
        <v>2048</v>
      </c>
    </row>
    <row r="925" spans="1:11" hidden="1">
      <c r="A925" t="str">
        <f t="shared" si="28"/>
        <v>M</v>
      </c>
      <c r="B925" t="str">
        <f t="shared" si="29"/>
        <v>M3</v>
      </c>
      <c r="C925" s="568" t="s">
        <v>2331</v>
      </c>
      <c r="D925" s="568" t="s">
        <v>2057</v>
      </c>
      <c r="E925" s="569">
        <v>15</v>
      </c>
      <c r="F925" t="s">
        <v>1609</v>
      </c>
      <c r="G925" t="s">
        <v>1191</v>
      </c>
      <c r="H925">
        <v>1</v>
      </c>
      <c r="I925" t="s">
        <v>2046</v>
      </c>
      <c r="J925" t="s">
        <v>2047</v>
      </c>
      <c r="K925" t="s">
        <v>2048</v>
      </c>
    </row>
    <row r="926" spans="1:11" hidden="1">
      <c r="A926" t="str">
        <f t="shared" si="28"/>
        <v>M</v>
      </c>
      <c r="B926" t="str">
        <f t="shared" si="29"/>
        <v>M3</v>
      </c>
      <c r="C926" s="568" t="s">
        <v>2332</v>
      </c>
      <c r="D926" s="568" t="s">
        <v>2119</v>
      </c>
      <c r="E926" s="569">
        <v>15</v>
      </c>
      <c r="F926" t="s">
        <v>1609</v>
      </c>
      <c r="G926" t="s">
        <v>1191</v>
      </c>
      <c r="H926">
        <v>1</v>
      </c>
      <c r="I926" t="s">
        <v>2046</v>
      </c>
      <c r="J926" t="s">
        <v>2047</v>
      </c>
      <c r="K926" t="s">
        <v>2048</v>
      </c>
    </row>
    <row r="927" spans="1:11" hidden="1">
      <c r="A927" t="str">
        <f t="shared" si="28"/>
        <v>M</v>
      </c>
      <c r="B927" t="str">
        <f t="shared" si="29"/>
        <v>M3</v>
      </c>
      <c r="C927" s="568" t="s">
        <v>2333</v>
      </c>
      <c r="D927" s="568" t="s">
        <v>2122</v>
      </c>
      <c r="E927" s="569">
        <v>15</v>
      </c>
      <c r="F927" t="s">
        <v>1609</v>
      </c>
      <c r="G927" t="s">
        <v>1191</v>
      </c>
      <c r="H927">
        <v>1</v>
      </c>
      <c r="I927" t="s">
        <v>2046</v>
      </c>
      <c r="J927" t="s">
        <v>2047</v>
      </c>
      <c r="K927" t="s">
        <v>2048</v>
      </c>
    </row>
    <row r="928" spans="1:11" hidden="1">
      <c r="A928" t="str">
        <f t="shared" si="28"/>
        <v>M</v>
      </c>
      <c r="B928" t="str">
        <f t="shared" si="29"/>
        <v>M3</v>
      </c>
      <c r="C928" s="568" t="s">
        <v>2334</v>
      </c>
      <c r="D928" s="568" t="s">
        <v>2122</v>
      </c>
      <c r="E928" s="569">
        <v>15</v>
      </c>
      <c r="F928" t="s">
        <v>1609</v>
      </c>
      <c r="G928" t="s">
        <v>1191</v>
      </c>
      <c r="H928">
        <v>1</v>
      </c>
      <c r="I928" t="s">
        <v>2046</v>
      </c>
      <c r="J928" t="s">
        <v>2047</v>
      </c>
      <c r="K928" t="s">
        <v>2048</v>
      </c>
    </row>
    <row r="929" spans="1:11" hidden="1">
      <c r="A929" t="str">
        <f t="shared" si="28"/>
        <v>M</v>
      </c>
      <c r="B929" t="str">
        <f t="shared" si="29"/>
        <v>M4</v>
      </c>
      <c r="C929" s="568" t="s">
        <v>2335</v>
      </c>
      <c r="D929" s="568" t="s">
        <v>2122</v>
      </c>
      <c r="E929" s="569">
        <v>15</v>
      </c>
      <c r="F929" t="s">
        <v>1609</v>
      </c>
      <c r="G929" t="s">
        <v>1191</v>
      </c>
      <c r="H929">
        <v>1</v>
      </c>
      <c r="I929" t="s">
        <v>2046</v>
      </c>
      <c r="J929" t="s">
        <v>2047</v>
      </c>
      <c r="K929" t="s">
        <v>2048</v>
      </c>
    </row>
    <row r="930" spans="1:11" hidden="1">
      <c r="A930" t="str">
        <f t="shared" si="28"/>
        <v>M</v>
      </c>
      <c r="B930" t="str">
        <f t="shared" si="29"/>
        <v>M4</v>
      </c>
      <c r="C930" s="568" t="s">
        <v>2336</v>
      </c>
      <c r="D930" s="568" t="s">
        <v>2119</v>
      </c>
      <c r="E930" s="569">
        <v>15</v>
      </c>
      <c r="F930" t="s">
        <v>1609</v>
      </c>
      <c r="G930" t="s">
        <v>1191</v>
      </c>
      <c r="H930">
        <v>1</v>
      </c>
      <c r="I930" t="s">
        <v>2046</v>
      </c>
      <c r="J930" t="s">
        <v>2047</v>
      </c>
      <c r="K930" t="s">
        <v>2048</v>
      </c>
    </row>
    <row r="931" spans="1:11" hidden="1">
      <c r="A931" t="str">
        <f t="shared" si="28"/>
        <v>M</v>
      </c>
      <c r="B931" t="str">
        <f t="shared" si="29"/>
        <v>M4</v>
      </c>
      <c r="C931" s="568" t="s">
        <v>2337</v>
      </c>
      <c r="D931" s="568" t="s">
        <v>2119</v>
      </c>
      <c r="E931" s="569">
        <v>15</v>
      </c>
      <c r="F931" s="577" t="s">
        <v>1609</v>
      </c>
      <c r="G931" t="s">
        <v>1191</v>
      </c>
      <c r="H931">
        <v>1</v>
      </c>
      <c r="I931" t="s">
        <v>2046</v>
      </c>
      <c r="J931" t="s">
        <v>2047</v>
      </c>
      <c r="K931" t="s">
        <v>2048</v>
      </c>
    </row>
    <row r="932" spans="1:11" hidden="1">
      <c r="A932" t="str">
        <f t="shared" si="28"/>
        <v>M</v>
      </c>
      <c r="B932" t="str">
        <f t="shared" si="29"/>
        <v>M4</v>
      </c>
      <c r="C932" s="568" t="s">
        <v>2338</v>
      </c>
      <c r="D932" s="568" t="s">
        <v>2119</v>
      </c>
      <c r="E932" s="569">
        <v>15</v>
      </c>
      <c r="F932" t="s">
        <v>1609</v>
      </c>
      <c r="G932" t="s">
        <v>1191</v>
      </c>
      <c r="H932">
        <v>1</v>
      </c>
      <c r="I932" t="s">
        <v>2046</v>
      </c>
      <c r="J932" t="s">
        <v>2047</v>
      </c>
      <c r="K932" t="s">
        <v>2048</v>
      </c>
    </row>
    <row r="933" spans="1:11" hidden="1">
      <c r="A933" t="str">
        <f t="shared" si="28"/>
        <v>M</v>
      </c>
      <c r="B933" t="str">
        <f t="shared" si="29"/>
        <v>M4</v>
      </c>
      <c r="C933" s="568" t="s">
        <v>2339</v>
      </c>
      <c r="D933" s="568" t="s">
        <v>2122</v>
      </c>
      <c r="E933" s="569">
        <v>15</v>
      </c>
      <c r="F933" t="s">
        <v>1609</v>
      </c>
      <c r="G933" t="s">
        <v>1191</v>
      </c>
      <c r="H933">
        <v>1</v>
      </c>
      <c r="I933" t="s">
        <v>2046</v>
      </c>
      <c r="J933" t="s">
        <v>2047</v>
      </c>
      <c r="K933" t="s">
        <v>2048</v>
      </c>
    </row>
    <row r="934" spans="1:11" hidden="1">
      <c r="A934" t="str">
        <f t="shared" si="28"/>
        <v>M</v>
      </c>
      <c r="B934" t="str">
        <f t="shared" si="29"/>
        <v>M4</v>
      </c>
      <c r="C934" s="568" t="s">
        <v>2340</v>
      </c>
      <c r="D934" s="568" t="s">
        <v>2119</v>
      </c>
      <c r="E934" s="569">
        <v>15</v>
      </c>
      <c r="F934" t="s">
        <v>1609</v>
      </c>
      <c r="G934" t="s">
        <v>1191</v>
      </c>
      <c r="H934">
        <v>1</v>
      </c>
      <c r="I934" t="s">
        <v>2046</v>
      </c>
      <c r="J934" t="s">
        <v>2047</v>
      </c>
      <c r="K934" t="s">
        <v>2048</v>
      </c>
    </row>
    <row r="935" spans="1:11" hidden="1">
      <c r="A935" t="str">
        <f t="shared" si="28"/>
        <v>M</v>
      </c>
      <c r="B935" t="str">
        <f t="shared" si="29"/>
        <v>M4</v>
      </c>
      <c r="C935" s="568" t="s">
        <v>2341</v>
      </c>
      <c r="D935" s="568" t="s">
        <v>2119</v>
      </c>
      <c r="E935" s="569">
        <v>15</v>
      </c>
      <c r="F935" t="s">
        <v>1609</v>
      </c>
      <c r="G935" t="s">
        <v>1191</v>
      </c>
      <c r="H935">
        <v>1</v>
      </c>
      <c r="I935" t="s">
        <v>2046</v>
      </c>
      <c r="J935" t="s">
        <v>2047</v>
      </c>
      <c r="K935" t="s">
        <v>2048</v>
      </c>
    </row>
    <row r="936" spans="1:11" hidden="1">
      <c r="A936" t="str">
        <f t="shared" si="28"/>
        <v>M</v>
      </c>
      <c r="B936" t="str">
        <f t="shared" si="29"/>
        <v>M4</v>
      </c>
      <c r="C936" s="568" t="s">
        <v>2342</v>
      </c>
      <c r="D936" s="568" t="s">
        <v>2119</v>
      </c>
      <c r="E936" s="569">
        <v>15</v>
      </c>
      <c r="F936" t="s">
        <v>1609</v>
      </c>
      <c r="G936" t="s">
        <v>1191</v>
      </c>
      <c r="H936">
        <v>1</v>
      </c>
      <c r="I936" t="s">
        <v>2046</v>
      </c>
      <c r="J936" t="s">
        <v>2047</v>
      </c>
      <c r="K936" t="s">
        <v>2048</v>
      </c>
    </row>
    <row r="937" spans="1:11" hidden="1">
      <c r="A937" t="str">
        <f t="shared" si="28"/>
        <v>M</v>
      </c>
      <c r="B937" t="str">
        <f t="shared" si="29"/>
        <v>M4</v>
      </c>
      <c r="C937" s="568" t="s">
        <v>2343</v>
      </c>
      <c r="D937" s="568" t="s">
        <v>2119</v>
      </c>
      <c r="E937" s="569">
        <v>15</v>
      </c>
      <c r="F937" t="s">
        <v>1609</v>
      </c>
      <c r="G937" t="s">
        <v>1191</v>
      </c>
      <c r="H937">
        <v>1</v>
      </c>
      <c r="I937" t="s">
        <v>2046</v>
      </c>
      <c r="J937" t="s">
        <v>2047</v>
      </c>
      <c r="K937" t="s">
        <v>2048</v>
      </c>
    </row>
    <row r="938" spans="1:11" hidden="1">
      <c r="A938" t="str">
        <f t="shared" si="28"/>
        <v>M</v>
      </c>
      <c r="B938" t="str">
        <f t="shared" si="29"/>
        <v>M4</v>
      </c>
      <c r="C938" s="568" t="s">
        <v>2344</v>
      </c>
      <c r="D938" s="568" t="s">
        <v>2115</v>
      </c>
      <c r="E938" s="569">
        <v>15</v>
      </c>
      <c r="F938" t="s">
        <v>1609</v>
      </c>
      <c r="G938" t="s">
        <v>1191</v>
      </c>
      <c r="H938">
        <v>1</v>
      </c>
      <c r="I938" t="s">
        <v>2046</v>
      </c>
      <c r="J938" t="s">
        <v>2047</v>
      </c>
      <c r="K938" t="s">
        <v>2048</v>
      </c>
    </row>
    <row r="939" spans="1:11" hidden="1">
      <c r="A939" t="str">
        <f t="shared" si="28"/>
        <v>M</v>
      </c>
      <c r="B939" t="str">
        <f t="shared" si="29"/>
        <v>M4</v>
      </c>
      <c r="C939" s="568" t="s">
        <v>2345</v>
      </c>
      <c r="D939" s="568" t="s">
        <v>2122</v>
      </c>
      <c r="E939" s="569">
        <v>15</v>
      </c>
      <c r="F939" t="s">
        <v>1609</v>
      </c>
      <c r="G939" t="s">
        <v>1191</v>
      </c>
      <c r="H939">
        <v>1</v>
      </c>
      <c r="I939" t="s">
        <v>2046</v>
      </c>
      <c r="J939" t="s">
        <v>2047</v>
      </c>
      <c r="K939" t="s">
        <v>2048</v>
      </c>
    </row>
    <row r="940" spans="1:11" hidden="1">
      <c r="A940" t="str">
        <f t="shared" si="28"/>
        <v>M</v>
      </c>
      <c r="B940" t="str">
        <f t="shared" si="29"/>
        <v>M4</v>
      </c>
      <c r="C940" s="568" t="s">
        <v>2346</v>
      </c>
      <c r="D940" s="568" t="s">
        <v>2057</v>
      </c>
      <c r="E940" s="569">
        <v>15</v>
      </c>
      <c r="F940" t="s">
        <v>1609</v>
      </c>
      <c r="G940" t="s">
        <v>1191</v>
      </c>
      <c r="H940">
        <v>1</v>
      </c>
      <c r="I940" t="s">
        <v>2046</v>
      </c>
      <c r="J940" t="s">
        <v>2047</v>
      </c>
      <c r="K940" t="s">
        <v>2048</v>
      </c>
    </row>
    <row r="941" spans="1:11" hidden="1">
      <c r="A941" t="str">
        <f t="shared" si="28"/>
        <v>M</v>
      </c>
      <c r="B941" t="str">
        <f t="shared" si="29"/>
        <v>M4</v>
      </c>
      <c r="C941" s="568" t="s">
        <v>2347</v>
      </c>
      <c r="D941" s="568" t="s">
        <v>2057</v>
      </c>
      <c r="E941" s="569">
        <v>15</v>
      </c>
      <c r="F941" t="s">
        <v>1609</v>
      </c>
      <c r="G941" t="s">
        <v>1191</v>
      </c>
      <c r="H941">
        <v>1</v>
      </c>
      <c r="I941" t="s">
        <v>2046</v>
      </c>
      <c r="J941" t="s">
        <v>2047</v>
      </c>
      <c r="K941" t="s">
        <v>2048</v>
      </c>
    </row>
    <row r="942" spans="1:11" hidden="1">
      <c r="A942" t="str">
        <f t="shared" si="28"/>
        <v>M</v>
      </c>
      <c r="B942" t="str">
        <f t="shared" si="29"/>
        <v>M4</v>
      </c>
      <c r="C942" s="568" t="s">
        <v>2348</v>
      </c>
      <c r="D942" s="568" t="s">
        <v>2122</v>
      </c>
      <c r="E942" s="569">
        <v>15</v>
      </c>
      <c r="F942" t="s">
        <v>1609</v>
      </c>
      <c r="G942" t="s">
        <v>1191</v>
      </c>
      <c r="H942">
        <v>1</v>
      </c>
      <c r="I942" t="s">
        <v>2046</v>
      </c>
      <c r="J942" t="s">
        <v>2047</v>
      </c>
      <c r="K942" t="s">
        <v>2048</v>
      </c>
    </row>
    <row r="943" spans="1:11" hidden="1">
      <c r="A943" t="str">
        <f t="shared" si="28"/>
        <v>M</v>
      </c>
      <c r="B943" t="str">
        <f t="shared" si="29"/>
        <v>M4</v>
      </c>
      <c r="C943" s="568" t="s">
        <v>2349</v>
      </c>
      <c r="D943" s="568" t="s">
        <v>2122</v>
      </c>
      <c r="E943" s="569">
        <v>15</v>
      </c>
      <c r="F943" t="s">
        <v>1609</v>
      </c>
      <c r="G943" t="s">
        <v>1191</v>
      </c>
      <c r="H943">
        <v>1</v>
      </c>
      <c r="I943" t="s">
        <v>2046</v>
      </c>
      <c r="J943" t="s">
        <v>2047</v>
      </c>
      <c r="K943" t="s">
        <v>2048</v>
      </c>
    </row>
    <row r="944" spans="1:11" hidden="1">
      <c r="A944" t="str">
        <f t="shared" si="28"/>
        <v>M</v>
      </c>
      <c r="B944" t="str">
        <f t="shared" si="29"/>
        <v>M4</v>
      </c>
      <c r="C944" s="568" t="s">
        <v>2350</v>
      </c>
      <c r="D944" s="568" t="s">
        <v>2122</v>
      </c>
      <c r="E944" s="569">
        <v>15</v>
      </c>
      <c r="F944" t="s">
        <v>1609</v>
      </c>
      <c r="G944" t="s">
        <v>1191</v>
      </c>
      <c r="H944">
        <v>1</v>
      </c>
      <c r="I944" t="s">
        <v>2046</v>
      </c>
      <c r="J944" t="s">
        <v>2047</v>
      </c>
      <c r="K944" t="s">
        <v>2048</v>
      </c>
    </row>
    <row r="945" spans="1:11" hidden="1">
      <c r="A945" t="str">
        <f t="shared" si="28"/>
        <v>M</v>
      </c>
      <c r="B945" t="str">
        <f t="shared" si="29"/>
        <v>M4</v>
      </c>
      <c r="C945" s="568" t="s">
        <v>2351</v>
      </c>
      <c r="D945" s="568" t="s">
        <v>2115</v>
      </c>
      <c r="E945" s="569">
        <v>15</v>
      </c>
      <c r="F945" t="s">
        <v>1609</v>
      </c>
      <c r="G945" t="s">
        <v>1191</v>
      </c>
      <c r="H945">
        <v>1</v>
      </c>
      <c r="I945" t="s">
        <v>2046</v>
      </c>
      <c r="J945" t="s">
        <v>2047</v>
      </c>
      <c r="K945" t="s">
        <v>2048</v>
      </c>
    </row>
    <row r="946" spans="1:11" hidden="1">
      <c r="A946" t="str">
        <f t="shared" si="28"/>
        <v>M</v>
      </c>
      <c r="B946" t="str">
        <f t="shared" si="29"/>
        <v>M4</v>
      </c>
      <c r="C946" s="568" t="s">
        <v>2352</v>
      </c>
      <c r="D946" s="568" t="s">
        <v>2119</v>
      </c>
      <c r="E946" s="569">
        <v>15</v>
      </c>
      <c r="F946" t="s">
        <v>1609</v>
      </c>
      <c r="G946" t="s">
        <v>1191</v>
      </c>
      <c r="H946">
        <v>1</v>
      </c>
      <c r="I946" t="s">
        <v>2046</v>
      </c>
      <c r="J946" t="s">
        <v>2047</v>
      </c>
      <c r="K946" t="s">
        <v>2048</v>
      </c>
    </row>
    <row r="947" spans="1:11" hidden="1">
      <c r="A947" t="str">
        <f t="shared" si="28"/>
        <v>M</v>
      </c>
      <c r="B947" t="str">
        <f t="shared" si="29"/>
        <v>M4</v>
      </c>
      <c r="C947" s="568" t="s">
        <v>2353</v>
      </c>
      <c r="D947" s="568" t="s">
        <v>2119</v>
      </c>
      <c r="E947" s="569">
        <v>15</v>
      </c>
      <c r="F947" t="s">
        <v>1609</v>
      </c>
      <c r="G947" t="s">
        <v>1191</v>
      </c>
      <c r="H947">
        <v>1</v>
      </c>
      <c r="I947" t="s">
        <v>2046</v>
      </c>
      <c r="J947" t="s">
        <v>2047</v>
      </c>
      <c r="K947" t="s">
        <v>2048</v>
      </c>
    </row>
    <row r="948" spans="1:11" hidden="1">
      <c r="A948" t="str">
        <f t="shared" si="28"/>
        <v>M</v>
      </c>
      <c r="B948" t="str">
        <f t="shared" si="29"/>
        <v>M5</v>
      </c>
      <c r="C948" s="568" t="s">
        <v>2354</v>
      </c>
      <c r="D948" s="568" t="s">
        <v>2119</v>
      </c>
      <c r="E948" s="569">
        <v>15</v>
      </c>
      <c r="F948" t="s">
        <v>1609</v>
      </c>
      <c r="G948" t="s">
        <v>1191</v>
      </c>
      <c r="H948">
        <v>1</v>
      </c>
      <c r="I948" t="s">
        <v>2046</v>
      </c>
      <c r="J948" t="s">
        <v>2047</v>
      </c>
      <c r="K948" t="s">
        <v>2048</v>
      </c>
    </row>
    <row r="949" spans="1:11" hidden="1">
      <c r="A949" t="str">
        <f t="shared" si="28"/>
        <v>M</v>
      </c>
      <c r="B949" t="str">
        <f t="shared" si="29"/>
        <v>M5</v>
      </c>
      <c r="C949" s="568" t="s">
        <v>2355</v>
      </c>
      <c r="D949" s="568" t="s">
        <v>2119</v>
      </c>
      <c r="E949" s="569">
        <v>15</v>
      </c>
      <c r="F949" t="s">
        <v>1609</v>
      </c>
      <c r="G949" t="s">
        <v>1191</v>
      </c>
      <c r="H949">
        <v>1</v>
      </c>
      <c r="I949" t="s">
        <v>2046</v>
      </c>
      <c r="J949" t="s">
        <v>2047</v>
      </c>
      <c r="K949" t="s">
        <v>2048</v>
      </c>
    </row>
    <row r="950" spans="1:11" hidden="1">
      <c r="A950" t="str">
        <f t="shared" si="28"/>
        <v>M</v>
      </c>
      <c r="B950" t="str">
        <f t="shared" si="29"/>
        <v>M5</v>
      </c>
      <c r="C950" s="568" t="s">
        <v>2356</v>
      </c>
      <c r="D950" s="568" t="s">
        <v>2119</v>
      </c>
      <c r="E950" s="569">
        <v>15</v>
      </c>
      <c r="F950" t="s">
        <v>1609</v>
      </c>
      <c r="G950" t="s">
        <v>1191</v>
      </c>
      <c r="H950">
        <v>1</v>
      </c>
      <c r="I950" t="s">
        <v>2046</v>
      </c>
      <c r="J950" t="s">
        <v>2047</v>
      </c>
      <c r="K950" t="s">
        <v>2048</v>
      </c>
    </row>
    <row r="951" spans="1:11" hidden="1">
      <c r="A951" t="str">
        <f t="shared" si="28"/>
        <v>M</v>
      </c>
      <c r="B951" t="str">
        <f t="shared" si="29"/>
        <v>M5</v>
      </c>
      <c r="C951" s="568" t="s">
        <v>2357</v>
      </c>
      <c r="D951" s="568" t="s">
        <v>2119</v>
      </c>
      <c r="E951" s="569">
        <v>15</v>
      </c>
      <c r="F951" t="s">
        <v>1609</v>
      </c>
      <c r="G951" t="s">
        <v>1191</v>
      </c>
      <c r="H951">
        <v>1</v>
      </c>
      <c r="I951" t="s">
        <v>2046</v>
      </c>
      <c r="J951" t="s">
        <v>2047</v>
      </c>
      <c r="K951" t="s">
        <v>2048</v>
      </c>
    </row>
    <row r="952" spans="1:11" hidden="1">
      <c r="A952" t="str">
        <f t="shared" si="28"/>
        <v>M</v>
      </c>
      <c r="B952" t="str">
        <f t="shared" si="29"/>
        <v>M5</v>
      </c>
      <c r="C952" s="568" t="s">
        <v>2358</v>
      </c>
      <c r="D952" s="568" t="s">
        <v>2119</v>
      </c>
      <c r="E952" s="569">
        <v>15</v>
      </c>
      <c r="F952" t="s">
        <v>1609</v>
      </c>
      <c r="G952" t="s">
        <v>1191</v>
      </c>
      <c r="H952">
        <v>1</v>
      </c>
      <c r="I952" t="s">
        <v>2046</v>
      </c>
      <c r="J952" t="s">
        <v>2047</v>
      </c>
      <c r="K952" t="s">
        <v>2048</v>
      </c>
    </row>
    <row r="953" spans="1:11" hidden="1">
      <c r="A953" t="str">
        <f t="shared" si="28"/>
        <v>M</v>
      </c>
      <c r="B953" t="str">
        <f t="shared" si="29"/>
        <v>M5</v>
      </c>
      <c r="C953" s="568" t="s">
        <v>2359</v>
      </c>
      <c r="D953" s="568" t="s">
        <v>2119</v>
      </c>
      <c r="E953" s="569">
        <v>15</v>
      </c>
      <c r="F953" s="577" t="s">
        <v>1609</v>
      </c>
      <c r="G953" t="s">
        <v>1191</v>
      </c>
      <c r="H953">
        <v>1</v>
      </c>
      <c r="I953" t="s">
        <v>2046</v>
      </c>
      <c r="J953" t="s">
        <v>2047</v>
      </c>
      <c r="K953" t="s">
        <v>2048</v>
      </c>
    </row>
    <row r="954" spans="1:11" hidden="1">
      <c r="A954" t="str">
        <f t="shared" si="28"/>
        <v>M</v>
      </c>
      <c r="B954" t="str">
        <f t="shared" si="29"/>
        <v>M5</v>
      </c>
      <c r="C954" s="568" t="s">
        <v>2360</v>
      </c>
      <c r="D954" s="568" t="s">
        <v>2115</v>
      </c>
      <c r="E954" s="569">
        <v>15</v>
      </c>
      <c r="F954" t="s">
        <v>1609</v>
      </c>
      <c r="G954" t="s">
        <v>1191</v>
      </c>
      <c r="H954">
        <v>1</v>
      </c>
      <c r="I954" t="s">
        <v>2046</v>
      </c>
      <c r="J954" t="s">
        <v>2047</v>
      </c>
      <c r="K954" t="s">
        <v>2048</v>
      </c>
    </row>
    <row r="955" spans="1:11" hidden="1">
      <c r="A955" t="str">
        <f t="shared" si="28"/>
        <v>M</v>
      </c>
      <c r="B955" t="str">
        <f t="shared" si="29"/>
        <v>M5</v>
      </c>
      <c r="C955" s="568" t="s">
        <v>2361</v>
      </c>
      <c r="D955" s="568" t="s">
        <v>2122</v>
      </c>
      <c r="E955" s="569">
        <v>15</v>
      </c>
      <c r="F955" s="577" t="s">
        <v>1609</v>
      </c>
      <c r="G955" t="s">
        <v>1191</v>
      </c>
      <c r="H955">
        <v>1</v>
      </c>
      <c r="I955" t="s">
        <v>2046</v>
      </c>
      <c r="J955" t="s">
        <v>2047</v>
      </c>
      <c r="K955" t="s">
        <v>2048</v>
      </c>
    </row>
    <row r="956" spans="1:11" hidden="1">
      <c r="A956" t="str">
        <f t="shared" si="28"/>
        <v>M</v>
      </c>
      <c r="B956" t="str">
        <f t="shared" si="29"/>
        <v>M5</v>
      </c>
      <c r="C956" s="568" t="s">
        <v>2362</v>
      </c>
      <c r="D956" s="568" t="s">
        <v>2119</v>
      </c>
      <c r="E956" s="569">
        <v>15</v>
      </c>
      <c r="F956" s="577" t="s">
        <v>1609</v>
      </c>
      <c r="G956" t="s">
        <v>1191</v>
      </c>
      <c r="H956">
        <v>1</v>
      </c>
      <c r="I956" t="s">
        <v>2046</v>
      </c>
      <c r="J956" t="s">
        <v>2047</v>
      </c>
      <c r="K956" t="s">
        <v>2048</v>
      </c>
    </row>
    <row r="957" spans="1:11" hidden="1">
      <c r="A957" t="str">
        <f t="shared" si="28"/>
        <v>M</v>
      </c>
      <c r="B957" t="str">
        <f t="shared" si="29"/>
        <v>M5</v>
      </c>
      <c r="C957" s="568" t="s">
        <v>2363</v>
      </c>
      <c r="D957" s="568" t="s">
        <v>2122</v>
      </c>
      <c r="E957" s="569">
        <v>15</v>
      </c>
      <c r="F957" t="s">
        <v>1609</v>
      </c>
      <c r="G957" t="s">
        <v>1191</v>
      </c>
      <c r="H957">
        <v>1</v>
      </c>
      <c r="I957" t="s">
        <v>2046</v>
      </c>
      <c r="J957" t="s">
        <v>2047</v>
      </c>
      <c r="K957" t="s">
        <v>2048</v>
      </c>
    </row>
    <row r="958" spans="1:11" hidden="1">
      <c r="A958" t="str">
        <f t="shared" si="28"/>
        <v>M</v>
      </c>
      <c r="B958" t="str">
        <f t="shared" si="29"/>
        <v>M5</v>
      </c>
      <c r="C958" s="568" t="s">
        <v>2364</v>
      </c>
      <c r="D958" s="568" t="s">
        <v>2122</v>
      </c>
      <c r="E958" s="569">
        <v>15</v>
      </c>
      <c r="F958" t="s">
        <v>1609</v>
      </c>
      <c r="G958" t="s">
        <v>1191</v>
      </c>
      <c r="H958">
        <v>1</v>
      </c>
      <c r="I958" t="s">
        <v>2046</v>
      </c>
      <c r="J958" t="s">
        <v>2047</v>
      </c>
      <c r="K958" t="s">
        <v>2048</v>
      </c>
    </row>
    <row r="959" spans="1:11" hidden="1">
      <c r="A959" t="str">
        <f t="shared" si="28"/>
        <v>M</v>
      </c>
      <c r="B959" t="str">
        <f t="shared" si="29"/>
        <v>M5</v>
      </c>
      <c r="C959" s="568" t="s">
        <v>2365</v>
      </c>
      <c r="D959" s="568" t="s">
        <v>2057</v>
      </c>
      <c r="E959" s="569">
        <v>15</v>
      </c>
      <c r="F959" t="s">
        <v>1609</v>
      </c>
      <c r="G959" t="s">
        <v>1191</v>
      </c>
      <c r="H959">
        <v>1</v>
      </c>
      <c r="I959" t="s">
        <v>2046</v>
      </c>
      <c r="J959" t="s">
        <v>2047</v>
      </c>
      <c r="K959" t="s">
        <v>2048</v>
      </c>
    </row>
    <row r="960" spans="1:11" hidden="1">
      <c r="A960" t="str">
        <f t="shared" si="28"/>
        <v>M</v>
      </c>
      <c r="B960" t="str">
        <f t="shared" si="29"/>
        <v>M5</v>
      </c>
      <c r="C960" s="568" t="s">
        <v>2366</v>
      </c>
      <c r="D960" s="568" t="s">
        <v>2119</v>
      </c>
      <c r="E960" s="569">
        <v>15</v>
      </c>
      <c r="F960" t="s">
        <v>1609</v>
      </c>
      <c r="G960" t="s">
        <v>1191</v>
      </c>
      <c r="H960">
        <v>1</v>
      </c>
      <c r="I960" t="s">
        <v>2046</v>
      </c>
      <c r="J960" t="s">
        <v>2047</v>
      </c>
      <c r="K960" t="s">
        <v>2048</v>
      </c>
    </row>
    <row r="961" spans="1:11" hidden="1">
      <c r="A961" t="str">
        <f t="shared" si="28"/>
        <v>M</v>
      </c>
      <c r="B961" t="str">
        <f t="shared" si="29"/>
        <v>M5</v>
      </c>
      <c r="C961" s="568" t="s">
        <v>2367</v>
      </c>
      <c r="D961" s="568" t="s">
        <v>2119</v>
      </c>
      <c r="E961" s="569">
        <v>15</v>
      </c>
      <c r="F961" t="s">
        <v>1609</v>
      </c>
      <c r="G961" t="s">
        <v>1191</v>
      </c>
      <c r="H961">
        <v>1</v>
      </c>
      <c r="I961" t="s">
        <v>2046</v>
      </c>
      <c r="J961" t="s">
        <v>2047</v>
      </c>
      <c r="K961" t="s">
        <v>2048</v>
      </c>
    </row>
    <row r="962" spans="1:11" hidden="1">
      <c r="A962" t="str">
        <f t="shared" si="28"/>
        <v>M</v>
      </c>
      <c r="B962" t="str">
        <f t="shared" si="29"/>
        <v>M5</v>
      </c>
      <c r="C962" s="568" t="s">
        <v>2368</v>
      </c>
      <c r="D962" s="568" t="s">
        <v>2119</v>
      </c>
      <c r="E962" s="569">
        <v>15</v>
      </c>
      <c r="F962" t="s">
        <v>1609</v>
      </c>
      <c r="G962" t="s">
        <v>1191</v>
      </c>
      <c r="H962">
        <v>1</v>
      </c>
      <c r="I962" t="s">
        <v>2046</v>
      </c>
      <c r="J962" t="s">
        <v>2047</v>
      </c>
      <c r="K962" t="s">
        <v>2048</v>
      </c>
    </row>
    <row r="963" spans="1:11" hidden="1">
      <c r="A963" t="str">
        <f t="shared" ref="A963:A1026" si="30">LEFT(C963)</f>
        <v>M</v>
      </c>
      <c r="B963" t="str">
        <f t="shared" si="29"/>
        <v>M5</v>
      </c>
      <c r="C963" s="568" t="s">
        <v>2369</v>
      </c>
      <c r="D963" s="568" t="s">
        <v>2119</v>
      </c>
      <c r="E963" s="569">
        <v>15</v>
      </c>
      <c r="F963" t="s">
        <v>1609</v>
      </c>
      <c r="G963" t="s">
        <v>1191</v>
      </c>
      <c r="H963">
        <v>1</v>
      </c>
      <c r="I963" t="s">
        <v>2046</v>
      </c>
      <c r="J963" t="s">
        <v>2047</v>
      </c>
      <c r="K963" t="s">
        <v>2048</v>
      </c>
    </row>
    <row r="964" spans="1:11" hidden="1">
      <c r="A964" t="str">
        <f t="shared" si="30"/>
        <v>M</v>
      </c>
      <c r="B964" t="str">
        <f t="shared" ref="B964:B1027" si="31">LEFT(C964,2)</f>
        <v>M5</v>
      </c>
      <c r="C964" s="568" t="s">
        <v>2370</v>
      </c>
      <c r="D964" s="568" t="s">
        <v>2119</v>
      </c>
      <c r="E964" s="569">
        <v>15</v>
      </c>
      <c r="F964" s="577" t="s">
        <v>1609</v>
      </c>
      <c r="G964" t="s">
        <v>1191</v>
      </c>
      <c r="H964">
        <v>1</v>
      </c>
      <c r="I964" t="s">
        <v>2046</v>
      </c>
      <c r="J964" t="s">
        <v>2047</v>
      </c>
      <c r="K964" t="s">
        <v>2048</v>
      </c>
    </row>
    <row r="965" spans="1:11" hidden="1">
      <c r="A965" t="str">
        <f t="shared" si="30"/>
        <v>M</v>
      </c>
      <c r="B965" t="str">
        <f t="shared" si="31"/>
        <v>M5</v>
      </c>
      <c r="C965" s="568" t="s">
        <v>2371</v>
      </c>
      <c r="D965" s="568" t="s">
        <v>2122</v>
      </c>
      <c r="E965" s="569">
        <v>15</v>
      </c>
      <c r="F965" s="577" t="s">
        <v>1609</v>
      </c>
      <c r="G965" t="s">
        <v>1191</v>
      </c>
      <c r="H965">
        <v>1</v>
      </c>
      <c r="I965" t="s">
        <v>2046</v>
      </c>
      <c r="J965" t="s">
        <v>2047</v>
      </c>
      <c r="K965" t="s">
        <v>2048</v>
      </c>
    </row>
    <row r="966" spans="1:11" hidden="1">
      <c r="A966" t="str">
        <f t="shared" si="30"/>
        <v>M</v>
      </c>
      <c r="B966" t="str">
        <f t="shared" si="31"/>
        <v>M6</v>
      </c>
      <c r="C966" s="568" t="s">
        <v>2372</v>
      </c>
      <c r="D966" s="568" t="s">
        <v>2057</v>
      </c>
      <c r="E966" s="569">
        <v>15</v>
      </c>
      <c r="F966" t="s">
        <v>1609</v>
      </c>
      <c r="G966" t="s">
        <v>1191</v>
      </c>
      <c r="H966">
        <v>1</v>
      </c>
      <c r="I966" t="s">
        <v>2046</v>
      </c>
      <c r="J966" t="s">
        <v>2047</v>
      </c>
      <c r="K966" t="s">
        <v>2048</v>
      </c>
    </row>
    <row r="967" spans="1:11" hidden="1">
      <c r="A967" t="str">
        <f t="shared" si="30"/>
        <v>M</v>
      </c>
      <c r="B967" t="str">
        <f t="shared" si="31"/>
        <v>M6</v>
      </c>
      <c r="C967" s="568" t="s">
        <v>2373</v>
      </c>
      <c r="D967" s="568" t="s">
        <v>2122</v>
      </c>
      <c r="E967" s="569">
        <v>15</v>
      </c>
      <c r="F967" t="s">
        <v>1609</v>
      </c>
      <c r="G967" t="s">
        <v>1191</v>
      </c>
      <c r="H967">
        <v>1</v>
      </c>
      <c r="I967" t="s">
        <v>2046</v>
      </c>
      <c r="J967" t="s">
        <v>2047</v>
      </c>
      <c r="K967" t="s">
        <v>2048</v>
      </c>
    </row>
    <row r="968" spans="1:11" hidden="1">
      <c r="A968" t="str">
        <f t="shared" si="30"/>
        <v>M</v>
      </c>
      <c r="B968" t="str">
        <f t="shared" si="31"/>
        <v>M6</v>
      </c>
      <c r="C968" s="568" t="s">
        <v>2374</v>
      </c>
      <c r="D968" s="568" t="s">
        <v>2122</v>
      </c>
      <c r="E968" s="569">
        <v>15</v>
      </c>
      <c r="F968" t="s">
        <v>1609</v>
      </c>
      <c r="G968" t="s">
        <v>1191</v>
      </c>
      <c r="H968">
        <v>1</v>
      </c>
      <c r="I968" t="s">
        <v>2046</v>
      </c>
      <c r="J968" t="s">
        <v>2047</v>
      </c>
      <c r="K968" t="s">
        <v>2048</v>
      </c>
    </row>
    <row r="969" spans="1:11" hidden="1">
      <c r="A969" t="str">
        <f t="shared" si="30"/>
        <v>M</v>
      </c>
      <c r="B969" t="str">
        <f t="shared" si="31"/>
        <v>M6</v>
      </c>
      <c r="C969" s="568" t="s">
        <v>2375</v>
      </c>
      <c r="D969" s="568" t="s">
        <v>2122</v>
      </c>
      <c r="E969" s="569">
        <v>15</v>
      </c>
      <c r="F969" t="s">
        <v>1609</v>
      </c>
      <c r="G969" t="s">
        <v>1191</v>
      </c>
      <c r="H969">
        <v>1</v>
      </c>
      <c r="I969" t="s">
        <v>2046</v>
      </c>
      <c r="J969" t="s">
        <v>2047</v>
      </c>
      <c r="K969" t="s">
        <v>2048</v>
      </c>
    </row>
    <row r="970" spans="1:11" hidden="1">
      <c r="A970" t="str">
        <f t="shared" si="30"/>
        <v>M</v>
      </c>
      <c r="B970" t="str">
        <f t="shared" si="31"/>
        <v>M6</v>
      </c>
      <c r="C970" s="568" t="s">
        <v>2376</v>
      </c>
      <c r="D970" s="568" t="s">
        <v>2119</v>
      </c>
      <c r="E970" s="569">
        <v>15</v>
      </c>
      <c r="F970" t="s">
        <v>1609</v>
      </c>
      <c r="G970" t="s">
        <v>1191</v>
      </c>
      <c r="H970">
        <v>1</v>
      </c>
      <c r="I970" t="s">
        <v>2046</v>
      </c>
      <c r="J970" t="s">
        <v>2047</v>
      </c>
      <c r="K970" t="s">
        <v>2048</v>
      </c>
    </row>
    <row r="971" spans="1:11" hidden="1">
      <c r="A971" t="str">
        <f t="shared" si="30"/>
        <v>M</v>
      </c>
      <c r="B971" t="str">
        <f t="shared" si="31"/>
        <v>M6</v>
      </c>
      <c r="C971" s="568" t="s">
        <v>2377</v>
      </c>
      <c r="D971" s="568" t="s">
        <v>2119</v>
      </c>
      <c r="E971" s="569">
        <v>15</v>
      </c>
      <c r="F971" t="s">
        <v>1609</v>
      </c>
      <c r="G971" t="s">
        <v>1191</v>
      </c>
      <c r="H971">
        <v>1</v>
      </c>
      <c r="I971" t="s">
        <v>2046</v>
      </c>
      <c r="J971" t="s">
        <v>2047</v>
      </c>
      <c r="K971" t="s">
        <v>2048</v>
      </c>
    </row>
    <row r="972" spans="1:11" hidden="1">
      <c r="A972" t="str">
        <f t="shared" si="30"/>
        <v>M</v>
      </c>
      <c r="B972" t="str">
        <f t="shared" si="31"/>
        <v>M6</v>
      </c>
      <c r="C972" s="568" t="s">
        <v>2378</v>
      </c>
      <c r="D972" s="568" t="s">
        <v>2119</v>
      </c>
      <c r="E972" s="569">
        <v>15</v>
      </c>
      <c r="F972" t="s">
        <v>1609</v>
      </c>
      <c r="G972" t="s">
        <v>1191</v>
      </c>
      <c r="H972">
        <v>1</v>
      </c>
      <c r="I972" t="s">
        <v>2046</v>
      </c>
      <c r="J972" t="s">
        <v>2047</v>
      </c>
      <c r="K972" t="s">
        <v>2048</v>
      </c>
    </row>
    <row r="973" spans="1:11" hidden="1">
      <c r="A973" t="str">
        <f t="shared" si="30"/>
        <v>M</v>
      </c>
      <c r="B973" t="str">
        <f t="shared" si="31"/>
        <v>M6</v>
      </c>
      <c r="C973" s="568" t="s">
        <v>2379</v>
      </c>
      <c r="D973" s="568" t="s">
        <v>2119</v>
      </c>
      <c r="E973" s="569">
        <v>15</v>
      </c>
      <c r="F973" t="s">
        <v>1609</v>
      </c>
      <c r="G973" t="s">
        <v>1191</v>
      </c>
      <c r="H973">
        <v>1</v>
      </c>
      <c r="I973" t="s">
        <v>2046</v>
      </c>
      <c r="J973" t="s">
        <v>2047</v>
      </c>
      <c r="K973" t="s">
        <v>2048</v>
      </c>
    </row>
    <row r="974" spans="1:11" hidden="1">
      <c r="A974" t="str">
        <f t="shared" si="30"/>
        <v>M</v>
      </c>
      <c r="B974" t="str">
        <f t="shared" si="31"/>
        <v>M6</v>
      </c>
      <c r="C974" s="568" t="s">
        <v>2380</v>
      </c>
      <c r="D974" s="568" t="s">
        <v>2122</v>
      </c>
      <c r="E974" s="569">
        <v>15</v>
      </c>
      <c r="F974" t="s">
        <v>1609</v>
      </c>
      <c r="G974" t="s">
        <v>1191</v>
      </c>
      <c r="H974">
        <v>1</v>
      </c>
      <c r="I974" t="s">
        <v>2046</v>
      </c>
      <c r="J974" t="s">
        <v>2047</v>
      </c>
      <c r="K974" t="s">
        <v>2048</v>
      </c>
    </row>
    <row r="975" spans="1:11" hidden="1">
      <c r="A975" t="str">
        <f t="shared" si="30"/>
        <v>M</v>
      </c>
      <c r="B975" t="str">
        <f t="shared" si="31"/>
        <v>M6</v>
      </c>
      <c r="C975" s="568" t="s">
        <v>2381</v>
      </c>
      <c r="D975" s="568" t="s">
        <v>2119</v>
      </c>
      <c r="E975" s="569">
        <v>15</v>
      </c>
      <c r="F975" t="s">
        <v>1609</v>
      </c>
      <c r="G975" t="s">
        <v>1191</v>
      </c>
      <c r="H975">
        <v>1</v>
      </c>
      <c r="I975" t="s">
        <v>2046</v>
      </c>
      <c r="J975" t="s">
        <v>2047</v>
      </c>
      <c r="K975" t="s">
        <v>2048</v>
      </c>
    </row>
    <row r="976" spans="1:11" hidden="1">
      <c r="A976" t="str">
        <f t="shared" si="30"/>
        <v>M</v>
      </c>
      <c r="B976" t="str">
        <f t="shared" si="31"/>
        <v>M6</v>
      </c>
      <c r="C976" s="568" t="s">
        <v>2382</v>
      </c>
      <c r="D976" s="568" t="s">
        <v>2119</v>
      </c>
      <c r="E976" s="569">
        <v>15</v>
      </c>
      <c r="F976" t="s">
        <v>1609</v>
      </c>
      <c r="G976" t="s">
        <v>1191</v>
      </c>
      <c r="H976">
        <v>1</v>
      </c>
      <c r="I976" t="s">
        <v>2046</v>
      </c>
      <c r="J976" t="s">
        <v>2047</v>
      </c>
      <c r="K976" t="s">
        <v>2048</v>
      </c>
    </row>
    <row r="977" spans="1:11" hidden="1">
      <c r="A977" t="str">
        <f t="shared" si="30"/>
        <v>M</v>
      </c>
      <c r="B977" t="str">
        <f t="shared" si="31"/>
        <v>M6</v>
      </c>
      <c r="C977" s="568" t="s">
        <v>2383</v>
      </c>
      <c r="D977" s="568" t="s">
        <v>2119</v>
      </c>
      <c r="E977" s="569">
        <v>15</v>
      </c>
      <c r="F977" t="s">
        <v>1609</v>
      </c>
      <c r="G977" t="s">
        <v>1191</v>
      </c>
      <c r="H977">
        <v>1</v>
      </c>
      <c r="I977" t="s">
        <v>2046</v>
      </c>
      <c r="J977" t="s">
        <v>2047</v>
      </c>
      <c r="K977" t="s">
        <v>2048</v>
      </c>
    </row>
    <row r="978" spans="1:11" hidden="1">
      <c r="A978" t="str">
        <f t="shared" si="30"/>
        <v>M</v>
      </c>
      <c r="B978" t="str">
        <f t="shared" si="31"/>
        <v>M6</v>
      </c>
      <c r="C978" s="568" t="s">
        <v>2384</v>
      </c>
      <c r="D978" s="568" t="s">
        <v>2119</v>
      </c>
      <c r="E978" s="569">
        <v>15</v>
      </c>
      <c r="F978" t="s">
        <v>1609</v>
      </c>
      <c r="G978" t="s">
        <v>1191</v>
      </c>
      <c r="H978">
        <v>1</v>
      </c>
      <c r="I978" t="s">
        <v>2046</v>
      </c>
      <c r="J978" t="s">
        <v>2047</v>
      </c>
      <c r="K978" t="s">
        <v>2048</v>
      </c>
    </row>
    <row r="979" spans="1:11" hidden="1">
      <c r="A979" t="str">
        <f t="shared" si="30"/>
        <v>M</v>
      </c>
      <c r="B979" t="str">
        <f t="shared" si="31"/>
        <v>M6</v>
      </c>
      <c r="C979" s="568" t="s">
        <v>2385</v>
      </c>
      <c r="D979" s="568" t="s">
        <v>2119</v>
      </c>
      <c r="E979" s="569">
        <v>15</v>
      </c>
      <c r="F979" t="s">
        <v>1609</v>
      </c>
      <c r="G979" t="s">
        <v>1191</v>
      </c>
      <c r="H979">
        <v>1</v>
      </c>
      <c r="I979" t="s">
        <v>2046</v>
      </c>
      <c r="J979" t="s">
        <v>2047</v>
      </c>
      <c r="K979" t="s">
        <v>2048</v>
      </c>
    </row>
    <row r="980" spans="1:11" hidden="1">
      <c r="A980" t="str">
        <f t="shared" si="30"/>
        <v>M</v>
      </c>
      <c r="B980" t="str">
        <f t="shared" si="31"/>
        <v>M7</v>
      </c>
      <c r="C980" s="568" t="s">
        <v>2386</v>
      </c>
      <c r="D980" s="568" t="s">
        <v>2119</v>
      </c>
      <c r="E980" s="569">
        <v>15</v>
      </c>
      <c r="F980" s="577" t="s">
        <v>1609</v>
      </c>
      <c r="G980" t="s">
        <v>1191</v>
      </c>
      <c r="H980">
        <v>1</v>
      </c>
      <c r="I980" t="s">
        <v>2046</v>
      </c>
      <c r="J980" t="s">
        <v>2047</v>
      </c>
      <c r="K980" t="s">
        <v>2048</v>
      </c>
    </row>
    <row r="981" spans="1:11" hidden="1">
      <c r="A981" t="str">
        <f t="shared" si="30"/>
        <v>M</v>
      </c>
      <c r="B981" t="str">
        <f t="shared" si="31"/>
        <v>M7</v>
      </c>
      <c r="C981" s="568" t="s">
        <v>2387</v>
      </c>
      <c r="D981" s="568" t="s">
        <v>2119</v>
      </c>
      <c r="E981" s="569">
        <v>15</v>
      </c>
      <c r="F981" s="577" t="s">
        <v>1609</v>
      </c>
      <c r="G981" t="s">
        <v>1191</v>
      </c>
      <c r="H981">
        <v>1</v>
      </c>
      <c r="I981" t="s">
        <v>2046</v>
      </c>
      <c r="J981" t="s">
        <v>2047</v>
      </c>
      <c r="K981" t="s">
        <v>2048</v>
      </c>
    </row>
    <row r="982" spans="1:11" hidden="1">
      <c r="A982" t="str">
        <f t="shared" si="30"/>
        <v>M</v>
      </c>
      <c r="B982" t="str">
        <f t="shared" si="31"/>
        <v>M8</v>
      </c>
      <c r="C982" s="568" t="s">
        <v>2388</v>
      </c>
      <c r="D982" s="568" t="s">
        <v>2119</v>
      </c>
      <c r="E982" s="569">
        <v>15</v>
      </c>
      <c r="F982" t="s">
        <v>1609</v>
      </c>
      <c r="G982" t="s">
        <v>1191</v>
      </c>
      <c r="H982">
        <v>1</v>
      </c>
      <c r="I982" t="s">
        <v>2046</v>
      </c>
      <c r="J982" t="s">
        <v>2047</v>
      </c>
      <c r="K982" t="s">
        <v>2048</v>
      </c>
    </row>
    <row r="983" spans="1:11" hidden="1">
      <c r="A983" t="str">
        <f t="shared" si="30"/>
        <v>M</v>
      </c>
      <c r="B983" t="str">
        <f t="shared" si="31"/>
        <v>M8</v>
      </c>
      <c r="C983" s="568" t="s">
        <v>2389</v>
      </c>
      <c r="D983" s="568" t="s">
        <v>2119</v>
      </c>
      <c r="E983" s="569">
        <v>15</v>
      </c>
      <c r="F983" t="s">
        <v>1609</v>
      </c>
      <c r="G983" t="s">
        <v>1191</v>
      </c>
      <c r="H983">
        <v>1</v>
      </c>
      <c r="I983" t="s">
        <v>2046</v>
      </c>
      <c r="J983" t="s">
        <v>2047</v>
      </c>
      <c r="K983" t="s">
        <v>2048</v>
      </c>
    </row>
    <row r="984" spans="1:11" hidden="1">
      <c r="A984" t="str">
        <f t="shared" si="30"/>
        <v>M</v>
      </c>
      <c r="B984" t="str">
        <f t="shared" si="31"/>
        <v>M8</v>
      </c>
      <c r="C984" s="568" t="s">
        <v>2390</v>
      </c>
      <c r="D984" s="568" t="s">
        <v>2115</v>
      </c>
      <c r="E984" s="569">
        <v>15</v>
      </c>
      <c r="F984" t="s">
        <v>1609</v>
      </c>
      <c r="G984" t="s">
        <v>1191</v>
      </c>
      <c r="H984">
        <v>1</v>
      </c>
      <c r="I984" t="s">
        <v>2046</v>
      </c>
      <c r="J984" t="s">
        <v>2047</v>
      </c>
      <c r="K984" t="s">
        <v>2048</v>
      </c>
    </row>
    <row r="985" spans="1:11" hidden="1">
      <c r="A985" t="str">
        <f t="shared" si="30"/>
        <v>M</v>
      </c>
      <c r="B985" t="str">
        <f t="shared" si="31"/>
        <v>M8</v>
      </c>
      <c r="C985" s="568" t="s">
        <v>2391</v>
      </c>
      <c r="D985" s="568" t="s">
        <v>2119</v>
      </c>
      <c r="E985" s="569">
        <v>15</v>
      </c>
      <c r="F985" t="s">
        <v>1609</v>
      </c>
      <c r="G985" t="s">
        <v>1191</v>
      </c>
      <c r="H985">
        <v>1</v>
      </c>
      <c r="I985" t="s">
        <v>2046</v>
      </c>
      <c r="J985" t="s">
        <v>2047</v>
      </c>
      <c r="K985" t="s">
        <v>2048</v>
      </c>
    </row>
    <row r="986" spans="1:11" hidden="1">
      <c r="A986" t="str">
        <f t="shared" si="30"/>
        <v>M</v>
      </c>
      <c r="B986" t="str">
        <f t="shared" si="31"/>
        <v>M8</v>
      </c>
      <c r="C986" s="568" t="s">
        <v>2392</v>
      </c>
      <c r="D986" s="568" t="s">
        <v>2119</v>
      </c>
      <c r="E986" s="569">
        <v>15</v>
      </c>
      <c r="F986" t="s">
        <v>1609</v>
      </c>
      <c r="G986" t="s">
        <v>1191</v>
      </c>
      <c r="H986">
        <v>1</v>
      </c>
      <c r="I986" t="s">
        <v>2046</v>
      </c>
      <c r="J986" t="s">
        <v>2047</v>
      </c>
      <c r="K986" t="s">
        <v>2048</v>
      </c>
    </row>
    <row r="987" spans="1:11" hidden="1">
      <c r="A987" t="str">
        <f t="shared" si="30"/>
        <v>M</v>
      </c>
      <c r="B987" t="str">
        <f t="shared" si="31"/>
        <v>M9</v>
      </c>
      <c r="C987" s="568" t="s">
        <v>2393</v>
      </c>
      <c r="D987" s="568" t="s">
        <v>2119</v>
      </c>
      <c r="E987" s="569">
        <v>15</v>
      </c>
      <c r="F987" t="s">
        <v>1609</v>
      </c>
      <c r="G987" t="s">
        <v>1191</v>
      </c>
      <c r="H987">
        <v>1</v>
      </c>
      <c r="I987" t="s">
        <v>2046</v>
      </c>
      <c r="J987" t="s">
        <v>2047</v>
      </c>
      <c r="K987" t="s">
        <v>2048</v>
      </c>
    </row>
    <row r="988" spans="1:11" hidden="1">
      <c r="A988" t="str">
        <f t="shared" si="30"/>
        <v>M</v>
      </c>
      <c r="B988" t="str">
        <f t="shared" si="31"/>
        <v>M9</v>
      </c>
      <c r="C988" s="568" t="s">
        <v>2394</v>
      </c>
      <c r="D988" s="568" t="s">
        <v>2122</v>
      </c>
      <c r="E988" s="569">
        <v>15</v>
      </c>
      <c r="F988" t="s">
        <v>1609</v>
      </c>
      <c r="G988" t="s">
        <v>1191</v>
      </c>
      <c r="H988">
        <v>1</v>
      </c>
      <c r="I988" t="s">
        <v>2046</v>
      </c>
      <c r="J988" t="s">
        <v>2047</v>
      </c>
      <c r="K988" t="s">
        <v>2048</v>
      </c>
    </row>
    <row r="989" spans="1:11" hidden="1">
      <c r="A989" t="str">
        <f t="shared" si="30"/>
        <v>M</v>
      </c>
      <c r="B989" t="str">
        <f t="shared" si="31"/>
        <v>M9</v>
      </c>
      <c r="C989" s="568" t="s">
        <v>2395</v>
      </c>
      <c r="D989" s="568" t="s">
        <v>2122</v>
      </c>
      <c r="E989" s="569">
        <v>15</v>
      </c>
      <c r="F989" t="s">
        <v>1609</v>
      </c>
      <c r="G989" t="s">
        <v>1191</v>
      </c>
      <c r="H989">
        <v>1</v>
      </c>
      <c r="I989" t="s">
        <v>2046</v>
      </c>
      <c r="J989" t="s">
        <v>2047</v>
      </c>
      <c r="K989" t="s">
        <v>2048</v>
      </c>
    </row>
    <row r="990" spans="1:11" hidden="1">
      <c r="A990" t="str">
        <f t="shared" si="30"/>
        <v>M</v>
      </c>
      <c r="B990" t="str">
        <f t="shared" si="31"/>
        <v>M9</v>
      </c>
      <c r="C990" s="568" t="s">
        <v>2396</v>
      </c>
      <c r="D990" s="568" t="s">
        <v>2122</v>
      </c>
      <c r="E990" s="569">
        <v>15</v>
      </c>
      <c r="F990" t="s">
        <v>1609</v>
      </c>
      <c r="G990" t="s">
        <v>1191</v>
      </c>
      <c r="H990">
        <v>1</v>
      </c>
      <c r="I990" t="s">
        <v>2046</v>
      </c>
      <c r="J990" t="s">
        <v>2047</v>
      </c>
      <c r="K990" t="s">
        <v>2048</v>
      </c>
    </row>
    <row r="991" spans="1:11" hidden="1">
      <c r="A991" t="str">
        <f t="shared" si="30"/>
        <v>M</v>
      </c>
      <c r="B991" t="str">
        <f t="shared" si="31"/>
        <v>M9</v>
      </c>
      <c r="C991" s="568" t="s">
        <v>2397</v>
      </c>
      <c r="D991" s="568" t="s">
        <v>2119</v>
      </c>
      <c r="E991" s="569">
        <v>15</v>
      </c>
      <c r="F991" t="s">
        <v>1609</v>
      </c>
      <c r="G991" t="s">
        <v>1191</v>
      </c>
      <c r="H991">
        <v>1</v>
      </c>
      <c r="I991" t="s">
        <v>2046</v>
      </c>
      <c r="J991" t="s">
        <v>2047</v>
      </c>
      <c r="K991" t="s">
        <v>2048</v>
      </c>
    </row>
    <row r="992" spans="1:11" hidden="1">
      <c r="A992" t="str">
        <f t="shared" si="30"/>
        <v>M</v>
      </c>
      <c r="B992" t="str">
        <f t="shared" si="31"/>
        <v>M9</v>
      </c>
      <c r="C992" s="568" t="s">
        <v>2398</v>
      </c>
      <c r="D992" s="568" t="s">
        <v>2119</v>
      </c>
      <c r="E992" s="569">
        <v>15</v>
      </c>
      <c r="F992" t="s">
        <v>1609</v>
      </c>
      <c r="G992" t="s">
        <v>1191</v>
      </c>
      <c r="H992">
        <v>1</v>
      </c>
      <c r="I992" t="s">
        <v>2046</v>
      </c>
      <c r="J992" t="s">
        <v>2047</v>
      </c>
      <c r="K992" t="s">
        <v>2048</v>
      </c>
    </row>
    <row r="993" spans="1:11" hidden="1">
      <c r="A993" t="str">
        <f t="shared" si="30"/>
        <v>M</v>
      </c>
      <c r="B993" t="str">
        <f t="shared" si="31"/>
        <v>M9</v>
      </c>
      <c r="C993" s="568" t="s">
        <v>2399</v>
      </c>
      <c r="D993" s="568" t="s">
        <v>2119</v>
      </c>
      <c r="E993" s="569">
        <v>15</v>
      </c>
      <c r="F993" t="s">
        <v>1609</v>
      </c>
      <c r="G993" t="s">
        <v>1191</v>
      </c>
      <c r="H993">
        <v>1</v>
      </c>
      <c r="I993" t="s">
        <v>2046</v>
      </c>
      <c r="J993" t="s">
        <v>2047</v>
      </c>
      <c r="K993" t="s">
        <v>2048</v>
      </c>
    </row>
    <row r="994" spans="1:11" hidden="1">
      <c r="A994" t="str">
        <f t="shared" si="30"/>
        <v>M</v>
      </c>
      <c r="B994" t="str">
        <f t="shared" si="31"/>
        <v>M9</v>
      </c>
      <c r="C994" s="568" t="s">
        <v>2400</v>
      </c>
      <c r="D994" s="568" t="s">
        <v>2122</v>
      </c>
      <c r="E994" s="569">
        <v>15</v>
      </c>
      <c r="F994" t="s">
        <v>1609</v>
      </c>
      <c r="G994" t="s">
        <v>1191</v>
      </c>
      <c r="H994">
        <v>1</v>
      </c>
      <c r="I994" t="s">
        <v>2046</v>
      </c>
      <c r="J994" t="s">
        <v>2047</v>
      </c>
      <c r="K994" t="s">
        <v>2048</v>
      </c>
    </row>
    <row r="995" spans="1:11" hidden="1">
      <c r="A995" t="str">
        <f t="shared" si="30"/>
        <v>M</v>
      </c>
      <c r="B995" t="str">
        <f t="shared" si="31"/>
        <v>M9</v>
      </c>
      <c r="C995" s="568" t="s">
        <v>2401</v>
      </c>
      <c r="D995" s="568" t="s">
        <v>2122</v>
      </c>
      <c r="E995" s="569">
        <v>15</v>
      </c>
      <c r="F995" t="s">
        <v>1609</v>
      </c>
      <c r="G995" t="s">
        <v>1191</v>
      </c>
      <c r="H995">
        <v>1</v>
      </c>
      <c r="I995" t="s">
        <v>2046</v>
      </c>
      <c r="J995" t="s">
        <v>2047</v>
      </c>
      <c r="K995" t="s">
        <v>2048</v>
      </c>
    </row>
    <row r="996" spans="1:11" hidden="1">
      <c r="A996" t="str">
        <f t="shared" si="30"/>
        <v>M</v>
      </c>
      <c r="B996" t="str">
        <f t="shared" si="31"/>
        <v>M9</v>
      </c>
      <c r="C996" s="568" t="s">
        <v>2402</v>
      </c>
      <c r="D996" s="568" t="s">
        <v>2122</v>
      </c>
      <c r="E996" s="569">
        <v>15</v>
      </c>
      <c r="F996" t="s">
        <v>1609</v>
      </c>
      <c r="G996" t="s">
        <v>1191</v>
      </c>
      <c r="H996">
        <v>1</v>
      </c>
      <c r="I996" t="s">
        <v>2046</v>
      </c>
      <c r="J996" t="s">
        <v>2047</v>
      </c>
      <c r="K996" t="s">
        <v>2048</v>
      </c>
    </row>
    <row r="997" spans="1:11" hidden="1">
      <c r="A997" t="str">
        <f t="shared" si="30"/>
        <v>N</v>
      </c>
      <c r="B997" t="str">
        <f t="shared" si="31"/>
        <v>N0</v>
      </c>
      <c r="C997" s="568" t="s">
        <v>2403</v>
      </c>
      <c r="D997" s="568" t="s">
        <v>2115</v>
      </c>
      <c r="E997" s="569">
        <v>15</v>
      </c>
      <c r="F997" t="s">
        <v>1609</v>
      </c>
      <c r="G997" t="s">
        <v>1191</v>
      </c>
      <c r="H997">
        <v>1</v>
      </c>
      <c r="I997" t="s">
        <v>2046</v>
      </c>
      <c r="J997" t="s">
        <v>2047</v>
      </c>
      <c r="K997" t="s">
        <v>2048</v>
      </c>
    </row>
    <row r="998" spans="1:11" hidden="1">
      <c r="A998" t="str">
        <f t="shared" si="30"/>
        <v>N</v>
      </c>
      <c r="B998" t="str">
        <f t="shared" si="31"/>
        <v>N0</v>
      </c>
      <c r="C998" s="568" t="s">
        <v>2404</v>
      </c>
      <c r="D998" s="568" t="s">
        <v>2057</v>
      </c>
      <c r="E998" s="569">
        <v>15</v>
      </c>
      <c r="F998" t="s">
        <v>1609</v>
      </c>
      <c r="G998" t="s">
        <v>1191</v>
      </c>
      <c r="H998">
        <v>1</v>
      </c>
      <c r="I998" t="s">
        <v>2046</v>
      </c>
      <c r="J998" t="s">
        <v>2047</v>
      </c>
      <c r="K998" t="s">
        <v>2048</v>
      </c>
    </row>
    <row r="999" spans="1:11" hidden="1">
      <c r="A999" t="str">
        <f t="shared" si="30"/>
        <v>N</v>
      </c>
      <c r="B999" t="str">
        <f t="shared" si="31"/>
        <v>N0</v>
      </c>
      <c r="C999" s="568" t="s">
        <v>2405</v>
      </c>
      <c r="D999" s="568" t="s">
        <v>2063</v>
      </c>
      <c r="E999" s="569">
        <v>15</v>
      </c>
      <c r="F999" t="s">
        <v>1609</v>
      </c>
      <c r="G999" t="s">
        <v>1191</v>
      </c>
      <c r="H999">
        <v>1</v>
      </c>
      <c r="I999" t="s">
        <v>2046</v>
      </c>
      <c r="J999" t="s">
        <v>2047</v>
      </c>
      <c r="K999" t="s">
        <v>2048</v>
      </c>
    </row>
    <row r="1000" spans="1:11" hidden="1">
      <c r="A1000" t="str">
        <f t="shared" si="30"/>
        <v>N</v>
      </c>
      <c r="B1000" t="str">
        <f t="shared" si="31"/>
        <v>N0</v>
      </c>
      <c r="C1000" s="568" t="s">
        <v>2406</v>
      </c>
      <c r="D1000" s="568" t="s">
        <v>2119</v>
      </c>
      <c r="E1000" s="569">
        <v>15</v>
      </c>
      <c r="F1000" t="s">
        <v>1609</v>
      </c>
      <c r="G1000" t="s">
        <v>1191</v>
      </c>
      <c r="H1000">
        <v>1</v>
      </c>
      <c r="I1000" t="s">
        <v>2046</v>
      </c>
      <c r="J1000" t="s">
        <v>2047</v>
      </c>
      <c r="K1000" t="s">
        <v>2048</v>
      </c>
    </row>
    <row r="1001" spans="1:11" hidden="1">
      <c r="A1001" t="str">
        <f t="shared" si="30"/>
        <v>N</v>
      </c>
      <c r="B1001" t="str">
        <f t="shared" si="31"/>
        <v>N0</v>
      </c>
      <c r="C1001" s="568" t="s">
        <v>2407</v>
      </c>
      <c r="D1001" s="568" t="s">
        <v>2063</v>
      </c>
      <c r="E1001" s="569">
        <v>15</v>
      </c>
      <c r="F1001" t="s">
        <v>1609</v>
      </c>
      <c r="G1001" t="s">
        <v>1191</v>
      </c>
      <c r="H1001">
        <v>1</v>
      </c>
      <c r="I1001" t="s">
        <v>2046</v>
      </c>
      <c r="J1001" t="s">
        <v>2047</v>
      </c>
      <c r="K1001" t="s">
        <v>2048</v>
      </c>
    </row>
    <row r="1002" spans="1:11" hidden="1">
      <c r="A1002" t="str">
        <f t="shared" si="30"/>
        <v>N</v>
      </c>
      <c r="B1002" t="str">
        <f t="shared" si="31"/>
        <v>N0</v>
      </c>
      <c r="C1002" s="568" t="s">
        <v>2408</v>
      </c>
      <c r="D1002" s="568" t="s">
        <v>2063</v>
      </c>
      <c r="E1002" s="569">
        <v>15</v>
      </c>
      <c r="F1002" t="s">
        <v>1609</v>
      </c>
      <c r="G1002" t="s">
        <v>1191</v>
      </c>
      <c r="H1002">
        <v>1</v>
      </c>
      <c r="I1002" t="s">
        <v>2046</v>
      </c>
      <c r="J1002" t="s">
        <v>2047</v>
      </c>
      <c r="K1002" t="s">
        <v>2048</v>
      </c>
    </row>
    <row r="1003" spans="1:11" hidden="1">
      <c r="A1003" t="str">
        <f t="shared" si="30"/>
        <v>N</v>
      </c>
      <c r="B1003" t="str">
        <f t="shared" si="31"/>
        <v>N0</v>
      </c>
      <c r="C1003" s="568" t="s">
        <v>2409</v>
      </c>
      <c r="D1003" s="568" t="s">
        <v>2057</v>
      </c>
      <c r="E1003" s="569">
        <v>15</v>
      </c>
      <c r="F1003" t="s">
        <v>1609</v>
      </c>
      <c r="G1003" t="s">
        <v>1191</v>
      </c>
      <c r="H1003">
        <v>1</v>
      </c>
      <c r="I1003" t="s">
        <v>2046</v>
      </c>
      <c r="J1003" t="s">
        <v>2047</v>
      </c>
      <c r="K1003" t="s">
        <v>2048</v>
      </c>
    </row>
    <row r="1004" spans="1:11" hidden="1">
      <c r="A1004" t="str">
        <f t="shared" si="30"/>
        <v>N</v>
      </c>
      <c r="B1004" t="str">
        <f t="shared" si="31"/>
        <v>N0</v>
      </c>
      <c r="C1004" s="568" t="s">
        <v>2410</v>
      </c>
      <c r="D1004" s="568" t="s">
        <v>2063</v>
      </c>
      <c r="E1004" s="569">
        <v>15</v>
      </c>
      <c r="F1004" t="s">
        <v>1609</v>
      </c>
      <c r="G1004" t="s">
        <v>1191</v>
      </c>
      <c r="H1004">
        <v>1</v>
      </c>
      <c r="I1004" t="s">
        <v>2046</v>
      </c>
      <c r="J1004" t="s">
        <v>2047</v>
      </c>
      <c r="K1004" t="s">
        <v>2048</v>
      </c>
    </row>
    <row r="1005" spans="1:11" hidden="1">
      <c r="A1005" t="str">
        <f t="shared" si="30"/>
        <v>N</v>
      </c>
      <c r="B1005" t="str">
        <f t="shared" si="31"/>
        <v>N0</v>
      </c>
      <c r="C1005" s="568" t="s">
        <v>2411</v>
      </c>
      <c r="D1005" s="568" t="s">
        <v>2057</v>
      </c>
      <c r="E1005" s="569">
        <v>15</v>
      </c>
      <c r="F1005" t="s">
        <v>1609</v>
      </c>
      <c r="G1005" t="s">
        <v>1191</v>
      </c>
      <c r="H1005">
        <v>1</v>
      </c>
      <c r="I1005" t="s">
        <v>2046</v>
      </c>
      <c r="J1005" t="s">
        <v>2047</v>
      </c>
      <c r="K1005" t="s">
        <v>2048</v>
      </c>
    </row>
    <row r="1006" spans="1:11" hidden="1">
      <c r="A1006" t="str">
        <f t="shared" si="30"/>
        <v>N</v>
      </c>
      <c r="B1006" t="str">
        <f t="shared" si="31"/>
        <v>N0</v>
      </c>
      <c r="C1006" s="568" t="s">
        <v>2412</v>
      </c>
      <c r="D1006" s="568" t="s">
        <v>2063</v>
      </c>
      <c r="E1006" s="569">
        <v>15</v>
      </c>
      <c r="F1006" t="s">
        <v>1609</v>
      </c>
      <c r="G1006" t="s">
        <v>1191</v>
      </c>
      <c r="H1006">
        <v>1</v>
      </c>
      <c r="I1006" t="s">
        <v>2046</v>
      </c>
      <c r="J1006" t="s">
        <v>2047</v>
      </c>
      <c r="K1006" t="s">
        <v>2048</v>
      </c>
    </row>
    <row r="1007" spans="1:11" hidden="1">
      <c r="A1007" t="str">
        <f t="shared" si="30"/>
        <v>N</v>
      </c>
      <c r="B1007" t="str">
        <f t="shared" si="31"/>
        <v>N0</v>
      </c>
      <c r="C1007" s="568" t="s">
        <v>2413</v>
      </c>
      <c r="D1007" s="568" t="s">
        <v>2063</v>
      </c>
      <c r="E1007" s="569">
        <v>15</v>
      </c>
      <c r="F1007" t="s">
        <v>1609</v>
      </c>
      <c r="G1007" t="s">
        <v>1191</v>
      </c>
      <c r="H1007">
        <v>1</v>
      </c>
      <c r="I1007" t="s">
        <v>2046</v>
      </c>
      <c r="J1007" t="s">
        <v>2047</v>
      </c>
      <c r="K1007" t="s">
        <v>2048</v>
      </c>
    </row>
    <row r="1008" spans="1:11" hidden="1">
      <c r="A1008" t="str">
        <f t="shared" si="30"/>
        <v>N</v>
      </c>
      <c r="B1008" t="str">
        <f t="shared" si="31"/>
        <v>N0</v>
      </c>
      <c r="C1008" s="568" t="s">
        <v>2414</v>
      </c>
      <c r="D1008" s="568" t="s">
        <v>2057</v>
      </c>
      <c r="E1008" s="569">
        <v>15</v>
      </c>
      <c r="F1008" t="s">
        <v>1609</v>
      </c>
      <c r="G1008" t="s">
        <v>1191</v>
      </c>
      <c r="H1008">
        <v>1</v>
      </c>
      <c r="I1008" t="s">
        <v>2046</v>
      </c>
      <c r="J1008" t="s">
        <v>2047</v>
      </c>
      <c r="K1008" t="s">
        <v>2048</v>
      </c>
    </row>
    <row r="1009" spans="1:11" hidden="1">
      <c r="A1009" t="str">
        <f t="shared" si="30"/>
        <v>N</v>
      </c>
      <c r="B1009" t="str">
        <f t="shared" si="31"/>
        <v>N0</v>
      </c>
      <c r="C1009" s="568" t="s">
        <v>2415</v>
      </c>
      <c r="D1009" s="568" t="s">
        <v>2063</v>
      </c>
      <c r="E1009" s="569">
        <v>15</v>
      </c>
      <c r="F1009" t="s">
        <v>1609</v>
      </c>
      <c r="G1009" t="s">
        <v>1191</v>
      </c>
      <c r="H1009">
        <v>1</v>
      </c>
      <c r="I1009" t="s">
        <v>2046</v>
      </c>
      <c r="J1009" t="s">
        <v>2047</v>
      </c>
      <c r="K1009" t="s">
        <v>2048</v>
      </c>
    </row>
    <row r="1010" spans="1:11" hidden="1">
      <c r="A1010" t="str">
        <f t="shared" si="30"/>
        <v>N</v>
      </c>
      <c r="B1010" t="str">
        <f t="shared" si="31"/>
        <v>N1</v>
      </c>
      <c r="C1010" s="568" t="s">
        <v>2416</v>
      </c>
      <c r="D1010" s="568" t="s">
        <v>2059</v>
      </c>
      <c r="E1010" s="569">
        <v>15</v>
      </c>
      <c r="F1010" t="s">
        <v>1609</v>
      </c>
      <c r="G1010" t="s">
        <v>1191</v>
      </c>
      <c r="H1010">
        <v>1</v>
      </c>
      <c r="I1010" t="s">
        <v>2046</v>
      </c>
      <c r="J1010" t="s">
        <v>2047</v>
      </c>
      <c r="K1010" t="s">
        <v>2048</v>
      </c>
    </row>
    <row r="1011" spans="1:11" hidden="1">
      <c r="A1011" t="str">
        <f t="shared" si="30"/>
        <v>N</v>
      </c>
      <c r="B1011" t="str">
        <f t="shared" si="31"/>
        <v>N1</v>
      </c>
      <c r="C1011" s="568" t="s">
        <v>2417</v>
      </c>
      <c r="D1011" s="568" t="s">
        <v>2057</v>
      </c>
      <c r="E1011" s="569">
        <v>15</v>
      </c>
      <c r="F1011" t="s">
        <v>1609</v>
      </c>
      <c r="G1011" t="s">
        <v>1191</v>
      </c>
      <c r="H1011">
        <v>1</v>
      </c>
      <c r="I1011" t="s">
        <v>2046</v>
      </c>
      <c r="J1011" t="s">
        <v>2047</v>
      </c>
      <c r="K1011" t="s">
        <v>2048</v>
      </c>
    </row>
    <row r="1012" spans="1:11" hidden="1">
      <c r="A1012" t="str">
        <f t="shared" si="30"/>
        <v>N</v>
      </c>
      <c r="B1012" t="str">
        <f t="shared" si="31"/>
        <v>N1</v>
      </c>
      <c r="C1012" s="568" t="s">
        <v>2418</v>
      </c>
      <c r="D1012" s="568" t="s">
        <v>2057</v>
      </c>
      <c r="E1012" s="569">
        <v>15</v>
      </c>
      <c r="F1012" t="s">
        <v>1616</v>
      </c>
      <c r="G1012" t="s">
        <v>1191</v>
      </c>
      <c r="H1012">
        <v>1</v>
      </c>
      <c r="I1012" t="s">
        <v>2046</v>
      </c>
      <c r="J1012" t="s">
        <v>2047</v>
      </c>
      <c r="K1012" t="s">
        <v>2048</v>
      </c>
    </row>
    <row r="1013" spans="1:11" hidden="1">
      <c r="A1013" t="str">
        <f t="shared" si="30"/>
        <v>N</v>
      </c>
      <c r="B1013" t="str">
        <f t="shared" si="31"/>
        <v>N1</v>
      </c>
      <c r="C1013" s="568" t="s">
        <v>2419</v>
      </c>
      <c r="D1013" s="568" t="s">
        <v>2122</v>
      </c>
      <c r="E1013" s="569">
        <v>15</v>
      </c>
      <c r="F1013" t="s">
        <v>1609</v>
      </c>
      <c r="G1013" t="s">
        <v>1191</v>
      </c>
      <c r="H1013">
        <v>1</v>
      </c>
      <c r="I1013" t="s">
        <v>2046</v>
      </c>
      <c r="J1013" t="s">
        <v>2047</v>
      </c>
      <c r="K1013" t="s">
        <v>2048</v>
      </c>
    </row>
    <row r="1014" spans="1:11" hidden="1">
      <c r="A1014" t="str">
        <f t="shared" si="30"/>
        <v>N</v>
      </c>
      <c r="B1014" t="str">
        <f t="shared" si="31"/>
        <v>N1</v>
      </c>
      <c r="C1014" s="568" t="s">
        <v>2420</v>
      </c>
      <c r="D1014" s="568" t="s">
        <v>2122</v>
      </c>
      <c r="E1014" s="569">
        <v>15</v>
      </c>
      <c r="F1014" t="s">
        <v>1609</v>
      </c>
      <c r="G1014" t="s">
        <v>1191</v>
      </c>
      <c r="H1014">
        <v>1</v>
      </c>
      <c r="I1014" t="s">
        <v>2046</v>
      </c>
      <c r="J1014" t="s">
        <v>2047</v>
      </c>
      <c r="K1014" t="s">
        <v>2048</v>
      </c>
    </row>
    <row r="1015" spans="1:11" hidden="1">
      <c r="A1015" t="str">
        <f t="shared" si="30"/>
        <v>N</v>
      </c>
      <c r="B1015" t="str">
        <f t="shared" si="31"/>
        <v>N1</v>
      </c>
      <c r="C1015" s="568" t="s">
        <v>2421</v>
      </c>
      <c r="D1015" s="568" t="s">
        <v>2122</v>
      </c>
      <c r="E1015" s="569">
        <v>15</v>
      </c>
      <c r="F1015" t="s">
        <v>1616</v>
      </c>
      <c r="G1015" t="s">
        <v>1191</v>
      </c>
      <c r="H1015">
        <v>1</v>
      </c>
      <c r="I1015" t="s">
        <v>2046</v>
      </c>
      <c r="J1015" t="s">
        <v>2047</v>
      </c>
      <c r="K1015" t="s">
        <v>2048</v>
      </c>
    </row>
    <row r="1016" spans="1:11" hidden="1">
      <c r="A1016" t="str">
        <f t="shared" si="30"/>
        <v>N</v>
      </c>
      <c r="B1016" t="str">
        <f t="shared" si="31"/>
        <v>N1</v>
      </c>
      <c r="C1016" s="568" t="s">
        <v>2422</v>
      </c>
      <c r="D1016" s="568" t="s">
        <v>2122</v>
      </c>
      <c r="E1016" s="569">
        <v>15</v>
      </c>
      <c r="F1016" t="s">
        <v>1609</v>
      </c>
      <c r="G1016" t="s">
        <v>1191</v>
      </c>
      <c r="H1016">
        <v>1</v>
      </c>
      <c r="I1016" t="s">
        <v>2046</v>
      </c>
      <c r="J1016" t="s">
        <v>2047</v>
      </c>
      <c r="K1016" t="s">
        <v>2048</v>
      </c>
    </row>
    <row r="1017" spans="1:11" hidden="1">
      <c r="A1017" t="str">
        <f t="shared" si="30"/>
        <v>N</v>
      </c>
      <c r="B1017" t="str">
        <f t="shared" si="31"/>
        <v>N1</v>
      </c>
      <c r="C1017" s="568" t="s">
        <v>2423</v>
      </c>
      <c r="D1017" s="568" t="s">
        <v>2057</v>
      </c>
      <c r="E1017" s="569">
        <v>15</v>
      </c>
      <c r="F1017" t="s">
        <v>1616</v>
      </c>
      <c r="G1017" t="s">
        <v>1191</v>
      </c>
      <c r="H1017">
        <v>1</v>
      </c>
      <c r="I1017" t="s">
        <v>2046</v>
      </c>
      <c r="J1017" t="s">
        <v>2047</v>
      </c>
      <c r="K1017" t="s">
        <v>2048</v>
      </c>
    </row>
    <row r="1018" spans="1:11" hidden="1">
      <c r="A1018" t="str">
        <f t="shared" si="30"/>
        <v>N</v>
      </c>
      <c r="B1018" t="str">
        <f t="shared" si="31"/>
        <v>N1</v>
      </c>
      <c r="C1018" s="568" t="s">
        <v>2424</v>
      </c>
      <c r="D1018" s="568" t="s">
        <v>2122</v>
      </c>
      <c r="E1018" s="569">
        <v>15</v>
      </c>
      <c r="F1018" t="s">
        <v>1609</v>
      </c>
      <c r="G1018" t="s">
        <v>1191</v>
      </c>
      <c r="H1018">
        <v>1</v>
      </c>
      <c r="I1018" t="s">
        <v>2046</v>
      </c>
      <c r="J1018" t="s">
        <v>2047</v>
      </c>
      <c r="K1018" t="s">
        <v>2048</v>
      </c>
    </row>
    <row r="1019" spans="1:11" hidden="1">
      <c r="A1019" t="str">
        <f t="shared" si="30"/>
        <v>N</v>
      </c>
      <c r="B1019" t="str">
        <f t="shared" si="31"/>
        <v>N1</v>
      </c>
      <c r="C1019" s="568" t="s">
        <v>2425</v>
      </c>
      <c r="D1019" s="568" t="s">
        <v>2122</v>
      </c>
      <c r="E1019" s="569">
        <v>15</v>
      </c>
      <c r="F1019" t="s">
        <v>1609</v>
      </c>
      <c r="G1019" t="s">
        <v>1191</v>
      </c>
      <c r="H1019">
        <v>1</v>
      </c>
      <c r="I1019" t="s">
        <v>2046</v>
      </c>
      <c r="J1019" t="s">
        <v>2047</v>
      </c>
      <c r="K1019" t="s">
        <v>2048</v>
      </c>
    </row>
    <row r="1020" spans="1:11" hidden="1">
      <c r="A1020" t="str">
        <f t="shared" si="30"/>
        <v>N</v>
      </c>
      <c r="B1020" t="str">
        <f t="shared" si="31"/>
        <v>N1</v>
      </c>
      <c r="C1020" s="568" t="s">
        <v>2426</v>
      </c>
      <c r="D1020" s="568" t="s">
        <v>2122</v>
      </c>
      <c r="E1020" s="569">
        <v>15</v>
      </c>
      <c r="F1020" t="s">
        <v>1609</v>
      </c>
      <c r="G1020" t="s">
        <v>1191</v>
      </c>
      <c r="H1020">
        <v>1</v>
      </c>
      <c r="I1020" t="s">
        <v>2046</v>
      </c>
      <c r="J1020" t="s">
        <v>2047</v>
      </c>
      <c r="K1020" t="s">
        <v>2048</v>
      </c>
    </row>
    <row r="1021" spans="1:11" hidden="1">
      <c r="A1021" t="str">
        <f t="shared" si="30"/>
        <v>N</v>
      </c>
      <c r="B1021" t="str">
        <f t="shared" si="31"/>
        <v>N1</v>
      </c>
      <c r="C1021" s="568" t="s">
        <v>2427</v>
      </c>
      <c r="D1021" s="568" t="s">
        <v>2122</v>
      </c>
      <c r="E1021" s="569">
        <v>15</v>
      </c>
      <c r="F1021" t="s">
        <v>1609</v>
      </c>
      <c r="G1021" t="s">
        <v>1191</v>
      </c>
      <c r="H1021">
        <v>1</v>
      </c>
      <c r="I1021" t="s">
        <v>2046</v>
      </c>
      <c r="J1021" t="s">
        <v>2047</v>
      </c>
      <c r="K1021" t="s">
        <v>2048</v>
      </c>
    </row>
    <row r="1022" spans="1:11" hidden="1">
      <c r="A1022" t="str">
        <f t="shared" si="30"/>
        <v>N</v>
      </c>
      <c r="B1022" t="str">
        <f t="shared" si="31"/>
        <v>N2</v>
      </c>
      <c r="C1022" s="568" t="s">
        <v>2428</v>
      </c>
      <c r="D1022" s="568" t="s">
        <v>2057</v>
      </c>
      <c r="E1022" s="569">
        <v>15</v>
      </c>
      <c r="F1022" t="s">
        <v>1609</v>
      </c>
      <c r="G1022" t="s">
        <v>1191</v>
      </c>
      <c r="H1022">
        <v>1</v>
      </c>
      <c r="I1022" t="s">
        <v>2046</v>
      </c>
      <c r="J1022" t="s">
        <v>2047</v>
      </c>
      <c r="K1022" t="s">
        <v>2048</v>
      </c>
    </row>
    <row r="1023" spans="1:11" hidden="1">
      <c r="A1023" t="str">
        <f t="shared" si="30"/>
        <v>N</v>
      </c>
      <c r="B1023" t="str">
        <f t="shared" si="31"/>
        <v>N2</v>
      </c>
      <c r="C1023" s="568" t="s">
        <v>2429</v>
      </c>
      <c r="D1023" s="568" t="s">
        <v>2057</v>
      </c>
      <c r="E1023" s="569">
        <v>15</v>
      </c>
      <c r="F1023" t="s">
        <v>1609</v>
      </c>
      <c r="G1023" t="s">
        <v>1191</v>
      </c>
      <c r="H1023">
        <v>1</v>
      </c>
      <c r="I1023" t="s">
        <v>2046</v>
      </c>
      <c r="J1023" t="s">
        <v>2047</v>
      </c>
      <c r="K1023" t="s">
        <v>2048</v>
      </c>
    </row>
    <row r="1024" spans="1:11" hidden="1">
      <c r="A1024" t="str">
        <f t="shared" si="30"/>
        <v>N</v>
      </c>
      <c r="B1024" t="str">
        <f t="shared" si="31"/>
        <v>N2</v>
      </c>
      <c r="C1024" s="568" t="s">
        <v>2430</v>
      </c>
      <c r="D1024" s="568" t="s">
        <v>2057</v>
      </c>
      <c r="E1024" s="569">
        <v>15</v>
      </c>
      <c r="F1024" t="s">
        <v>1609</v>
      </c>
      <c r="G1024" t="s">
        <v>1191</v>
      </c>
      <c r="H1024">
        <v>1</v>
      </c>
      <c r="I1024" t="s">
        <v>2046</v>
      </c>
      <c r="J1024" t="s">
        <v>2047</v>
      </c>
      <c r="K1024" t="s">
        <v>2048</v>
      </c>
    </row>
    <row r="1025" spans="1:11" hidden="1">
      <c r="A1025" t="str">
        <f t="shared" si="30"/>
        <v>N</v>
      </c>
      <c r="B1025" t="str">
        <f t="shared" si="31"/>
        <v>N2</v>
      </c>
      <c r="C1025" s="568" t="s">
        <v>2431</v>
      </c>
      <c r="D1025" s="568" t="s">
        <v>2057</v>
      </c>
      <c r="E1025" s="569">
        <v>15</v>
      </c>
      <c r="F1025" t="s">
        <v>1609</v>
      </c>
      <c r="G1025" t="s">
        <v>1191</v>
      </c>
      <c r="H1025">
        <v>1</v>
      </c>
      <c r="I1025" t="s">
        <v>2046</v>
      </c>
      <c r="J1025" t="s">
        <v>2047</v>
      </c>
      <c r="K1025" t="s">
        <v>2048</v>
      </c>
    </row>
    <row r="1026" spans="1:11" hidden="1">
      <c r="A1026" t="str">
        <f t="shared" si="30"/>
        <v>N</v>
      </c>
      <c r="B1026" t="str">
        <f t="shared" si="31"/>
        <v>N2</v>
      </c>
      <c r="C1026" s="568" t="s">
        <v>2432</v>
      </c>
      <c r="D1026" s="568" t="s">
        <v>2057</v>
      </c>
      <c r="E1026" s="569">
        <v>15</v>
      </c>
      <c r="F1026" t="s">
        <v>1609</v>
      </c>
      <c r="G1026" t="s">
        <v>1191</v>
      </c>
      <c r="H1026">
        <v>1</v>
      </c>
      <c r="I1026" t="s">
        <v>2046</v>
      </c>
      <c r="J1026" t="s">
        <v>2047</v>
      </c>
      <c r="K1026" t="s">
        <v>2048</v>
      </c>
    </row>
    <row r="1027" spans="1:11" hidden="1">
      <c r="A1027" t="str">
        <f t="shared" ref="A1027:A1090" si="32">LEFT(C1027)</f>
        <v>N</v>
      </c>
      <c r="B1027" t="str">
        <f t="shared" si="31"/>
        <v>N2</v>
      </c>
      <c r="C1027" s="568" t="s">
        <v>2433</v>
      </c>
      <c r="D1027" s="568" t="s">
        <v>2057</v>
      </c>
      <c r="E1027" s="569">
        <v>15</v>
      </c>
      <c r="F1027" t="s">
        <v>1609</v>
      </c>
      <c r="G1027" t="s">
        <v>1191</v>
      </c>
      <c r="H1027">
        <v>1</v>
      </c>
      <c r="I1027" t="s">
        <v>2046</v>
      </c>
      <c r="J1027" t="s">
        <v>2047</v>
      </c>
      <c r="K1027" t="s">
        <v>2048</v>
      </c>
    </row>
    <row r="1028" spans="1:11" hidden="1">
      <c r="A1028" t="str">
        <f t="shared" si="32"/>
        <v>N</v>
      </c>
      <c r="B1028" t="str">
        <f t="shared" ref="B1028:B1091" si="33">LEFT(C1028,2)</f>
        <v>N2</v>
      </c>
      <c r="C1028" s="568" t="s">
        <v>2434</v>
      </c>
      <c r="D1028" s="568" t="s">
        <v>2057</v>
      </c>
      <c r="E1028" s="569">
        <v>15</v>
      </c>
      <c r="F1028" t="s">
        <v>1609</v>
      </c>
      <c r="G1028" t="s">
        <v>1191</v>
      </c>
      <c r="H1028">
        <v>1</v>
      </c>
      <c r="I1028" t="s">
        <v>2046</v>
      </c>
      <c r="J1028" t="s">
        <v>2047</v>
      </c>
      <c r="K1028" t="s">
        <v>2048</v>
      </c>
    </row>
    <row r="1029" spans="1:11" hidden="1">
      <c r="A1029" t="str">
        <f t="shared" si="32"/>
        <v>N</v>
      </c>
      <c r="B1029" t="str">
        <f t="shared" si="33"/>
        <v>N2</v>
      </c>
      <c r="C1029" s="568" t="s">
        <v>2435</v>
      </c>
      <c r="D1029" s="568" t="s">
        <v>2057</v>
      </c>
      <c r="E1029" s="569">
        <v>15</v>
      </c>
      <c r="F1029" t="s">
        <v>1609</v>
      </c>
      <c r="G1029" t="s">
        <v>1191</v>
      </c>
      <c r="H1029">
        <v>1</v>
      </c>
      <c r="I1029" t="s">
        <v>2046</v>
      </c>
      <c r="J1029" t="s">
        <v>2047</v>
      </c>
      <c r="K1029" t="s">
        <v>2048</v>
      </c>
    </row>
    <row r="1030" spans="1:11" hidden="1">
      <c r="A1030" t="str">
        <f t="shared" si="32"/>
        <v>N</v>
      </c>
      <c r="B1030" t="str">
        <f t="shared" si="33"/>
        <v>N2</v>
      </c>
      <c r="C1030" s="568" t="s">
        <v>2436</v>
      </c>
      <c r="D1030" s="568" t="s">
        <v>2057</v>
      </c>
      <c r="E1030" s="569">
        <v>15</v>
      </c>
      <c r="F1030" t="s">
        <v>1609</v>
      </c>
      <c r="G1030" t="s">
        <v>1191</v>
      </c>
      <c r="H1030">
        <v>1</v>
      </c>
      <c r="I1030" t="s">
        <v>2046</v>
      </c>
      <c r="J1030" t="s">
        <v>2047</v>
      </c>
      <c r="K1030" t="s">
        <v>2048</v>
      </c>
    </row>
    <row r="1031" spans="1:11" hidden="1">
      <c r="A1031" t="str">
        <f t="shared" si="32"/>
        <v>N</v>
      </c>
      <c r="B1031" t="str">
        <f t="shared" si="33"/>
        <v>N2</v>
      </c>
      <c r="C1031" s="568" t="s">
        <v>2437</v>
      </c>
      <c r="D1031" s="568" t="s">
        <v>2057</v>
      </c>
      <c r="E1031" s="569">
        <v>15</v>
      </c>
      <c r="F1031" t="s">
        <v>1609</v>
      </c>
      <c r="G1031" t="s">
        <v>1191</v>
      </c>
      <c r="H1031">
        <v>1</v>
      </c>
      <c r="I1031" t="s">
        <v>2046</v>
      </c>
      <c r="J1031" t="s">
        <v>2047</v>
      </c>
      <c r="K1031" t="s">
        <v>2048</v>
      </c>
    </row>
    <row r="1032" spans="1:11" hidden="1">
      <c r="A1032" t="str">
        <f t="shared" si="32"/>
        <v>N</v>
      </c>
      <c r="B1032" t="str">
        <f t="shared" si="33"/>
        <v>N2</v>
      </c>
      <c r="C1032" s="568" t="s">
        <v>2438</v>
      </c>
      <c r="D1032" s="568" t="s">
        <v>2057</v>
      </c>
      <c r="E1032" s="569">
        <v>15</v>
      </c>
      <c r="F1032" t="s">
        <v>1609</v>
      </c>
      <c r="G1032" t="s">
        <v>1191</v>
      </c>
      <c r="H1032">
        <v>1</v>
      </c>
      <c r="I1032" t="s">
        <v>2046</v>
      </c>
      <c r="J1032" t="s">
        <v>2047</v>
      </c>
      <c r="K1032" t="s">
        <v>2048</v>
      </c>
    </row>
    <row r="1033" spans="1:11" hidden="1">
      <c r="A1033" t="str">
        <f t="shared" si="32"/>
        <v>N</v>
      </c>
      <c r="B1033" t="str">
        <f t="shared" si="33"/>
        <v>N2</v>
      </c>
      <c r="C1033" s="568" t="s">
        <v>2439</v>
      </c>
      <c r="D1033" s="568" t="s">
        <v>2122</v>
      </c>
      <c r="E1033" s="569">
        <v>15</v>
      </c>
      <c r="F1033" t="s">
        <v>1609</v>
      </c>
      <c r="G1033" t="s">
        <v>1191</v>
      </c>
      <c r="H1033">
        <v>1</v>
      </c>
      <c r="I1033" t="s">
        <v>2046</v>
      </c>
      <c r="J1033" t="s">
        <v>2047</v>
      </c>
      <c r="K1033" t="s">
        <v>2048</v>
      </c>
    </row>
    <row r="1034" spans="1:11" hidden="1">
      <c r="A1034" t="str">
        <f t="shared" si="32"/>
        <v>N</v>
      </c>
      <c r="B1034" t="str">
        <f t="shared" si="33"/>
        <v>N2</v>
      </c>
      <c r="C1034" s="568" t="s">
        <v>2440</v>
      </c>
      <c r="D1034" s="568" t="s">
        <v>2057</v>
      </c>
      <c r="E1034" s="569">
        <v>15</v>
      </c>
      <c r="F1034" t="s">
        <v>1609</v>
      </c>
      <c r="G1034" t="s">
        <v>1191</v>
      </c>
      <c r="H1034">
        <v>1</v>
      </c>
      <c r="I1034" t="s">
        <v>2046</v>
      </c>
      <c r="J1034" t="s">
        <v>2047</v>
      </c>
      <c r="K1034" t="s">
        <v>2048</v>
      </c>
    </row>
    <row r="1035" spans="1:11" hidden="1">
      <c r="A1035" t="str">
        <f t="shared" si="32"/>
        <v>N</v>
      </c>
      <c r="B1035" t="str">
        <f t="shared" si="33"/>
        <v>N2</v>
      </c>
      <c r="C1035" s="568" t="s">
        <v>2441</v>
      </c>
      <c r="D1035" s="568" t="s">
        <v>2057</v>
      </c>
      <c r="E1035" s="569">
        <v>15</v>
      </c>
      <c r="F1035" t="s">
        <v>1609</v>
      </c>
      <c r="G1035" t="s">
        <v>1191</v>
      </c>
      <c r="H1035">
        <v>1</v>
      </c>
      <c r="I1035" t="s">
        <v>2046</v>
      </c>
      <c r="J1035" t="s">
        <v>2047</v>
      </c>
      <c r="K1035" t="s">
        <v>2048</v>
      </c>
    </row>
    <row r="1036" spans="1:11" hidden="1">
      <c r="A1036" t="str">
        <f t="shared" si="32"/>
        <v>N</v>
      </c>
      <c r="B1036" t="str">
        <f t="shared" si="33"/>
        <v>N2</v>
      </c>
      <c r="C1036" s="568" t="s">
        <v>2442</v>
      </c>
      <c r="D1036" s="568" t="s">
        <v>2057</v>
      </c>
      <c r="E1036" s="569">
        <v>15</v>
      </c>
      <c r="F1036" t="s">
        <v>1609</v>
      </c>
      <c r="G1036" t="s">
        <v>1191</v>
      </c>
      <c r="H1036">
        <v>1</v>
      </c>
      <c r="I1036" t="s">
        <v>2046</v>
      </c>
      <c r="J1036" t="s">
        <v>2047</v>
      </c>
      <c r="K1036" t="s">
        <v>2048</v>
      </c>
    </row>
    <row r="1037" spans="1:11" hidden="1">
      <c r="A1037" t="str">
        <f t="shared" si="32"/>
        <v>N</v>
      </c>
      <c r="B1037" t="str">
        <f t="shared" si="33"/>
        <v>N2</v>
      </c>
      <c r="C1037" s="568" t="s">
        <v>2443</v>
      </c>
      <c r="D1037" s="568" t="s">
        <v>2063</v>
      </c>
      <c r="E1037" s="569">
        <v>15</v>
      </c>
      <c r="F1037" t="s">
        <v>1609</v>
      </c>
      <c r="G1037" t="s">
        <v>1191</v>
      </c>
      <c r="H1037">
        <v>1</v>
      </c>
      <c r="I1037" t="s">
        <v>2046</v>
      </c>
      <c r="J1037" t="s">
        <v>2047</v>
      </c>
      <c r="K1037" t="s">
        <v>2048</v>
      </c>
    </row>
    <row r="1038" spans="1:11" hidden="1">
      <c r="A1038" t="str">
        <f t="shared" si="32"/>
        <v>N</v>
      </c>
      <c r="B1038" t="str">
        <f t="shared" si="33"/>
        <v>N3</v>
      </c>
      <c r="C1038" s="568" t="s">
        <v>2444</v>
      </c>
      <c r="D1038" s="568" t="s">
        <v>2057</v>
      </c>
      <c r="E1038" s="569">
        <v>15</v>
      </c>
      <c r="F1038" t="s">
        <v>1609</v>
      </c>
      <c r="G1038" t="s">
        <v>1191</v>
      </c>
      <c r="H1038">
        <v>1</v>
      </c>
      <c r="I1038" t="s">
        <v>2046</v>
      </c>
      <c r="J1038" t="s">
        <v>2047</v>
      </c>
      <c r="K1038" t="s">
        <v>2048</v>
      </c>
    </row>
    <row r="1039" spans="1:11" hidden="1">
      <c r="A1039" t="str">
        <f t="shared" si="32"/>
        <v>N</v>
      </c>
      <c r="B1039" t="str">
        <f t="shared" si="33"/>
        <v>N3</v>
      </c>
      <c r="C1039" s="568" t="s">
        <v>2445</v>
      </c>
      <c r="D1039" s="568" t="s">
        <v>2057</v>
      </c>
      <c r="E1039" s="569">
        <v>15</v>
      </c>
      <c r="F1039" t="s">
        <v>1616</v>
      </c>
      <c r="G1039" t="s">
        <v>1191</v>
      </c>
      <c r="H1039">
        <v>1</v>
      </c>
      <c r="I1039" t="s">
        <v>2046</v>
      </c>
      <c r="J1039" t="s">
        <v>2047</v>
      </c>
      <c r="K1039" t="s">
        <v>2048</v>
      </c>
    </row>
    <row r="1040" spans="1:11" hidden="1">
      <c r="A1040" t="str">
        <f t="shared" si="32"/>
        <v>N</v>
      </c>
      <c r="B1040" t="str">
        <f t="shared" si="33"/>
        <v>N3</v>
      </c>
      <c r="C1040" s="568" t="s">
        <v>2446</v>
      </c>
      <c r="D1040" s="568" t="s">
        <v>2057</v>
      </c>
      <c r="E1040" s="569">
        <v>15</v>
      </c>
      <c r="F1040" t="s">
        <v>1609</v>
      </c>
      <c r="G1040" t="s">
        <v>1191</v>
      </c>
      <c r="H1040">
        <v>1</v>
      </c>
      <c r="I1040" t="s">
        <v>2046</v>
      </c>
      <c r="J1040" t="s">
        <v>2047</v>
      </c>
      <c r="K1040" t="s">
        <v>2048</v>
      </c>
    </row>
    <row r="1041" spans="1:11" hidden="1">
      <c r="A1041" t="str">
        <f t="shared" si="32"/>
        <v>N</v>
      </c>
      <c r="B1041" t="str">
        <f t="shared" si="33"/>
        <v>N3</v>
      </c>
      <c r="C1041" s="568" t="s">
        <v>2447</v>
      </c>
      <c r="D1041" s="568" t="s">
        <v>2057</v>
      </c>
      <c r="E1041" s="569">
        <v>15</v>
      </c>
      <c r="F1041" t="s">
        <v>1609</v>
      </c>
      <c r="G1041" t="s">
        <v>1191</v>
      </c>
      <c r="H1041">
        <v>1</v>
      </c>
      <c r="I1041" t="s">
        <v>2046</v>
      </c>
      <c r="J1041" t="s">
        <v>2047</v>
      </c>
      <c r="K1041" t="s">
        <v>2048</v>
      </c>
    </row>
    <row r="1042" spans="1:11" hidden="1">
      <c r="A1042" t="str">
        <f t="shared" si="32"/>
        <v>N</v>
      </c>
      <c r="B1042" t="str">
        <f t="shared" si="33"/>
        <v>N3</v>
      </c>
      <c r="C1042" s="568" t="s">
        <v>2448</v>
      </c>
      <c r="D1042" s="568" t="s">
        <v>2057</v>
      </c>
      <c r="E1042" s="569">
        <v>15</v>
      </c>
      <c r="F1042" t="s">
        <v>1609</v>
      </c>
      <c r="G1042" t="s">
        <v>1191</v>
      </c>
      <c r="H1042">
        <v>1</v>
      </c>
      <c r="I1042" t="s">
        <v>2046</v>
      </c>
      <c r="J1042" t="s">
        <v>2047</v>
      </c>
      <c r="K1042" t="s">
        <v>2048</v>
      </c>
    </row>
    <row r="1043" spans="1:11" hidden="1">
      <c r="A1043" t="str">
        <f t="shared" si="32"/>
        <v>N</v>
      </c>
      <c r="B1043" t="str">
        <f t="shared" si="33"/>
        <v>N3</v>
      </c>
      <c r="C1043" s="568" t="s">
        <v>2449</v>
      </c>
      <c r="D1043" s="568" t="s">
        <v>2122</v>
      </c>
      <c r="E1043" s="569">
        <v>15</v>
      </c>
      <c r="F1043" t="s">
        <v>1609</v>
      </c>
      <c r="G1043" t="s">
        <v>1191</v>
      </c>
      <c r="H1043">
        <v>1</v>
      </c>
      <c r="I1043" t="s">
        <v>2046</v>
      </c>
      <c r="J1043" t="s">
        <v>2047</v>
      </c>
      <c r="K1043" t="s">
        <v>2048</v>
      </c>
    </row>
    <row r="1044" spans="1:11" hidden="1">
      <c r="A1044" t="str">
        <f t="shared" si="32"/>
        <v>N</v>
      </c>
      <c r="B1044" t="str">
        <f t="shared" si="33"/>
        <v>N3</v>
      </c>
      <c r="C1044" s="568" t="s">
        <v>2450</v>
      </c>
      <c r="D1044" s="568" t="s">
        <v>2119</v>
      </c>
      <c r="E1044" s="569">
        <v>15</v>
      </c>
      <c r="F1044" t="s">
        <v>1609</v>
      </c>
      <c r="G1044" t="s">
        <v>1191</v>
      </c>
      <c r="H1044">
        <v>1</v>
      </c>
      <c r="I1044" t="s">
        <v>2046</v>
      </c>
      <c r="J1044" t="s">
        <v>2047</v>
      </c>
      <c r="K1044" t="s">
        <v>2048</v>
      </c>
    </row>
    <row r="1045" spans="1:11" hidden="1">
      <c r="A1045" t="str">
        <f t="shared" si="32"/>
        <v>N</v>
      </c>
      <c r="B1045" t="str">
        <f t="shared" si="33"/>
        <v>N3</v>
      </c>
      <c r="C1045" s="568" t="s">
        <v>2451</v>
      </c>
      <c r="D1045" s="568" t="s">
        <v>2119</v>
      </c>
      <c r="E1045" s="569">
        <v>15</v>
      </c>
      <c r="F1045" t="s">
        <v>1609</v>
      </c>
      <c r="G1045" t="s">
        <v>1191</v>
      </c>
      <c r="H1045">
        <v>1</v>
      </c>
      <c r="I1045" t="s">
        <v>2046</v>
      </c>
      <c r="J1045" t="s">
        <v>2047</v>
      </c>
      <c r="K1045" t="s">
        <v>2048</v>
      </c>
    </row>
    <row r="1046" spans="1:11" hidden="1">
      <c r="A1046" t="str">
        <f t="shared" si="32"/>
        <v>N</v>
      </c>
      <c r="B1046" t="str">
        <f t="shared" si="33"/>
        <v>N3</v>
      </c>
      <c r="C1046" s="568" t="s">
        <v>2452</v>
      </c>
      <c r="D1046" s="568" t="s">
        <v>2119</v>
      </c>
      <c r="E1046" s="569">
        <v>15</v>
      </c>
      <c r="F1046" t="s">
        <v>1609</v>
      </c>
      <c r="G1046" t="s">
        <v>1191</v>
      </c>
      <c r="H1046">
        <v>1</v>
      </c>
      <c r="I1046" t="s">
        <v>2046</v>
      </c>
      <c r="J1046" t="s">
        <v>2047</v>
      </c>
      <c r="K1046" t="s">
        <v>2048</v>
      </c>
    </row>
    <row r="1047" spans="1:11" hidden="1">
      <c r="A1047" t="str">
        <f t="shared" si="32"/>
        <v>N</v>
      </c>
      <c r="B1047" t="str">
        <f t="shared" si="33"/>
        <v>N3</v>
      </c>
      <c r="C1047" s="568" t="s">
        <v>2453</v>
      </c>
      <c r="D1047" s="568" t="s">
        <v>2119</v>
      </c>
      <c r="E1047" s="569">
        <v>15</v>
      </c>
      <c r="F1047" t="s">
        <v>1609</v>
      </c>
      <c r="G1047" t="s">
        <v>1191</v>
      </c>
      <c r="H1047">
        <v>1</v>
      </c>
      <c r="I1047" t="s">
        <v>2046</v>
      </c>
      <c r="J1047" t="s">
        <v>2047</v>
      </c>
      <c r="K1047" t="s">
        <v>2048</v>
      </c>
    </row>
    <row r="1048" spans="1:11" hidden="1">
      <c r="A1048" t="str">
        <f t="shared" si="32"/>
        <v>N</v>
      </c>
      <c r="B1048" t="str">
        <f t="shared" si="33"/>
        <v>N3</v>
      </c>
      <c r="C1048" s="568" t="s">
        <v>2454</v>
      </c>
      <c r="D1048" s="568" t="s">
        <v>2119</v>
      </c>
      <c r="E1048" s="569">
        <v>15</v>
      </c>
      <c r="F1048" t="s">
        <v>1609</v>
      </c>
      <c r="G1048" t="s">
        <v>1191</v>
      </c>
      <c r="H1048">
        <v>1</v>
      </c>
      <c r="I1048" t="s">
        <v>2046</v>
      </c>
      <c r="J1048" t="s">
        <v>2047</v>
      </c>
      <c r="K1048" t="s">
        <v>2048</v>
      </c>
    </row>
    <row r="1049" spans="1:11" hidden="1">
      <c r="A1049" t="str">
        <f t="shared" si="32"/>
        <v>N</v>
      </c>
      <c r="B1049" t="str">
        <f t="shared" si="33"/>
        <v>N3</v>
      </c>
      <c r="C1049" s="568" t="s">
        <v>2455</v>
      </c>
      <c r="D1049" s="568" t="s">
        <v>2115</v>
      </c>
      <c r="E1049" s="569">
        <v>15</v>
      </c>
      <c r="F1049" t="s">
        <v>1609</v>
      </c>
      <c r="G1049" t="s">
        <v>1191</v>
      </c>
      <c r="H1049">
        <v>1</v>
      </c>
      <c r="I1049" t="s">
        <v>2046</v>
      </c>
      <c r="J1049" t="s">
        <v>2047</v>
      </c>
      <c r="K1049" t="s">
        <v>2048</v>
      </c>
    </row>
    <row r="1050" spans="1:11" hidden="1">
      <c r="A1050" t="str">
        <f t="shared" si="32"/>
        <v>N</v>
      </c>
      <c r="B1050" t="str">
        <f t="shared" si="33"/>
        <v>N3</v>
      </c>
      <c r="C1050" s="568" t="s">
        <v>2456</v>
      </c>
      <c r="D1050" s="568" t="s">
        <v>2119</v>
      </c>
      <c r="E1050" s="569">
        <v>15</v>
      </c>
      <c r="F1050" t="s">
        <v>1609</v>
      </c>
      <c r="G1050" t="s">
        <v>1191</v>
      </c>
      <c r="H1050">
        <v>1</v>
      </c>
      <c r="I1050" t="s">
        <v>2046</v>
      </c>
      <c r="J1050" t="s">
        <v>2047</v>
      </c>
      <c r="K1050" t="s">
        <v>2048</v>
      </c>
    </row>
    <row r="1051" spans="1:11" hidden="1">
      <c r="A1051" t="str">
        <f t="shared" si="32"/>
        <v>N</v>
      </c>
      <c r="B1051" t="str">
        <f t="shared" si="33"/>
        <v>N4</v>
      </c>
      <c r="C1051" s="568" t="s">
        <v>2457</v>
      </c>
      <c r="D1051" s="568" t="s">
        <v>2122</v>
      </c>
      <c r="E1051" s="569">
        <v>15</v>
      </c>
      <c r="F1051" t="s">
        <v>1609</v>
      </c>
      <c r="G1051" t="s">
        <v>1191</v>
      </c>
      <c r="H1051">
        <v>1</v>
      </c>
      <c r="I1051" t="s">
        <v>2046</v>
      </c>
      <c r="J1051" t="s">
        <v>2047</v>
      </c>
      <c r="K1051" t="s">
        <v>2048</v>
      </c>
    </row>
    <row r="1052" spans="1:11" hidden="1">
      <c r="A1052" t="str">
        <f t="shared" si="32"/>
        <v>N</v>
      </c>
      <c r="B1052" t="str">
        <f t="shared" si="33"/>
        <v>N4</v>
      </c>
      <c r="C1052" s="568" t="s">
        <v>2458</v>
      </c>
      <c r="D1052" s="568" t="s">
        <v>2057</v>
      </c>
      <c r="E1052" s="569">
        <v>15</v>
      </c>
      <c r="F1052" t="s">
        <v>1609</v>
      </c>
      <c r="G1052" t="s">
        <v>1191</v>
      </c>
      <c r="H1052">
        <v>1</v>
      </c>
      <c r="I1052" t="s">
        <v>2046</v>
      </c>
      <c r="J1052" t="s">
        <v>2047</v>
      </c>
      <c r="K1052" t="s">
        <v>2048</v>
      </c>
    </row>
    <row r="1053" spans="1:11" hidden="1">
      <c r="A1053" t="str">
        <f t="shared" si="32"/>
        <v>N</v>
      </c>
      <c r="B1053" t="str">
        <f t="shared" si="33"/>
        <v>N4</v>
      </c>
      <c r="C1053" s="568" t="s">
        <v>2459</v>
      </c>
      <c r="D1053" s="568" t="s">
        <v>2063</v>
      </c>
      <c r="E1053" s="569">
        <v>15</v>
      </c>
      <c r="F1053" t="s">
        <v>1609</v>
      </c>
      <c r="G1053" t="s">
        <v>1191</v>
      </c>
      <c r="H1053">
        <v>1</v>
      </c>
      <c r="I1053" t="s">
        <v>2046</v>
      </c>
      <c r="J1053" t="s">
        <v>2047</v>
      </c>
      <c r="K1053" t="s">
        <v>2048</v>
      </c>
    </row>
    <row r="1054" spans="1:11" hidden="1">
      <c r="A1054" t="str">
        <f t="shared" si="32"/>
        <v>N</v>
      </c>
      <c r="B1054" t="str">
        <f t="shared" si="33"/>
        <v>N4</v>
      </c>
      <c r="C1054" s="568" t="s">
        <v>2460</v>
      </c>
      <c r="D1054" s="568" t="s">
        <v>2063</v>
      </c>
      <c r="E1054" s="569">
        <v>15</v>
      </c>
      <c r="F1054" t="s">
        <v>1609</v>
      </c>
      <c r="G1054" t="s">
        <v>1191</v>
      </c>
      <c r="H1054">
        <v>1</v>
      </c>
      <c r="I1054" t="s">
        <v>2046</v>
      </c>
      <c r="J1054" t="s">
        <v>2047</v>
      </c>
      <c r="K1054" t="s">
        <v>2048</v>
      </c>
    </row>
    <row r="1055" spans="1:11" hidden="1">
      <c r="A1055" t="str">
        <f t="shared" si="32"/>
        <v>N</v>
      </c>
      <c r="B1055" t="str">
        <f t="shared" si="33"/>
        <v>N4</v>
      </c>
      <c r="C1055" s="568" t="s">
        <v>2461</v>
      </c>
      <c r="D1055" s="568" t="s">
        <v>2063</v>
      </c>
      <c r="E1055" s="569">
        <v>15</v>
      </c>
      <c r="F1055" t="s">
        <v>1609</v>
      </c>
      <c r="G1055" t="s">
        <v>1191</v>
      </c>
      <c r="H1055">
        <v>1</v>
      </c>
      <c r="I1055" t="s">
        <v>2046</v>
      </c>
      <c r="J1055" t="s">
        <v>2047</v>
      </c>
      <c r="K1055" t="s">
        <v>2048</v>
      </c>
    </row>
    <row r="1056" spans="1:11" hidden="1">
      <c r="A1056" t="str">
        <f t="shared" si="32"/>
        <v>N</v>
      </c>
      <c r="B1056" t="str">
        <f t="shared" si="33"/>
        <v>N4</v>
      </c>
      <c r="C1056" s="568" t="s">
        <v>2462</v>
      </c>
      <c r="D1056" s="568" t="s">
        <v>2057</v>
      </c>
      <c r="E1056" s="569">
        <v>15</v>
      </c>
      <c r="F1056" t="s">
        <v>1609</v>
      </c>
      <c r="G1056" t="s">
        <v>1191</v>
      </c>
      <c r="H1056">
        <v>1</v>
      </c>
      <c r="I1056" t="s">
        <v>2046</v>
      </c>
      <c r="J1056" t="s">
        <v>2047</v>
      </c>
      <c r="K1056" t="s">
        <v>2048</v>
      </c>
    </row>
    <row r="1057" spans="1:11" hidden="1">
      <c r="A1057" t="str">
        <f t="shared" si="32"/>
        <v>N</v>
      </c>
      <c r="B1057" t="str">
        <f t="shared" si="33"/>
        <v>N4</v>
      </c>
      <c r="C1057" s="568" t="s">
        <v>2463</v>
      </c>
      <c r="D1057" s="568" t="s">
        <v>2057</v>
      </c>
      <c r="E1057" s="569">
        <v>15</v>
      </c>
      <c r="F1057" t="s">
        <v>1609</v>
      </c>
      <c r="G1057" t="s">
        <v>1191</v>
      </c>
      <c r="H1057">
        <v>1</v>
      </c>
      <c r="I1057" t="s">
        <v>2046</v>
      </c>
      <c r="J1057" t="s">
        <v>2047</v>
      </c>
      <c r="K1057" t="s">
        <v>2048</v>
      </c>
    </row>
    <row r="1058" spans="1:11" hidden="1">
      <c r="A1058" t="str">
        <f t="shared" si="32"/>
        <v>N</v>
      </c>
      <c r="B1058" t="str">
        <f t="shared" si="33"/>
        <v>N4</v>
      </c>
      <c r="C1058" s="568" t="s">
        <v>2464</v>
      </c>
      <c r="D1058" s="568" t="s">
        <v>2057</v>
      </c>
      <c r="E1058" s="569">
        <v>15</v>
      </c>
      <c r="F1058" t="s">
        <v>1609</v>
      </c>
      <c r="G1058" t="s">
        <v>1191</v>
      </c>
      <c r="H1058">
        <v>1</v>
      </c>
      <c r="I1058" t="s">
        <v>2046</v>
      </c>
      <c r="J1058" t="s">
        <v>2047</v>
      </c>
      <c r="K1058" t="s">
        <v>2048</v>
      </c>
    </row>
    <row r="1059" spans="1:11" hidden="1">
      <c r="A1059" t="str">
        <f t="shared" si="32"/>
        <v>N</v>
      </c>
      <c r="B1059" t="str">
        <f t="shared" si="33"/>
        <v>N4</v>
      </c>
      <c r="C1059" s="568" t="s">
        <v>2465</v>
      </c>
      <c r="D1059" s="568" t="s">
        <v>2063</v>
      </c>
      <c r="E1059" s="569">
        <v>15</v>
      </c>
      <c r="F1059" t="s">
        <v>1609</v>
      </c>
      <c r="G1059" t="s">
        <v>1191</v>
      </c>
      <c r="H1059">
        <v>1</v>
      </c>
      <c r="I1059" t="s">
        <v>2046</v>
      </c>
      <c r="J1059" t="s">
        <v>2047</v>
      </c>
      <c r="K1059" t="s">
        <v>2048</v>
      </c>
    </row>
    <row r="1060" spans="1:11" hidden="1">
      <c r="A1060" t="str">
        <f t="shared" si="32"/>
        <v>N</v>
      </c>
      <c r="B1060" t="str">
        <f t="shared" si="33"/>
        <v>N4</v>
      </c>
      <c r="C1060" s="568" t="s">
        <v>2466</v>
      </c>
      <c r="D1060" s="568" t="s">
        <v>2063</v>
      </c>
      <c r="E1060" s="569">
        <v>15</v>
      </c>
      <c r="F1060" t="s">
        <v>1609</v>
      </c>
      <c r="G1060" t="s">
        <v>1191</v>
      </c>
      <c r="H1060">
        <v>1</v>
      </c>
      <c r="I1060" t="s">
        <v>2046</v>
      </c>
      <c r="J1060" t="s">
        <v>2047</v>
      </c>
      <c r="K1060" t="s">
        <v>2048</v>
      </c>
    </row>
    <row r="1061" spans="1:11" hidden="1">
      <c r="A1061" t="str">
        <f t="shared" si="32"/>
        <v>N</v>
      </c>
      <c r="B1061" t="str">
        <f t="shared" si="33"/>
        <v>N4</v>
      </c>
      <c r="C1061" s="568" t="s">
        <v>2467</v>
      </c>
      <c r="D1061" s="568" t="s">
        <v>2063</v>
      </c>
      <c r="E1061" s="569">
        <v>15</v>
      </c>
      <c r="F1061" t="s">
        <v>1609</v>
      </c>
      <c r="G1061" t="s">
        <v>1191</v>
      </c>
      <c r="H1061">
        <v>1</v>
      </c>
      <c r="I1061" t="s">
        <v>2046</v>
      </c>
      <c r="J1061" t="s">
        <v>2047</v>
      </c>
      <c r="K1061" t="s">
        <v>2048</v>
      </c>
    </row>
    <row r="1062" spans="1:11" hidden="1">
      <c r="A1062" t="str">
        <f t="shared" si="32"/>
        <v>N</v>
      </c>
      <c r="B1062" t="str">
        <f t="shared" si="33"/>
        <v>N5</v>
      </c>
      <c r="C1062" s="568" t="s">
        <v>2468</v>
      </c>
      <c r="D1062" s="568" t="s">
        <v>2057</v>
      </c>
      <c r="E1062" s="569">
        <v>15</v>
      </c>
      <c r="F1062" t="s">
        <v>1609</v>
      </c>
      <c r="G1062" t="s">
        <v>1191</v>
      </c>
      <c r="H1062">
        <v>1</v>
      </c>
      <c r="I1062" t="s">
        <v>2046</v>
      </c>
      <c r="J1062" t="s">
        <v>2047</v>
      </c>
      <c r="K1062" t="s">
        <v>2048</v>
      </c>
    </row>
    <row r="1063" spans="1:11" hidden="1">
      <c r="A1063" t="str">
        <f t="shared" si="32"/>
        <v>N</v>
      </c>
      <c r="B1063" t="str">
        <f t="shared" si="33"/>
        <v>N5</v>
      </c>
      <c r="C1063" s="568" t="s">
        <v>2469</v>
      </c>
      <c r="D1063" s="568" t="s">
        <v>2057</v>
      </c>
      <c r="E1063" s="569">
        <v>15</v>
      </c>
      <c r="F1063" t="s">
        <v>1609</v>
      </c>
      <c r="G1063" t="s">
        <v>1191</v>
      </c>
      <c r="H1063">
        <v>1</v>
      </c>
      <c r="I1063" t="s">
        <v>2046</v>
      </c>
      <c r="J1063" t="s">
        <v>2047</v>
      </c>
      <c r="K1063" t="s">
        <v>2048</v>
      </c>
    </row>
    <row r="1064" spans="1:11" hidden="1">
      <c r="A1064" t="str">
        <f t="shared" si="32"/>
        <v>N</v>
      </c>
      <c r="B1064" t="str">
        <f t="shared" si="33"/>
        <v>N5</v>
      </c>
      <c r="C1064" s="568" t="s">
        <v>2470</v>
      </c>
      <c r="D1064" s="568" t="s">
        <v>2057</v>
      </c>
      <c r="E1064" s="569">
        <v>15</v>
      </c>
      <c r="F1064" t="s">
        <v>1609</v>
      </c>
      <c r="G1064" t="s">
        <v>1191</v>
      </c>
      <c r="H1064">
        <v>1</v>
      </c>
      <c r="I1064" t="s">
        <v>2046</v>
      </c>
      <c r="J1064" t="s">
        <v>2047</v>
      </c>
      <c r="K1064" t="s">
        <v>2048</v>
      </c>
    </row>
    <row r="1065" spans="1:11" hidden="1">
      <c r="A1065" t="str">
        <f t="shared" si="32"/>
        <v>N</v>
      </c>
      <c r="B1065" t="str">
        <f t="shared" si="33"/>
        <v>N5</v>
      </c>
      <c r="C1065" s="568" t="s">
        <v>2471</v>
      </c>
      <c r="D1065" s="568" t="s">
        <v>2057</v>
      </c>
      <c r="E1065" s="569">
        <v>15</v>
      </c>
      <c r="F1065" t="s">
        <v>1609</v>
      </c>
      <c r="G1065" t="s">
        <v>1191</v>
      </c>
      <c r="H1065">
        <v>1</v>
      </c>
      <c r="I1065" t="s">
        <v>2046</v>
      </c>
      <c r="J1065" t="s">
        <v>2047</v>
      </c>
      <c r="K1065" t="s">
        <v>2048</v>
      </c>
    </row>
    <row r="1066" spans="1:11" hidden="1">
      <c r="A1066" t="str">
        <f t="shared" si="32"/>
        <v>N</v>
      </c>
      <c r="B1066" t="str">
        <f t="shared" si="33"/>
        <v>N5</v>
      </c>
      <c r="C1066" s="568" t="s">
        <v>2472</v>
      </c>
      <c r="D1066" s="568" t="s">
        <v>2057</v>
      </c>
      <c r="E1066" s="569">
        <v>15</v>
      </c>
      <c r="F1066" t="s">
        <v>1609</v>
      </c>
      <c r="G1066" t="s">
        <v>1191</v>
      </c>
      <c r="H1066">
        <v>1</v>
      </c>
      <c r="I1066" t="s">
        <v>2046</v>
      </c>
      <c r="J1066" t="s">
        <v>2047</v>
      </c>
      <c r="K1066" t="s">
        <v>2048</v>
      </c>
    </row>
    <row r="1067" spans="1:11" hidden="1">
      <c r="A1067" t="str">
        <f t="shared" si="32"/>
        <v>N</v>
      </c>
      <c r="B1067" t="str">
        <f t="shared" si="33"/>
        <v>N5</v>
      </c>
      <c r="C1067" s="568" t="s">
        <v>2473</v>
      </c>
      <c r="D1067" s="568" t="s">
        <v>2057</v>
      </c>
      <c r="E1067" s="569">
        <v>15</v>
      </c>
      <c r="F1067" t="s">
        <v>1609</v>
      </c>
      <c r="G1067" t="s">
        <v>1191</v>
      </c>
      <c r="H1067">
        <v>1</v>
      </c>
      <c r="I1067" t="s">
        <v>2046</v>
      </c>
      <c r="J1067" t="s">
        <v>2047</v>
      </c>
      <c r="K1067" t="s">
        <v>2048</v>
      </c>
    </row>
    <row r="1068" spans="1:11" hidden="1">
      <c r="A1068" t="str">
        <f t="shared" si="32"/>
        <v>N</v>
      </c>
      <c r="B1068" t="str">
        <f t="shared" si="33"/>
        <v>N5</v>
      </c>
      <c r="C1068" s="568" t="s">
        <v>2474</v>
      </c>
      <c r="D1068" s="568" t="s">
        <v>2057</v>
      </c>
      <c r="E1068" s="569">
        <v>15</v>
      </c>
      <c r="F1068" s="577" t="s">
        <v>1609</v>
      </c>
      <c r="G1068" t="s">
        <v>1191</v>
      </c>
      <c r="H1068">
        <v>1</v>
      </c>
      <c r="I1068" t="s">
        <v>2046</v>
      </c>
      <c r="J1068" t="s">
        <v>2047</v>
      </c>
      <c r="K1068" t="s">
        <v>2048</v>
      </c>
    </row>
    <row r="1069" spans="1:11" hidden="1">
      <c r="A1069" t="str">
        <f t="shared" si="32"/>
        <v>N</v>
      </c>
      <c r="B1069" t="str">
        <f t="shared" si="33"/>
        <v>N5</v>
      </c>
      <c r="C1069" s="568" t="s">
        <v>2475</v>
      </c>
      <c r="D1069" s="568" t="s">
        <v>2063</v>
      </c>
      <c r="E1069" s="569">
        <v>15</v>
      </c>
      <c r="F1069" t="s">
        <v>1609</v>
      </c>
      <c r="G1069" t="s">
        <v>1191</v>
      </c>
      <c r="H1069">
        <v>1</v>
      </c>
      <c r="I1069" t="s">
        <v>2046</v>
      </c>
      <c r="J1069" t="s">
        <v>2047</v>
      </c>
      <c r="K1069" t="s">
        <v>2048</v>
      </c>
    </row>
    <row r="1070" spans="1:11" hidden="1">
      <c r="A1070" t="str">
        <f t="shared" si="32"/>
        <v>N</v>
      </c>
      <c r="B1070" t="str">
        <f t="shared" si="33"/>
        <v>N5</v>
      </c>
      <c r="C1070" s="568" t="s">
        <v>2476</v>
      </c>
      <c r="D1070" s="568" t="s">
        <v>2063</v>
      </c>
      <c r="E1070" s="569">
        <v>15</v>
      </c>
      <c r="F1070" t="s">
        <v>1609</v>
      </c>
      <c r="G1070" t="s">
        <v>1191</v>
      </c>
      <c r="H1070">
        <v>1</v>
      </c>
      <c r="I1070" t="s">
        <v>2046</v>
      </c>
      <c r="J1070" t="s">
        <v>2047</v>
      </c>
      <c r="K1070" t="s">
        <v>2048</v>
      </c>
    </row>
    <row r="1071" spans="1:11" hidden="1">
      <c r="A1071" t="str">
        <f t="shared" si="32"/>
        <v>N</v>
      </c>
      <c r="B1071" t="str">
        <f t="shared" si="33"/>
        <v>N5</v>
      </c>
      <c r="C1071" s="568" t="s">
        <v>2477</v>
      </c>
      <c r="D1071" s="568" t="s">
        <v>2057</v>
      </c>
      <c r="E1071" s="569">
        <v>15</v>
      </c>
      <c r="F1071" t="s">
        <v>1609</v>
      </c>
      <c r="G1071" t="s">
        <v>1191</v>
      </c>
      <c r="H1071">
        <v>1</v>
      </c>
      <c r="I1071" t="s">
        <v>2046</v>
      </c>
      <c r="J1071" t="s">
        <v>2047</v>
      </c>
      <c r="K1071" t="s">
        <v>2048</v>
      </c>
    </row>
    <row r="1072" spans="1:11" hidden="1">
      <c r="A1072" t="str">
        <f t="shared" si="32"/>
        <v>N</v>
      </c>
      <c r="B1072" t="str">
        <f t="shared" si="33"/>
        <v>N5</v>
      </c>
      <c r="C1072" s="568" t="s">
        <v>2478</v>
      </c>
      <c r="D1072" s="568" t="s">
        <v>2057</v>
      </c>
      <c r="E1072" s="569">
        <v>15</v>
      </c>
      <c r="F1072" t="s">
        <v>1609</v>
      </c>
      <c r="G1072" t="s">
        <v>1191</v>
      </c>
      <c r="H1072">
        <v>1</v>
      </c>
      <c r="I1072" t="s">
        <v>2046</v>
      </c>
      <c r="J1072" t="s">
        <v>2047</v>
      </c>
      <c r="K1072" t="s">
        <v>2048</v>
      </c>
    </row>
    <row r="1073" spans="1:11" hidden="1">
      <c r="A1073" t="str">
        <f t="shared" si="32"/>
        <v>N</v>
      </c>
      <c r="B1073" t="str">
        <f t="shared" si="33"/>
        <v>N6</v>
      </c>
      <c r="C1073" s="568" t="s">
        <v>2479</v>
      </c>
      <c r="D1073" s="568" t="s">
        <v>2057</v>
      </c>
      <c r="E1073" s="569">
        <v>15</v>
      </c>
      <c r="F1073" t="s">
        <v>1609</v>
      </c>
      <c r="G1073" t="s">
        <v>1191</v>
      </c>
      <c r="H1073">
        <v>1</v>
      </c>
      <c r="I1073" t="s">
        <v>2046</v>
      </c>
      <c r="J1073" t="s">
        <v>2047</v>
      </c>
      <c r="K1073" t="s">
        <v>2048</v>
      </c>
    </row>
    <row r="1074" spans="1:11" hidden="1">
      <c r="A1074" t="str">
        <f t="shared" si="32"/>
        <v>N</v>
      </c>
      <c r="B1074" t="str">
        <f t="shared" si="33"/>
        <v>N6</v>
      </c>
      <c r="C1074" s="568" t="s">
        <v>2480</v>
      </c>
      <c r="D1074" s="568" t="s">
        <v>2063</v>
      </c>
      <c r="E1074" s="569">
        <v>15</v>
      </c>
      <c r="F1074" t="s">
        <v>1609</v>
      </c>
      <c r="G1074" t="s">
        <v>1191</v>
      </c>
      <c r="H1074">
        <v>1</v>
      </c>
      <c r="I1074" t="s">
        <v>2046</v>
      </c>
      <c r="J1074" t="s">
        <v>2047</v>
      </c>
      <c r="K1074" t="s">
        <v>2048</v>
      </c>
    </row>
    <row r="1075" spans="1:11" hidden="1">
      <c r="A1075" t="str">
        <f t="shared" si="32"/>
        <v>N</v>
      </c>
      <c r="B1075" t="str">
        <f t="shared" si="33"/>
        <v>N6</v>
      </c>
      <c r="C1075" s="568" t="s">
        <v>2481</v>
      </c>
      <c r="D1075" s="568" t="s">
        <v>2057</v>
      </c>
      <c r="E1075" s="569">
        <v>15</v>
      </c>
      <c r="F1075" t="s">
        <v>1609</v>
      </c>
      <c r="G1075" t="s">
        <v>1191</v>
      </c>
      <c r="H1075">
        <v>1</v>
      </c>
      <c r="I1075" t="s">
        <v>2046</v>
      </c>
      <c r="J1075" t="s">
        <v>2047</v>
      </c>
      <c r="K1075" t="s">
        <v>2048</v>
      </c>
    </row>
    <row r="1076" spans="1:11" hidden="1">
      <c r="A1076" t="str">
        <f t="shared" si="32"/>
        <v>N</v>
      </c>
      <c r="B1076" t="str">
        <f t="shared" si="33"/>
        <v>N6</v>
      </c>
      <c r="C1076" s="568" t="s">
        <v>2482</v>
      </c>
      <c r="D1076" s="568" t="s">
        <v>2057</v>
      </c>
      <c r="E1076" s="569">
        <v>15</v>
      </c>
      <c r="F1076" t="s">
        <v>1609</v>
      </c>
      <c r="G1076" t="s">
        <v>1191</v>
      </c>
      <c r="H1076">
        <v>1</v>
      </c>
      <c r="I1076" t="s">
        <v>2046</v>
      </c>
      <c r="J1076" t="s">
        <v>2047</v>
      </c>
      <c r="K1076" t="s">
        <v>2048</v>
      </c>
    </row>
    <row r="1077" spans="1:11" hidden="1">
      <c r="A1077" t="str">
        <f t="shared" si="32"/>
        <v>N</v>
      </c>
      <c r="B1077" t="str">
        <f t="shared" si="33"/>
        <v>N6</v>
      </c>
      <c r="C1077" s="568" t="s">
        <v>2483</v>
      </c>
      <c r="D1077" s="568" t="s">
        <v>2063</v>
      </c>
      <c r="E1077" s="569">
        <v>15</v>
      </c>
      <c r="F1077" t="s">
        <v>1609</v>
      </c>
      <c r="G1077" t="s">
        <v>1191</v>
      </c>
      <c r="H1077">
        <v>1</v>
      </c>
      <c r="I1077" t="s">
        <v>2046</v>
      </c>
      <c r="J1077" t="s">
        <v>2047</v>
      </c>
      <c r="K1077" t="s">
        <v>2048</v>
      </c>
    </row>
    <row r="1078" spans="1:11" hidden="1">
      <c r="A1078" t="str">
        <f t="shared" si="32"/>
        <v>N</v>
      </c>
      <c r="B1078" t="str">
        <f t="shared" si="33"/>
        <v>N6</v>
      </c>
      <c r="C1078" s="568" t="s">
        <v>2484</v>
      </c>
      <c r="D1078" s="568" t="s">
        <v>2063</v>
      </c>
      <c r="E1078" s="569">
        <v>15</v>
      </c>
      <c r="F1078" t="s">
        <v>1609</v>
      </c>
      <c r="G1078" t="s">
        <v>1191</v>
      </c>
      <c r="H1078">
        <v>1</v>
      </c>
      <c r="I1078" t="s">
        <v>2046</v>
      </c>
      <c r="J1078" t="s">
        <v>2047</v>
      </c>
      <c r="K1078" t="s">
        <v>2048</v>
      </c>
    </row>
    <row r="1079" spans="1:11" hidden="1">
      <c r="A1079" t="str">
        <f t="shared" si="32"/>
        <v>N</v>
      </c>
      <c r="B1079" t="str">
        <f t="shared" si="33"/>
        <v>N6</v>
      </c>
      <c r="C1079" s="568" t="s">
        <v>2485</v>
      </c>
      <c r="D1079" s="568" t="s">
        <v>2057</v>
      </c>
      <c r="E1079" s="569">
        <v>15</v>
      </c>
      <c r="F1079" t="s">
        <v>1609</v>
      </c>
      <c r="G1079" t="s">
        <v>1191</v>
      </c>
      <c r="H1079">
        <v>1</v>
      </c>
      <c r="I1079" t="s">
        <v>2046</v>
      </c>
      <c r="J1079" t="s">
        <v>2047</v>
      </c>
      <c r="K1079" t="s">
        <v>2048</v>
      </c>
    </row>
    <row r="1080" spans="1:11" hidden="1">
      <c r="A1080" t="str">
        <f t="shared" si="32"/>
        <v>N</v>
      </c>
      <c r="B1080" t="str">
        <f t="shared" si="33"/>
        <v>N6</v>
      </c>
      <c r="C1080" s="568" t="s">
        <v>2486</v>
      </c>
      <c r="D1080" s="568" t="s">
        <v>2063</v>
      </c>
      <c r="E1080" s="569">
        <v>15</v>
      </c>
      <c r="F1080" t="s">
        <v>1609</v>
      </c>
      <c r="G1080" t="s">
        <v>1191</v>
      </c>
      <c r="H1080">
        <v>1</v>
      </c>
      <c r="I1080" t="s">
        <v>2046</v>
      </c>
      <c r="J1080" t="s">
        <v>2047</v>
      </c>
      <c r="K1080" t="s">
        <v>2048</v>
      </c>
    </row>
    <row r="1081" spans="1:11" hidden="1">
      <c r="A1081" t="str">
        <f t="shared" si="32"/>
        <v>N</v>
      </c>
      <c r="B1081" t="str">
        <f t="shared" si="33"/>
        <v>N6</v>
      </c>
      <c r="C1081" s="568" t="s">
        <v>2487</v>
      </c>
      <c r="D1081" s="568" t="s">
        <v>2057</v>
      </c>
      <c r="E1081" s="569">
        <v>15</v>
      </c>
      <c r="F1081" t="s">
        <v>1609</v>
      </c>
      <c r="G1081" t="s">
        <v>1191</v>
      </c>
      <c r="H1081">
        <v>1</v>
      </c>
      <c r="I1081" t="s">
        <v>2046</v>
      </c>
      <c r="J1081" t="s">
        <v>2047</v>
      </c>
      <c r="K1081" t="s">
        <v>2048</v>
      </c>
    </row>
    <row r="1082" spans="1:11" hidden="1">
      <c r="A1082" t="str">
        <f t="shared" si="32"/>
        <v>N</v>
      </c>
      <c r="B1082" t="str">
        <f t="shared" si="33"/>
        <v>N6</v>
      </c>
      <c r="C1082" s="568" t="s">
        <v>2488</v>
      </c>
      <c r="D1082" s="568" t="s">
        <v>2057</v>
      </c>
      <c r="E1082" s="569">
        <v>15</v>
      </c>
      <c r="F1082" t="s">
        <v>1609</v>
      </c>
      <c r="G1082" t="s">
        <v>1191</v>
      </c>
      <c r="H1082">
        <v>1</v>
      </c>
      <c r="I1082" t="s">
        <v>2046</v>
      </c>
      <c r="J1082" t="s">
        <v>2047</v>
      </c>
      <c r="K1082" t="s">
        <v>2048</v>
      </c>
    </row>
    <row r="1083" spans="1:11" hidden="1">
      <c r="A1083" t="str">
        <f t="shared" si="32"/>
        <v>N</v>
      </c>
      <c r="B1083" t="str">
        <f t="shared" si="33"/>
        <v>N6</v>
      </c>
      <c r="C1083" s="568" t="s">
        <v>2489</v>
      </c>
      <c r="D1083" s="568" t="s">
        <v>2057</v>
      </c>
      <c r="E1083" s="569">
        <v>15</v>
      </c>
      <c r="F1083" t="s">
        <v>1609</v>
      </c>
      <c r="G1083" t="s">
        <v>1191</v>
      </c>
      <c r="H1083">
        <v>1</v>
      </c>
      <c r="I1083" t="s">
        <v>2046</v>
      </c>
      <c r="J1083" t="s">
        <v>2047</v>
      </c>
      <c r="K1083" t="s">
        <v>2048</v>
      </c>
    </row>
    <row r="1084" spans="1:11" hidden="1">
      <c r="A1084" t="str">
        <f t="shared" si="32"/>
        <v>N</v>
      </c>
      <c r="B1084" t="str">
        <f t="shared" si="33"/>
        <v>N6</v>
      </c>
      <c r="C1084" s="568" t="s">
        <v>2490</v>
      </c>
      <c r="D1084" s="568" t="s">
        <v>2057</v>
      </c>
      <c r="E1084" s="569">
        <v>15</v>
      </c>
      <c r="F1084" t="s">
        <v>1609</v>
      </c>
      <c r="G1084" t="s">
        <v>1191</v>
      </c>
      <c r="H1084">
        <v>1</v>
      </c>
      <c r="I1084" t="s">
        <v>2046</v>
      </c>
      <c r="J1084" t="s">
        <v>2047</v>
      </c>
      <c r="K1084" t="s">
        <v>2048</v>
      </c>
    </row>
    <row r="1085" spans="1:11" hidden="1">
      <c r="A1085" t="str">
        <f t="shared" si="32"/>
        <v>N</v>
      </c>
      <c r="B1085" t="str">
        <f t="shared" si="33"/>
        <v>N7</v>
      </c>
      <c r="C1085" s="568" t="s">
        <v>2491</v>
      </c>
      <c r="D1085" s="568" t="s">
        <v>2063</v>
      </c>
      <c r="E1085" s="569">
        <v>15</v>
      </c>
      <c r="F1085" t="s">
        <v>1609</v>
      </c>
      <c r="G1085" t="s">
        <v>1191</v>
      </c>
      <c r="H1085">
        <v>1</v>
      </c>
      <c r="I1085" t="s">
        <v>2046</v>
      </c>
      <c r="J1085" t="s">
        <v>2047</v>
      </c>
      <c r="K1085" t="s">
        <v>2048</v>
      </c>
    </row>
    <row r="1086" spans="1:11" hidden="1">
      <c r="A1086" t="str">
        <f t="shared" si="32"/>
        <v>N</v>
      </c>
      <c r="B1086" t="str">
        <f t="shared" si="33"/>
        <v>N7</v>
      </c>
      <c r="C1086" s="568" t="s">
        <v>2492</v>
      </c>
      <c r="D1086" s="568" t="s">
        <v>2063</v>
      </c>
      <c r="E1086" s="569">
        <v>15</v>
      </c>
      <c r="F1086" t="s">
        <v>1609</v>
      </c>
      <c r="G1086" t="s">
        <v>1191</v>
      </c>
      <c r="H1086">
        <v>1</v>
      </c>
      <c r="I1086" t="s">
        <v>2046</v>
      </c>
      <c r="J1086" t="s">
        <v>2047</v>
      </c>
      <c r="K1086" t="s">
        <v>2048</v>
      </c>
    </row>
    <row r="1087" spans="1:11" hidden="1">
      <c r="A1087" t="str">
        <f t="shared" si="32"/>
        <v>N</v>
      </c>
      <c r="B1087" t="str">
        <f t="shared" si="33"/>
        <v>N7</v>
      </c>
      <c r="C1087" s="568" t="s">
        <v>2493</v>
      </c>
      <c r="D1087" s="568" t="s">
        <v>2063</v>
      </c>
      <c r="E1087" s="569">
        <v>15</v>
      </c>
      <c r="F1087" t="s">
        <v>1609</v>
      </c>
      <c r="G1087" t="s">
        <v>1191</v>
      </c>
      <c r="H1087">
        <v>1</v>
      </c>
      <c r="I1087" t="s">
        <v>2046</v>
      </c>
      <c r="J1087" t="s">
        <v>2047</v>
      </c>
      <c r="K1087" t="s">
        <v>2048</v>
      </c>
    </row>
    <row r="1088" spans="1:11" hidden="1">
      <c r="A1088" t="str">
        <f t="shared" si="32"/>
        <v>N</v>
      </c>
      <c r="B1088" t="str">
        <f t="shared" si="33"/>
        <v>N7</v>
      </c>
      <c r="C1088" s="568" t="s">
        <v>2494</v>
      </c>
      <c r="D1088" s="568" t="s">
        <v>2063</v>
      </c>
      <c r="E1088" s="569">
        <v>15</v>
      </c>
      <c r="F1088" t="s">
        <v>1609</v>
      </c>
      <c r="G1088" t="s">
        <v>1191</v>
      </c>
      <c r="H1088">
        <v>1</v>
      </c>
      <c r="I1088" t="s">
        <v>2046</v>
      </c>
      <c r="J1088" t="s">
        <v>2047</v>
      </c>
      <c r="K1088" t="s">
        <v>2048</v>
      </c>
    </row>
    <row r="1089" spans="1:11" hidden="1">
      <c r="A1089" t="str">
        <f t="shared" si="32"/>
        <v>N</v>
      </c>
      <c r="B1089" t="str">
        <f t="shared" si="33"/>
        <v>N7</v>
      </c>
      <c r="C1089" s="568" t="s">
        <v>2495</v>
      </c>
      <c r="D1089" s="568" t="s">
        <v>2063</v>
      </c>
      <c r="E1089" s="569">
        <v>15</v>
      </c>
      <c r="F1089" t="s">
        <v>1609</v>
      </c>
      <c r="G1089" t="s">
        <v>1191</v>
      </c>
      <c r="H1089">
        <v>1</v>
      </c>
      <c r="I1089" t="s">
        <v>2046</v>
      </c>
      <c r="J1089" t="s">
        <v>2047</v>
      </c>
      <c r="K1089" t="s">
        <v>2048</v>
      </c>
    </row>
    <row r="1090" spans="1:11" hidden="1">
      <c r="A1090" t="str">
        <f t="shared" si="32"/>
        <v>N</v>
      </c>
      <c r="B1090" t="str">
        <f t="shared" si="33"/>
        <v>N7</v>
      </c>
      <c r="C1090" s="568" t="s">
        <v>2496</v>
      </c>
      <c r="D1090" s="568" t="s">
        <v>2063</v>
      </c>
      <c r="E1090" s="569">
        <v>15</v>
      </c>
      <c r="F1090" t="s">
        <v>1609</v>
      </c>
      <c r="G1090" t="s">
        <v>1191</v>
      </c>
      <c r="H1090">
        <v>1</v>
      </c>
      <c r="I1090" t="s">
        <v>2046</v>
      </c>
      <c r="J1090" t="s">
        <v>2047</v>
      </c>
      <c r="K1090" t="s">
        <v>2048</v>
      </c>
    </row>
    <row r="1091" spans="1:11" hidden="1">
      <c r="A1091" t="str">
        <f t="shared" ref="A1091:A1154" si="34">LEFT(C1091)</f>
        <v>N</v>
      </c>
      <c r="B1091" t="str">
        <f t="shared" si="33"/>
        <v>N7</v>
      </c>
      <c r="C1091" s="568" t="s">
        <v>2497</v>
      </c>
      <c r="D1091" s="568" t="s">
        <v>2063</v>
      </c>
      <c r="E1091" s="569">
        <v>15</v>
      </c>
      <c r="F1091" t="s">
        <v>1609</v>
      </c>
      <c r="G1091" t="s">
        <v>1191</v>
      </c>
      <c r="H1091">
        <v>1</v>
      </c>
      <c r="I1091" t="s">
        <v>2046</v>
      </c>
      <c r="J1091" t="s">
        <v>2047</v>
      </c>
      <c r="K1091" t="s">
        <v>2048</v>
      </c>
    </row>
    <row r="1092" spans="1:11" hidden="1">
      <c r="A1092" t="str">
        <f t="shared" si="34"/>
        <v>N</v>
      </c>
      <c r="B1092" t="str">
        <f t="shared" ref="B1092:B1155" si="35">LEFT(C1092,2)</f>
        <v>N7</v>
      </c>
      <c r="C1092" s="568" t="s">
        <v>2498</v>
      </c>
      <c r="D1092" s="568" t="s">
        <v>2063</v>
      </c>
      <c r="E1092" s="569">
        <v>15</v>
      </c>
      <c r="F1092" t="s">
        <v>1609</v>
      </c>
      <c r="G1092" t="s">
        <v>1191</v>
      </c>
      <c r="H1092">
        <v>1</v>
      </c>
      <c r="I1092" t="s">
        <v>2046</v>
      </c>
      <c r="J1092" t="s">
        <v>2047</v>
      </c>
      <c r="K1092" t="s">
        <v>2048</v>
      </c>
    </row>
    <row r="1093" spans="1:11" hidden="1">
      <c r="A1093" t="str">
        <f t="shared" si="34"/>
        <v>N</v>
      </c>
      <c r="B1093" t="str">
        <f t="shared" si="35"/>
        <v>N7</v>
      </c>
      <c r="C1093" s="568" t="s">
        <v>2499</v>
      </c>
      <c r="D1093" s="568" t="s">
        <v>2063</v>
      </c>
      <c r="E1093" s="569">
        <v>15</v>
      </c>
      <c r="F1093" t="s">
        <v>1609</v>
      </c>
      <c r="G1093" t="s">
        <v>1191</v>
      </c>
      <c r="H1093">
        <v>1</v>
      </c>
      <c r="I1093" t="s">
        <v>2046</v>
      </c>
      <c r="J1093" t="s">
        <v>2047</v>
      </c>
      <c r="K1093" t="s">
        <v>2048</v>
      </c>
    </row>
    <row r="1094" spans="1:11" hidden="1">
      <c r="A1094" t="str">
        <f t="shared" si="34"/>
        <v>N</v>
      </c>
      <c r="B1094" t="str">
        <f t="shared" si="35"/>
        <v>N8</v>
      </c>
      <c r="C1094" s="568" t="s">
        <v>2500</v>
      </c>
      <c r="D1094" s="568" t="s">
        <v>2063</v>
      </c>
      <c r="E1094" s="569">
        <v>15</v>
      </c>
      <c r="F1094" t="s">
        <v>1609</v>
      </c>
      <c r="G1094" t="s">
        <v>1191</v>
      </c>
      <c r="H1094">
        <v>1</v>
      </c>
      <c r="I1094" t="s">
        <v>2046</v>
      </c>
      <c r="J1094" t="s">
        <v>2047</v>
      </c>
      <c r="K1094" t="s">
        <v>2048</v>
      </c>
    </row>
    <row r="1095" spans="1:11" hidden="1">
      <c r="A1095" t="str">
        <f t="shared" si="34"/>
        <v>N</v>
      </c>
      <c r="B1095" t="str">
        <f t="shared" si="35"/>
        <v>N8</v>
      </c>
      <c r="C1095" s="568" t="s">
        <v>2501</v>
      </c>
      <c r="D1095" s="568" t="s">
        <v>2057</v>
      </c>
      <c r="E1095" s="569">
        <v>15</v>
      </c>
      <c r="F1095" t="s">
        <v>1609</v>
      </c>
      <c r="G1095" t="s">
        <v>1191</v>
      </c>
      <c r="H1095">
        <v>1</v>
      </c>
      <c r="I1095" t="s">
        <v>2046</v>
      </c>
      <c r="J1095" t="s">
        <v>2047</v>
      </c>
      <c r="K1095" t="s">
        <v>2048</v>
      </c>
    </row>
    <row r="1096" spans="1:11" hidden="1">
      <c r="A1096" t="str">
        <f t="shared" si="34"/>
        <v>N</v>
      </c>
      <c r="B1096" t="str">
        <f t="shared" si="35"/>
        <v>N8</v>
      </c>
      <c r="C1096" s="568" t="s">
        <v>2502</v>
      </c>
      <c r="D1096" s="568" t="s">
        <v>2063</v>
      </c>
      <c r="E1096" s="569">
        <v>15</v>
      </c>
      <c r="F1096" t="s">
        <v>1609</v>
      </c>
      <c r="G1096" t="s">
        <v>1191</v>
      </c>
      <c r="H1096">
        <v>1</v>
      </c>
      <c r="I1096" t="s">
        <v>2046</v>
      </c>
      <c r="J1096" t="s">
        <v>2047</v>
      </c>
      <c r="K1096" t="s">
        <v>2048</v>
      </c>
    </row>
    <row r="1097" spans="1:11" hidden="1">
      <c r="A1097" t="str">
        <f t="shared" si="34"/>
        <v>N</v>
      </c>
      <c r="B1097" t="str">
        <f t="shared" si="35"/>
        <v>N8</v>
      </c>
      <c r="C1097" s="568" t="s">
        <v>2503</v>
      </c>
      <c r="D1097" s="568" t="s">
        <v>2063</v>
      </c>
      <c r="E1097" s="569">
        <v>15</v>
      </c>
      <c r="F1097" t="s">
        <v>1609</v>
      </c>
      <c r="G1097" t="s">
        <v>1191</v>
      </c>
      <c r="H1097">
        <v>1</v>
      </c>
      <c r="I1097" t="s">
        <v>2046</v>
      </c>
      <c r="J1097" t="s">
        <v>2047</v>
      </c>
      <c r="K1097" t="s">
        <v>2048</v>
      </c>
    </row>
    <row r="1098" spans="1:11" hidden="1">
      <c r="A1098" t="str">
        <f t="shared" si="34"/>
        <v>N</v>
      </c>
      <c r="B1098" t="str">
        <f t="shared" si="35"/>
        <v>N8</v>
      </c>
      <c r="C1098" s="568" t="s">
        <v>2504</v>
      </c>
      <c r="D1098" s="568" t="s">
        <v>2063</v>
      </c>
      <c r="E1098" s="569">
        <v>15</v>
      </c>
      <c r="F1098" t="s">
        <v>1609</v>
      </c>
      <c r="G1098" t="s">
        <v>1191</v>
      </c>
      <c r="H1098">
        <v>1</v>
      </c>
      <c r="I1098" t="s">
        <v>2046</v>
      </c>
      <c r="J1098" t="s">
        <v>2047</v>
      </c>
      <c r="K1098" t="s">
        <v>2048</v>
      </c>
    </row>
    <row r="1099" spans="1:11" hidden="1">
      <c r="A1099" t="str">
        <f t="shared" si="34"/>
        <v>N</v>
      </c>
      <c r="B1099" t="str">
        <f t="shared" si="35"/>
        <v>N8</v>
      </c>
      <c r="C1099" s="568" t="s">
        <v>2505</v>
      </c>
      <c r="D1099" s="568" t="s">
        <v>2063</v>
      </c>
      <c r="E1099" s="569">
        <v>15</v>
      </c>
      <c r="F1099" t="s">
        <v>1609</v>
      </c>
      <c r="G1099" t="s">
        <v>1191</v>
      </c>
      <c r="H1099">
        <v>1</v>
      </c>
      <c r="I1099" t="s">
        <v>2046</v>
      </c>
      <c r="J1099" t="s">
        <v>2047</v>
      </c>
      <c r="K1099" t="s">
        <v>2048</v>
      </c>
    </row>
    <row r="1100" spans="1:11" hidden="1">
      <c r="A1100" t="str">
        <f t="shared" si="34"/>
        <v>N</v>
      </c>
      <c r="B1100" t="str">
        <f t="shared" si="35"/>
        <v>N8</v>
      </c>
      <c r="C1100" s="568" t="s">
        <v>2506</v>
      </c>
      <c r="D1100" s="568" t="s">
        <v>2063</v>
      </c>
      <c r="E1100" s="569">
        <v>15</v>
      </c>
      <c r="F1100" t="s">
        <v>1609</v>
      </c>
      <c r="G1100" t="s">
        <v>1191</v>
      </c>
      <c r="H1100">
        <v>1</v>
      </c>
      <c r="I1100" t="s">
        <v>2046</v>
      </c>
      <c r="J1100" t="s">
        <v>2047</v>
      </c>
      <c r="K1100" t="s">
        <v>2048</v>
      </c>
    </row>
    <row r="1101" spans="1:11" hidden="1">
      <c r="A1101" t="str">
        <f t="shared" si="34"/>
        <v>N</v>
      </c>
      <c r="B1101" t="str">
        <f t="shared" si="35"/>
        <v>N8</v>
      </c>
      <c r="C1101" s="568" t="s">
        <v>2507</v>
      </c>
      <c r="D1101" s="568" t="s">
        <v>2063</v>
      </c>
      <c r="E1101" s="569">
        <v>15</v>
      </c>
      <c r="F1101" t="s">
        <v>1609</v>
      </c>
      <c r="G1101" t="s">
        <v>1191</v>
      </c>
      <c r="H1101">
        <v>1</v>
      </c>
      <c r="I1101" t="s">
        <v>2046</v>
      </c>
      <c r="J1101" t="s">
        <v>2047</v>
      </c>
      <c r="K1101" t="s">
        <v>2048</v>
      </c>
    </row>
    <row r="1102" spans="1:11" hidden="1">
      <c r="A1102" t="str">
        <f t="shared" si="34"/>
        <v>N</v>
      </c>
      <c r="B1102" t="str">
        <f t="shared" si="35"/>
        <v>N8</v>
      </c>
      <c r="C1102" s="568" t="s">
        <v>2508</v>
      </c>
      <c r="D1102" s="568" t="s">
        <v>2063</v>
      </c>
      <c r="E1102" s="569">
        <v>15</v>
      </c>
      <c r="F1102" t="s">
        <v>1609</v>
      </c>
      <c r="G1102" t="s">
        <v>1191</v>
      </c>
      <c r="H1102">
        <v>1</v>
      </c>
      <c r="I1102" t="s">
        <v>2046</v>
      </c>
      <c r="J1102" t="s">
        <v>2047</v>
      </c>
      <c r="K1102" t="s">
        <v>2048</v>
      </c>
    </row>
    <row r="1103" spans="1:11" hidden="1">
      <c r="A1103" t="str">
        <f t="shared" si="34"/>
        <v>N</v>
      </c>
      <c r="B1103" t="str">
        <f t="shared" si="35"/>
        <v>N8</v>
      </c>
      <c r="C1103" s="568" t="s">
        <v>2509</v>
      </c>
      <c r="D1103" s="568" t="s">
        <v>2063</v>
      </c>
      <c r="E1103" s="569">
        <v>15</v>
      </c>
      <c r="F1103" t="s">
        <v>1609</v>
      </c>
      <c r="G1103" t="s">
        <v>1191</v>
      </c>
      <c r="H1103">
        <v>1</v>
      </c>
      <c r="I1103" t="s">
        <v>2046</v>
      </c>
      <c r="J1103" t="s">
        <v>2047</v>
      </c>
      <c r="K1103" t="s">
        <v>2048</v>
      </c>
    </row>
    <row r="1104" spans="1:11" hidden="1">
      <c r="A1104" t="str">
        <f t="shared" si="34"/>
        <v>N</v>
      </c>
      <c r="B1104" t="str">
        <f t="shared" si="35"/>
        <v>N8</v>
      </c>
      <c r="C1104" s="568" t="s">
        <v>2510</v>
      </c>
      <c r="D1104" s="568" t="s">
        <v>2063</v>
      </c>
      <c r="E1104" s="569">
        <v>15</v>
      </c>
      <c r="F1104" t="s">
        <v>1609</v>
      </c>
      <c r="G1104" t="s">
        <v>1191</v>
      </c>
      <c r="H1104">
        <v>1</v>
      </c>
      <c r="I1104" t="s">
        <v>2046</v>
      </c>
      <c r="J1104" t="s">
        <v>2047</v>
      </c>
      <c r="K1104" t="s">
        <v>2048</v>
      </c>
    </row>
    <row r="1105" spans="1:11" hidden="1">
      <c r="A1105" t="str">
        <f t="shared" si="34"/>
        <v>N</v>
      </c>
      <c r="B1105" t="str">
        <f t="shared" si="35"/>
        <v>N8</v>
      </c>
      <c r="C1105" s="568" t="s">
        <v>2511</v>
      </c>
      <c r="D1105" s="568" t="s">
        <v>2063</v>
      </c>
      <c r="E1105" s="569">
        <v>15</v>
      </c>
      <c r="F1105" t="s">
        <v>1609</v>
      </c>
      <c r="G1105" t="s">
        <v>1191</v>
      </c>
      <c r="H1105">
        <v>1</v>
      </c>
      <c r="I1105" t="s">
        <v>2046</v>
      </c>
      <c r="J1105" t="s">
        <v>2047</v>
      </c>
      <c r="K1105" t="s">
        <v>2048</v>
      </c>
    </row>
    <row r="1106" spans="1:11" hidden="1">
      <c r="A1106" t="str">
        <f t="shared" si="34"/>
        <v>N</v>
      </c>
      <c r="B1106" t="str">
        <f t="shared" si="35"/>
        <v>N9</v>
      </c>
      <c r="C1106" s="568" t="s">
        <v>2512</v>
      </c>
      <c r="D1106" s="568" t="s">
        <v>2063</v>
      </c>
      <c r="E1106" s="569">
        <v>15</v>
      </c>
      <c r="F1106" t="s">
        <v>1609</v>
      </c>
      <c r="G1106" t="s">
        <v>1191</v>
      </c>
      <c r="H1106">
        <v>1</v>
      </c>
      <c r="I1106" t="s">
        <v>2046</v>
      </c>
      <c r="J1106" t="s">
        <v>2047</v>
      </c>
      <c r="K1106" t="s">
        <v>2048</v>
      </c>
    </row>
    <row r="1107" spans="1:11" hidden="1">
      <c r="A1107" t="str">
        <f t="shared" si="34"/>
        <v>N</v>
      </c>
      <c r="B1107" t="str">
        <f t="shared" si="35"/>
        <v>N9</v>
      </c>
      <c r="C1107" s="568" t="s">
        <v>2513</v>
      </c>
      <c r="D1107" s="568" t="s">
        <v>2063</v>
      </c>
      <c r="E1107" s="569">
        <v>15</v>
      </c>
      <c r="F1107" t="s">
        <v>1609</v>
      </c>
      <c r="G1107" t="s">
        <v>1191</v>
      </c>
      <c r="H1107">
        <v>1</v>
      </c>
      <c r="I1107" t="s">
        <v>2046</v>
      </c>
      <c r="J1107" t="s">
        <v>2047</v>
      </c>
      <c r="K1107" t="s">
        <v>2048</v>
      </c>
    </row>
    <row r="1108" spans="1:11" hidden="1">
      <c r="A1108" t="str">
        <f t="shared" si="34"/>
        <v>N</v>
      </c>
      <c r="B1108" t="str">
        <f t="shared" si="35"/>
        <v>N9</v>
      </c>
      <c r="C1108" s="568" t="s">
        <v>2514</v>
      </c>
      <c r="D1108" s="568" t="s">
        <v>2063</v>
      </c>
      <c r="E1108" s="569">
        <v>15</v>
      </c>
      <c r="F1108" t="s">
        <v>1609</v>
      </c>
      <c r="G1108" t="s">
        <v>1191</v>
      </c>
      <c r="H1108">
        <v>1</v>
      </c>
      <c r="I1108" t="s">
        <v>2046</v>
      </c>
      <c r="J1108" t="s">
        <v>2047</v>
      </c>
      <c r="K1108" t="s">
        <v>2048</v>
      </c>
    </row>
    <row r="1109" spans="1:11" hidden="1">
      <c r="A1109" t="str">
        <f t="shared" si="34"/>
        <v>N</v>
      </c>
      <c r="B1109" t="str">
        <f t="shared" si="35"/>
        <v>N9</v>
      </c>
      <c r="C1109" s="568" t="s">
        <v>2515</v>
      </c>
      <c r="D1109" s="568" t="s">
        <v>2063</v>
      </c>
      <c r="E1109" s="569">
        <v>15</v>
      </c>
      <c r="F1109" t="s">
        <v>1609</v>
      </c>
      <c r="G1109" t="s">
        <v>1191</v>
      </c>
      <c r="H1109">
        <v>1</v>
      </c>
      <c r="I1109" t="s">
        <v>2046</v>
      </c>
      <c r="J1109" t="s">
        <v>2047</v>
      </c>
      <c r="K1109" t="s">
        <v>2048</v>
      </c>
    </row>
    <row r="1110" spans="1:11" hidden="1">
      <c r="A1110" t="str">
        <f t="shared" si="34"/>
        <v>N</v>
      </c>
      <c r="B1110" t="str">
        <f t="shared" si="35"/>
        <v>N9</v>
      </c>
      <c r="C1110" s="568" t="s">
        <v>2516</v>
      </c>
      <c r="D1110" s="568" t="s">
        <v>2063</v>
      </c>
      <c r="E1110" s="569">
        <v>15</v>
      </c>
      <c r="F1110" t="s">
        <v>1609</v>
      </c>
      <c r="G1110" t="s">
        <v>1191</v>
      </c>
      <c r="H1110">
        <v>1</v>
      </c>
      <c r="I1110" t="s">
        <v>2046</v>
      </c>
      <c r="J1110" t="s">
        <v>2047</v>
      </c>
      <c r="K1110" t="s">
        <v>2048</v>
      </c>
    </row>
    <row r="1111" spans="1:11" hidden="1">
      <c r="A1111" t="str">
        <f t="shared" si="34"/>
        <v>N</v>
      </c>
      <c r="B1111" t="str">
        <f t="shared" si="35"/>
        <v>N9</v>
      </c>
      <c r="C1111" s="568" t="s">
        <v>2517</v>
      </c>
      <c r="D1111" s="568" t="s">
        <v>2063</v>
      </c>
      <c r="E1111" s="569">
        <v>15</v>
      </c>
      <c r="F1111" s="577" t="s">
        <v>1609</v>
      </c>
      <c r="G1111" t="s">
        <v>1191</v>
      </c>
      <c r="H1111">
        <v>1</v>
      </c>
      <c r="I1111" t="s">
        <v>2046</v>
      </c>
      <c r="J1111" t="s">
        <v>2047</v>
      </c>
      <c r="K1111" t="s">
        <v>2048</v>
      </c>
    </row>
    <row r="1112" spans="1:11" hidden="1">
      <c r="A1112" t="str">
        <f t="shared" si="34"/>
        <v>N</v>
      </c>
      <c r="B1112" t="str">
        <f t="shared" si="35"/>
        <v>N9</v>
      </c>
      <c r="C1112" s="568" t="s">
        <v>2518</v>
      </c>
      <c r="D1112" s="568" t="s">
        <v>2063</v>
      </c>
      <c r="E1112" s="569">
        <v>15</v>
      </c>
      <c r="F1112" t="s">
        <v>1609</v>
      </c>
      <c r="G1112" t="s">
        <v>1191</v>
      </c>
      <c r="H1112">
        <v>1</v>
      </c>
      <c r="I1112" t="s">
        <v>2046</v>
      </c>
      <c r="J1112" t="s">
        <v>2047</v>
      </c>
      <c r="K1112" t="s">
        <v>2048</v>
      </c>
    </row>
    <row r="1113" spans="1:11" hidden="1">
      <c r="A1113" t="str">
        <f t="shared" si="34"/>
        <v>N</v>
      </c>
      <c r="B1113" t="str">
        <f t="shared" si="35"/>
        <v>N9</v>
      </c>
      <c r="C1113" s="568" t="s">
        <v>2519</v>
      </c>
      <c r="D1113" s="568" t="s">
        <v>2063</v>
      </c>
      <c r="E1113" s="569">
        <v>15</v>
      </c>
      <c r="F1113" t="s">
        <v>1609</v>
      </c>
      <c r="G1113" t="s">
        <v>1191</v>
      </c>
      <c r="H1113">
        <v>1</v>
      </c>
      <c r="I1113" t="s">
        <v>2046</v>
      </c>
      <c r="J1113" t="s">
        <v>2047</v>
      </c>
      <c r="K1113" t="s">
        <v>2048</v>
      </c>
    </row>
    <row r="1114" spans="1:11" hidden="1">
      <c r="A1114" t="str">
        <f t="shared" si="34"/>
        <v>N</v>
      </c>
      <c r="B1114" t="str">
        <f t="shared" si="35"/>
        <v>N9</v>
      </c>
      <c r="C1114" s="568" t="s">
        <v>2520</v>
      </c>
      <c r="D1114" s="568" t="s">
        <v>2063</v>
      </c>
      <c r="E1114" s="569">
        <v>15</v>
      </c>
      <c r="F1114" t="s">
        <v>1609</v>
      </c>
      <c r="G1114" t="s">
        <v>1191</v>
      </c>
      <c r="H1114">
        <v>1</v>
      </c>
      <c r="I1114" t="s">
        <v>2046</v>
      </c>
      <c r="J1114" t="s">
        <v>2047</v>
      </c>
      <c r="K1114" t="s">
        <v>2048</v>
      </c>
    </row>
    <row r="1115" spans="1:11" hidden="1">
      <c r="A1115" t="str">
        <f t="shared" si="34"/>
        <v>N</v>
      </c>
      <c r="B1115" t="str">
        <f t="shared" si="35"/>
        <v>N9</v>
      </c>
      <c r="C1115" s="568" t="s">
        <v>2521</v>
      </c>
      <c r="D1115" s="568" t="s">
        <v>2063</v>
      </c>
      <c r="E1115" s="569">
        <v>15</v>
      </c>
      <c r="F1115" t="s">
        <v>1609</v>
      </c>
      <c r="G1115" t="s">
        <v>1191</v>
      </c>
      <c r="H1115">
        <v>1</v>
      </c>
      <c r="I1115" t="s">
        <v>2046</v>
      </c>
      <c r="J1115" t="s">
        <v>2047</v>
      </c>
      <c r="K1115" t="s">
        <v>2048</v>
      </c>
    </row>
    <row r="1116" spans="1:11" hidden="1">
      <c r="A1116" t="str">
        <f t="shared" si="34"/>
        <v>P</v>
      </c>
      <c r="B1116" t="str">
        <f t="shared" si="35"/>
        <v>P0</v>
      </c>
      <c r="C1116" s="568" t="s">
        <v>2522</v>
      </c>
      <c r="D1116" s="568" t="s">
        <v>2122</v>
      </c>
      <c r="E1116" s="569">
        <v>15</v>
      </c>
      <c r="F1116" t="s">
        <v>1609</v>
      </c>
      <c r="G1116" t="s">
        <v>1191</v>
      </c>
      <c r="H1116">
        <v>2</v>
      </c>
      <c r="I1116" t="s">
        <v>2046</v>
      </c>
      <c r="J1116" t="s">
        <v>2047</v>
      </c>
      <c r="K1116" t="s">
        <v>2048</v>
      </c>
    </row>
    <row r="1117" spans="1:11" hidden="1">
      <c r="A1117" t="str">
        <f t="shared" si="34"/>
        <v>P</v>
      </c>
      <c r="B1117" t="str">
        <f t="shared" si="35"/>
        <v>P0</v>
      </c>
      <c r="C1117" s="568" t="s">
        <v>2523</v>
      </c>
      <c r="D1117" s="568" t="s">
        <v>2057</v>
      </c>
      <c r="E1117" s="569">
        <v>15</v>
      </c>
      <c r="F1117" t="s">
        <v>1609</v>
      </c>
      <c r="G1117" t="s">
        <v>1191</v>
      </c>
      <c r="H1117">
        <v>2</v>
      </c>
      <c r="I1117" t="s">
        <v>2046</v>
      </c>
      <c r="J1117" t="s">
        <v>2047</v>
      </c>
      <c r="K1117" t="s">
        <v>2048</v>
      </c>
    </row>
    <row r="1118" spans="1:11" hidden="1">
      <c r="A1118" t="str">
        <f t="shared" si="34"/>
        <v>P</v>
      </c>
      <c r="B1118" t="str">
        <f t="shared" si="35"/>
        <v>P0</v>
      </c>
      <c r="C1118" s="568" t="s">
        <v>2524</v>
      </c>
      <c r="D1118" s="568" t="s">
        <v>2063</v>
      </c>
      <c r="E1118" s="569">
        <v>15</v>
      </c>
      <c r="F1118" t="s">
        <v>1609</v>
      </c>
      <c r="G1118" t="s">
        <v>1191</v>
      </c>
      <c r="H1118">
        <v>2</v>
      </c>
      <c r="I1118" t="s">
        <v>2046</v>
      </c>
      <c r="J1118" t="s">
        <v>2047</v>
      </c>
      <c r="K1118" t="s">
        <v>2048</v>
      </c>
    </row>
    <row r="1119" spans="1:11" hidden="1">
      <c r="A1119" t="str">
        <f t="shared" si="34"/>
        <v>P</v>
      </c>
      <c r="B1119" t="str">
        <f t="shared" si="35"/>
        <v>P0</v>
      </c>
      <c r="C1119" s="568" t="s">
        <v>2525</v>
      </c>
      <c r="D1119" s="568" t="s">
        <v>2063</v>
      </c>
      <c r="E1119" s="569">
        <v>15</v>
      </c>
      <c r="F1119" t="s">
        <v>1609</v>
      </c>
      <c r="G1119" t="s">
        <v>1191</v>
      </c>
      <c r="H1119">
        <v>2</v>
      </c>
      <c r="I1119" t="s">
        <v>2046</v>
      </c>
      <c r="J1119" t="s">
        <v>2047</v>
      </c>
      <c r="K1119" t="s">
        <v>2048</v>
      </c>
    </row>
    <row r="1120" spans="1:11" hidden="1">
      <c r="A1120" t="str">
        <f t="shared" si="34"/>
        <v>P</v>
      </c>
      <c r="B1120" t="str">
        <f t="shared" si="35"/>
        <v>P0</v>
      </c>
      <c r="C1120" s="568" t="s">
        <v>2526</v>
      </c>
      <c r="D1120" s="568" t="s">
        <v>2057</v>
      </c>
      <c r="E1120" s="569">
        <v>15</v>
      </c>
      <c r="F1120" t="s">
        <v>1609</v>
      </c>
      <c r="G1120" t="s">
        <v>1191</v>
      </c>
      <c r="H1120">
        <v>2</v>
      </c>
      <c r="I1120" t="s">
        <v>2046</v>
      </c>
      <c r="J1120" t="s">
        <v>2047</v>
      </c>
      <c r="K1120" t="s">
        <v>2048</v>
      </c>
    </row>
    <row r="1121" spans="1:11" hidden="1">
      <c r="A1121" t="str">
        <f t="shared" si="34"/>
        <v>P</v>
      </c>
      <c r="B1121" t="str">
        <f t="shared" si="35"/>
        <v>P0</v>
      </c>
      <c r="C1121" s="568" t="s">
        <v>2527</v>
      </c>
      <c r="D1121" s="568" t="s">
        <v>2053</v>
      </c>
      <c r="E1121" s="569">
        <v>15</v>
      </c>
      <c r="F1121" t="s">
        <v>1609</v>
      </c>
      <c r="G1121" t="s">
        <v>1191</v>
      </c>
      <c r="H1121">
        <v>2</v>
      </c>
      <c r="I1121" t="s">
        <v>2046</v>
      </c>
      <c r="J1121" t="s">
        <v>2047</v>
      </c>
      <c r="K1121" t="s">
        <v>2048</v>
      </c>
    </row>
    <row r="1122" spans="1:11" hidden="1">
      <c r="A1122" t="str">
        <f t="shared" si="34"/>
        <v>P</v>
      </c>
      <c r="B1122" t="str">
        <f t="shared" si="35"/>
        <v>P0</v>
      </c>
      <c r="C1122" s="568" t="s">
        <v>2528</v>
      </c>
      <c r="D1122" s="568" t="s">
        <v>2055</v>
      </c>
      <c r="E1122" s="569">
        <v>15</v>
      </c>
      <c r="F1122" t="s">
        <v>1609</v>
      </c>
      <c r="G1122" t="s">
        <v>1191</v>
      </c>
      <c r="H1122">
        <v>2</v>
      </c>
      <c r="I1122" t="s">
        <v>2046</v>
      </c>
      <c r="J1122" t="s">
        <v>2047</v>
      </c>
      <c r="K1122" t="s">
        <v>2048</v>
      </c>
    </row>
    <row r="1123" spans="1:11" hidden="1">
      <c r="A1123" t="str">
        <f t="shared" si="34"/>
        <v>P</v>
      </c>
      <c r="B1123" t="str">
        <f t="shared" si="35"/>
        <v>P0</v>
      </c>
      <c r="C1123" s="568" t="s">
        <v>2529</v>
      </c>
      <c r="D1123" s="568" t="s">
        <v>2115</v>
      </c>
      <c r="E1123" s="569">
        <v>15</v>
      </c>
      <c r="F1123" t="s">
        <v>1609</v>
      </c>
      <c r="G1123" t="s">
        <v>1191</v>
      </c>
      <c r="H1123">
        <v>2</v>
      </c>
      <c r="I1123" t="s">
        <v>2046</v>
      </c>
      <c r="J1123" t="s">
        <v>2047</v>
      </c>
      <c r="K1123" t="s">
        <v>2048</v>
      </c>
    </row>
    <row r="1124" spans="1:11" hidden="1">
      <c r="A1124" t="str">
        <f t="shared" si="34"/>
        <v>P</v>
      </c>
      <c r="B1124" t="str">
        <f t="shared" si="35"/>
        <v>P0</v>
      </c>
      <c r="C1124" s="568" t="s">
        <v>2530</v>
      </c>
      <c r="D1124" s="568" t="s">
        <v>2119</v>
      </c>
      <c r="E1124" s="569">
        <v>15</v>
      </c>
      <c r="F1124" t="s">
        <v>1609</v>
      </c>
      <c r="G1124" t="s">
        <v>1191</v>
      </c>
      <c r="H1124">
        <v>2</v>
      </c>
      <c r="I1124" t="s">
        <v>2046</v>
      </c>
      <c r="J1124" t="s">
        <v>2047</v>
      </c>
      <c r="K1124" t="s">
        <v>2048</v>
      </c>
    </row>
    <row r="1125" spans="1:11" hidden="1">
      <c r="A1125" t="str">
        <f t="shared" si="34"/>
        <v>P</v>
      </c>
      <c r="B1125" t="str">
        <f t="shared" si="35"/>
        <v>P0</v>
      </c>
      <c r="C1125" s="568" t="s">
        <v>2531</v>
      </c>
      <c r="D1125" s="568" t="s">
        <v>2122</v>
      </c>
      <c r="E1125" s="569">
        <v>15</v>
      </c>
      <c r="F1125" t="s">
        <v>1609</v>
      </c>
      <c r="G1125" t="s">
        <v>1191</v>
      </c>
      <c r="H1125">
        <v>2</v>
      </c>
      <c r="I1125" t="s">
        <v>2046</v>
      </c>
      <c r="J1125" t="s">
        <v>2047</v>
      </c>
      <c r="K1125" t="s">
        <v>2048</v>
      </c>
    </row>
    <row r="1126" spans="1:11" hidden="1">
      <c r="A1126" t="str">
        <f t="shared" si="34"/>
        <v>P</v>
      </c>
      <c r="B1126" t="str">
        <f t="shared" si="35"/>
        <v>P0</v>
      </c>
      <c r="C1126" s="568" t="s">
        <v>2532</v>
      </c>
      <c r="D1126" s="568" t="s">
        <v>2115</v>
      </c>
      <c r="E1126" s="569">
        <v>15</v>
      </c>
      <c r="F1126" t="s">
        <v>1609</v>
      </c>
      <c r="G1126" t="s">
        <v>1191</v>
      </c>
      <c r="H1126">
        <v>2</v>
      </c>
      <c r="I1126" t="s">
        <v>2046</v>
      </c>
      <c r="J1126" t="s">
        <v>2047</v>
      </c>
      <c r="K1126" t="s">
        <v>2048</v>
      </c>
    </row>
    <row r="1127" spans="1:11" hidden="1">
      <c r="A1127" t="str">
        <f t="shared" si="34"/>
        <v>P</v>
      </c>
      <c r="B1127" t="str">
        <f t="shared" si="35"/>
        <v>P0</v>
      </c>
      <c r="C1127" s="568" t="s">
        <v>2533</v>
      </c>
      <c r="D1127" s="568" t="s">
        <v>2057</v>
      </c>
      <c r="E1127" s="569">
        <v>15</v>
      </c>
      <c r="F1127" t="s">
        <v>1609</v>
      </c>
      <c r="G1127" t="s">
        <v>1191</v>
      </c>
      <c r="H1127">
        <v>2</v>
      </c>
      <c r="I1127" t="s">
        <v>2046</v>
      </c>
      <c r="J1127" t="s">
        <v>2047</v>
      </c>
      <c r="K1127" t="s">
        <v>2048</v>
      </c>
    </row>
    <row r="1128" spans="1:11" hidden="1">
      <c r="A1128" t="str">
        <f t="shared" si="34"/>
        <v>P</v>
      </c>
      <c r="B1128" t="str">
        <f t="shared" si="35"/>
        <v>P0</v>
      </c>
      <c r="C1128" s="568" t="s">
        <v>2534</v>
      </c>
      <c r="D1128" s="568" t="s">
        <v>2063</v>
      </c>
      <c r="E1128" s="569">
        <v>15</v>
      </c>
      <c r="F1128" t="s">
        <v>1609</v>
      </c>
      <c r="G1128" t="s">
        <v>1191</v>
      </c>
      <c r="H1128">
        <v>2</v>
      </c>
      <c r="I1128" t="s">
        <v>2046</v>
      </c>
      <c r="J1128" t="s">
        <v>2047</v>
      </c>
      <c r="K1128" t="s">
        <v>2048</v>
      </c>
    </row>
    <row r="1129" spans="1:11" hidden="1">
      <c r="A1129" t="str">
        <f t="shared" si="34"/>
        <v>P</v>
      </c>
      <c r="B1129" t="str">
        <f t="shared" si="35"/>
        <v>P0</v>
      </c>
      <c r="C1129" s="568" t="s">
        <v>2535</v>
      </c>
      <c r="D1129" s="568" t="s">
        <v>2063</v>
      </c>
      <c r="E1129" s="569">
        <v>15</v>
      </c>
      <c r="F1129" t="s">
        <v>1609</v>
      </c>
      <c r="G1129" t="s">
        <v>1191</v>
      </c>
      <c r="H1129">
        <v>2</v>
      </c>
      <c r="I1129" t="s">
        <v>2046</v>
      </c>
      <c r="J1129" t="s">
        <v>2047</v>
      </c>
      <c r="K1129" t="s">
        <v>2048</v>
      </c>
    </row>
    <row r="1130" spans="1:11" hidden="1">
      <c r="A1130" t="str">
        <f t="shared" si="34"/>
        <v>P</v>
      </c>
      <c r="B1130" t="str">
        <f t="shared" si="35"/>
        <v>P0</v>
      </c>
      <c r="C1130" s="568" t="s">
        <v>2536</v>
      </c>
      <c r="D1130" s="568" t="s">
        <v>2063</v>
      </c>
      <c r="E1130" s="569">
        <v>15</v>
      </c>
      <c r="F1130" t="s">
        <v>1609</v>
      </c>
      <c r="G1130" t="s">
        <v>1191</v>
      </c>
      <c r="H1130">
        <v>2</v>
      </c>
      <c r="I1130" t="s">
        <v>2046</v>
      </c>
      <c r="J1130" t="s">
        <v>2047</v>
      </c>
      <c r="K1130" t="s">
        <v>2048</v>
      </c>
    </row>
    <row r="1131" spans="1:11" hidden="1">
      <c r="A1131" t="str">
        <f t="shared" si="34"/>
        <v>P</v>
      </c>
      <c r="B1131" t="str">
        <f t="shared" si="35"/>
        <v>P0</v>
      </c>
      <c r="C1131" s="568" t="s">
        <v>2537</v>
      </c>
      <c r="D1131" s="568" t="s">
        <v>2063</v>
      </c>
      <c r="E1131" s="569">
        <v>15</v>
      </c>
      <c r="F1131" t="s">
        <v>1609</v>
      </c>
      <c r="G1131" t="s">
        <v>1191</v>
      </c>
      <c r="H1131">
        <v>2</v>
      </c>
      <c r="I1131" t="s">
        <v>2046</v>
      </c>
      <c r="J1131" t="s">
        <v>2047</v>
      </c>
      <c r="K1131" t="s">
        <v>2048</v>
      </c>
    </row>
    <row r="1132" spans="1:11" hidden="1">
      <c r="A1132" t="str">
        <f t="shared" si="34"/>
        <v>P</v>
      </c>
      <c r="B1132" t="str">
        <f t="shared" si="35"/>
        <v>P0</v>
      </c>
      <c r="C1132" s="568" t="s">
        <v>2538</v>
      </c>
      <c r="D1132" s="568" t="s">
        <v>2063</v>
      </c>
      <c r="E1132" s="569">
        <v>15</v>
      </c>
      <c r="F1132" t="s">
        <v>1609</v>
      </c>
      <c r="G1132" t="s">
        <v>1191</v>
      </c>
      <c r="H1132">
        <v>2</v>
      </c>
      <c r="I1132" t="s">
        <v>2046</v>
      </c>
      <c r="J1132" t="s">
        <v>2047</v>
      </c>
      <c r="K1132" t="s">
        <v>2048</v>
      </c>
    </row>
    <row r="1133" spans="1:11" hidden="1">
      <c r="A1133" t="str">
        <f t="shared" si="34"/>
        <v>P</v>
      </c>
      <c r="B1133" t="str">
        <f t="shared" si="35"/>
        <v>P0</v>
      </c>
      <c r="C1133" s="568" t="s">
        <v>2539</v>
      </c>
      <c r="D1133" s="568" t="s">
        <v>2063</v>
      </c>
      <c r="E1133" s="569">
        <v>15</v>
      </c>
      <c r="F1133" t="s">
        <v>1609</v>
      </c>
      <c r="G1133" t="s">
        <v>1191</v>
      </c>
      <c r="H1133">
        <v>2</v>
      </c>
      <c r="I1133" t="s">
        <v>2046</v>
      </c>
      <c r="J1133" t="s">
        <v>2047</v>
      </c>
      <c r="K1133" t="s">
        <v>2048</v>
      </c>
    </row>
    <row r="1134" spans="1:11" hidden="1">
      <c r="A1134" t="str">
        <f t="shared" si="34"/>
        <v>P</v>
      </c>
      <c r="B1134" t="str">
        <f t="shared" si="35"/>
        <v>P0</v>
      </c>
      <c r="C1134" s="568" t="s">
        <v>2540</v>
      </c>
      <c r="D1134" s="568" t="s">
        <v>2063</v>
      </c>
      <c r="E1134" s="569">
        <v>15</v>
      </c>
      <c r="F1134" t="s">
        <v>1609</v>
      </c>
      <c r="G1134" t="s">
        <v>1191</v>
      </c>
      <c r="H1134">
        <v>2</v>
      </c>
      <c r="I1134" t="s">
        <v>2046</v>
      </c>
      <c r="J1134" t="s">
        <v>2047</v>
      </c>
      <c r="K1134" t="s">
        <v>2048</v>
      </c>
    </row>
    <row r="1135" spans="1:11" hidden="1">
      <c r="A1135" t="str">
        <f t="shared" si="34"/>
        <v>P</v>
      </c>
      <c r="B1135" t="str">
        <f t="shared" si="35"/>
        <v>P1</v>
      </c>
      <c r="C1135" s="568" t="s">
        <v>2541</v>
      </c>
      <c r="D1135" s="568" t="s">
        <v>2045</v>
      </c>
      <c r="E1135" s="569">
        <v>15</v>
      </c>
      <c r="F1135" t="s">
        <v>1609</v>
      </c>
      <c r="G1135" t="s">
        <v>1191</v>
      </c>
      <c r="H1135">
        <v>2</v>
      </c>
      <c r="I1135" t="s">
        <v>2046</v>
      </c>
      <c r="J1135" t="s">
        <v>2047</v>
      </c>
      <c r="K1135" t="s">
        <v>2048</v>
      </c>
    </row>
    <row r="1136" spans="1:11" hidden="1">
      <c r="A1136" t="str">
        <f t="shared" si="34"/>
        <v>P</v>
      </c>
      <c r="B1136" t="str">
        <f t="shared" si="35"/>
        <v>P1</v>
      </c>
      <c r="C1136" s="568" t="s">
        <v>2542</v>
      </c>
      <c r="D1136" s="568" t="s">
        <v>2045</v>
      </c>
      <c r="E1136" s="569">
        <v>15</v>
      </c>
      <c r="F1136" t="s">
        <v>1609</v>
      </c>
      <c r="G1136" t="s">
        <v>1191</v>
      </c>
      <c r="H1136">
        <v>2</v>
      </c>
      <c r="I1136" t="s">
        <v>2046</v>
      </c>
      <c r="J1136" t="s">
        <v>2047</v>
      </c>
      <c r="K1136" t="s">
        <v>2048</v>
      </c>
    </row>
    <row r="1137" spans="1:11" hidden="1">
      <c r="A1137" t="str">
        <f t="shared" si="34"/>
        <v>P</v>
      </c>
      <c r="B1137" t="str">
        <f t="shared" si="35"/>
        <v>P1</v>
      </c>
      <c r="C1137" s="568" t="s">
        <v>2543</v>
      </c>
      <c r="D1137" s="568" t="s">
        <v>2053</v>
      </c>
      <c r="E1137" s="569">
        <v>15</v>
      </c>
      <c r="F1137" t="s">
        <v>1609</v>
      </c>
      <c r="G1137" t="s">
        <v>1191</v>
      </c>
      <c r="H1137">
        <v>2</v>
      </c>
      <c r="I1137" t="s">
        <v>2046</v>
      </c>
      <c r="J1137" t="s">
        <v>2047</v>
      </c>
      <c r="K1137" t="s">
        <v>2048</v>
      </c>
    </row>
    <row r="1138" spans="1:11" hidden="1">
      <c r="A1138" t="str">
        <f t="shared" si="34"/>
        <v>P</v>
      </c>
      <c r="B1138" t="str">
        <f t="shared" si="35"/>
        <v>P1</v>
      </c>
      <c r="C1138" s="568" t="s">
        <v>2544</v>
      </c>
      <c r="D1138" s="568" t="s">
        <v>2057</v>
      </c>
      <c r="E1138" s="569">
        <v>15</v>
      </c>
      <c r="F1138" t="s">
        <v>1609</v>
      </c>
      <c r="G1138" t="s">
        <v>1191</v>
      </c>
      <c r="H1138">
        <v>2</v>
      </c>
      <c r="I1138" t="s">
        <v>2046</v>
      </c>
      <c r="J1138" t="s">
        <v>2047</v>
      </c>
      <c r="K1138" t="s">
        <v>2048</v>
      </c>
    </row>
    <row r="1139" spans="1:11" hidden="1">
      <c r="A1139" t="str">
        <f t="shared" si="34"/>
        <v>P</v>
      </c>
      <c r="B1139" t="str">
        <f t="shared" si="35"/>
        <v>P1</v>
      </c>
      <c r="C1139" s="568" t="s">
        <v>2545</v>
      </c>
      <c r="D1139" s="568" t="s">
        <v>2057</v>
      </c>
      <c r="E1139" s="569">
        <v>15</v>
      </c>
      <c r="F1139" t="s">
        <v>1609</v>
      </c>
      <c r="G1139" t="s">
        <v>1191</v>
      </c>
      <c r="H1139">
        <v>2</v>
      </c>
      <c r="I1139" t="s">
        <v>2046</v>
      </c>
      <c r="J1139" t="s">
        <v>2047</v>
      </c>
      <c r="K1139" t="s">
        <v>2048</v>
      </c>
    </row>
    <row r="1140" spans="1:11" hidden="1">
      <c r="A1140" t="str">
        <f t="shared" si="34"/>
        <v>P</v>
      </c>
      <c r="B1140" t="str">
        <f t="shared" si="35"/>
        <v>P1</v>
      </c>
      <c r="C1140" s="568" t="s">
        <v>2546</v>
      </c>
      <c r="D1140" s="568" t="s">
        <v>2063</v>
      </c>
      <c r="E1140" s="569">
        <v>15</v>
      </c>
      <c r="F1140" t="s">
        <v>1609</v>
      </c>
      <c r="G1140" t="s">
        <v>1191</v>
      </c>
      <c r="H1140">
        <v>2</v>
      </c>
      <c r="I1140" t="s">
        <v>2046</v>
      </c>
      <c r="J1140" t="s">
        <v>2047</v>
      </c>
      <c r="K1140" t="s">
        <v>2048</v>
      </c>
    </row>
    <row r="1141" spans="1:11" hidden="1">
      <c r="A1141" t="str">
        <f t="shared" si="34"/>
        <v>P</v>
      </c>
      <c r="B1141" t="str">
        <f t="shared" si="35"/>
        <v>P2</v>
      </c>
      <c r="C1141" s="568" t="s">
        <v>2547</v>
      </c>
      <c r="D1141" s="568" t="s">
        <v>2063</v>
      </c>
      <c r="E1141" s="569">
        <v>15</v>
      </c>
      <c r="F1141" t="s">
        <v>1609</v>
      </c>
      <c r="G1141" t="s">
        <v>1191</v>
      </c>
      <c r="H1141">
        <v>2</v>
      </c>
      <c r="I1141" t="s">
        <v>2046</v>
      </c>
      <c r="J1141" t="s">
        <v>2047</v>
      </c>
      <c r="K1141" t="s">
        <v>2048</v>
      </c>
    </row>
    <row r="1142" spans="1:11" hidden="1">
      <c r="A1142" t="str">
        <f t="shared" si="34"/>
        <v>P</v>
      </c>
      <c r="B1142" t="str">
        <f t="shared" si="35"/>
        <v>P2</v>
      </c>
      <c r="C1142" s="568" t="s">
        <v>2548</v>
      </c>
      <c r="D1142" s="568" t="s">
        <v>2053</v>
      </c>
      <c r="E1142" s="569">
        <v>15</v>
      </c>
      <c r="F1142" t="s">
        <v>1609</v>
      </c>
      <c r="G1142" t="s">
        <v>1191</v>
      </c>
      <c r="H1142">
        <v>2</v>
      </c>
      <c r="I1142" t="s">
        <v>2046</v>
      </c>
      <c r="J1142" t="s">
        <v>2047</v>
      </c>
      <c r="K1142" t="s">
        <v>2048</v>
      </c>
    </row>
    <row r="1143" spans="1:11" hidden="1">
      <c r="A1143" t="str">
        <f t="shared" si="34"/>
        <v>P</v>
      </c>
      <c r="B1143" t="str">
        <f t="shared" si="35"/>
        <v>P2</v>
      </c>
      <c r="C1143" s="568" t="s">
        <v>2549</v>
      </c>
      <c r="D1143" s="568" t="s">
        <v>2115</v>
      </c>
      <c r="E1143" s="569">
        <v>15</v>
      </c>
      <c r="F1143" t="s">
        <v>1609</v>
      </c>
      <c r="G1143" t="s">
        <v>1191</v>
      </c>
      <c r="H1143">
        <v>2</v>
      </c>
      <c r="I1143" t="s">
        <v>2046</v>
      </c>
      <c r="J1143" t="s">
        <v>2047</v>
      </c>
      <c r="K1143" t="s">
        <v>2048</v>
      </c>
    </row>
    <row r="1144" spans="1:11" hidden="1">
      <c r="A1144" t="str">
        <f t="shared" si="34"/>
        <v>P</v>
      </c>
      <c r="B1144" t="str">
        <f t="shared" si="35"/>
        <v>P3</v>
      </c>
      <c r="C1144" s="568" t="s">
        <v>2550</v>
      </c>
      <c r="D1144" s="568" t="s">
        <v>2059</v>
      </c>
      <c r="E1144" s="569">
        <v>15</v>
      </c>
      <c r="F1144" t="s">
        <v>1609</v>
      </c>
      <c r="G1144" t="s">
        <v>1191</v>
      </c>
      <c r="H1144">
        <v>2</v>
      </c>
      <c r="I1144" t="s">
        <v>2046</v>
      </c>
      <c r="J1144" t="s">
        <v>2047</v>
      </c>
      <c r="K1144" t="s">
        <v>2048</v>
      </c>
    </row>
    <row r="1145" spans="1:11" hidden="1">
      <c r="A1145" t="str">
        <f t="shared" si="34"/>
        <v>P</v>
      </c>
      <c r="B1145" t="str">
        <f t="shared" si="35"/>
        <v>P3</v>
      </c>
      <c r="C1145" s="568" t="s">
        <v>2551</v>
      </c>
      <c r="D1145" s="568" t="s">
        <v>2119</v>
      </c>
      <c r="E1145" s="569">
        <v>15</v>
      </c>
      <c r="F1145" t="s">
        <v>1609</v>
      </c>
      <c r="G1145" t="s">
        <v>1191</v>
      </c>
      <c r="H1145">
        <v>2</v>
      </c>
      <c r="I1145" t="s">
        <v>2046</v>
      </c>
      <c r="J1145" t="s">
        <v>2047</v>
      </c>
      <c r="K1145" t="s">
        <v>2048</v>
      </c>
    </row>
    <row r="1146" spans="1:11" hidden="1">
      <c r="A1146" t="str">
        <f t="shared" si="34"/>
        <v>P</v>
      </c>
      <c r="B1146" t="str">
        <f t="shared" si="35"/>
        <v>P3</v>
      </c>
      <c r="C1146" s="568" t="s">
        <v>2552</v>
      </c>
      <c r="D1146" s="568" t="s">
        <v>2119</v>
      </c>
      <c r="E1146" s="569">
        <v>15</v>
      </c>
      <c r="F1146" t="s">
        <v>1609</v>
      </c>
      <c r="G1146" t="s">
        <v>1191</v>
      </c>
      <c r="H1146">
        <v>2</v>
      </c>
      <c r="I1146" t="s">
        <v>2046</v>
      </c>
      <c r="J1146" t="s">
        <v>2047</v>
      </c>
      <c r="K1146" t="s">
        <v>2048</v>
      </c>
    </row>
    <row r="1147" spans="1:11" hidden="1">
      <c r="A1147" t="str">
        <f t="shared" si="34"/>
        <v>P</v>
      </c>
      <c r="B1147" t="str">
        <f t="shared" si="35"/>
        <v>P3</v>
      </c>
      <c r="C1147" s="568" t="s">
        <v>2553</v>
      </c>
      <c r="D1147" s="568" t="s">
        <v>2115</v>
      </c>
      <c r="E1147" s="569">
        <v>15</v>
      </c>
      <c r="F1147" t="s">
        <v>1609</v>
      </c>
      <c r="G1147" t="s">
        <v>1191</v>
      </c>
      <c r="H1147">
        <v>2</v>
      </c>
      <c r="I1147" t="s">
        <v>2046</v>
      </c>
      <c r="J1147" t="s">
        <v>2047</v>
      </c>
      <c r="K1147" t="s">
        <v>2048</v>
      </c>
    </row>
    <row r="1148" spans="1:11" hidden="1">
      <c r="A1148" t="str">
        <f t="shared" si="34"/>
        <v>P</v>
      </c>
      <c r="B1148" t="str">
        <f t="shared" si="35"/>
        <v>P3</v>
      </c>
      <c r="C1148" s="568" t="s">
        <v>2554</v>
      </c>
      <c r="D1148" s="568" t="s">
        <v>2122</v>
      </c>
      <c r="E1148" s="569">
        <v>15</v>
      </c>
      <c r="F1148" t="s">
        <v>1609</v>
      </c>
      <c r="G1148" t="s">
        <v>1191</v>
      </c>
      <c r="H1148">
        <v>2</v>
      </c>
      <c r="I1148" t="s">
        <v>2046</v>
      </c>
      <c r="J1148" t="s">
        <v>2047</v>
      </c>
      <c r="K1148" t="s">
        <v>2048</v>
      </c>
    </row>
    <row r="1149" spans="1:11" hidden="1">
      <c r="A1149" t="str">
        <f t="shared" si="34"/>
        <v>P</v>
      </c>
      <c r="B1149" t="str">
        <f t="shared" si="35"/>
        <v>P3</v>
      </c>
      <c r="C1149" s="568" t="s">
        <v>2555</v>
      </c>
      <c r="D1149" s="568" t="s">
        <v>2059</v>
      </c>
      <c r="E1149" s="569">
        <v>15</v>
      </c>
      <c r="F1149" t="s">
        <v>1609</v>
      </c>
      <c r="G1149" t="s">
        <v>1191</v>
      </c>
      <c r="H1149">
        <v>2</v>
      </c>
      <c r="I1149" t="s">
        <v>2046</v>
      </c>
      <c r="J1149" t="s">
        <v>2047</v>
      </c>
      <c r="K1149" t="s">
        <v>2048</v>
      </c>
    </row>
    <row r="1150" spans="1:11" hidden="1">
      <c r="A1150" t="str">
        <f t="shared" si="34"/>
        <v>P</v>
      </c>
      <c r="B1150" t="str">
        <f t="shared" si="35"/>
        <v>P3</v>
      </c>
      <c r="C1150" s="568" t="s">
        <v>2556</v>
      </c>
      <c r="D1150" s="568" t="s">
        <v>2115</v>
      </c>
      <c r="E1150" s="569">
        <v>15</v>
      </c>
      <c r="F1150" t="s">
        <v>1609</v>
      </c>
      <c r="G1150" t="s">
        <v>1191</v>
      </c>
      <c r="H1150">
        <v>2</v>
      </c>
      <c r="I1150" t="s">
        <v>2046</v>
      </c>
      <c r="J1150" t="s">
        <v>2047</v>
      </c>
      <c r="K1150" t="s">
        <v>2048</v>
      </c>
    </row>
    <row r="1151" spans="1:11" hidden="1">
      <c r="A1151" t="str">
        <f t="shared" si="34"/>
        <v>P</v>
      </c>
      <c r="B1151" t="str">
        <f t="shared" si="35"/>
        <v>P3</v>
      </c>
      <c r="C1151" s="568" t="s">
        <v>2557</v>
      </c>
      <c r="D1151" s="568" t="s">
        <v>2059</v>
      </c>
      <c r="E1151" s="569">
        <v>15</v>
      </c>
      <c r="F1151" t="s">
        <v>1609</v>
      </c>
      <c r="G1151" t="s">
        <v>1191</v>
      </c>
      <c r="H1151">
        <v>2</v>
      </c>
      <c r="I1151" t="s">
        <v>2046</v>
      </c>
      <c r="J1151" t="s">
        <v>2047</v>
      </c>
      <c r="K1151" t="s">
        <v>2048</v>
      </c>
    </row>
    <row r="1152" spans="1:11" hidden="1">
      <c r="A1152" t="str">
        <f t="shared" si="34"/>
        <v>P</v>
      </c>
      <c r="B1152" t="str">
        <f t="shared" si="35"/>
        <v>P3</v>
      </c>
      <c r="C1152" s="568" t="s">
        <v>2558</v>
      </c>
      <c r="D1152" s="568" t="s">
        <v>2119</v>
      </c>
      <c r="E1152" s="569">
        <v>15</v>
      </c>
      <c r="F1152" t="s">
        <v>1609</v>
      </c>
      <c r="G1152" t="s">
        <v>1191</v>
      </c>
      <c r="H1152">
        <v>2</v>
      </c>
      <c r="I1152" t="s">
        <v>2046</v>
      </c>
      <c r="J1152" t="s">
        <v>2047</v>
      </c>
      <c r="K1152" t="s">
        <v>2048</v>
      </c>
    </row>
    <row r="1153" spans="1:11" hidden="1">
      <c r="A1153" t="str">
        <f t="shared" si="34"/>
        <v>P</v>
      </c>
      <c r="B1153" t="str">
        <f t="shared" si="35"/>
        <v>P4</v>
      </c>
      <c r="C1153" s="568" t="s">
        <v>2559</v>
      </c>
      <c r="D1153" s="568" t="s">
        <v>2115</v>
      </c>
      <c r="E1153" s="569">
        <v>15</v>
      </c>
      <c r="F1153" t="s">
        <v>1609</v>
      </c>
      <c r="G1153" t="s">
        <v>1191</v>
      </c>
      <c r="H1153">
        <v>2</v>
      </c>
      <c r="I1153" t="s">
        <v>2046</v>
      </c>
      <c r="J1153" t="s">
        <v>2047</v>
      </c>
      <c r="K1153" t="s">
        <v>2048</v>
      </c>
    </row>
    <row r="1154" spans="1:11" hidden="1">
      <c r="A1154" t="str">
        <f t="shared" si="34"/>
        <v>P</v>
      </c>
      <c r="B1154" t="str">
        <f t="shared" si="35"/>
        <v>P4</v>
      </c>
      <c r="C1154" s="568" t="s">
        <v>2560</v>
      </c>
      <c r="D1154" s="568" t="s">
        <v>2115</v>
      </c>
      <c r="E1154" s="569">
        <v>15</v>
      </c>
      <c r="F1154" t="s">
        <v>1609</v>
      </c>
      <c r="G1154" t="s">
        <v>1191</v>
      </c>
      <c r="H1154">
        <v>2</v>
      </c>
      <c r="I1154" t="s">
        <v>2046</v>
      </c>
      <c r="J1154" t="s">
        <v>2047</v>
      </c>
      <c r="K1154" t="s">
        <v>2048</v>
      </c>
    </row>
    <row r="1155" spans="1:11" hidden="1">
      <c r="A1155" t="str">
        <f t="shared" ref="A1155:A1218" si="36">LEFT(C1155)</f>
        <v>P</v>
      </c>
      <c r="B1155" t="str">
        <f t="shared" si="35"/>
        <v>P4</v>
      </c>
      <c r="C1155" s="568" t="s">
        <v>2561</v>
      </c>
      <c r="D1155" s="568" t="s">
        <v>2119</v>
      </c>
      <c r="E1155" s="569">
        <v>15</v>
      </c>
      <c r="F1155" t="s">
        <v>1609</v>
      </c>
      <c r="G1155" t="s">
        <v>1191</v>
      </c>
      <c r="H1155">
        <v>2</v>
      </c>
      <c r="I1155" t="s">
        <v>2046</v>
      </c>
      <c r="J1155" t="s">
        <v>2047</v>
      </c>
      <c r="K1155" t="s">
        <v>2048</v>
      </c>
    </row>
    <row r="1156" spans="1:11" hidden="1">
      <c r="A1156" t="str">
        <f t="shared" si="36"/>
        <v>P</v>
      </c>
      <c r="B1156" t="str">
        <f t="shared" ref="B1156:B1219" si="37">LEFT(C1156,2)</f>
        <v>P5</v>
      </c>
      <c r="C1156" s="568" t="s">
        <v>2562</v>
      </c>
      <c r="D1156" s="568" t="s">
        <v>2063</v>
      </c>
      <c r="E1156" s="569">
        <v>15</v>
      </c>
      <c r="F1156" t="s">
        <v>1609</v>
      </c>
      <c r="G1156" t="s">
        <v>1191</v>
      </c>
      <c r="H1156">
        <v>2</v>
      </c>
      <c r="I1156" t="s">
        <v>2046</v>
      </c>
      <c r="J1156" t="s">
        <v>2047</v>
      </c>
      <c r="K1156" t="s">
        <v>2048</v>
      </c>
    </row>
    <row r="1157" spans="1:11" hidden="1">
      <c r="A1157" t="str">
        <f t="shared" si="36"/>
        <v>P</v>
      </c>
      <c r="B1157" t="str">
        <f t="shared" si="37"/>
        <v>P5</v>
      </c>
      <c r="C1157" s="568" t="s">
        <v>2563</v>
      </c>
      <c r="D1157" s="568" t="s">
        <v>2122</v>
      </c>
      <c r="E1157" s="569">
        <v>15</v>
      </c>
      <c r="F1157" t="s">
        <v>1609</v>
      </c>
      <c r="G1157" t="s">
        <v>1191</v>
      </c>
      <c r="H1157">
        <v>2</v>
      </c>
      <c r="I1157" t="s">
        <v>2046</v>
      </c>
      <c r="J1157" t="s">
        <v>2047</v>
      </c>
      <c r="K1157" t="s">
        <v>2048</v>
      </c>
    </row>
    <row r="1158" spans="1:11" hidden="1">
      <c r="A1158" t="str">
        <f t="shared" si="36"/>
        <v>P</v>
      </c>
      <c r="B1158" t="str">
        <f t="shared" si="37"/>
        <v>P5</v>
      </c>
      <c r="C1158" s="568" t="s">
        <v>2564</v>
      </c>
      <c r="D1158" s="568" t="s">
        <v>2122</v>
      </c>
      <c r="E1158" s="569">
        <v>15</v>
      </c>
      <c r="F1158" t="s">
        <v>1609</v>
      </c>
      <c r="G1158" t="s">
        <v>1191</v>
      </c>
      <c r="H1158">
        <v>2</v>
      </c>
      <c r="I1158" t="s">
        <v>2046</v>
      </c>
      <c r="J1158" t="s">
        <v>2047</v>
      </c>
      <c r="K1158" t="s">
        <v>2048</v>
      </c>
    </row>
    <row r="1159" spans="1:11" hidden="1">
      <c r="A1159" t="str">
        <f t="shared" si="36"/>
        <v>P</v>
      </c>
      <c r="B1159" t="str">
        <f t="shared" si="37"/>
        <v>P6</v>
      </c>
      <c r="C1159" s="568" t="s">
        <v>2565</v>
      </c>
      <c r="D1159" s="568" t="s">
        <v>2063</v>
      </c>
      <c r="E1159" s="569">
        <v>15</v>
      </c>
      <c r="F1159" t="s">
        <v>1609</v>
      </c>
      <c r="G1159" t="s">
        <v>1191</v>
      </c>
      <c r="H1159">
        <v>2</v>
      </c>
      <c r="I1159" t="s">
        <v>2046</v>
      </c>
      <c r="J1159" t="s">
        <v>2047</v>
      </c>
      <c r="K1159" t="s">
        <v>2048</v>
      </c>
    </row>
    <row r="1160" spans="1:11" hidden="1">
      <c r="A1160" t="str">
        <f t="shared" si="36"/>
        <v>P</v>
      </c>
      <c r="B1160" t="str">
        <f t="shared" si="37"/>
        <v>P6</v>
      </c>
      <c r="C1160" s="568" t="s">
        <v>2566</v>
      </c>
      <c r="D1160" s="568" t="s">
        <v>2063</v>
      </c>
      <c r="E1160" s="569">
        <v>15</v>
      </c>
      <c r="F1160" t="s">
        <v>1609</v>
      </c>
      <c r="G1160" t="s">
        <v>1191</v>
      </c>
      <c r="H1160">
        <v>2</v>
      </c>
      <c r="I1160" t="s">
        <v>2046</v>
      </c>
      <c r="J1160" t="s">
        <v>2047</v>
      </c>
      <c r="K1160" t="s">
        <v>2048</v>
      </c>
    </row>
    <row r="1161" spans="1:11" hidden="1">
      <c r="A1161" t="str">
        <f t="shared" si="36"/>
        <v>P</v>
      </c>
      <c r="B1161" t="str">
        <f t="shared" si="37"/>
        <v>P6</v>
      </c>
      <c r="C1161" s="568" t="s">
        <v>2567</v>
      </c>
      <c r="D1161" s="568" t="s">
        <v>2063</v>
      </c>
      <c r="E1161" s="569">
        <v>15</v>
      </c>
      <c r="F1161" t="s">
        <v>1609</v>
      </c>
      <c r="G1161" t="s">
        <v>1191</v>
      </c>
      <c r="H1161">
        <v>2</v>
      </c>
      <c r="I1161" t="s">
        <v>2046</v>
      </c>
      <c r="J1161" t="s">
        <v>2047</v>
      </c>
      <c r="K1161" t="s">
        <v>2048</v>
      </c>
    </row>
    <row r="1162" spans="1:11" hidden="1">
      <c r="A1162" t="str">
        <f t="shared" si="36"/>
        <v>P</v>
      </c>
      <c r="B1162" t="str">
        <f t="shared" si="37"/>
        <v>P7</v>
      </c>
      <c r="C1162" s="568" t="s">
        <v>2568</v>
      </c>
      <c r="D1162" s="568" t="s">
        <v>2063</v>
      </c>
      <c r="E1162" s="569">
        <v>15</v>
      </c>
      <c r="F1162" s="577" t="s">
        <v>1609</v>
      </c>
      <c r="G1162" t="s">
        <v>1191</v>
      </c>
      <c r="H1162">
        <v>2</v>
      </c>
      <c r="I1162" t="s">
        <v>2046</v>
      </c>
      <c r="J1162" t="s">
        <v>2047</v>
      </c>
      <c r="K1162" t="s">
        <v>2048</v>
      </c>
    </row>
    <row r="1163" spans="1:11" hidden="1">
      <c r="A1163" t="str">
        <f t="shared" si="36"/>
        <v>P</v>
      </c>
      <c r="B1163" t="str">
        <f t="shared" si="37"/>
        <v>P7</v>
      </c>
      <c r="C1163" s="568" t="s">
        <v>2569</v>
      </c>
      <c r="D1163" s="568" t="s">
        <v>2063</v>
      </c>
      <c r="E1163" s="569">
        <v>15</v>
      </c>
      <c r="F1163" t="s">
        <v>1609</v>
      </c>
      <c r="G1163" t="s">
        <v>1191</v>
      </c>
      <c r="H1163">
        <v>2</v>
      </c>
      <c r="I1163" t="s">
        <v>2046</v>
      </c>
      <c r="J1163" t="s">
        <v>2047</v>
      </c>
      <c r="K1163" t="s">
        <v>2048</v>
      </c>
    </row>
    <row r="1164" spans="1:11" hidden="1">
      <c r="A1164" t="str">
        <f t="shared" si="36"/>
        <v>P</v>
      </c>
      <c r="B1164" t="str">
        <f t="shared" si="37"/>
        <v>P7</v>
      </c>
      <c r="C1164" s="568" t="s">
        <v>2570</v>
      </c>
      <c r="D1164" s="568" t="s">
        <v>2063</v>
      </c>
      <c r="E1164" s="569">
        <v>15</v>
      </c>
      <c r="F1164" s="577" t="s">
        <v>1609</v>
      </c>
      <c r="G1164" t="s">
        <v>1191</v>
      </c>
      <c r="H1164">
        <v>2</v>
      </c>
      <c r="I1164" t="s">
        <v>2046</v>
      </c>
      <c r="J1164" t="s">
        <v>2047</v>
      </c>
      <c r="K1164" t="s">
        <v>2048</v>
      </c>
    </row>
    <row r="1165" spans="1:11" hidden="1">
      <c r="A1165" t="str">
        <f t="shared" si="36"/>
        <v>P</v>
      </c>
      <c r="B1165" t="str">
        <f t="shared" si="37"/>
        <v>P7</v>
      </c>
      <c r="C1165" s="568" t="s">
        <v>2571</v>
      </c>
      <c r="D1165" s="568" t="s">
        <v>2063</v>
      </c>
      <c r="E1165" s="569">
        <v>15</v>
      </c>
      <c r="F1165" s="577" t="s">
        <v>1609</v>
      </c>
      <c r="G1165" t="s">
        <v>1191</v>
      </c>
      <c r="H1165">
        <v>2</v>
      </c>
      <c r="I1165" t="s">
        <v>2046</v>
      </c>
      <c r="J1165" t="s">
        <v>2047</v>
      </c>
      <c r="K1165" t="s">
        <v>2048</v>
      </c>
    </row>
    <row r="1166" spans="1:11" hidden="1">
      <c r="A1166" t="str">
        <f t="shared" si="36"/>
        <v>P</v>
      </c>
      <c r="B1166" t="str">
        <f t="shared" si="37"/>
        <v>P7</v>
      </c>
      <c r="C1166" s="568" t="s">
        <v>2572</v>
      </c>
      <c r="D1166" s="568" t="s">
        <v>2063</v>
      </c>
      <c r="E1166" s="569">
        <v>15</v>
      </c>
      <c r="F1166" s="577" t="s">
        <v>1609</v>
      </c>
      <c r="G1166" t="s">
        <v>1191</v>
      </c>
      <c r="H1166">
        <v>2</v>
      </c>
      <c r="I1166" t="s">
        <v>2046</v>
      </c>
      <c r="J1166" t="s">
        <v>2047</v>
      </c>
      <c r="K1166" t="s">
        <v>2048</v>
      </c>
    </row>
    <row r="1167" spans="1:11" hidden="1">
      <c r="A1167" t="str">
        <f t="shared" si="36"/>
        <v>P</v>
      </c>
      <c r="B1167" t="str">
        <f t="shared" si="37"/>
        <v>P7</v>
      </c>
      <c r="C1167" s="568" t="s">
        <v>2573</v>
      </c>
      <c r="D1167" s="568" t="s">
        <v>2063</v>
      </c>
      <c r="E1167" s="569">
        <v>15</v>
      </c>
      <c r="F1167" s="577" t="s">
        <v>1609</v>
      </c>
      <c r="G1167" t="s">
        <v>1191</v>
      </c>
      <c r="H1167">
        <v>2</v>
      </c>
      <c r="I1167" t="s">
        <v>2046</v>
      </c>
      <c r="J1167" t="s">
        <v>2047</v>
      </c>
      <c r="K1167" t="s">
        <v>2048</v>
      </c>
    </row>
    <row r="1168" spans="1:11" hidden="1">
      <c r="A1168" t="str">
        <f t="shared" si="36"/>
        <v>P</v>
      </c>
      <c r="B1168" t="str">
        <f t="shared" si="37"/>
        <v>P7</v>
      </c>
      <c r="C1168" s="568" t="s">
        <v>2574</v>
      </c>
      <c r="D1168" s="568" t="s">
        <v>2063</v>
      </c>
      <c r="E1168" s="569">
        <v>15</v>
      </c>
      <c r="F1168" s="577" t="s">
        <v>1609</v>
      </c>
      <c r="G1168" t="s">
        <v>1191</v>
      </c>
      <c r="H1168">
        <v>2</v>
      </c>
      <c r="I1168" t="s">
        <v>2046</v>
      </c>
      <c r="J1168" t="s">
        <v>2047</v>
      </c>
      <c r="K1168" t="s">
        <v>2048</v>
      </c>
    </row>
    <row r="1169" spans="1:11" hidden="1">
      <c r="A1169" t="str">
        <f t="shared" si="36"/>
        <v>P</v>
      </c>
      <c r="B1169" t="str">
        <f t="shared" si="37"/>
        <v>P7</v>
      </c>
      <c r="C1169" s="575" t="s">
        <v>2575</v>
      </c>
      <c r="D1169" s="575" t="s">
        <v>2063</v>
      </c>
      <c r="E1169" s="576">
        <v>15</v>
      </c>
      <c r="F1169" s="577" t="s">
        <v>1609</v>
      </c>
      <c r="G1169" t="s">
        <v>1191</v>
      </c>
      <c r="H1169">
        <v>2</v>
      </c>
      <c r="I1169" t="s">
        <v>2046</v>
      </c>
      <c r="J1169" t="s">
        <v>2047</v>
      </c>
      <c r="K1169" t="s">
        <v>2048</v>
      </c>
    </row>
    <row r="1170" spans="1:11" hidden="1">
      <c r="A1170" t="str">
        <f t="shared" si="36"/>
        <v>P</v>
      </c>
      <c r="B1170" t="str">
        <f t="shared" si="37"/>
        <v>P8</v>
      </c>
      <c r="C1170" s="568" t="s">
        <v>2576</v>
      </c>
      <c r="D1170" s="568" t="s">
        <v>2063</v>
      </c>
      <c r="E1170" s="569">
        <v>15</v>
      </c>
      <c r="F1170" t="s">
        <v>1609</v>
      </c>
      <c r="G1170" t="s">
        <v>1191</v>
      </c>
      <c r="H1170">
        <v>2</v>
      </c>
      <c r="I1170" t="s">
        <v>2046</v>
      </c>
      <c r="J1170" t="s">
        <v>2047</v>
      </c>
      <c r="K1170" t="s">
        <v>2048</v>
      </c>
    </row>
    <row r="1171" spans="1:11" hidden="1">
      <c r="A1171" t="str">
        <f t="shared" si="36"/>
        <v>P</v>
      </c>
      <c r="B1171" t="str">
        <f t="shared" si="37"/>
        <v>P8</v>
      </c>
      <c r="C1171" s="568" t="s">
        <v>2577</v>
      </c>
      <c r="D1171" s="568" t="s">
        <v>2063</v>
      </c>
      <c r="E1171" s="569">
        <v>15</v>
      </c>
      <c r="F1171" t="s">
        <v>1609</v>
      </c>
      <c r="G1171" t="s">
        <v>1191</v>
      </c>
      <c r="H1171">
        <v>2</v>
      </c>
      <c r="I1171" t="s">
        <v>2046</v>
      </c>
      <c r="J1171" t="s">
        <v>2047</v>
      </c>
      <c r="K1171" t="s">
        <v>2048</v>
      </c>
    </row>
    <row r="1172" spans="1:11" hidden="1">
      <c r="A1172" t="str">
        <f t="shared" si="36"/>
        <v>P</v>
      </c>
      <c r="B1172" t="str">
        <f t="shared" si="37"/>
        <v>P9</v>
      </c>
      <c r="C1172" s="568" t="s">
        <v>2578</v>
      </c>
      <c r="D1172" s="568" t="s">
        <v>2063</v>
      </c>
      <c r="E1172" s="569">
        <v>15</v>
      </c>
      <c r="F1172" s="577" t="s">
        <v>1609</v>
      </c>
      <c r="G1172" t="s">
        <v>1191</v>
      </c>
      <c r="H1172">
        <v>2</v>
      </c>
      <c r="I1172" t="s">
        <v>2046</v>
      </c>
      <c r="J1172" t="s">
        <v>2047</v>
      </c>
      <c r="K1172" t="s">
        <v>2048</v>
      </c>
    </row>
    <row r="1173" spans="1:11" hidden="1">
      <c r="A1173" t="str">
        <f t="shared" si="36"/>
        <v>P</v>
      </c>
      <c r="B1173" t="str">
        <f t="shared" si="37"/>
        <v>P9</v>
      </c>
      <c r="C1173" s="568" t="s">
        <v>2579</v>
      </c>
      <c r="D1173" s="568" t="s">
        <v>2063</v>
      </c>
      <c r="E1173" s="569">
        <v>15</v>
      </c>
      <c r="F1173" t="s">
        <v>1609</v>
      </c>
      <c r="G1173" t="s">
        <v>1191</v>
      </c>
      <c r="H1173">
        <v>2</v>
      </c>
      <c r="I1173" t="s">
        <v>2046</v>
      </c>
      <c r="J1173" t="s">
        <v>2047</v>
      </c>
      <c r="K1173" t="s">
        <v>2048</v>
      </c>
    </row>
    <row r="1174" spans="1:11" hidden="1">
      <c r="A1174" t="str">
        <f t="shared" si="36"/>
        <v>R</v>
      </c>
      <c r="B1174" t="str">
        <f t="shared" si="37"/>
        <v>R0</v>
      </c>
      <c r="C1174" s="568" t="s">
        <v>2580</v>
      </c>
      <c r="D1174" s="568" t="s">
        <v>2581</v>
      </c>
      <c r="E1174" s="569">
        <v>14</v>
      </c>
      <c r="F1174" t="s">
        <v>1374</v>
      </c>
      <c r="G1174" t="s">
        <v>2582</v>
      </c>
      <c r="H1174">
        <v>1</v>
      </c>
      <c r="I1174" t="s">
        <v>2583</v>
      </c>
      <c r="J1174" t="s">
        <v>1349</v>
      </c>
      <c r="K1174" t="s">
        <v>1350</v>
      </c>
    </row>
    <row r="1175" spans="1:11" hidden="1">
      <c r="A1175" t="str">
        <f t="shared" si="36"/>
        <v>R</v>
      </c>
      <c r="B1175" t="str">
        <f t="shared" si="37"/>
        <v>R0</v>
      </c>
      <c r="C1175" s="568" t="s">
        <v>2584</v>
      </c>
      <c r="D1175" s="568" t="s">
        <v>2585</v>
      </c>
      <c r="E1175" s="569">
        <v>14</v>
      </c>
      <c r="F1175" t="s">
        <v>1374</v>
      </c>
      <c r="G1175" t="s">
        <v>2582</v>
      </c>
      <c r="H1175">
        <v>1</v>
      </c>
      <c r="I1175" t="s">
        <v>2583</v>
      </c>
      <c r="J1175" t="s">
        <v>1349</v>
      </c>
      <c r="K1175" t="s">
        <v>1350</v>
      </c>
    </row>
    <row r="1176" spans="1:11" hidden="1">
      <c r="A1176" t="str">
        <f t="shared" si="36"/>
        <v>R</v>
      </c>
      <c r="B1176" t="str">
        <f t="shared" si="37"/>
        <v>R0</v>
      </c>
      <c r="C1176" s="568" t="s">
        <v>2586</v>
      </c>
      <c r="D1176" s="568" t="s">
        <v>2587</v>
      </c>
      <c r="E1176" s="569">
        <v>14</v>
      </c>
      <c r="F1176" t="s">
        <v>1374</v>
      </c>
      <c r="G1176" t="s">
        <v>2582</v>
      </c>
      <c r="H1176">
        <v>1</v>
      </c>
      <c r="I1176" t="s">
        <v>2583</v>
      </c>
      <c r="J1176" t="s">
        <v>1349</v>
      </c>
      <c r="K1176" t="s">
        <v>1350</v>
      </c>
    </row>
    <row r="1177" spans="1:11" hidden="1">
      <c r="A1177" t="str">
        <f t="shared" si="36"/>
        <v>R</v>
      </c>
      <c r="B1177" t="str">
        <f t="shared" si="37"/>
        <v>R0</v>
      </c>
      <c r="C1177" s="568" t="s">
        <v>2588</v>
      </c>
      <c r="D1177" s="568" t="s">
        <v>2587</v>
      </c>
      <c r="E1177" s="569">
        <v>14</v>
      </c>
      <c r="F1177" t="s">
        <v>1374</v>
      </c>
      <c r="G1177" t="s">
        <v>2582</v>
      </c>
      <c r="H1177">
        <v>1</v>
      </c>
      <c r="I1177" t="s">
        <v>2583</v>
      </c>
      <c r="J1177" t="s">
        <v>1349</v>
      </c>
      <c r="K1177" t="s">
        <v>1350</v>
      </c>
    </row>
    <row r="1178" spans="1:11" hidden="1">
      <c r="A1178" t="str">
        <f t="shared" si="36"/>
        <v>R</v>
      </c>
      <c r="B1178" t="str">
        <f t="shared" si="37"/>
        <v>R0</v>
      </c>
      <c r="C1178" s="568" t="s">
        <v>2589</v>
      </c>
      <c r="D1178" s="568" t="s">
        <v>2581</v>
      </c>
      <c r="E1178" s="569">
        <v>14</v>
      </c>
      <c r="F1178" t="s">
        <v>1374</v>
      </c>
      <c r="G1178" t="s">
        <v>2582</v>
      </c>
      <c r="H1178">
        <v>1</v>
      </c>
      <c r="I1178" t="s">
        <v>2583</v>
      </c>
      <c r="J1178" t="s">
        <v>1349</v>
      </c>
      <c r="K1178" t="s">
        <v>1350</v>
      </c>
    </row>
    <row r="1179" spans="1:11" hidden="1">
      <c r="A1179" t="str">
        <f t="shared" si="36"/>
        <v>R</v>
      </c>
      <c r="B1179" t="str">
        <f t="shared" si="37"/>
        <v>R0</v>
      </c>
      <c r="C1179" s="568" t="s">
        <v>2590</v>
      </c>
      <c r="D1179" s="568" t="s">
        <v>2591</v>
      </c>
      <c r="E1179" s="569">
        <v>14</v>
      </c>
      <c r="F1179" t="s">
        <v>1374</v>
      </c>
      <c r="G1179" t="s">
        <v>2582</v>
      </c>
      <c r="H1179">
        <v>1</v>
      </c>
      <c r="I1179" t="s">
        <v>2583</v>
      </c>
      <c r="J1179" t="s">
        <v>1349</v>
      </c>
      <c r="K1179" t="s">
        <v>1350</v>
      </c>
    </row>
    <row r="1180" spans="1:11" hidden="1">
      <c r="A1180" t="str">
        <f t="shared" si="36"/>
        <v>R</v>
      </c>
      <c r="B1180" t="str">
        <f t="shared" si="37"/>
        <v>R0</v>
      </c>
      <c r="C1180" s="568" t="s">
        <v>2592</v>
      </c>
      <c r="D1180" s="568" t="s">
        <v>2585</v>
      </c>
      <c r="E1180" s="569">
        <v>14</v>
      </c>
      <c r="F1180" t="s">
        <v>1374</v>
      </c>
      <c r="G1180" t="s">
        <v>2582</v>
      </c>
      <c r="H1180">
        <v>1</v>
      </c>
      <c r="I1180" t="s">
        <v>2583</v>
      </c>
      <c r="J1180" t="s">
        <v>1349</v>
      </c>
      <c r="K1180" t="s">
        <v>1350</v>
      </c>
    </row>
    <row r="1181" spans="1:11" hidden="1">
      <c r="A1181" t="str">
        <f t="shared" si="36"/>
        <v>R</v>
      </c>
      <c r="B1181" t="str">
        <f t="shared" si="37"/>
        <v>R0</v>
      </c>
      <c r="C1181" s="568" t="s">
        <v>2593</v>
      </c>
      <c r="D1181" s="568" t="s">
        <v>2587</v>
      </c>
      <c r="E1181" s="569">
        <v>14</v>
      </c>
      <c r="F1181" t="s">
        <v>1374</v>
      </c>
      <c r="G1181" t="s">
        <v>2582</v>
      </c>
      <c r="H1181">
        <v>1</v>
      </c>
      <c r="I1181" t="s">
        <v>2583</v>
      </c>
      <c r="J1181" t="s">
        <v>1349</v>
      </c>
      <c r="K1181" t="s">
        <v>1350</v>
      </c>
    </row>
    <row r="1182" spans="1:11" hidden="1">
      <c r="A1182" t="str">
        <f t="shared" si="36"/>
        <v>R</v>
      </c>
      <c r="B1182" t="str">
        <f t="shared" si="37"/>
        <v>R0</v>
      </c>
      <c r="C1182" s="568" t="s">
        <v>2594</v>
      </c>
      <c r="D1182" s="568" t="s">
        <v>2585</v>
      </c>
      <c r="E1182" s="569">
        <v>14</v>
      </c>
      <c r="F1182" t="s">
        <v>1374</v>
      </c>
      <c r="G1182" t="s">
        <v>2582</v>
      </c>
      <c r="H1182">
        <v>1</v>
      </c>
      <c r="I1182" t="s">
        <v>2583</v>
      </c>
      <c r="J1182" t="s">
        <v>1349</v>
      </c>
      <c r="K1182" t="s">
        <v>1350</v>
      </c>
    </row>
    <row r="1183" spans="1:11" hidden="1">
      <c r="A1183" t="str">
        <f t="shared" si="36"/>
        <v>R</v>
      </c>
      <c r="B1183" t="str">
        <f t="shared" si="37"/>
        <v>R0</v>
      </c>
      <c r="C1183" s="568" t="s">
        <v>2595</v>
      </c>
      <c r="D1183" s="568" t="s">
        <v>2591</v>
      </c>
      <c r="E1183" s="569">
        <v>14</v>
      </c>
      <c r="F1183" t="s">
        <v>1374</v>
      </c>
      <c r="G1183" t="s">
        <v>2582</v>
      </c>
      <c r="H1183">
        <v>1</v>
      </c>
      <c r="I1183" t="s">
        <v>2583</v>
      </c>
      <c r="J1183" t="s">
        <v>1349</v>
      </c>
      <c r="K1183" t="s">
        <v>1350</v>
      </c>
    </row>
    <row r="1184" spans="1:11" hidden="1">
      <c r="A1184" t="str">
        <f t="shared" si="36"/>
        <v>R</v>
      </c>
      <c r="B1184" t="str">
        <f t="shared" si="37"/>
        <v>R1</v>
      </c>
      <c r="C1184" s="568" t="s">
        <v>2596</v>
      </c>
      <c r="D1184" s="568" t="s">
        <v>2587</v>
      </c>
      <c r="E1184" s="569">
        <v>14</v>
      </c>
      <c r="F1184" t="s">
        <v>1374</v>
      </c>
      <c r="G1184" t="s">
        <v>2582</v>
      </c>
      <c r="H1184">
        <v>1</v>
      </c>
      <c r="I1184" t="s">
        <v>2583</v>
      </c>
      <c r="J1184" t="s">
        <v>1349</v>
      </c>
      <c r="K1184" t="s">
        <v>1350</v>
      </c>
    </row>
    <row r="1185" spans="1:11" hidden="1">
      <c r="A1185" t="str">
        <f t="shared" si="36"/>
        <v>R</v>
      </c>
      <c r="B1185" t="str">
        <f t="shared" si="37"/>
        <v>R1</v>
      </c>
      <c r="C1185" s="568" t="s">
        <v>2597</v>
      </c>
      <c r="D1185" s="568" t="s">
        <v>2587</v>
      </c>
      <c r="E1185" s="569">
        <v>14</v>
      </c>
      <c r="F1185" t="s">
        <v>1374</v>
      </c>
      <c r="G1185" t="s">
        <v>2582</v>
      </c>
      <c r="H1185">
        <v>1</v>
      </c>
      <c r="I1185" t="s">
        <v>2583</v>
      </c>
      <c r="J1185" t="s">
        <v>1349</v>
      </c>
      <c r="K1185" t="s">
        <v>1350</v>
      </c>
    </row>
    <row r="1186" spans="1:11" hidden="1">
      <c r="A1186" t="str">
        <f t="shared" si="36"/>
        <v>R</v>
      </c>
      <c r="B1186" t="str">
        <f t="shared" si="37"/>
        <v>R1</v>
      </c>
      <c r="C1186" s="575" t="s">
        <v>2598</v>
      </c>
      <c r="D1186" s="575" t="s">
        <v>2591</v>
      </c>
      <c r="E1186" s="576">
        <v>14</v>
      </c>
      <c r="F1186" t="s">
        <v>1374</v>
      </c>
      <c r="G1186" t="s">
        <v>2582</v>
      </c>
      <c r="H1186">
        <v>1</v>
      </c>
      <c r="I1186" t="s">
        <v>2583</v>
      </c>
      <c r="J1186" t="s">
        <v>1349</v>
      </c>
      <c r="K1186" t="s">
        <v>1350</v>
      </c>
    </row>
    <row r="1187" spans="1:11" hidden="1">
      <c r="A1187" t="str">
        <f t="shared" si="36"/>
        <v>R</v>
      </c>
      <c r="B1187" t="str">
        <f t="shared" si="37"/>
        <v>R1</v>
      </c>
      <c r="C1187" s="568" t="s">
        <v>2599</v>
      </c>
      <c r="D1187" s="568" t="s">
        <v>2591</v>
      </c>
      <c r="E1187" s="569">
        <v>14</v>
      </c>
      <c r="F1187" t="s">
        <v>1374</v>
      </c>
      <c r="G1187" t="s">
        <v>2582</v>
      </c>
      <c r="H1187">
        <v>1</v>
      </c>
      <c r="I1187" t="s">
        <v>2583</v>
      </c>
      <c r="J1187" t="s">
        <v>1349</v>
      </c>
      <c r="K1187" t="s">
        <v>1350</v>
      </c>
    </row>
    <row r="1188" spans="1:11" hidden="1">
      <c r="A1188" t="str">
        <f t="shared" si="36"/>
        <v>R</v>
      </c>
      <c r="B1188" t="str">
        <f t="shared" si="37"/>
        <v>R2</v>
      </c>
      <c r="C1188" s="568" t="s">
        <v>2600</v>
      </c>
      <c r="D1188" s="568" t="s">
        <v>2591</v>
      </c>
      <c r="E1188" s="569">
        <v>14</v>
      </c>
      <c r="F1188" t="s">
        <v>1374</v>
      </c>
      <c r="G1188" t="s">
        <v>2582</v>
      </c>
      <c r="H1188">
        <v>1</v>
      </c>
      <c r="I1188" t="s">
        <v>2583</v>
      </c>
      <c r="J1188" t="s">
        <v>1349</v>
      </c>
      <c r="K1188" t="s">
        <v>1350</v>
      </c>
    </row>
    <row r="1189" spans="1:11" hidden="1">
      <c r="A1189" t="str">
        <f t="shared" si="36"/>
        <v>R</v>
      </c>
      <c r="B1189" t="str">
        <f t="shared" si="37"/>
        <v>R2</v>
      </c>
      <c r="C1189" s="568" t="s">
        <v>2601</v>
      </c>
      <c r="D1189" s="568" t="s">
        <v>2591</v>
      </c>
      <c r="E1189" s="569">
        <v>14</v>
      </c>
      <c r="F1189" t="s">
        <v>1374</v>
      </c>
      <c r="G1189" t="s">
        <v>2582</v>
      </c>
      <c r="H1189">
        <v>1</v>
      </c>
      <c r="I1189" t="s">
        <v>2583</v>
      </c>
      <c r="J1189" t="s">
        <v>1349</v>
      </c>
      <c r="K1189" t="s">
        <v>1350</v>
      </c>
    </row>
    <row r="1190" spans="1:11" hidden="1">
      <c r="A1190" t="str">
        <f t="shared" si="36"/>
        <v>R</v>
      </c>
      <c r="B1190" t="str">
        <f t="shared" si="37"/>
        <v>R2</v>
      </c>
      <c r="C1190" s="568" t="s">
        <v>2602</v>
      </c>
      <c r="D1190" s="568" t="s">
        <v>2591</v>
      </c>
      <c r="E1190" s="569">
        <v>14</v>
      </c>
      <c r="F1190" t="s">
        <v>1374</v>
      </c>
      <c r="G1190" t="s">
        <v>2582</v>
      </c>
      <c r="H1190">
        <v>1</v>
      </c>
      <c r="I1190" t="s">
        <v>2583</v>
      </c>
      <c r="J1190" t="s">
        <v>1349</v>
      </c>
      <c r="K1190" t="s">
        <v>1350</v>
      </c>
    </row>
    <row r="1191" spans="1:11" hidden="1">
      <c r="A1191" t="str">
        <f t="shared" si="36"/>
        <v>R</v>
      </c>
      <c r="B1191" t="str">
        <f t="shared" si="37"/>
        <v>R2</v>
      </c>
      <c r="C1191" s="568" t="s">
        <v>2603</v>
      </c>
      <c r="D1191" s="568" t="s">
        <v>2591</v>
      </c>
      <c r="E1191" s="569">
        <v>14</v>
      </c>
      <c r="F1191" t="s">
        <v>1374</v>
      </c>
      <c r="G1191" t="s">
        <v>2582</v>
      </c>
      <c r="H1191">
        <v>1</v>
      </c>
      <c r="I1191" t="s">
        <v>2583</v>
      </c>
      <c r="J1191" t="s">
        <v>1349</v>
      </c>
      <c r="K1191" t="s">
        <v>1350</v>
      </c>
    </row>
    <row r="1192" spans="1:11" hidden="1">
      <c r="A1192" t="str">
        <f t="shared" si="36"/>
        <v>R</v>
      </c>
      <c r="B1192" t="str">
        <f t="shared" si="37"/>
        <v>R2</v>
      </c>
      <c r="C1192" s="568" t="s">
        <v>2604</v>
      </c>
      <c r="D1192" s="568" t="s">
        <v>2591</v>
      </c>
      <c r="E1192" s="569">
        <v>14</v>
      </c>
      <c r="F1192" t="s">
        <v>1374</v>
      </c>
      <c r="G1192" t="s">
        <v>2582</v>
      </c>
      <c r="H1192">
        <v>1</v>
      </c>
      <c r="I1192" t="s">
        <v>2583</v>
      </c>
      <c r="J1192" t="s">
        <v>1349</v>
      </c>
      <c r="K1192" t="s">
        <v>1350</v>
      </c>
    </row>
    <row r="1193" spans="1:11" hidden="1">
      <c r="A1193" t="str">
        <f t="shared" si="36"/>
        <v>R</v>
      </c>
      <c r="B1193" t="str">
        <f t="shared" si="37"/>
        <v>R2</v>
      </c>
      <c r="C1193" s="568" t="s">
        <v>2605</v>
      </c>
      <c r="D1193" s="568" t="s">
        <v>2591</v>
      </c>
      <c r="E1193" s="569">
        <v>14</v>
      </c>
      <c r="F1193" t="s">
        <v>1374</v>
      </c>
      <c r="G1193" t="s">
        <v>2582</v>
      </c>
      <c r="H1193">
        <v>1</v>
      </c>
      <c r="I1193" t="s">
        <v>2583</v>
      </c>
      <c r="J1193" t="s">
        <v>1349</v>
      </c>
      <c r="K1193" t="s">
        <v>1350</v>
      </c>
    </row>
    <row r="1194" spans="1:11" hidden="1">
      <c r="A1194" t="str">
        <f t="shared" si="36"/>
        <v>R</v>
      </c>
      <c r="B1194" t="str">
        <f t="shared" si="37"/>
        <v>R2</v>
      </c>
      <c r="C1194" s="568" t="s">
        <v>2606</v>
      </c>
      <c r="D1194" s="568" t="s">
        <v>2591</v>
      </c>
      <c r="E1194" s="569">
        <v>14</v>
      </c>
      <c r="F1194" t="s">
        <v>1374</v>
      </c>
      <c r="G1194" t="s">
        <v>2582</v>
      </c>
      <c r="H1194">
        <v>1</v>
      </c>
      <c r="I1194" t="s">
        <v>2583</v>
      </c>
      <c r="J1194" t="s">
        <v>1349</v>
      </c>
      <c r="K1194" t="s">
        <v>1350</v>
      </c>
    </row>
    <row r="1195" spans="1:11" hidden="1">
      <c r="A1195" t="str">
        <f t="shared" si="36"/>
        <v>R</v>
      </c>
      <c r="B1195" t="str">
        <f t="shared" si="37"/>
        <v>R2</v>
      </c>
      <c r="C1195" s="568" t="s">
        <v>2607</v>
      </c>
      <c r="D1195" s="568" t="s">
        <v>2591</v>
      </c>
      <c r="E1195" s="569">
        <v>14</v>
      </c>
      <c r="F1195" t="s">
        <v>1374</v>
      </c>
      <c r="G1195" t="s">
        <v>2582</v>
      </c>
      <c r="H1195">
        <v>1</v>
      </c>
      <c r="I1195" t="s">
        <v>2583</v>
      </c>
      <c r="J1195" t="s">
        <v>1349</v>
      </c>
      <c r="K1195" t="s">
        <v>1350</v>
      </c>
    </row>
    <row r="1196" spans="1:11" hidden="1">
      <c r="A1196" t="str">
        <f t="shared" si="36"/>
        <v>R</v>
      </c>
      <c r="B1196" t="str">
        <f t="shared" si="37"/>
        <v>R2</v>
      </c>
      <c r="C1196" s="568" t="s">
        <v>2608</v>
      </c>
      <c r="D1196" s="568" t="s">
        <v>2581</v>
      </c>
      <c r="E1196" s="569">
        <v>14</v>
      </c>
      <c r="F1196" t="s">
        <v>1374</v>
      </c>
      <c r="G1196" t="s">
        <v>2582</v>
      </c>
      <c r="H1196">
        <v>1</v>
      </c>
      <c r="I1196" t="s">
        <v>2583</v>
      </c>
      <c r="J1196" t="s">
        <v>1349</v>
      </c>
      <c r="K1196" t="s">
        <v>1350</v>
      </c>
    </row>
    <row r="1197" spans="1:11" hidden="1">
      <c r="A1197" t="str">
        <f t="shared" si="36"/>
        <v>R</v>
      </c>
      <c r="B1197" t="str">
        <f t="shared" si="37"/>
        <v>R2</v>
      </c>
      <c r="C1197" s="568" t="s">
        <v>2609</v>
      </c>
      <c r="D1197" s="568" t="s">
        <v>2591</v>
      </c>
      <c r="E1197" s="569">
        <v>14</v>
      </c>
      <c r="F1197" t="s">
        <v>1374</v>
      </c>
      <c r="G1197" t="s">
        <v>2582</v>
      </c>
      <c r="H1197">
        <v>1</v>
      </c>
      <c r="I1197" t="s">
        <v>2583</v>
      </c>
      <c r="J1197" t="s">
        <v>1349</v>
      </c>
      <c r="K1197" t="s">
        <v>1350</v>
      </c>
    </row>
    <row r="1198" spans="1:11" hidden="1">
      <c r="A1198" t="str">
        <f t="shared" si="36"/>
        <v>R</v>
      </c>
      <c r="B1198" t="str">
        <f t="shared" si="37"/>
        <v>R2</v>
      </c>
      <c r="C1198" s="568" t="s">
        <v>2610</v>
      </c>
      <c r="D1198" s="568" t="s">
        <v>2591</v>
      </c>
      <c r="E1198" s="569">
        <v>14</v>
      </c>
      <c r="F1198" t="s">
        <v>1374</v>
      </c>
      <c r="G1198" t="s">
        <v>2582</v>
      </c>
      <c r="H1198">
        <v>1</v>
      </c>
      <c r="I1198" t="s">
        <v>2583</v>
      </c>
      <c r="J1198" t="s">
        <v>1349</v>
      </c>
      <c r="K1198" t="s">
        <v>1350</v>
      </c>
    </row>
    <row r="1199" spans="1:11" hidden="1">
      <c r="A1199" t="str">
        <f t="shared" si="36"/>
        <v>R</v>
      </c>
      <c r="B1199" t="str">
        <f t="shared" si="37"/>
        <v>R2</v>
      </c>
      <c r="C1199" s="568" t="s">
        <v>2611</v>
      </c>
      <c r="D1199" s="568" t="s">
        <v>2591</v>
      </c>
      <c r="E1199" s="569">
        <v>14</v>
      </c>
      <c r="F1199" t="s">
        <v>1374</v>
      </c>
      <c r="G1199" t="s">
        <v>2582</v>
      </c>
      <c r="H1199">
        <v>1</v>
      </c>
      <c r="I1199" t="s">
        <v>2583</v>
      </c>
      <c r="J1199" t="s">
        <v>1349</v>
      </c>
      <c r="K1199" t="s">
        <v>1350</v>
      </c>
    </row>
    <row r="1200" spans="1:11" hidden="1">
      <c r="A1200" t="str">
        <f t="shared" si="36"/>
        <v>R</v>
      </c>
      <c r="B1200" t="str">
        <f t="shared" si="37"/>
        <v>R2</v>
      </c>
      <c r="C1200" s="568" t="s">
        <v>2612</v>
      </c>
      <c r="D1200" s="568" t="s">
        <v>2591</v>
      </c>
      <c r="E1200" s="569">
        <v>14</v>
      </c>
      <c r="F1200" t="s">
        <v>1374</v>
      </c>
      <c r="G1200" t="s">
        <v>2582</v>
      </c>
      <c r="H1200">
        <v>1</v>
      </c>
      <c r="I1200" t="s">
        <v>2583</v>
      </c>
      <c r="J1200" t="s">
        <v>1349</v>
      </c>
      <c r="K1200" t="s">
        <v>1350</v>
      </c>
    </row>
    <row r="1201" spans="1:11" hidden="1">
      <c r="A1201" t="str">
        <f t="shared" si="36"/>
        <v>R</v>
      </c>
      <c r="B1201" t="str">
        <f t="shared" si="37"/>
        <v>R2</v>
      </c>
      <c r="C1201" s="568" t="s">
        <v>2613</v>
      </c>
      <c r="D1201" s="568" t="s">
        <v>2591</v>
      </c>
      <c r="E1201" s="569">
        <v>14</v>
      </c>
      <c r="F1201" t="s">
        <v>1374</v>
      </c>
      <c r="G1201" t="s">
        <v>2582</v>
      </c>
      <c r="H1201">
        <v>1</v>
      </c>
      <c r="I1201" t="s">
        <v>2583</v>
      </c>
      <c r="J1201" t="s">
        <v>1349</v>
      </c>
      <c r="K1201" t="s">
        <v>1350</v>
      </c>
    </row>
    <row r="1202" spans="1:11" hidden="1">
      <c r="A1202" t="str">
        <f t="shared" si="36"/>
        <v>R</v>
      </c>
      <c r="B1202" t="str">
        <f t="shared" si="37"/>
        <v>R2</v>
      </c>
      <c r="C1202" s="568" t="s">
        <v>2614</v>
      </c>
      <c r="D1202" s="568" t="s">
        <v>2591</v>
      </c>
      <c r="E1202" s="569">
        <v>14</v>
      </c>
      <c r="F1202" t="s">
        <v>1374</v>
      </c>
      <c r="G1202" t="s">
        <v>2582</v>
      </c>
      <c r="H1202">
        <v>1</v>
      </c>
      <c r="I1202" t="s">
        <v>2583</v>
      </c>
      <c r="J1202" t="s">
        <v>1349</v>
      </c>
      <c r="K1202" t="s">
        <v>1350</v>
      </c>
    </row>
    <row r="1203" spans="1:11" hidden="1">
      <c r="A1203" t="str">
        <f t="shared" si="36"/>
        <v>R</v>
      </c>
      <c r="B1203" t="str">
        <f t="shared" si="37"/>
        <v>R3</v>
      </c>
      <c r="C1203" s="568" t="s">
        <v>2615</v>
      </c>
      <c r="D1203" s="568" t="s">
        <v>2591</v>
      </c>
      <c r="E1203" s="569">
        <v>14</v>
      </c>
      <c r="F1203" t="s">
        <v>1374</v>
      </c>
      <c r="G1203" t="s">
        <v>2582</v>
      </c>
      <c r="H1203">
        <v>1</v>
      </c>
      <c r="I1203" t="s">
        <v>2583</v>
      </c>
      <c r="J1203" t="s">
        <v>1349</v>
      </c>
      <c r="K1203" t="s">
        <v>1350</v>
      </c>
    </row>
    <row r="1204" spans="1:11" hidden="1">
      <c r="A1204" t="str">
        <f t="shared" si="36"/>
        <v>R</v>
      </c>
      <c r="B1204" t="str">
        <f t="shared" si="37"/>
        <v>R3</v>
      </c>
      <c r="C1204" s="568" t="s">
        <v>2616</v>
      </c>
      <c r="D1204" s="568" t="s">
        <v>2591</v>
      </c>
      <c r="E1204" s="569">
        <v>14</v>
      </c>
      <c r="F1204" t="s">
        <v>1374</v>
      </c>
      <c r="G1204" t="s">
        <v>2582</v>
      </c>
      <c r="H1204">
        <v>1</v>
      </c>
      <c r="I1204" t="s">
        <v>2583</v>
      </c>
      <c r="J1204" t="s">
        <v>1349</v>
      </c>
      <c r="K1204" t="s">
        <v>1350</v>
      </c>
    </row>
    <row r="1205" spans="1:11" hidden="1">
      <c r="A1205" t="str">
        <f t="shared" si="36"/>
        <v>R</v>
      </c>
      <c r="B1205" t="str">
        <f t="shared" si="37"/>
        <v>R3</v>
      </c>
      <c r="C1205" s="568" t="s">
        <v>2617</v>
      </c>
      <c r="D1205" s="568" t="s">
        <v>2591</v>
      </c>
      <c r="E1205" s="569">
        <v>14</v>
      </c>
      <c r="F1205" t="s">
        <v>1374</v>
      </c>
      <c r="G1205" t="s">
        <v>2582</v>
      </c>
      <c r="H1205">
        <v>1</v>
      </c>
      <c r="I1205" t="s">
        <v>2583</v>
      </c>
      <c r="J1205" t="s">
        <v>1349</v>
      </c>
      <c r="K1205" t="s">
        <v>1350</v>
      </c>
    </row>
    <row r="1206" spans="1:11" hidden="1">
      <c r="A1206" t="str">
        <f t="shared" si="36"/>
        <v>R</v>
      </c>
      <c r="B1206" t="str">
        <f t="shared" si="37"/>
        <v>R3</v>
      </c>
      <c r="C1206" s="568" t="s">
        <v>2618</v>
      </c>
      <c r="D1206" s="568" t="s">
        <v>2591</v>
      </c>
      <c r="E1206" s="569">
        <v>14</v>
      </c>
      <c r="F1206" t="s">
        <v>1374</v>
      </c>
      <c r="G1206" t="s">
        <v>2582</v>
      </c>
      <c r="H1206">
        <v>1</v>
      </c>
      <c r="I1206" t="s">
        <v>2583</v>
      </c>
      <c r="J1206" t="s">
        <v>1349</v>
      </c>
      <c r="K1206" t="s">
        <v>1350</v>
      </c>
    </row>
    <row r="1207" spans="1:11" hidden="1">
      <c r="A1207" t="str">
        <f t="shared" si="36"/>
        <v>R</v>
      </c>
      <c r="B1207" t="str">
        <f t="shared" si="37"/>
        <v>R3</v>
      </c>
      <c r="C1207" s="568" t="s">
        <v>2619</v>
      </c>
      <c r="D1207" s="568" t="s">
        <v>2591</v>
      </c>
      <c r="E1207" s="569">
        <v>14</v>
      </c>
      <c r="F1207" t="s">
        <v>1374</v>
      </c>
      <c r="G1207" t="s">
        <v>2582</v>
      </c>
      <c r="H1207">
        <v>1</v>
      </c>
      <c r="I1207" t="s">
        <v>2583</v>
      </c>
      <c r="J1207" t="s">
        <v>1349</v>
      </c>
      <c r="K1207" t="s">
        <v>1350</v>
      </c>
    </row>
    <row r="1208" spans="1:11" hidden="1">
      <c r="A1208" t="str">
        <f t="shared" si="36"/>
        <v>R</v>
      </c>
      <c r="B1208" t="str">
        <f t="shared" si="37"/>
        <v>R3</v>
      </c>
      <c r="C1208" s="568" t="s">
        <v>2620</v>
      </c>
      <c r="D1208" s="568" t="s">
        <v>2591</v>
      </c>
      <c r="E1208" s="569">
        <v>14</v>
      </c>
      <c r="F1208" t="s">
        <v>1374</v>
      </c>
      <c r="G1208" t="s">
        <v>2582</v>
      </c>
      <c r="H1208">
        <v>1</v>
      </c>
      <c r="I1208" t="s">
        <v>2583</v>
      </c>
      <c r="J1208" t="s">
        <v>1349</v>
      </c>
      <c r="K1208" t="s">
        <v>1350</v>
      </c>
    </row>
    <row r="1209" spans="1:11" hidden="1">
      <c r="A1209" t="str">
        <f t="shared" si="36"/>
        <v>R</v>
      </c>
      <c r="B1209" t="str">
        <f t="shared" si="37"/>
        <v>R3</v>
      </c>
      <c r="C1209" s="568" t="s">
        <v>2621</v>
      </c>
      <c r="D1209" s="568" t="s">
        <v>2591</v>
      </c>
      <c r="E1209" s="569">
        <v>14</v>
      </c>
      <c r="F1209" t="s">
        <v>1374</v>
      </c>
      <c r="G1209" t="s">
        <v>2582</v>
      </c>
      <c r="H1209">
        <v>1</v>
      </c>
      <c r="I1209" t="s">
        <v>2583</v>
      </c>
      <c r="J1209" t="s">
        <v>1349</v>
      </c>
      <c r="K1209" t="s">
        <v>1350</v>
      </c>
    </row>
    <row r="1210" spans="1:11" hidden="1">
      <c r="A1210" t="str">
        <f t="shared" si="36"/>
        <v>R</v>
      </c>
      <c r="B1210" t="str">
        <f t="shared" si="37"/>
        <v>R3</v>
      </c>
      <c r="C1210" s="568" t="s">
        <v>2622</v>
      </c>
      <c r="D1210" s="568" t="s">
        <v>2591</v>
      </c>
      <c r="E1210" s="569">
        <v>14</v>
      </c>
      <c r="F1210" t="s">
        <v>1374</v>
      </c>
      <c r="G1210" t="s">
        <v>2582</v>
      </c>
      <c r="H1210">
        <v>1</v>
      </c>
      <c r="I1210" t="s">
        <v>2583</v>
      </c>
      <c r="J1210" t="s">
        <v>1349</v>
      </c>
      <c r="K1210" t="s">
        <v>1350</v>
      </c>
    </row>
    <row r="1211" spans="1:11" hidden="1">
      <c r="A1211" t="str">
        <f t="shared" si="36"/>
        <v>R</v>
      </c>
      <c r="B1211" t="str">
        <f t="shared" si="37"/>
        <v>R3</v>
      </c>
      <c r="C1211" s="568" t="s">
        <v>2623</v>
      </c>
      <c r="D1211" s="568" t="s">
        <v>2591</v>
      </c>
      <c r="E1211" s="569">
        <v>14</v>
      </c>
      <c r="F1211" t="s">
        <v>1374</v>
      </c>
      <c r="G1211" t="s">
        <v>2582</v>
      </c>
      <c r="H1211">
        <v>1</v>
      </c>
      <c r="I1211" t="s">
        <v>2583</v>
      </c>
      <c r="J1211" t="s">
        <v>1349</v>
      </c>
      <c r="K1211" t="s">
        <v>1350</v>
      </c>
    </row>
    <row r="1212" spans="1:11" hidden="1">
      <c r="A1212" t="str">
        <f t="shared" si="36"/>
        <v>R</v>
      </c>
      <c r="B1212" t="str">
        <f t="shared" si="37"/>
        <v>R3</v>
      </c>
      <c r="C1212" s="568" t="s">
        <v>2624</v>
      </c>
      <c r="D1212" s="568" t="s">
        <v>2591</v>
      </c>
      <c r="E1212" s="569">
        <v>14</v>
      </c>
      <c r="F1212" t="s">
        <v>1374</v>
      </c>
      <c r="G1212" t="s">
        <v>2582</v>
      </c>
      <c r="H1212">
        <v>1</v>
      </c>
      <c r="I1212" t="s">
        <v>2583</v>
      </c>
      <c r="J1212" t="s">
        <v>1349</v>
      </c>
      <c r="K1212" t="s">
        <v>1350</v>
      </c>
    </row>
    <row r="1213" spans="1:11" hidden="1">
      <c r="A1213" t="str">
        <f t="shared" si="36"/>
        <v>R</v>
      </c>
      <c r="B1213" t="str">
        <f t="shared" si="37"/>
        <v>R3</v>
      </c>
      <c r="C1213" s="568" t="s">
        <v>2625</v>
      </c>
      <c r="D1213" s="568" t="s">
        <v>2581</v>
      </c>
      <c r="E1213" s="569">
        <v>14</v>
      </c>
      <c r="F1213" t="s">
        <v>1374</v>
      </c>
      <c r="G1213" t="s">
        <v>2582</v>
      </c>
      <c r="H1213">
        <v>1</v>
      </c>
      <c r="I1213" t="s">
        <v>2583</v>
      </c>
      <c r="J1213" t="s">
        <v>1349</v>
      </c>
      <c r="K1213" t="s">
        <v>1350</v>
      </c>
    </row>
    <row r="1214" spans="1:11" hidden="1">
      <c r="A1214" t="str">
        <f t="shared" si="36"/>
        <v>R</v>
      </c>
      <c r="B1214" t="str">
        <f t="shared" si="37"/>
        <v>R3</v>
      </c>
      <c r="C1214" s="568" t="s">
        <v>2626</v>
      </c>
      <c r="D1214" s="568" t="s">
        <v>2581</v>
      </c>
      <c r="E1214" s="569">
        <v>14</v>
      </c>
      <c r="F1214" t="s">
        <v>1374</v>
      </c>
      <c r="G1214" t="s">
        <v>2582</v>
      </c>
      <c r="H1214">
        <v>1</v>
      </c>
      <c r="I1214" t="s">
        <v>2583</v>
      </c>
      <c r="J1214" t="s">
        <v>1349</v>
      </c>
      <c r="K1214" t="s">
        <v>1350</v>
      </c>
    </row>
    <row r="1215" spans="1:11" hidden="1">
      <c r="A1215" t="str">
        <f t="shared" si="36"/>
        <v>R</v>
      </c>
      <c r="B1215" t="str">
        <f t="shared" si="37"/>
        <v>R3</v>
      </c>
      <c r="C1215" s="568" t="s">
        <v>2627</v>
      </c>
      <c r="D1215" s="568" t="s">
        <v>2591</v>
      </c>
      <c r="E1215" s="569">
        <v>14</v>
      </c>
      <c r="F1215" t="s">
        <v>1374</v>
      </c>
      <c r="G1215" t="s">
        <v>2582</v>
      </c>
      <c r="H1215">
        <v>1</v>
      </c>
      <c r="I1215" t="s">
        <v>2583</v>
      </c>
      <c r="J1215" t="s">
        <v>1349</v>
      </c>
      <c r="K1215" t="s">
        <v>1350</v>
      </c>
    </row>
    <row r="1216" spans="1:11" hidden="1">
      <c r="A1216" t="str">
        <f t="shared" si="36"/>
        <v>R</v>
      </c>
      <c r="B1216" t="str">
        <f t="shared" si="37"/>
        <v>R3</v>
      </c>
      <c r="C1216" s="568" t="s">
        <v>2628</v>
      </c>
      <c r="D1216" s="568" t="s">
        <v>2591</v>
      </c>
      <c r="E1216" s="569">
        <v>14</v>
      </c>
      <c r="F1216" t="s">
        <v>1374</v>
      </c>
      <c r="G1216" t="s">
        <v>2582</v>
      </c>
      <c r="H1216">
        <v>1</v>
      </c>
      <c r="I1216" t="s">
        <v>2583</v>
      </c>
      <c r="J1216" t="s">
        <v>1349</v>
      </c>
      <c r="K1216" t="s">
        <v>1350</v>
      </c>
    </row>
    <row r="1217" spans="1:11" hidden="1">
      <c r="A1217" t="str">
        <f t="shared" si="36"/>
        <v>R</v>
      </c>
      <c r="B1217" t="str">
        <f t="shared" si="37"/>
        <v>R3</v>
      </c>
      <c r="C1217" s="568" t="s">
        <v>2629</v>
      </c>
      <c r="D1217" s="568" t="s">
        <v>2581</v>
      </c>
      <c r="E1217" s="569">
        <v>14</v>
      </c>
      <c r="F1217" t="s">
        <v>1374</v>
      </c>
      <c r="G1217" t="s">
        <v>2582</v>
      </c>
      <c r="H1217">
        <v>1</v>
      </c>
      <c r="I1217" t="s">
        <v>2583</v>
      </c>
      <c r="J1217" t="s">
        <v>1349</v>
      </c>
      <c r="K1217" t="s">
        <v>1350</v>
      </c>
    </row>
    <row r="1218" spans="1:11" hidden="1">
      <c r="A1218" t="str">
        <f t="shared" si="36"/>
        <v>R</v>
      </c>
      <c r="B1218" t="str">
        <f t="shared" si="37"/>
        <v>R3</v>
      </c>
      <c r="C1218" s="568" t="s">
        <v>2630</v>
      </c>
      <c r="D1218" s="568" t="s">
        <v>2581</v>
      </c>
      <c r="E1218" s="569">
        <v>14</v>
      </c>
      <c r="F1218" t="s">
        <v>1374</v>
      </c>
      <c r="G1218" t="s">
        <v>2582</v>
      </c>
      <c r="H1218">
        <v>1</v>
      </c>
      <c r="I1218" t="s">
        <v>2583</v>
      </c>
      <c r="J1218" t="s">
        <v>1349</v>
      </c>
      <c r="K1218" t="s">
        <v>1350</v>
      </c>
    </row>
    <row r="1219" spans="1:11" hidden="1">
      <c r="A1219" t="str">
        <f t="shared" ref="A1219:A1282" si="38">LEFT(C1219)</f>
        <v>R</v>
      </c>
      <c r="B1219" t="str">
        <f t="shared" si="37"/>
        <v>R3</v>
      </c>
      <c r="C1219" s="568" t="s">
        <v>2631</v>
      </c>
      <c r="D1219" s="568" t="s">
        <v>2581</v>
      </c>
      <c r="E1219" s="569">
        <v>14</v>
      </c>
      <c r="F1219" t="s">
        <v>1374</v>
      </c>
      <c r="G1219" t="s">
        <v>2582</v>
      </c>
      <c r="H1219">
        <v>1</v>
      </c>
      <c r="I1219" t="s">
        <v>2583</v>
      </c>
      <c r="J1219" t="s">
        <v>1349</v>
      </c>
      <c r="K1219" t="s">
        <v>1350</v>
      </c>
    </row>
    <row r="1220" spans="1:11" hidden="1">
      <c r="A1220" t="str">
        <f t="shared" si="38"/>
        <v>R</v>
      </c>
      <c r="B1220" t="str">
        <f t="shared" ref="B1220:B1283" si="39">LEFT(C1220,2)</f>
        <v>R3</v>
      </c>
      <c r="C1220" s="568" t="s">
        <v>2632</v>
      </c>
      <c r="D1220" s="568" t="s">
        <v>2581</v>
      </c>
      <c r="E1220" s="569">
        <v>14</v>
      </c>
      <c r="F1220" t="s">
        <v>1374</v>
      </c>
      <c r="G1220" t="s">
        <v>2582</v>
      </c>
      <c r="H1220">
        <v>1</v>
      </c>
      <c r="I1220" t="s">
        <v>2583</v>
      </c>
      <c r="J1220" t="s">
        <v>1349</v>
      </c>
      <c r="K1220" t="s">
        <v>1350</v>
      </c>
    </row>
    <row r="1221" spans="1:11" hidden="1">
      <c r="A1221" t="str">
        <f t="shared" si="38"/>
        <v>R</v>
      </c>
      <c r="B1221" t="str">
        <f t="shared" si="39"/>
        <v>R3</v>
      </c>
      <c r="C1221" s="568" t="s">
        <v>2633</v>
      </c>
      <c r="D1221" s="568" t="s">
        <v>2581</v>
      </c>
      <c r="E1221" s="569">
        <v>14</v>
      </c>
      <c r="F1221" t="s">
        <v>1374</v>
      </c>
      <c r="G1221" t="s">
        <v>2582</v>
      </c>
      <c r="H1221">
        <v>1</v>
      </c>
      <c r="I1221" t="s">
        <v>2583</v>
      </c>
      <c r="J1221" t="s">
        <v>1349</v>
      </c>
      <c r="K1221" t="s">
        <v>1350</v>
      </c>
    </row>
    <row r="1222" spans="1:11" hidden="1">
      <c r="A1222" t="str">
        <f t="shared" si="38"/>
        <v>R</v>
      </c>
      <c r="B1222" t="str">
        <f t="shared" si="39"/>
        <v>R4</v>
      </c>
      <c r="C1222" s="568" t="s">
        <v>2634</v>
      </c>
      <c r="D1222" s="568" t="s">
        <v>2587</v>
      </c>
      <c r="E1222" s="569">
        <v>14</v>
      </c>
      <c r="F1222" t="s">
        <v>1374</v>
      </c>
      <c r="G1222" t="s">
        <v>2582</v>
      </c>
      <c r="H1222">
        <v>1</v>
      </c>
      <c r="I1222" t="s">
        <v>2583</v>
      </c>
      <c r="J1222" t="s">
        <v>1349</v>
      </c>
      <c r="K1222" t="s">
        <v>1350</v>
      </c>
    </row>
    <row r="1223" spans="1:11" hidden="1">
      <c r="A1223" t="str">
        <f t="shared" si="38"/>
        <v>R</v>
      </c>
      <c r="B1223" t="str">
        <f t="shared" si="39"/>
        <v>R4</v>
      </c>
      <c r="C1223" s="568" t="s">
        <v>2635</v>
      </c>
      <c r="D1223" s="568" t="s">
        <v>2591</v>
      </c>
      <c r="E1223" s="569">
        <v>14</v>
      </c>
      <c r="F1223" t="s">
        <v>1374</v>
      </c>
      <c r="G1223" t="s">
        <v>2582</v>
      </c>
      <c r="H1223">
        <v>1</v>
      </c>
      <c r="I1223" t="s">
        <v>2583</v>
      </c>
      <c r="J1223" t="s">
        <v>1349</v>
      </c>
      <c r="K1223" t="s">
        <v>1350</v>
      </c>
    </row>
    <row r="1224" spans="1:11" hidden="1">
      <c r="A1224" t="str">
        <f t="shared" si="38"/>
        <v>R</v>
      </c>
      <c r="B1224" t="str">
        <f t="shared" si="39"/>
        <v>R4</v>
      </c>
      <c r="C1224" s="568" t="s">
        <v>2636</v>
      </c>
      <c r="D1224" s="568" t="s">
        <v>2591</v>
      </c>
      <c r="E1224" s="569">
        <v>14</v>
      </c>
      <c r="F1224" t="s">
        <v>1374</v>
      </c>
      <c r="G1224" t="s">
        <v>2582</v>
      </c>
      <c r="H1224">
        <v>1</v>
      </c>
      <c r="I1224" t="s">
        <v>2583</v>
      </c>
      <c r="J1224" t="s">
        <v>1349</v>
      </c>
      <c r="K1224" t="s">
        <v>1350</v>
      </c>
    </row>
    <row r="1225" spans="1:11" hidden="1">
      <c r="A1225" t="str">
        <f t="shared" si="38"/>
        <v>R</v>
      </c>
      <c r="B1225" t="str">
        <f t="shared" si="39"/>
        <v>R4</v>
      </c>
      <c r="C1225" s="568" t="s">
        <v>2637</v>
      </c>
      <c r="D1225" s="568" t="s">
        <v>2581</v>
      </c>
      <c r="E1225" s="569">
        <v>14</v>
      </c>
      <c r="F1225" t="s">
        <v>1374</v>
      </c>
      <c r="G1225" t="s">
        <v>2582</v>
      </c>
      <c r="H1225">
        <v>1</v>
      </c>
      <c r="I1225" t="s">
        <v>2583</v>
      </c>
      <c r="J1225" t="s">
        <v>1349</v>
      </c>
      <c r="K1225" t="s">
        <v>1350</v>
      </c>
    </row>
    <row r="1226" spans="1:11" hidden="1">
      <c r="A1226" t="str">
        <f t="shared" si="38"/>
        <v>R</v>
      </c>
      <c r="B1226" t="str">
        <f t="shared" si="39"/>
        <v>R4</v>
      </c>
      <c r="C1226" s="568" t="s">
        <v>2638</v>
      </c>
      <c r="D1226" s="568" t="s">
        <v>2591</v>
      </c>
      <c r="E1226" s="569">
        <v>14</v>
      </c>
      <c r="F1226" t="s">
        <v>1374</v>
      </c>
      <c r="G1226" t="s">
        <v>2582</v>
      </c>
      <c r="H1226">
        <v>1</v>
      </c>
      <c r="I1226" t="s">
        <v>2583</v>
      </c>
      <c r="J1226" t="s">
        <v>1349</v>
      </c>
      <c r="K1226" t="s">
        <v>1350</v>
      </c>
    </row>
    <row r="1227" spans="1:11" hidden="1">
      <c r="A1227" t="str">
        <f t="shared" si="38"/>
        <v>R</v>
      </c>
      <c r="B1227" t="str">
        <f t="shared" si="39"/>
        <v>R5</v>
      </c>
      <c r="C1227" s="568" t="s">
        <v>2639</v>
      </c>
      <c r="D1227" s="568" t="s">
        <v>2581</v>
      </c>
      <c r="E1227" s="569">
        <v>14</v>
      </c>
      <c r="F1227" t="s">
        <v>1374</v>
      </c>
      <c r="G1227" t="s">
        <v>2582</v>
      </c>
      <c r="H1227">
        <v>1</v>
      </c>
      <c r="I1227" t="s">
        <v>2583</v>
      </c>
      <c r="J1227" t="s">
        <v>1349</v>
      </c>
      <c r="K1227" t="s">
        <v>1350</v>
      </c>
    </row>
    <row r="1228" spans="1:11" hidden="1">
      <c r="A1228" t="str">
        <f t="shared" si="38"/>
        <v>R</v>
      </c>
      <c r="B1228" t="str">
        <f t="shared" si="39"/>
        <v>R5</v>
      </c>
      <c r="C1228" s="568" t="s">
        <v>2640</v>
      </c>
      <c r="D1228" s="568" t="s">
        <v>2581</v>
      </c>
      <c r="E1228" s="569">
        <v>14</v>
      </c>
      <c r="F1228" t="s">
        <v>1374</v>
      </c>
      <c r="G1228" t="s">
        <v>2582</v>
      </c>
      <c r="H1228">
        <v>1</v>
      </c>
      <c r="I1228" t="s">
        <v>2583</v>
      </c>
      <c r="J1228" t="s">
        <v>1349</v>
      </c>
      <c r="K1228" t="s">
        <v>1350</v>
      </c>
    </row>
    <row r="1229" spans="1:11" hidden="1">
      <c r="A1229" t="str">
        <f t="shared" si="38"/>
        <v>R</v>
      </c>
      <c r="B1229" t="str">
        <f t="shared" si="39"/>
        <v>R5</v>
      </c>
      <c r="C1229" s="568" t="s">
        <v>2641</v>
      </c>
      <c r="D1229" s="568" t="s">
        <v>2591</v>
      </c>
      <c r="E1229" s="569">
        <v>14</v>
      </c>
      <c r="F1229" t="s">
        <v>1374</v>
      </c>
      <c r="G1229" t="s">
        <v>2582</v>
      </c>
      <c r="H1229">
        <v>1</v>
      </c>
      <c r="I1229" t="s">
        <v>2583</v>
      </c>
      <c r="J1229" t="s">
        <v>1349</v>
      </c>
      <c r="K1229" t="s">
        <v>1350</v>
      </c>
    </row>
    <row r="1230" spans="1:11" hidden="1">
      <c r="A1230" t="str">
        <f t="shared" si="38"/>
        <v>R</v>
      </c>
      <c r="B1230" t="str">
        <f t="shared" si="39"/>
        <v>R6</v>
      </c>
      <c r="C1230" s="568" t="s">
        <v>2642</v>
      </c>
      <c r="D1230" s="568" t="s">
        <v>2591</v>
      </c>
      <c r="E1230" s="569">
        <v>14</v>
      </c>
      <c r="F1230" t="s">
        <v>1374</v>
      </c>
      <c r="G1230" t="s">
        <v>2582</v>
      </c>
      <c r="H1230">
        <v>1</v>
      </c>
      <c r="I1230" t="s">
        <v>2583</v>
      </c>
      <c r="J1230" t="s">
        <v>1349</v>
      </c>
      <c r="K1230" t="s">
        <v>1350</v>
      </c>
    </row>
    <row r="1231" spans="1:11" hidden="1">
      <c r="A1231" t="str">
        <f t="shared" si="38"/>
        <v>R</v>
      </c>
      <c r="B1231" t="str">
        <f t="shared" si="39"/>
        <v>R6</v>
      </c>
      <c r="C1231" s="568" t="s">
        <v>2643</v>
      </c>
      <c r="D1231" s="568" t="s">
        <v>2581</v>
      </c>
      <c r="E1231" s="569">
        <v>14</v>
      </c>
      <c r="F1231" t="s">
        <v>1374</v>
      </c>
      <c r="G1231" t="s">
        <v>2582</v>
      </c>
      <c r="H1231">
        <v>1</v>
      </c>
      <c r="I1231" t="s">
        <v>2583</v>
      </c>
      <c r="J1231" t="s">
        <v>1349</v>
      </c>
      <c r="K1231" t="s">
        <v>1350</v>
      </c>
    </row>
    <row r="1232" spans="1:11" hidden="1">
      <c r="A1232" t="str">
        <f t="shared" si="38"/>
        <v>R</v>
      </c>
      <c r="B1232" t="str">
        <f t="shared" si="39"/>
        <v>R7</v>
      </c>
      <c r="C1232" s="568" t="s">
        <v>2644</v>
      </c>
      <c r="D1232" s="568" t="s">
        <v>2591</v>
      </c>
      <c r="E1232" s="569">
        <v>14</v>
      </c>
      <c r="F1232" t="s">
        <v>1374</v>
      </c>
      <c r="G1232" t="s">
        <v>2582</v>
      </c>
      <c r="H1232">
        <v>1</v>
      </c>
      <c r="I1232" t="s">
        <v>2583</v>
      </c>
      <c r="J1232" t="s">
        <v>1349</v>
      </c>
      <c r="K1232" t="s">
        <v>1350</v>
      </c>
    </row>
    <row r="1233" spans="1:11" hidden="1">
      <c r="A1233" t="str">
        <f t="shared" si="38"/>
        <v>R</v>
      </c>
      <c r="B1233" t="str">
        <f t="shared" si="39"/>
        <v>R7</v>
      </c>
      <c r="C1233" s="568" t="s">
        <v>2645</v>
      </c>
      <c r="D1233" s="568" t="s">
        <v>2591</v>
      </c>
      <c r="E1233" s="569">
        <v>14</v>
      </c>
      <c r="F1233" t="s">
        <v>1374</v>
      </c>
      <c r="G1233" t="s">
        <v>2582</v>
      </c>
      <c r="H1233">
        <v>1</v>
      </c>
      <c r="I1233" t="s">
        <v>2583</v>
      </c>
      <c r="J1233" t="s">
        <v>1349</v>
      </c>
      <c r="K1233" t="s">
        <v>1350</v>
      </c>
    </row>
    <row r="1234" spans="1:11" hidden="1">
      <c r="A1234" t="str">
        <f t="shared" si="38"/>
        <v>R</v>
      </c>
      <c r="B1234" t="str">
        <f t="shared" si="39"/>
        <v>R7</v>
      </c>
      <c r="C1234" s="568" t="s">
        <v>2646</v>
      </c>
      <c r="D1234" s="568" t="s">
        <v>2591</v>
      </c>
      <c r="E1234" s="569">
        <v>14</v>
      </c>
      <c r="F1234" t="s">
        <v>1374</v>
      </c>
      <c r="G1234" t="s">
        <v>2582</v>
      </c>
      <c r="H1234">
        <v>1</v>
      </c>
      <c r="I1234" t="s">
        <v>2583</v>
      </c>
      <c r="J1234" t="s">
        <v>1349</v>
      </c>
      <c r="K1234" t="s">
        <v>1350</v>
      </c>
    </row>
    <row r="1235" spans="1:11" hidden="1">
      <c r="A1235" t="str">
        <f t="shared" si="38"/>
        <v>R</v>
      </c>
      <c r="B1235" t="str">
        <f t="shared" si="39"/>
        <v>R7</v>
      </c>
      <c r="C1235" s="568" t="s">
        <v>2647</v>
      </c>
      <c r="D1235" s="568" t="s">
        <v>2585</v>
      </c>
      <c r="E1235" s="569">
        <v>14</v>
      </c>
      <c r="F1235" t="s">
        <v>1374</v>
      </c>
      <c r="G1235" t="s">
        <v>2582</v>
      </c>
      <c r="H1235">
        <v>1</v>
      </c>
      <c r="I1235" t="s">
        <v>2583</v>
      </c>
      <c r="J1235" t="s">
        <v>1349</v>
      </c>
      <c r="K1235" t="s">
        <v>1350</v>
      </c>
    </row>
    <row r="1236" spans="1:11" hidden="1">
      <c r="A1236" t="str">
        <f t="shared" si="38"/>
        <v>R</v>
      </c>
      <c r="B1236" t="str">
        <f t="shared" si="39"/>
        <v>R8</v>
      </c>
      <c r="C1236" s="568" t="s">
        <v>2648</v>
      </c>
      <c r="D1236" s="568" t="s">
        <v>2585</v>
      </c>
      <c r="E1236" s="569">
        <v>14</v>
      </c>
      <c r="F1236" t="s">
        <v>1374</v>
      </c>
      <c r="G1236" t="s">
        <v>2582</v>
      </c>
      <c r="H1236">
        <v>1</v>
      </c>
      <c r="I1236" t="s">
        <v>2583</v>
      </c>
      <c r="J1236" t="s">
        <v>1349</v>
      </c>
      <c r="K1236" t="s">
        <v>1350</v>
      </c>
    </row>
    <row r="1237" spans="1:11" hidden="1">
      <c r="A1237" t="str">
        <f t="shared" si="38"/>
        <v>R</v>
      </c>
      <c r="B1237" t="str">
        <f t="shared" si="39"/>
        <v>R8</v>
      </c>
      <c r="C1237" s="568" t="s">
        <v>2649</v>
      </c>
      <c r="D1237" s="568" t="s">
        <v>2585</v>
      </c>
      <c r="E1237" s="569">
        <v>14</v>
      </c>
      <c r="F1237" t="s">
        <v>1374</v>
      </c>
      <c r="G1237" t="s">
        <v>2582</v>
      </c>
      <c r="H1237">
        <v>1</v>
      </c>
      <c r="I1237" t="s">
        <v>2583</v>
      </c>
      <c r="J1237" t="s">
        <v>1349</v>
      </c>
      <c r="K1237" t="s">
        <v>1350</v>
      </c>
    </row>
    <row r="1238" spans="1:11" hidden="1">
      <c r="A1238" t="str">
        <f t="shared" si="38"/>
        <v>R</v>
      </c>
      <c r="B1238" t="str">
        <f t="shared" si="39"/>
        <v>R9</v>
      </c>
      <c r="C1238" s="568" t="s">
        <v>2650</v>
      </c>
      <c r="D1238" s="568" t="s">
        <v>2585</v>
      </c>
      <c r="E1238" s="569">
        <v>14</v>
      </c>
      <c r="F1238" t="s">
        <v>1374</v>
      </c>
      <c r="G1238" t="s">
        <v>2582</v>
      </c>
      <c r="H1238">
        <v>1</v>
      </c>
      <c r="I1238" t="s">
        <v>2583</v>
      </c>
      <c r="J1238" t="s">
        <v>1349</v>
      </c>
      <c r="K1238" t="s">
        <v>1350</v>
      </c>
    </row>
    <row r="1239" spans="1:11" hidden="1">
      <c r="A1239" t="str">
        <f t="shared" si="38"/>
        <v>S</v>
      </c>
      <c r="B1239" t="str">
        <f t="shared" si="39"/>
        <v>S0</v>
      </c>
      <c r="C1239" s="568" t="s">
        <v>2651</v>
      </c>
      <c r="D1239" s="568" t="s">
        <v>2585</v>
      </c>
      <c r="E1239" s="569">
        <v>13</v>
      </c>
      <c r="F1239" t="s">
        <v>1374</v>
      </c>
      <c r="G1239" t="s">
        <v>2582</v>
      </c>
      <c r="H1239">
        <v>2</v>
      </c>
      <c r="I1239" t="s">
        <v>2583</v>
      </c>
      <c r="J1239" t="s">
        <v>1349</v>
      </c>
      <c r="K1239" t="s">
        <v>1350</v>
      </c>
    </row>
    <row r="1240" spans="1:11" hidden="1">
      <c r="A1240" t="str">
        <f t="shared" si="38"/>
        <v>S</v>
      </c>
      <c r="B1240" t="str">
        <f t="shared" si="39"/>
        <v>S0</v>
      </c>
      <c r="C1240" s="568" t="s">
        <v>2652</v>
      </c>
      <c r="D1240" s="568" t="s">
        <v>2653</v>
      </c>
      <c r="E1240" s="569">
        <v>13</v>
      </c>
      <c r="F1240" t="s">
        <v>1374</v>
      </c>
      <c r="G1240" t="s">
        <v>2582</v>
      </c>
      <c r="H1240">
        <v>2</v>
      </c>
      <c r="I1240" t="s">
        <v>2583</v>
      </c>
      <c r="J1240" t="s">
        <v>1349</v>
      </c>
      <c r="K1240" t="s">
        <v>1350</v>
      </c>
    </row>
    <row r="1241" spans="1:11" hidden="1">
      <c r="A1241" t="str">
        <f t="shared" si="38"/>
        <v>S</v>
      </c>
      <c r="B1241" t="str">
        <f t="shared" si="39"/>
        <v>S0</v>
      </c>
      <c r="C1241" s="568" t="s">
        <v>2654</v>
      </c>
      <c r="D1241" s="568" t="s">
        <v>2585</v>
      </c>
      <c r="E1241" s="569">
        <v>13</v>
      </c>
      <c r="F1241" t="s">
        <v>1374</v>
      </c>
      <c r="G1241" t="s">
        <v>2582</v>
      </c>
      <c r="H1241">
        <v>2</v>
      </c>
      <c r="I1241" t="s">
        <v>2583</v>
      </c>
      <c r="J1241" t="s">
        <v>1349</v>
      </c>
      <c r="K1241" t="s">
        <v>1350</v>
      </c>
    </row>
    <row r="1242" spans="1:11" hidden="1">
      <c r="A1242" t="str">
        <f t="shared" si="38"/>
        <v>S</v>
      </c>
      <c r="B1242" t="str">
        <f t="shared" si="39"/>
        <v>S0</v>
      </c>
      <c r="C1242" s="568" t="s">
        <v>2655</v>
      </c>
      <c r="D1242" s="568" t="s">
        <v>2581</v>
      </c>
      <c r="E1242" s="569">
        <v>13</v>
      </c>
      <c r="F1242" t="s">
        <v>1374</v>
      </c>
      <c r="G1242" t="s">
        <v>2582</v>
      </c>
      <c r="H1242">
        <v>2</v>
      </c>
      <c r="I1242" t="s">
        <v>2583</v>
      </c>
      <c r="J1242" t="s">
        <v>1349</v>
      </c>
      <c r="K1242" t="s">
        <v>1350</v>
      </c>
    </row>
    <row r="1243" spans="1:11" hidden="1">
      <c r="A1243" t="str">
        <f t="shared" si="38"/>
        <v>S</v>
      </c>
      <c r="B1243" t="str">
        <f t="shared" si="39"/>
        <v>S0</v>
      </c>
      <c r="C1243" s="568" t="s">
        <v>2656</v>
      </c>
      <c r="D1243" s="568" t="s">
        <v>2581</v>
      </c>
      <c r="E1243" s="569">
        <v>13</v>
      </c>
      <c r="F1243" t="s">
        <v>1374</v>
      </c>
      <c r="G1243" t="s">
        <v>2582</v>
      </c>
      <c r="H1243">
        <v>2</v>
      </c>
      <c r="I1243" t="s">
        <v>2583</v>
      </c>
      <c r="J1243" t="s">
        <v>1349</v>
      </c>
      <c r="K1243" t="s">
        <v>1350</v>
      </c>
    </row>
    <row r="1244" spans="1:11" hidden="1">
      <c r="A1244" t="str">
        <f t="shared" si="38"/>
        <v>S</v>
      </c>
      <c r="B1244" t="str">
        <f t="shared" si="39"/>
        <v>S0</v>
      </c>
      <c r="C1244" s="568" t="s">
        <v>2657</v>
      </c>
      <c r="D1244" s="568" t="s">
        <v>2585</v>
      </c>
      <c r="E1244" s="569">
        <v>13</v>
      </c>
      <c r="F1244" t="s">
        <v>1374</v>
      </c>
      <c r="G1244" t="s">
        <v>2582</v>
      </c>
      <c r="H1244">
        <v>2</v>
      </c>
      <c r="I1244" t="s">
        <v>2583</v>
      </c>
      <c r="J1244" t="s">
        <v>1349</v>
      </c>
      <c r="K1244" t="s">
        <v>1350</v>
      </c>
    </row>
    <row r="1245" spans="1:11" hidden="1">
      <c r="A1245" t="str">
        <f t="shared" si="38"/>
        <v>S</v>
      </c>
      <c r="B1245" t="str">
        <f t="shared" si="39"/>
        <v>S0</v>
      </c>
      <c r="C1245" s="568" t="s">
        <v>2658</v>
      </c>
      <c r="D1245" s="568" t="s">
        <v>2585</v>
      </c>
      <c r="E1245" s="569">
        <v>13</v>
      </c>
      <c r="F1245" t="s">
        <v>1374</v>
      </c>
      <c r="G1245" t="s">
        <v>2582</v>
      </c>
      <c r="H1245">
        <v>2</v>
      </c>
      <c r="I1245" t="s">
        <v>2583</v>
      </c>
      <c r="J1245" t="s">
        <v>1349</v>
      </c>
      <c r="K1245" t="s">
        <v>1350</v>
      </c>
    </row>
    <row r="1246" spans="1:11" hidden="1">
      <c r="A1246" t="str">
        <f t="shared" si="38"/>
        <v>S</v>
      </c>
      <c r="B1246" t="str">
        <f t="shared" si="39"/>
        <v>S0</v>
      </c>
      <c r="C1246" s="568" t="s">
        <v>2659</v>
      </c>
      <c r="D1246" s="568" t="s">
        <v>2585</v>
      </c>
      <c r="E1246" s="569">
        <v>13</v>
      </c>
      <c r="F1246" t="s">
        <v>1374</v>
      </c>
      <c r="G1246" t="s">
        <v>2582</v>
      </c>
      <c r="H1246">
        <v>2</v>
      </c>
      <c r="I1246" t="s">
        <v>2583</v>
      </c>
      <c r="J1246" t="s">
        <v>1349</v>
      </c>
      <c r="K1246" t="s">
        <v>1350</v>
      </c>
    </row>
    <row r="1247" spans="1:11" hidden="1">
      <c r="A1247" t="str">
        <f t="shared" si="38"/>
        <v>S</v>
      </c>
      <c r="B1247" t="str">
        <f t="shared" si="39"/>
        <v>S0</v>
      </c>
      <c r="C1247" s="568" t="s">
        <v>2660</v>
      </c>
      <c r="D1247" s="568" t="s">
        <v>2585</v>
      </c>
      <c r="E1247" s="569">
        <v>13</v>
      </c>
      <c r="F1247" t="s">
        <v>1374</v>
      </c>
      <c r="G1247" t="s">
        <v>2582</v>
      </c>
      <c r="H1247">
        <v>2</v>
      </c>
      <c r="I1247" t="s">
        <v>2583</v>
      </c>
      <c r="J1247" t="s">
        <v>1349</v>
      </c>
      <c r="K1247" t="s">
        <v>1350</v>
      </c>
    </row>
    <row r="1248" spans="1:11" hidden="1">
      <c r="A1248" t="str">
        <f t="shared" si="38"/>
        <v>S</v>
      </c>
      <c r="B1248" t="str">
        <f t="shared" si="39"/>
        <v>S0</v>
      </c>
      <c r="C1248" s="568" t="s">
        <v>2661</v>
      </c>
      <c r="D1248" s="568" t="s">
        <v>2581</v>
      </c>
      <c r="E1248" s="569">
        <v>13</v>
      </c>
      <c r="F1248" t="s">
        <v>1374</v>
      </c>
      <c r="G1248" t="s">
        <v>2582</v>
      </c>
      <c r="H1248">
        <v>2</v>
      </c>
      <c r="I1248" t="s">
        <v>2583</v>
      </c>
      <c r="J1248" t="s">
        <v>1349</v>
      </c>
      <c r="K1248" t="s">
        <v>1350</v>
      </c>
    </row>
    <row r="1249" spans="1:11" hidden="1">
      <c r="A1249" t="str">
        <f t="shared" si="38"/>
        <v>S</v>
      </c>
      <c r="B1249" t="str">
        <f t="shared" si="39"/>
        <v>S0</v>
      </c>
      <c r="C1249" s="568" t="s">
        <v>2662</v>
      </c>
      <c r="D1249" s="568" t="s">
        <v>2585</v>
      </c>
      <c r="E1249" s="569">
        <v>13</v>
      </c>
      <c r="F1249" t="s">
        <v>1374</v>
      </c>
      <c r="G1249" t="s">
        <v>2582</v>
      </c>
      <c r="H1249">
        <v>2</v>
      </c>
      <c r="I1249" t="s">
        <v>2583</v>
      </c>
      <c r="J1249" t="s">
        <v>1349</v>
      </c>
      <c r="K1249" t="s">
        <v>1350</v>
      </c>
    </row>
    <row r="1250" spans="1:11" hidden="1">
      <c r="A1250" t="str">
        <f t="shared" si="38"/>
        <v>S</v>
      </c>
      <c r="B1250" t="str">
        <f t="shared" si="39"/>
        <v>S2</v>
      </c>
      <c r="C1250" s="568" t="s">
        <v>2663</v>
      </c>
      <c r="D1250" s="568" t="s">
        <v>2585</v>
      </c>
      <c r="E1250" s="569">
        <v>13</v>
      </c>
      <c r="F1250" t="s">
        <v>1374</v>
      </c>
      <c r="G1250" t="s">
        <v>2582</v>
      </c>
      <c r="H1250">
        <v>2</v>
      </c>
      <c r="I1250" t="s">
        <v>2583</v>
      </c>
      <c r="J1250" t="s">
        <v>1349</v>
      </c>
      <c r="K1250" t="s">
        <v>1350</v>
      </c>
    </row>
    <row r="1251" spans="1:11" hidden="1">
      <c r="A1251" t="str">
        <f t="shared" si="38"/>
        <v>S</v>
      </c>
      <c r="B1251" t="str">
        <f t="shared" si="39"/>
        <v>S3</v>
      </c>
      <c r="C1251" s="568" t="s">
        <v>2664</v>
      </c>
      <c r="D1251" s="568" t="s">
        <v>2585</v>
      </c>
      <c r="E1251" s="569">
        <v>13</v>
      </c>
      <c r="F1251" t="s">
        <v>1374</v>
      </c>
      <c r="G1251" t="s">
        <v>2582</v>
      </c>
      <c r="H1251">
        <v>2</v>
      </c>
      <c r="I1251" t="s">
        <v>2583</v>
      </c>
      <c r="J1251" t="s">
        <v>1349</v>
      </c>
      <c r="K1251" t="s">
        <v>1350</v>
      </c>
    </row>
    <row r="1252" spans="1:11" hidden="1">
      <c r="A1252" t="str">
        <f t="shared" si="38"/>
        <v>S</v>
      </c>
      <c r="B1252" t="str">
        <f t="shared" si="39"/>
        <v>S4</v>
      </c>
      <c r="C1252" s="568" t="s">
        <v>2665</v>
      </c>
      <c r="D1252" s="568" t="s">
        <v>2653</v>
      </c>
      <c r="E1252" s="569">
        <v>13</v>
      </c>
      <c r="F1252" t="s">
        <v>1374</v>
      </c>
      <c r="G1252" t="s">
        <v>2582</v>
      </c>
      <c r="H1252">
        <v>2</v>
      </c>
      <c r="I1252" t="s">
        <v>2583</v>
      </c>
      <c r="J1252" t="s">
        <v>1349</v>
      </c>
      <c r="K1252" t="s">
        <v>1350</v>
      </c>
    </row>
    <row r="1253" spans="1:11" hidden="1">
      <c r="A1253" t="str">
        <f t="shared" si="38"/>
        <v>S</v>
      </c>
      <c r="B1253" t="str">
        <f t="shared" si="39"/>
        <v>S4</v>
      </c>
      <c r="C1253" s="568" t="s">
        <v>2666</v>
      </c>
      <c r="D1253" s="568" t="s">
        <v>2667</v>
      </c>
      <c r="E1253" s="569">
        <v>13</v>
      </c>
      <c r="F1253" t="s">
        <v>1374</v>
      </c>
      <c r="G1253" t="s">
        <v>2582</v>
      </c>
      <c r="H1253">
        <v>2</v>
      </c>
      <c r="I1253" t="s">
        <v>2583</v>
      </c>
      <c r="J1253" t="s">
        <v>1349</v>
      </c>
      <c r="K1253" t="s">
        <v>1350</v>
      </c>
    </row>
    <row r="1254" spans="1:11" hidden="1">
      <c r="A1254" t="str">
        <f t="shared" si="38"/>
        <v>S</v>
      </c>
      <c r="B1254" t="str">
        <f t="shared" si="39"/>
        <v>S4</v>
      </c>
      <c r="C1254" s="568" t="s">
        <v>2668</v>
      </c>
      <c r="D1254" s="568" t="s">
        <v>2591</v>
      </c>
      <c r="E1254" s="569">
        <v>13</v>
      </c>
      <c r="F1254" t="s">
        <v>1374</v>
      </c>
      <c r="G1254" t="s">
        <v>2582</v>
      </c>
      <c r="H1254">
        <v>2</v>
      </c>
      <c r="I1254" t="s">
        <v>2583</v>
      </c>
      <c r="J1254" t="s">
        <v>1349</v>
      </c>
      <c r="K1254" t="s">
        <v>1350</v>
      </c>
    </row>
    <row r="1255" spans="1:11" hidden="1">
      <c r="A1255" t="str">
        <f t="shared" si="38"/>
        <v>S</v>
      </c>
      <c r="B1255" t="str">
        <f t="shared" si="39"/>
        <v>S4</v>
      </c>
      <c r="C1255" s="575" t="s">
        <v>2669</v>
      </c>
      <c r="D1255" s="575" t="s">
        <v>2587</v>
      </c>
      <c r="E1255" s="576">
        <v>13</v>
      </c>
      <c r="F1255" t="s">
        <v>1374</v>
      </c>
      <c r="G1255" t="s">
        <v>2582</v>
      </c>
      <c r="H1255">
        <v>2</v>
      </c>
      <c r="I1255" t="s">
        <v>2583</v>
      </c>
      <c r="J1255" t="s">
        <v>1349</v>
      </c>
      <c r="K1255" t="s">
        <v>1350</v>
      </c>
    </row>
    <row r="1256" spans="1:11" hidden="1">
      <c r="A1256" t="str">
        <f t="shared" si="38"/>
        <v>S</v>
      </c>
      <c r="B1256" t="str">
        <f t="shared" si="39"/>
        <v>S4</v>
      </c>
      <c r="C1256" s="568" t="s">
        <v>2670</v>
      </c>
      <c r="D1256" s="568" t="s">
        <v>2587</v>
      </c>
      <c r="E1256" s="569">
        <v>13</v>
      </c>
      <c r="F1256" t="s">
        <v>1374</v>
      </c>
      <c r="G1256" t="s">
        <v>2582</v>
      </c>
      <c r="H1256">
        <v>2</v>
      </c>
      <c r="I1256" t="s">
        <v>2583</v>
      </c>
      <c r="J1256" t="s">
        <v>1349</v>
      </c>
      <c r="K1256" t="s">
        <v>1350</v>
      </c>
    </row>
    <row r="1257" spans="1:11" hidden="1">
      <c r="A1257" t="str">
        <f t="shared" si="38"/>
        <v>S</v>
      </c>
      <c r="B1257" t="str">
        <f t="shared" si="39"/>
        <v>S4</v>
      </c>
      <c r="C1257" s="568" t="s">
        <v>2671</v>
      </c>
      <c r="D1257" s="568" t="s">
        <v>2587</v>
      </c>
      <c r="E1257" s="569">
        <v>13</v>
      </c>
      <c r="F1257" t="s">
        <v>1374</v>
      </c>
      <c r="G1257" t="s">
        <v>2582</v>
      </c>
      <c r="H1257">
        <v>2</v>
      </c>
      <c r="I1257" t="s">
        <v>2583</v>
      </c>
      <c r="J1257" t="s">
        <v>1349</v>
      </c>
      <c r="K1257" t="s">
        <v>1350</v>
      </c>
    </row>
    <row r="1258" spans="1:11" hidden="1">
      <c r="A1258" t="str">
        <f t="shared" si="38"/>
        <v>S</v>
      </c>
      <c r="B1258" t="str">
        <f t="shared" si="39"/>
        <v>S4</v>
      </c>
      <c r="C1258" s="568" t="s">
        <v>2672</v>
      </c>
      <c r="D1258" s="568" t="s">
        <v>2587</v>
      </c>
      <c r="E1258" s="569">
        <v>13</v>
      </c>
      <c r="F1258" t="s">
        <v>1374</v>
      </c>
      <c r="G1258" t="s">
        <v>2582</v>
      </c>
      <c r="H1258">
        <v>2</v>
      </c>
      <c r="I1258" t="s">
        <v>2583</v>
      </c>
      <c r="J1258" t="s">
        <v>1349</v>
      </c>
      <c r="K1258" t="s">
        <v>1350</v>
      </c>
    </row>
    <row r="1259" spans="1:11" hidden="1">
      <c r="A1259" t="str">
        <f t="shared" si="38"/>
        <v>S</v>
      </c>
      <c r="B1259" t="str">
        <f t="shared" si="39"/>
        <v>S4</v>
      </c>
      <c r="C1259" s="568" t="s">
        <v>2673</v>
      </c>
      <c r="D1259" s="568" t="s">
        <v>2587</v>
      </c>
      <c r="E1259" s="569">
        <v>13</v>
      </c>
      <c r="F1259" t="s">
        <v>1374</v>
      </c>
      <c r="G1259" t="s">
        <v>2582</v>
      </c>
      <c r="H1259">
        <v>2</v>
      </c>
      <c r="I1259" t="s">
        <v>2583</v>
      </c>
      <c r="J1259" t="s">
        <v>1349</v>
      </c>
      <c r="K1259" t="s">
        <v>1350</v>
      </c>
    </row>
    <row r="1260" spans="1:11" hidden="1">
      <c r="A1260" t="str">
        <f t="shared" si="38"/>
        <v>S</v>
      </c>
      <c r="B1260" t="str">
        <f t="shared" si="39"/>
        <v>S4</v>
      </c>
      <c r="C1260" s="568" t="s">
        <v>2674</v>
      </c>
      <c r="D1260" s="568" t="s">
        <v>2587</v>
      </c>
      <c r="E1260" s="569">
        <v>13</v>
      </c>
      <c r="F1260" t="s">
        <v>1374</v>
      </c>
      <c r="G1260" t="s">
        <v>2582</v>
      </c>
      <c r="H1260">
        <v>2</v>
      </c>
      <c r="I1260" t="s">
        <v>2583</v>
      </c>
      <c r="J1260" t="s">
        <v>1349</v>
      </c>
      <c r="K1260" t="s">
        <v>1350</v>
      </c>
    </row>
    <row r="1261" spans="1:11" hidden="1">
      <c r="A1261" t="str">
        <f t="shared" si="38"/>
        <v>S</v>
      </c>
      <c r="B1261" t="str">
        <f t="shared" si="39"/>
        <v>S4</v>
      </c>
      <c r="C1261" s="568" t="s">
        <v>2675</v>
      </c>
      <c r="D1261" s="568" t="s">
        <v>2587</v>
      </c>
      <c r="E1261" s="569">
        <v>13</v>
      </c>
      <c r="F1261" t="s">
        <v>1374</v>
      </c>
      <c r="G1261" t="s">
        <v>2582</v>
      </c>
      <c r="H1261">
        <v>2</v>
      </c>
      <c r="I1261" t="s">
        <v>2583</v>
      </c>
      <c r="J1261" t="s">
        <v>1349</v>
      </c>
      <c r="K1261" t="s">
        <v>1350</v>
      </c>
    </row>
    <row r="1262" spans="1:11" hidden="1">
      <c r="A1262" t="str">
        <f t="shared" si="38"/>
        <v>S</v>
      </c>
      <c r="B1262" t="str">
        <f t="shared" si="39"/>
        <v>S4</v>
      </c>
      <c r="C1262" s="568" t="s">
        <v>2676</v>
      </c>
      <c r="D1262" s="568" t="s">
        <v>2587</v>
      </c>
      <c r="E1262" s="569">
        <v>13</v>
      </c>
      <c r="F1262" t="s">
        <v>1374</v>
      </c>
      <c r="G1262" t="s">
        <v>2582</v>
      </c>
      <c r="H1262">
        <v>2</v>
      </c>
      <c r="I1262" t="s">
        <v>2583</v>
      </c>
      <c r="J1262" t="s">
        <v>1349</v>
      </c>
      <c r="K1262" t="s">
        <v>1350</v>
      </c>
    </row>
    <row r="1263" spans="1:11" hidden="1">
      <c r="A1263" t="str">
        <f t="shared" si="38"/>
        <v>S</v>
      </c>
      <c r="B1263" t="str">
        <f t="shared" si="39"/>
        <v>S4</v>
      </c>
      <c r="C1263" s="568" t="s">
        <v>2677</v>
      </c>
      <c r="D1263" s="568" t="s">
        <v>2587</v>
      </c>
      <c r="E1263" s="569">
        <v>13</v>
      </c>
      <c r="F1263" t="s">
        <v>1374</v>
      </c>
      <c r="G1263" t="s">
        <v>2582</v>
      </c>
      <c r="H1263">
        <v>2</v>
      </c>
      <c r="I1263" t="s">
        <v>2583</v>
      </c>
      <c r="J1263" t="s">
        <v>1349</v>
      </c>
      <c r="K1263" t="s">
        <v>1350</v>
      </c>
    </row>
    <row r="1264" spans="1:11" hidden="1">
      <c r="A1264" t="str">
        <f t="shared" si="38"/>
        <v>S</v>
      </c>
      <c r="B1264" t="str">
        <f t="shared" si="39"/>
        <v>S4</v>
      </c>
      <c r="C1264" s="568" t="s">
        <v>2678</v>
      </c>
      <c r="D1264" s="568" t="s">
        <v>2587</v>
      </c>
      <c r="E1264" s="569">
        <v>13</v>
      </c>
      <c r="F1264" t="s">
        <v>1374</v>
      </c>
      <c r="G1264" t="s">
        <v>2582</v>
      </c>
      <c r="H1264">
        <v>2</v>
      </c>
      <c r="I1264" t="s">
        <v>2583</v>
      </c>
      <c r="J1264" t="s">
        <v>1349</v>
      </c>
      <c r="K1264" t="s">
        <v>1350</v>
      </c>
    </row>
    <row r="1265" spans="1:11" hidden="1">
      <c r="A1265" t="str">
        <f t="shared" si="38"/>
        <v>S</v>
      </c>
      <c r="B1265" t="str">
        <f t="shared" si="39"/>
        <v>S4</v>
      </c>
      <c r="C1265" s="568" t="s">
        <v>2679</v>
      </c>
      <c r="D1265" s="568" t="s">
        <v>2587</v>
      </c>
      <c r="E1265" s="569">
        <v>13</v>
      </c>
      <c r="F1265" t="s">
        <v>1374</v>
      </c>
      <c r="G1265" t="s">
        <v>2582</v>
      </c>
      <c r="H1265">
        <v>2</v>
      </c>
      <c r="I1265" t="s">
        <v>2583</v>
      </c>
      <c r="J1265" t="s">
        <v>1349</v>
      </c>
      <c r="K1265" t="s">
        <v>1350</v>
      </c>
    </row>
    <row r="1266" spans="1:11" hidden="1">
      <c r="A1266" t="str">
        <f t="shared" si="38"/>
        <v>S</v>
      </c>
      <c r="B1266" t="str">
        <f t="shared" si="39"/>
        <v>S6</v>
      </c>
      <c r="C1266" s="568" t="s">
        <v>2680</v>
      </c>
      <c r="D1266" s="568" t="s">
        <v>2587</v>
      </c>
      <c r="E1266" s="569">
        <v>13</v>
      </c>
      <c r="F1266" t="s">
        <v>1374</v>
      </c>
      <c r="G1266" t="s">
        <v>2582</v>
      </c>
      <c r="H1266">
        <v>2</v>
      </c>
      <c r="I1266" t="s">
        <v>2583</v>
      </c>
      <c r="J1266" t="s">
        <v>1349</v>
      </c>
      <c r="K1266" t="s">
        <v>1350</v>
      </c>
    </row>
    <row r="1267" spans="1:11" hidden="1">
      <c r="A1267" t="str">
        <f t="shared" si="38"/>
        <v>S</v>
      </c>
      <c r="B1267" t="str">
        <f t="shared" si="39"/>
        <v>S6</v>
      </c>
      <c r="C1267" s="568" t="s">
        <v>2681</v>
      </c>
      <c r="D1267" s="568" t="s">
        <v>2587</v>
      </c>
      <c r="E1267" s="569">
        <v>13</v>
      </c>
      <c r="F1267" t="s">
        <v>1374</v>
      </c>
      <c r="G1267" t="s">
        <v>2582</v>
      </c>
      <c r="H1267">
        <v>2</v>
      </c>
      <c r="I1267" t="s">
        <v>2583</v>
      </c>
      <c r="J1267" t="s">
        <v>1349</v>
      </c>
      <c r="K1267" t="s">
        <v>1350</v>
      </c>
    </row>
    <row r="1268" spans="1:11" hidden="1">
      <c r="A1268" t="str">
        <f t="shared" si="38"/>
        <v>S</v>
      </c>
      <c r="B1268" t="str">
        <f t="shared" si="39"/>
        <v>S6</v>
      </c>
      <c r="C1268" s="568" t="s">
        <v>2682</v>
      </c>
      <c r="D1268" s="568" t="s">
        <v>2587</v>
      </c>
      <c r="E1268" s="569">
        <v>13</v>
      </c>
      <c r="F1268" t="s">
        <v>1374</v>
      </c>
      <c r="G1268" t="s">
        <v>2582</v>
      </c>
      <c r="H1268">
        <v>2</v>
      </c>
      <c r="I1268" t="s">
        <v>2583</v>
      </c>
      <c r="J1268" t="s">
        <v>1349</v>
      </c>
      <c r="K1268" t="s">
        <v>1350</v>
      </c>
    </row>
    <row r="1269" spans="1:11" hidden="1">
      <c r="A1269" t="str">
        <f t="shared" si="38"/>
        <v>S</v>
      </c>
      <c r="B1269" t="str">
        <f t="shared" si="39"/>
        <v>S6</v>
      </c>
      <c r="C1269" s="568" t="s">
        <v>2683</v>
      </c>
      <c r="D1269" s="568" t="s">
        <v>2585</v>
      </c>
      <c r="E1269" s="569">
        <v>13</v>
      </c>
      <c r="F1269" t="s">
        <v>1374</v>
      </c>
      <c r="G1269" t="s">
        <v>2582</v>
      </c>
      <c r="H1269">
        <v>2</v>
      </c>
      <c r="I1269" t="s">
        <v>2583</v>
      </c>
      <c r="J1269" t="s">
        <v>1349</v>
      </c>
      <c r="K1269" t="s">
        <v>1350</v>
      </c>
    </row>
    <row r="1270" spans="1:11" hidden="1">
      <c r="A1270" t="str">
        <f t="shared" si="38"/>
        <v>S</v>
      </c>
      <c r="B1270" t="str">
        <f t="shared" si="39"/>
        <v>S6</v>
      </c>
      <c r="C1270" s="568" t="s">
        <v>2684</v>
      </c>
      <c r="D1270" s="568" t="s">
        <v>2585</v>
      </c>
      <c r="E1270" s="569">
        <v>13</v>
      </c>
      <c r="F1270" t="s">
        <v>1374</v>
      </c>
      <c r="G1270" t="s">
        <v>2582</v>
      </c>
      <c r="H1270">
        <v>2</v>
      </c>
      <c r="I1270" t="s">
        <v>2583</v>
      </c>
      <c r="J1270" t="s">
        <v>1349</v>
      </c>
      <c r="K1270" t="s">
        <v>1350</v>
      </c>
    </row>
    <row r="1271" spans="1:11" hidden="1">
      <c r="A1271" t="str">
        <f t="shared" si="38"/>
        <v>S</v>
      </c>
      <c r="B1271" t="str">
        <f t="shared" si="39"/>
        <v>S6</v>
      </c>
      <c r="C1271" s="568" t="s">
        <v>2685</v>
      </c>
      <c r="D1271" s="568" t="s">
        <v>2585</v>
      </c>
      <c r="E1271" s="569">
        <v>13</v>
      </c>
      <c r="F1271" t="s">
        <v>1374</v>
      </c>
      <c r="G1271" t="s">
        <v>2582</v>
      </c>
      <c r="H1271">
        <v>2</v>
      </c>
      <c r="I1271" t="s">
        <v>2583</v>
      </c>
      <c r="J1271" t="s">
        <v>1349</v>
      </c>
      <c r="K1271" t="s">
        <v>1350</v>
      </c>
    </row>
    <row r="1272" spans="1:11" hidden="1">
      <c r="A1272" t="str">
        <f t="shared" si="38"/>
        <v>S</v>
      </c>
      <c r="B1272" t="str">
        <f t="shared" si="39"/>
        <v>S7</v>
      </c>
      <c r="C1272" s="568" t="s">
        <v>2686</v>
      </c>
      <c r="D1272" s="568" t="s">
        <v>2585</v>
      </c>
      <c r="E1272" s="569">
        <v>13</v>
      </c>
      <c r="F1272" t="s">
        <v>1374</v>
      </c>
      <c r="G1272" t="s">
        <v>2582</v>
      </c>
      <c r="H1272">
        <v>2</v>
      </c>
      <c r="I1272" t="s">
        <v>2583</v>
      </c>
      <c r="J1272" t="s">
        <v>1349</v>
      </c>
      <c r="K1272" t="s">
        <v>1350</v>
      </c>
    </row>
    <row r="1273" spans="1:11" hidden="1">
      <c r="A1273" t="str">
        <f t="shared" si="38"/>
        <v>S</v>
      </c>
      <c r="B1273" t="str">
        <f t="shared" si="39"/>
        <v>S7</v>
      </c>
      <c r="C1273" s="568" t="s">
        <v>2687</v>
      </c>
      <c r="D1273" s="568" t="s">
        <v>2585</v>
      </c>
      <c r="E1273" s="569">
        <v>13</v>
      </c>
      <c r="F1273" t="s">
        <v>1374</v>
      </c>
      <c r="G1273" t="s">
        <v>2582</v>
      </c>
      <c r="H1273">
        <v>2</v>
      </c>
      <c r="I1273" t="s">
        <v>2583</v>
      </c>
      <c r="J1273" t="s">
        <v>1349</v>
      </c>
      <c r="K1273" t="s">
        <v>1350</v>
      </c>
    </row>
    <row r="1274" spans="1:11" hidden="1">
      <c r="A1274" t="str">
        <f t="shared" si="38"/>
        <v>S</v>
      </c>
      <c r="B1274" t="str">
        <f t="shared" si="39"/>
        <v>S7</v>
      </c>
      <c r="C1274" s="568" t="s">
        <v>2688</v>
      </c>
      <c r="D1274" s="568" t="s">
        <v>2585</v>
      </c>
      <c r="E1274" s="569">
        <v>13</v>
      </c>
      <c r="F1274" t="s">
        <v>1374</v>
      </c>
      <c r="G1274" t="s">
        <v>2582</v>
      </c>
      <c r="H1274">
        <v>2</v>
      </c>
      <c r="I1274" t="s">
        <v>2583</v>
      </c>
      <c r="J1274" t="s">
        <v>1349</v>
      </c>
      <c r="K1274" t="s">
        <v>1350</v>
      </c>
    </row>
    <row r="1275" spans="1:11" hidden="1">
      <c r="A1275" t="str">
        <f t="shared" si="38"/>
        <v>S</v>
      </c>
      <c r="B1275" t="str">
        <f t="shared" si="39"/>
        <v>S7</v>
      </c>
      <c r="C1275" s="568" t="s">
        <v>2689</v>
      </c>
      <c r="D1275" s="568" t="s">
        <v>2585</v>
      </c>
      <c r="E1275" s="569">
        <v>13</v>
      </c>
      <c r="F1275" t="s">
        <v>1374</v>
      </c>
      <c r="G1275" t="s">
        <v>2582</v>
      </c>
      <c r="H1275">
        <v>2</v>
      </c>
      <c r="I1275" t="s">
        <v>2583</v>
      </c>
      <c r="J1275" t="s">
        <v>1349</v>
      </c>
      <c r="K1275" t="s">
        <v>1350</v>
      </c>
    </row>
    <row r="1276" spans="1:11" hidden="1">
      <c r="A1276" t="str">
        <f t="shared" si="38"/>
        <v>S</v>
      </c>
      <c r="B1276" t="str">
        <f t="shared" si="39"/>
        <v>S7</v>
      </c>
      <c r="C1276" s="568" t="s">
        <v>2690</v>
      </c>
      <c r="D1276" s="568" t="s">
        <v>2585</v>
      </c>
      <c r="E1276" s="569">
        <v>13</v>
      </c>
      <c r="F1276" t="s">
        <v>1374</v>
      </c>
      <c r="G1276" t="s">
        <v>2582</v>
      </c>
      <c r="H1276">
        <v>2</v>
      </c>
      <c r="I1276" t="s">
        <v>2583</v>
      </c>
      <c r="J1276" t="s">
        <v>1349</v>
      </c>
      <c r="K1276" t="s">
        <v>1350</v>
      </c>
    </row>
    <row r="1277" spans="1:11" hidden="1">
      <c r="A1277" t="str">
        <f t="shared" si="38"/>
        <v>S</v>
      </c>
      <c r="B1277" t="str">
        <f t="shared" si="39"/>
        <v>S7</v>
      </c>
      <c r="C1277" s="568" t="s">
        <v>2691</v>
      </c>
      <c r="D1277" s="568" t="s">
        <v>2585</v>
      </c>
      <c r="E1277" s="569">
        <v>13</v>
      </c>
      <c r="F1277" t="s">
        <v>1374</v>
      </c>
      <c r="G1277" t="s">
        <v>2582</v>
      </c>
      <c r="H1277">
        <v>2</v>
      </c>
      <c r="I1277" t="s">
        <v>2583</v>
      </c>
      <c r="J1277" t="s">
        <v>1349</v>
      </c>
      <c r="K1277" t="s">
        <v>1350</v>
      </c>
    </row>
    <row r="1278" spans="1:11" hidden="1">
      <c r="A1278" t="str">
        <f t="shared" si="38"/>
        <v>S</v>
      </c>
      <c r="B1278" t="str">
        <f t="shared" si="39"/>
        <v>S7</v>
      </c>
      <c r="C1278" s="568" t="s">
        <v>2692</v>
      </c>
      <c r="D1278" s="568" t="s">
        <v>2585</v>
      </c>
      <c r="E1278" s="569">
        <v>13</v>
      </c>
      <c r="F1278" t="s">
        <v>1374</v>
      </c>
      <c r="G1278" t="s">
        <v>2582</v>
      </c>
      <c r="H1278">
        <v>2</v>
      </c>
      <c r="I1278" t="s">
        <v>2583</v>
      </c>
      <c r="J1278" t="s">
        <v>1349</v>
      </c>
      <c r="K1278" t="s">
        <v>1350</v>
      </c>
    </row>
    <row r="1279" spans="1:11" hidden="1">
      <c r="A1279" t="str">
        <f t="shared" si="38"/>
        <v>S</v>
      </c>
      <c r="B1279" t="str">
        <f t="shared" si="39"/>
        <v>S7</v>
      </c>
      <c r="C1279" s="568" t="s">
        <v>2693</v>
      </c>
      <c r="D1279" s="568" t="s">
        <v>2585</v>
      </c>
      <c r="E1279" s="569">
        <v>13</v>
      </c>
      <c r="F1279" t="s">
        <v>1374</v>
      </c>
      <c r="G1279" t="s">
        <v>2582</v>
      </c>
      <c r="H1279">
        <v>2</v>
      </c>
      <c r="I1279" t="s">
        <v>2583</v>
      </c>
      <c r="J1279" t="s">
        <v>1349</v>
      </c>
      <c r="K1279" t="s">
        <v>1350</v>
      </c>
    </row>
    <row r="1280" spans="1:11" hidden="1">
      <c r="A1280" t="str">
        <f t="shared" si="38"/>
        <v>S</v>
      </c>
      <c r="B1280" t="str">
        <f t="shared" si="39"/>
        <v>S7</v>
      </c>
      <c r="C1280" s="568" t="s">
        <v>2694</v>
      </c>
      <c r="D1280" s="568" t="s">
        <v>2585</v>
      </c>
      <c r="E1280" s="569">
        <v>13</v>
      </c>
      <c r="F1280" t="s">
        <v>1374</v>
      </c>
      <c r="G1280" t="s">
        <v>2582</v>
      </c>
      <c r="H1280">
        <v>2</v>
      </c>
      <c r="I1280" t="s">
        <v>2583</v>
      </c>
      <c r="J1280" t="s">
        <v>1349</v>
      </c>
      <c r="K1280" t="s">
        <v>1350</v>
      </c>
    </row>
    <row r="1281" spans="1:11" hidden="1">
      <c r="A1281" t="str">
        <f t="shared" si="38"/>
        <v>S</v>
      </c>
      <c r="B1281" t="str">
        <f t="shared" si="39"/>
        <v>S7</v>
      </c>
      <c r="C1281" s="568" t="s">
        <v>2695</v>
      </c>
      <c r="D1281" s="568" t="s">
        <v>2585</v>
      </c>
      <c r="E1281" s="569">
        <v>13</v>
      </c>
      <c r="F1281" t="s">
        <v>1374</v>
      </c>
      <c r="G1281" t="s">
        <v>2582</v>
      </c>
      <c r="H1281">
        <v>2</v>
      </c>
      <c r="I1281" t="s">
        <v>2583</v>
      </c>
      <c r="J1281" t="s">
        <v>1349</v>
      </c>
      <c r="K1281" t="s">
        <v>1350</v>
      </c>
    </row>
    <row r="1282" spans="1:11" hidden="1">
      <c r="A1282" t="str">
        <f t="shared" si="38"/>
        <v>S</v>
      </c>
      <c r="B1282" t="str">
        <f t="shared" si="39"/>
        <v>S7</v>
      </c>
      <c r="C1282" s="568" t="s">
        <v>2696</v>
      </c>
      <c r="D1282" s="568" t="s">
        <v>2585</v>
      </c>
      <c r="E1282" s="569">
        <v>13</v>
      </c>
      <c r="F1282" t="s">
        <v>1374</v>
      </c>
      <c r="G1282" t="s">
        <v>2582</v>
      </c>
      <c r="H1282">
        <v>2</v>
      </c>
      <c r="I1282" t="s">
        <v>2583</v>
      </c>
      <c r="J1282" t="s">
        <v>1349</v>
      </c>
      <c r="K1282" t="s">
        <v>1350</v>
      </c>
    </row>
    <row r="1283" spans="1:11" hidden="1">
      <c r="A1283" t="str">
        <f t="shared" ref="A1283:A1346" si="40">LEFT(C1283)</f>
        <v>S</v>
      </c>
      <c r="B1283" t="str">
        <f t="shared" si="39"/>
        <v>S7</v>
      </c>
      <c r="C1283" s="568" t="s">
        <v>2697</v>
      </c>
      <c r="D1283" s="568" t="s">
        <v>2585</v>
      </c>
      <c r="E1283" s="569">
        <v>13</v>
      </c>
      <c r="F1283" t="s">
        <v>1374</v>
      </c>
      <c r="G1283" t="s">
        <v>2582</v>
      </c>
      <c r="H1283">
        <v>2</v>
      </c>
      <c r="I1283" t="s">
        <v>2583</v>
      </c>
      <c r="J1283" t="s">
        <v>1349</v>
      </c>
      <c r="K1283" t="s">
        <v>1350</v>
      </c>
    </row>
    <row r="1284" spans="1:11" hidden="1">
      <c r="A1284" t="str">
        <f t="shared" si="40"/>
        <v>S</v>
      </c>
      <c r="B1284" t="str">
        <f t="shared" ref="B1284:B1347" si="41">LEFT(C1284,2)</f>
        <v>S9</v>
      </c>
      <c r="C1284" s="568" t="s">
        <v>2698</v>
      </c>
      <c r="D1284" s="568" t="s">
        <v>2585</v>
      </c>
      <c r="E1284" s="569">
        <v>13</v>
      </c>
      <c r="F1284" t="s">
        <v>1374</v>
      </c>
      <c r="G1284" t="s">
        <v>2582</v>
      </c>
      <c r="H1284">
        <v>2</v>
      </c>
      <c r="I1284" t="s">
        <v>2583</v>
      </c>
      <c r="J1284" t="s">
        <v>1349</v>
      </c>
      <c r="K1284" t="s">
        <v>1350</v>
      </c>
    </row>
    <row r="1285" spans="1:11" hidden="1">
      <c r="A1285" t="str">
        <f t="shared" si="40"/>
        <v>S</v>
      </c>
      <c r="B1285" t="str">
        <f t="shared" si="41"/>
        <v>S9</v>
      </c>
      <c r="C1285" s="568" t="s">
        <v>2699</v>
      </c>
      <c r="D1285" s="568" t="s">
        <v>2587</v>
      </c>
      <c r="E1285" s="569">
        <v>13</v>
      </c>
      <c r="F1285" t="s">
        <v>1374</v>
      </c>
      <c r="G1285" t="s">
        <v>2582</v>
      </c>
      <c r="H1285">
        <v>2</v>
      </c>
      <c r="I1285" t="s">
        <v>2583</v>
      </c>
      <c r="J1285" t="s">
        <v>1349</v>
      </c>
      <c r="K1285" t="s">
        <v>1350</v>
      </c>
    </row>
    <row r="1286" spans="1:11" hidden="1">
      <c r="A1286" t="str">
        <f t="shared" si="40"/>
        <v>S</v>
      </c>
      <c r="B1286" t="str">
        <f t="shared" si="41"/>
        <v>S9</v>
      </c>
      <c r="C1286" s="568" t="s">
        <v>2700</v>
      </c>
      <c r="D1286" s="568" t="s">
        <v>2585</v>
      </c>
      <c r="E1286" s="569">
        <v>13</v>
      </c>
      <c r="F1286" t="s">
        <v>1374</v>
      </c>
      <c r="G1286" t="s">
        <v>2582</v>
      </c>
      <c r="H1286">
        <v>2</v>
      </c>
      <c r="I1286" t="s">
        <v>2583</v>
      </c>
      <c r="J1286" t="s">
        <v>1349</v>
      </c>
      <c r="K1286" t="s">
        <v>1350</v>
      </c>
    </row>
    <row r="1287" spans="1:11" hidden="1">
      <c r="A1287" t="str">
        <f t="shared" si="40"/>
        <v>S</v>
      </c>
      <c r="B1287" t="str">
        <f t="shared" si="41"/>
        <v>S9</v>
      </c>
      <c r="C1287" s="568" t="s">
        <v>2701</v>
      </c>
      <c r="D1287" s="568" t="s">
        <v>2585</v>
      </c>
      <c r="E1287" s="569">
        <v>13</v>
      </c>
      <c r="F1287" t="s">
        <v>1374</v>
      </c>
      <c r="G1287" t="s">
        <v>2582</v>
      </c>
      <c r="H1287">
        <v>2</v>
      </c>
      <c r="I1287" t="s">
        <v>2583</v>
      </c>
      <c r="J1287" t="s">
        <v>1349</v>
      </c>
      <c r="K1287" t="s">
        <v>1350</v>
      </c>
    </row>
    <row r="1288" spans="1:11" hidden="1">
      <c r="A1288" t="str">
        <f t="shared" si="40"/>
        <v>T</v>
      </c>
      <c r="B1288" t="str">
        <f t="shared" si="41"/>
        <v>T0</v>
      </c>
      <c r="C1288" s="568" t="s">
        <v>2702</v>
      </c>
      <c r="D1288" s="568" t="s">
        <v>2585</v>
      </c>
      <c r="E1288" s="569">
        <v>12</v>
      </c>
      <c r="F1288" t="s">
        <v>1374</v>
      </c>
      <c r="G1288" t="s">
        <v>2582</v>
      </c>
      <c r="H1288">
        <v>3</v>
      </c>
      <c r="I1288" t="s">
        <v>2583</v>
      </c>
      <c r="J1288" t="s">
        <v>1349</v>
      </c>
      <c r="K1288" t="s">
        <v>1350</v>
      </c>
    </row>
    <row r="1289" spans="1:11" hidden="1">
      <c r="A1289" t="str">
        <f t="shared" si="40"/>
        <v>T</v>
      </c>
      <c r="B1289" t="str">
        <f t="shared" si="41"/>
        <v>T0</v>
      </c>
      <c r="C1289" s="568" t="s">
        <v>2703</v>
      </c>
      <c r="D1289" s="568" t="s">
        <v>2585</v>
      </c>
      <c r="E1289" s="569">
        <v>12</v>
      </c>
      <c r="F1289" t="s">
        <v>1374</v>
      </c>
      <c r="G1289" t="s">
        <v>2582</v>
      </c>
      <c r="H1289">
        <v>3</v>
      </c>
      <c r="I1289" t="s">
        <v>2583</v>
      </c>
      <c r="J1289" t="s">
        <v>1349</v>
      </c>
      <c r="K1289" t="s">
        <v>1350</v>
      </c>
    </row>
    <row r="1290" spans="1:11" hidden="1">
      <c r="A1290" t="str">
        <f t="shared" si="40"/>
        <v>T</v>
      </c>
      <c r="B1290" t="str">
        <f t="shared" si="41"/>
        <v>T0</v>
      </c>
      <c r="C1290" s="568" t="s">
        <v>2704</v>
      </c>
      <c r="D1290" s="568" t="s">
        <v>2585</v>
      </c>
      <c r="E1290" s="569">
        <v>12</v>
      </c>
      <c r="F1290" t="s">
        <v>1374</v>
      </c>
      <c r="G1290" t="s">
        <v>2582</v>
      </c>
      <c r="H1290">
        <v>3</v>
      </c>
      <c r="I1290" t="s">
        <v>2583</v>
      </c>
      <c r="J1290" t="s">
        <v>1349</v>
      </c>
      <c r="K1290" t="s">
        <v>1350</v>
      </c>
    </row>
    <row r="1291" spans="1:11" hidden="1">
      <c r="A1291" t="str">
        <f t="shared" si="40"/>
        <v>T</v>
      </c>
      <c r="B1291" t="str">
        <f t="shared" si="41"/>
        <v>T0</v>
      </c>
      <c r="C1291" s="568" t="s">
        <v>2705</v>
      </c>
      <c r="D1291" s="568" t="s">
        <v>2581</v>
      </c>
      <c r="E1291" s="569">
        <v>12</v>
      </c>
      <c r="F1291" t="s">
        <v>1374</v>
      </c>
      <c r="G1291" t="s">
        <v>2582</v>
      </c>
      <c r="H1291">
        <v>3</v>
      </c>
      <c r="I1291" t="s">
        <v>2583</v>
      </c>
      <c r="J1291" t="s">
        <v>1349</v>
      </c>
      <c r="K1291" t="s">
        <v>1350</v>
      </c>
    </row>
    <row r="1292" spans="1:11" hidden="1">
      <c r="A1292" t="str">
        <f t="shared" si="40"/>
        <v>T</v>
      </c>
      <c r="B1292" t="str">
        <f t="shared" si="41"/>
        <v>T0</v>
      </c>
      <c r="C1292" s="568" t="s">
        <v>2706</v>
      </c>
      <c r="D1292" s="568" t="s">
        <v>2707</v>
      </c>
      <c r="E1292" s="569">
        <v>12</v>
      </c>
      <c r="F1292" t="s">
        <v>1374</v>
      </c>
      <c r="G1292" t="s">
        <v>2582</v>
      </c>
      <c r="H1292">
        <v>3</v>
      </c>
      <c r="I1292" t="s">
        <v>2583</v>
      </c>
      <c r="J1292" t="s">
        <v>1349</v>
      </c>
      <c r="K1292" t="s">
        <v>1350</v>
      </c>
    </row>
    <row r="1293" spans="1:11" hidden="1">
      <c r="A1293" t="str">
        <f t="shared" si="40"/>
        <v>T</v>
      </c>
      <c r="B1293" t="str">
        <f t="shared" si="41"/>
        <v>T0</v>
      </c>
      <c r="C1293" s="568" t="s">
        <v>2708</v>
      </c>
      <c r="D1293" s="568" t="s">
        <v>2653</v>
      </c>
      <c r="E1293" s="569">
        <v>12</v>
      </c>
      <c r="F1293" t="s">
        <v>1374</v>
      </c>
      <c r="G1293" t="s">
        <v>2582</v>
      </c>
      <c r="H1293">
        <v>3</v>
      </c>
      <c r="I1293" t="s">
        <v>2583</v>
      </c>
      <c r="J1293" t="s">
        <v>1349</v>
      </c>
      <c r="K1293" t="s">
        <v>1350</v>
      </c>
    </row>
    <row r="1294" spans="1:11" hidden="1">
      <c r="A1294" t="str">
        <f t="shared" si="40"/>
        <v>T</v>
      </c>
      <c r="B1294" t="str">
        <f t="shared" si="41"/>
        <v>T0</v>
      </c>
      <c r="C1294" s="568" t="s">
        <v>2709</v>
      </c>
      <c r="D1294" s="568" t="s">
        <v>2587</v>
      </c>
      <c r="E1294" s="569">
        <v>12</v>
      </c>
      <c r="F1294" t="s">
        <v>1374</v>
      </c>
      <c r="G1294" t="s">
        <v>2582</v>
      </c>
      <c r="H1294">
        <v>3</v>
      </c>
      <c r="I1294" t="s">
        <v>2583</v>
      </c>
      <c r="J1294" t="s">
        <v>1349</v>
      </c>
      <c r="K1294" t="s">
        <v>1350</v>
      </c>
    </row>
    <row r="1295" spans="1:11" hidden="1">
      <c r="A1295" t="str">
        <f t="shared" si="40"/>
        <v>T</v>
      </c>
      <c r="B1295" t="str">
        <f t="shared" si="41"/>
        <v>T0</v>
      </c>
      <c r="C1295" s="568" t="s">
        <v>2710</v>
      </c>
      <c r="D1295" s="568" t="s">
        <v>2667</v>
      </c>
      <c r="E1295" s="569">
        <v>12</v>
      </c>
      <c r="F1295" t="s">
        <v>1374</v>
      </c>
      <c r="G1295" t="s">
        <v>2582</v>
      </c>
      <c r="H1295">
        <v>3</v>
      </c>
      <c r="I1295" t="s">
        <v>2583</v>
      </c>
      <c r="J1295" t="s">
        <v>1349</v>
      </c>
      <c r="K1295" t="s">
        <v>1350</v>
      </c>
    </row>
    <row r="1296" spans="1:11" hidden="1">
      <c r="A1296" t="str">
        <f t="shared" si="40"/>
        <v>T</v>
      </c>
      <c r="B1296" t="str">
        <f t="shared" si="41"/>
        <v>T0</v>
      </c>
      <c r="C1296" s="568" t="s">
        <v>2711</v>
      </c>
      <c r="D1296" s="568" t="s">
        <v>2653</v>
      </c>
      <c r="E1296" s="569">
        <v>12</v>
      </c>
      <c r="F1296" t="s">
        <v>1374</v>
      </c>
      <c r="G1296" t="s">
        <v>2582</v>
      </c>
      <c r="H1296">
        <v>3</v>
      </c>
      <c r="I1296" t="s">
        <v>2583</v>
      </c>
      <c r="J1296" t="s">
        <v>1349</v>
      </c>
      <c r="K1296" t="s">
        <v>1350</v>
      </c>
    </row>
    <row r="1297" spans="1:11" hidden="1">
      <c r="A1297" t="str">
        <f t="shared" si="40"/>
        <v>T</v>
      </c>
      <c r="B1297" t="str">
        <f t="shared" si="41"/>
        <v>T0</v>
      </c>
      <c r="C1297" s="568" t="s">
        <v>2712</v>
      </c>
      <c r="D1297" s="568" t="s">
        <v>2707</v>
      </c>
      <c r="E1297" s="569">
        <v>12</v>
      </c>
      <c r="F1297" t="s">
        <v>1374</v>
      </c>
      <c r="G1297" t="s">
        <v>2582</v>
      </c>
      <c r="H1297">
        <v>3</v>
      </c>
      <c r="I1297" t="s">
        <v>2583</v>
      </c>
      <c r="J1297" t="s">
        <v>1349</v>
      </c>
      <c r="K1297" t="s">
        <v>1350</v>
      </c>
    </row>
    <row r="1298" spans="1:11" hidden="1">
      <c r="A1298" t="str">
        <f t="shared" si="40"/>
        <v>T</v>
      </c>
      <c r="B1298" t="str">
        <f t="shared" si="41"/>
        <v>T0</v>
      </c>
      <c r="C1298" s="575" t="s">
        <v>2713</v>
      </c>
      <c r="D1298" s="575" t="s">
        <v>2585</v>
      </c>
      <c r="E1298" s="576">
        <v>12</v>
      </c>
      <c r="F1298" t="s">
        <v>1374</v>
      </c>
      <c r="G1298" t="s">
        <v>2582</v>
      </c>
      <c r="H1298">
        <v>3</v>
      </c>
      <c r="I1298" t="s">
        <v>2583</v>
      </c>
      <c r="J1298" t="s">
        <v>1349</v>
      </c>
      <c r="K1298" t="s">
        <v>1350</v>
      </c>
    </row>
    <row r="1299" spans="1:11" hidden="1">
      <c r="A1299" t="str">
        <f t="shared" si="40"/>
        <v>T</v>
      </c>
      <c r="B1299" t="str">
        <f t="shared" si="41"/>
        <v>T0</v>
      </c>
      <c r="C1299" s="568" t="s">
        <v>2714</v>
      </c>
      <c r="D1299" s="568" t="s">
        <v>2591</v>
      </c>
      <c r="E1299" s="569">
        <v>12</v>
      </c>
      <c r="F1299" t="s">
        <v>1374</v>
      </c>
      <c r="G1299" t="s">
        <v>2582</v>
      </c>
      <c r="H1299">
        <v>3</v>
      </c>
      <c r="I1299" t="s">
        <v>2583</v>
      </c>
      <c r="J1299" t="s">
        <v>1349</v>
      </c>
      <c r="K1299" t="s">
        <v>1350</v>
      </c>
    </row>
    <row r="1300" spans="1:11" hidden="1">
      <c r="A1300" t="str">
        <f t="shared" si="40"/>
        <v>T</v>
      </c>
      <c r="B1300" t="str">
        <f t="shared" si="41"/>
        <v>T0</v>
      </c>
      <c r="C1300" s="568" t="s">
        <v>2715</v>
      </c>
      <c r="D1300" s="568" t="s">
        <v>2581</v>
      </c>
      <c r="E1300" s="569">
        <v>12</v>
      </c>
      <c r="F1300" t="s">
        <v>1374</v>
      </c>
      <c r="G1300" t="s">
        <v>2582</v>
      </c>
      <c r="H1300">
        <v>3</v>
      </c>
      <c r="I1300" t="s">
        <v>2583</v>
      </c>
      <c r="J1300" t="s">
        <v>1349</v>
      </c>
      <c r="K1300" t="s">
        <v>1350</v>
      </c>
    </row>
    <row r="1301" spans="1:11" hidden="1">
      <c r="A1301" t="str">
        <f t="shared" si="40"/>
        <v>T</v>
      </c>
      <c r="B1301" t="str">
        <f t="shared" si="41"/>
        <v>T1</v>
      </c>
      <c r="C1301" s="568" t="s">
        <v>2716</v>
      </c>
      <c r="D1301" s="568" t="s">
        <v>2581</v>
      </c>
      <c r="E1301" s="569">
        <v>12</v>
      </c>
      <c r="F1301" t="s">
        <v>1374</v>
      </c>
      <c r="G1301" t="s">
        <v>2582</v>
      </c>
      <c r="H1301">
        <v>3</v>
      </c>
      <c r="I1301" t="s">
        <v>2583</v>
      </c>
      <c r="J1301" t="s">
        <v>1349</v>
      </c>
      <c r="K1301" t="s">
        <v>1350</v>
      </c>
    </row>
    <row r="1302" spans="1:11" hidden="1">
      <c r="A1302" t="str">
        <f t="shared" si="40"/>
        <v>T</v>
      </c>
      <c r="B1302" t="str">
        <f t="shared" si="41"/>
        <v>T1</v>
      </c>
      <c r="C1302" s="568" t="s">
        <v>2717</v>
      </c>
      <c r="D1302" s="568" t="s">
        <v>2581</v>
      </c>
      <c r="E1302" s="569">
        <v>12</v>
      </c>
      <c r="F1302" t="s">
        <v>1374</v>
      </c>
      <c r="G1302" t="s">
        <v>2582</v>
      </c>
      <c r="H1302">
        <v>3</v>
      </c>
      <c r="I1302" t="s">
        <v>2583</v>
      </c>
      <c r="J1302" t="s">
        <v>1349</v>
      </c>
      <c r="K1302" t="s">
        <v>1350</v>
      </c>
    </row>
    <row r="1303" spans="1:11" hidden="1">
      <c r="A1303" t="str">
        <f t="shared" si="40"/>
        <v>T</v>
      </c>
      <c r="B1303" t="str">
        <f t="shared" si="41"/>
        <v>T1</v>
      </c>
      <c r="C1303" s="568" t="s">
        <v>2718</v>
      </c>
      <c r="D1303" s="568" t="s">
        <v>2581</v>
      </c>
      <c r="E1303" s="569">
        <v>12</v>
      </c>
      <c r="F1303" t="s">
        <v>1374</v>
      </c>
      <c r="G1303" t="s">
        <v>2582</v>
      </c>
      <c r="H1303">
        <v>3</v>
      </c>
      <c r="I1303" t="s">
        <v>2583</v>
      </c>
      <c r="J1303" t="s">
        <v>1349</v>
      </c>
      <c r="K1303" t="s">
        <v>1350</v>
      </c>
    </row>
    <row r="1304" spans="1:11" hidden="1">
      <c r="A1304" t="str">
        <f t="shared" si="40"/>
        <v>T</v>
      </c>
      <c r="B1304" t="str">
        <f t="shared" si="41"/>
        <v>T1</v>
      </c>
      <c r="C1304" s="568" t="s">
        <v>2719</v>
      </c>
      <c r="D1304" s="568" t="s">
        <v>2653</v>
      </c>
      <c r="E1304" s="569">
        <v>12</v>
      </c>
      <c r="F1304" t="s">
        <v>1374</v>
      </c>
      <c r="G1304" t="s">
        <v>2582</v>
      </c>
      <c r="H1304">
        <v>3</v>
      </c>
      <c r="I1304" t="s">
        <v>2583</v>
      </c>
      <c r="J1304" t="s">
        <v>1349</v>
      </c>
      <c r="K1304" t="s">
        <v>1350</v>
      </c>
    </row>
    <row r="1305" spans="1:11" hidden="1">
      <c r="A1305" t="str">
        <f t="shared" si="40"/>
        <v>T</v>
      </c>
      <c r="B1305" t="str">
        <f t="shared" si="41"/>
        <v>T1</v>
      </c>
      <c r="C1305" s="568" t="s">
        <v>2720</v>
      </c>
      <c r="D1305" s="568" t="s">
        <v>2667</v>
      </c>
      <c r="E1305" s="569">
        <v>12</v>
      </c>
      <c r="F1305" t="s">
        <v>1374</v>
      </c>
      <c r="G1305" t="s">
        <v>2582</v>
      </c>
      <c r="H1305">
        <v>3</v>
      </c>
      <c r="I1305" t="s">
        <v>2583</v>
      </c>
      <c r="J1305" t="s">
        <v>1349</v>
      </c>
      <c r="K1305" t="s">
        <v>1350</v>
      </c>
    </row>
    <row r="1306" spans="1:11" hidden="1">
      <c r="A1306" t="str">
        <f t="shared" si="40"/>
        <v>T</v>
      </c>
      <c r="B1306" t="str">
        <f t="shared" si="41"/>
        <v>T1</v>
      </c>
      <c r="C1306" s="568" t="s">
        <v>2721</v>
      </c>
      <c r="D1306" s="568" t="s">
        <v>2667</v>
      </c>
      <c r="E1306" s="569">
        <v>12</v>
      </c>
      <c r="F1306" t="s">
        <v>1374</v>
      </c>
      <c r="G1306" t="s">
        <v>2582</v>
      </c>
      <c r="H1306">
        <v>3</v>
      </c>
      <c r="I1306" t="s">
        <v>2583</v>
      </c>
      <c r="J1306" t="s">
        <v>1349</v>
      </c>
      <c r="K1306" t="s">
        <v>1350</v>
      </c>
    </row>
    <row r="1307" spans="1:11" hidden="1">
      <c r="A1307" t="str">
        <f t="shared" si="40"/>
        <v>T</v>
      </c>
      <c r="B1307" t="str">
        <f t="shared" si="41"/>
        <v>T1</v>
      </c>
      <c r="C1307" s="568" t="s">
        <v>2722</v>
      </c>
      <c r="D1307" s="568" t="s">
        <v>2667</v>
      </c>
      <c r="E1307" s="569">
        <v>12</v>
      </c>
      <c r="F1307" t="s">
        <v>1374</v>
      </c>
      <c r="G1307" t="s">
        <v>2582</v>
      </c>
      <c r="H1307">
        <v>3</v>
      </c>
      <c r="I1307" t="s">
        <v>2583</v>
      </c>
      <c r="J1307" t="s">
        <v>1349</v>
      </c>
      <c r="K1307" t="s">
        <v>1350</v>
      </c>
    </row>
    <row r="1308" spans="1:11" hidden="1">
      <c r="A1308" t="str">
        <f t="shared" si="40"/>
        <v>T</v>
      </c>
      <c r="B1308" t="str">
        <f t="shared" si="41"/>
        <v>T1</v>
      </c>
      <c r="C1308" s="568" t="s">
        <v>2723</v>
      </c>
      <c r="D1308" s="568" t="s">
        <v>2707</v>
      </c>
      <c r="E1308" s="569">
        <v>12</v>
      </c>
      <c r="F1308" t="s">
        <v>1374</v>
      </c>
      <c r="G1308" t="s">
        <v>2582</v>
      </c>
      <c r="H1308">
        <v>3</v>
      </c>
      <c r="I1308" t="s">
        <v>2583</v>
      </c>
      <c r="J1308" t="s">
        <v>1349</v>
      </c>
      <c r="K1308" t="s">
        <v>1350</v>
      </c>
    </row>
    <row r="1309" spans="1:11" hidden="1">
      <c r="A1309" t="str">
        <f t="shared" si="40"/>
        <v>T</v>
      </c>
      <c r="B1309" t="str">
        <f t="shared" si="41"/>
        <v>T1</v>
      </c>
      <c r="C1309" s="568" t="s">
        <v>2724</v>
      </c>
      <c r="D1309" s="568" t="s">
        <v>2667</v>
      </c>
      <c r="E1309" s="569">
        <v>12</v>
      </c>
      <c r="F1309" t="s">
        <v>1374</v>
      </c>
      <c r="G1309" t="s">
        <v>2582</v>
      </c>
      <c r="H1309">
        <v>3</v>
      </c>
      <c r="I1309" t="s">
        <v>2583</v>
      </c>
      <c r="J1309" t="s">
        <v>1349</v>
      </c>
      <c r="K1309" t="s">
        <v>1350</v>
      </c>
    </row>
    <row r="1310" spans="1:11" hidden="1">
      <c r="A1310" t="str">
        <f t="shared" si="40"/>
        <v>T</v>
      </c>
      <c r="B1310" t="str">
        <f t="shared" si="41"/>
        <v>T1</v>
      </c>
      <c r="C1310" s="568" t="s">
        <v>2725</v>
      </c>
      <c r="D1310" s="568" t="s">
        <v>2591</v>
      </c>
      <c r="E1310" s="569">
        <v>12</v>
      </c>
      <c r="F1310" t="s">
        <v>1374</v>
      </c>
      <c r="G1310" t="s">
        <v>2582</v>
      </c>
      <c r="H1310">
        <v>3</v>
      </c>
      <c r="I1310" t="s">
        <v>2583</v>
      </c>
      <c r="J1310" t="s">
        <v>1349</v>
      </c>
      <c r="K1310" t="s">
        <v>1350</v>
      </c>
    </row>
    <row r="1311" spans="1:11" hidden="1">
      <c r="A1311" t="str">
        <f t="shared" si="40"/>
        <v>T</v>
      </c>
      <c r="B1311" t="str">
        <f t="shared" si="41"/>
        <v>T1</v>
      </c>
      <c r="C1311" s="568" t="s">
        <v>2726</v>
      </c>
      <c r="D1311" s="568" t="s">
        <v>2587</v>
      </c>
      <c r="E1311" s="569">
        <v>12</v>
      </c>
      <c r="F1311" t="s">
        <v>1374</v>
      </c>
      <c r="G1311" t="s">
        <v>2582</v>
      </c>
      <c r="H1311">
        <v>3</v>
      </c>
      <c r="I1311" t="s">
        <v>2583</v>
      </c>
      <c r="J1311" t="s">
        <v>1349</v>
      </c>
      <c r="K1311" t="s">
        <v>1350</v>
      </c>
    </row>
    <row r="1312" spans="1:11" hidden="1">
      <c r="A1312" t="str">
        <f t="shared" si="40"/>
        <v>T</v>
      </c>
      <c r="B1312" t="str">
        <f t="shared" si="41"/>
        <v>T1</v>
      </c>
      <c r="C1312" s="568" t="s">
        <v>2727</v>
      </c>
      <c r="D1312" s="568" t="s">
        <v>2707</v>
      </c>
      <c r="E1312" s="569">
        <v>12</v>
      </c>
      <c r="F1312" t="s">
        <v>1374</v>
      </c>
      <c r="G1312" t="s">
        <v>2582</v>
      </c>
      <c r="H1312">
        <v>3</v>
      </c>
      <c r="I1312" t="s">
        <v>2583</v>
      </c>
      <c r="J1312" t="s">
        <v>1349</v>
      </c>
      <c r="K1312" t="s">
        <v>1350</v>
      </c>
    </row>
    <row r="1313" spans="1:11" hidden="1">
      <c r="A1313" t="str">
        <f t="shared" si="40"/>
        <v>T</v>
      </c>
      <c r="B1313" t="str">
        <f t="shared" si="41"/>
        <v>T1</v>
      </c>
      <c r="C1313" s="568" t="s">
        <v>2728</v>
      </c>
      <c r="D1313" s="568" t="s">
        <v>2707</v>
      </c>
      <c r="E1313" s="569">
        <v>12</v>
      </c>
      <c r="F1313" t="s">
        <v>1374</v>
      </c>
      <c r="G1313" t="s">
        <v>2582</v>
      </c>
      <c r="H1313">
        <v>3</v>
      </c>
      <c r="I1313" t="s">
        <v>2583</v>
      </c>
      <c r="J1313" t="s">
        <v>1349</v>
      </c>
      <c r="K1313" t="s">
        <v>1350</v>
      </c>
    </row>
    <row r="1314" spans="1:11" hidden="1">
      <c r="A1314" t="str">
        <f t="shared" si="40"/>
        <v>T</v>
      </c>
      <c r="B1314" t="str">
        <f t="shared" si="41"/>
        <v>T1</v>
      </c>
      <c r="C1314" s="568" t="s">
        <v>2729</v>
      </c>
      <c r="D1314" s="568" t="s">
        <v>2707</v>
      </c>
      <c r="E1314" s="569">
        <v>12</v>
      </c>
      <c r="F1314" t="s">
        <v>1374</v>
      </c>
      <c r="G1314" t="s">
        <v>2582</v>
      </c>
      <c r="H1314">
        <v>3</v>
      </c>
      <c r="I1314" t="s">
        <v>2583</v>
      </c>
      <c r="J1314" t="s">
        <v>1349</v>
      </c>
      <c r="K1314" t="s">
        <v>1350</v>
      </c>
    </row>
    <row r="1315" spans="1:11" hidden="1">
      <c r="A1315" t="str">
        <f t="shared" si="40"/>
        <v>T</v>
      </c>
      <c r="B1315" t="str">
        <f t="shared" si="41"/>
        <v>T1</v>
      </c>
      <c r="C1315" s="568" t="s">
        <v>2730</v>
      </c>
      <c r="D1315" s="568" t="s">
        <v>2581</v>
      </c>
      <c r="E1315" s="569">
        <v>12</v>
      </c>
      <c r="F1315" t="s">
        <v>1374</v>
      </c>
      <c r="G1315" t="s">
        <v>2582</v>
      </c>
      <c r="H1315">
        <v>3</v>
      </c>
      <c r="I1315" t="s">
        <v>2583</v>
      </c>
      <c r="J1315" t="s">
        <v>1349</v>
      </c>
      <c r="K1315" t="s">
        <v>1350</v>
      </c>
    </row>
    <row r="1316" spans="1:11" hidden="1">
      <c r="A1316" t="str">
        <f t="shared" si="40"/>
        <v>T</v>
      </c>
      <c r="B1316" t="str">
        <f t="shared" si="41"/>
        <v>T1</v>
      </c>
      <c r="C1316" s="568" t="s">
        <v>2731</v>
      </c>
      <c r="D1316" s="568" t="s">
        <v>2581</v>
      </c>
      <c r="E1316" s="569">
        <v>12</v>
      </c>
      <c r="F1316" t="s">
        <v>1374</v>
      </c>
      <c r="G1316" t="s">
        <v>2582</v>
      </c>
      <c r="H1316">
        <v>3</v>
      </c>
      <c r="I1316" t="s">
        <v>2583</v>
      </c>
      <c r="J1316" t="s">
        <v>1349</v>
      </c>
      <c r="K1316" t="s">
        <v>1350</v>
      </c>
    </row>
    <row r="1317" spans="1:11" hidden="1">
      <c r="A1317" t="str">
        <f t="shared" si="40"/>
        <v>T</v>
      </c>
      <c r="B1317" t="str">
        <f t="shared" si="41"/>
        <v>T1</v>
      </c>
      <c r="C1317" s="575" t="s">
        <v>2732</v>
      </c>
      <c r="D1317" s="575" t="s">
        <v>2581</v>
      </c>
      <c r="E1317" s="576">
        <v>12</v>
      </c>
      <c r="F1317" t="s">
        <v>1374</v>
      </c>
      <c r="G1317" t="s">
        <v>2582</v>
      </c>
      <c r="H1317">
        <v>3</v>
      </c>
      <c r="I1317" t="s">
        <v>2583</v>
      </c>
      <c r="J1317" t="s">
        <v>1349</v>
      </c>
      <c r="K1317" t="s">
        <v>1350</v>
      </c>
    </row>
    <row r="1318" spans="1:11" hidden="1">
      <c r="A1318" t="str">
        <f t="shared" si="40"/>
        <v>T</v>
      </c>
      <c r="B1318" t="str">
        <f t="shared" si="41"/>
        <v>T2</v>
      </c>
      <c r="C1318" s="568" t="s">
        <v>2733</v>
      </c>
      <c r="D1318" s="568" t="s">
        <v>2581</v>
      </c>
      <c r="E1318" s="569">
        <v>12</v>
      </c>
      <c r="F1318" t="s">
        <v>1374</v>
      </c>
      <c r="G1318" t="s">
        <v>2582</v>
      </c>
      <c r="H1318">
        <v>3</v>
      </c>
      <c r="I1318" t="s">
        <v>2583</v>
      </c>
      <c r="J1318" t="s">
        <v>1349</v>
      </c>
      <c r="K1318" t="s">
        <v>1350</v>
      </c>
    </row>
    <row r="1319" spans="1:11" hidden="1">
      <c r="A1319" t="str">
        <f t="shared" si="40"/>
        <v>T</v>
      </c>
      <c r="B1319" t="str">
        <f t="shared" si="41"/>
        <v>T2</v>
      </c>
      <c r="C1319" s="568" t="s">
        <v>2734</v>
      </c>
      <c r="D1319" s="568" t="s">
        <v>2581</v>
      </c>
      <c r="E1319" s="569">
        <v>12</v>
      </c>
      <c r="F1319" t="s">
        <v>1374</v>
      </c>
      <c r="G1319" t="s">
        <v>2582</v>
      </c>
      <c r="H1319">
        <v>3</v>
      </c>
      <c r="I1319" t="s">
        <v>2583</v>
      </c>
      <c r="J1319" t="s">
        <v>1349</v>
      </c>
      <c r="K1319" t="s">
        <v>1350</v>
      </c>
    </row>
    <row r="1320" spans="1:11" hidden="1">
      <c r="A1320" t="str">
        <f t="shared" si="40"/>
        <v>T</v>
      </c>
      <c r="B1320" t="str">
        <f t="shared" si="41"/>
        <v>T2</v>
      </c>
      <c r="C1320" s="568" t="s">
        <v>2735</v>
      </c>
      <c r="D1320" s="568" t="s">
        <v>2707</v>
      </c>
      <c r="E1320" s="569">
        <v>12</v>
      </c>
      <c r="F1320" t="s">
        <v>1374</v>
      </c>
      <c r="G1320" t="s">
        <v>2582</v>
      </c>
      <c r="H1320">
        <v>3</v>
      </c>
      <c r="I1320" t="s">
        <v>2583</v>
      </c>
      <c r="J1320" t="s">
        <v>1349</v>
      </c>
      <c r="K1320" t="s">
        <v>1350</v>
      </c>
    </row>
    <row r="1321" spans="1:11" hidden="1">
      <c r="A1321" t="str">
        <f t="shared" si="40"/>
        <v>T</v>
      </c>
      <c r="B1321" t="str">
        <f t="shared" si="41"/>
        <v>T2</v>
      </c>
      <c r="C1321" s="568" t="s">
        <v>2736</v>
      </c>
      <c r="D1321" s="568" t="s">
        <v>2707</v>
      </c>
      <c r="E1321" s="569">
        <v>12</v>
      </c>
      <c r="F1321" t="s">
        <v>1374</v>
      </c>
      <c r="G1321" t="s">
        <v>2582</v>
      </c>
      <c r="H1321">
        <v>3</v>
      </c>
      <c r="I1321" t="s">
        <v>2583</v>
      </c>
      <c r="J1321" t="s">
        <v>1349</v>
      </c>
      <c r="K1321" t="s">
        <v>1350</v>
      </c>
    </row>
    <row r="1322" spans="1:11" hidden="1">
      <c r="A1322" t="str">
        <f t="shared" si="40"/>
        <v>T</v>
      </c>
      <c r="B1322" t="str">
        <f t="shared" si="41"/>
        <v>T2</v>
      </c>
      <c r="C1322" s="568" t="s">
        <v>2737</v>
      </c>
      <c r="D1322" s="568" t="s">
        <v>2707</v>
      </c>
      <c r="E1322" s="569">
        <v>12</v>
      </c>
      <c r="F1322" t="s">
        <v>1374</v>
      </c>
      <c r="G1322" t="s">
        <v>2582</v>
      </c>
      <c r="H1322">
        <v>3</v>
      </c>
      <c r="I1322" t="s">
        <v>2583</v>
      </c>
      <c r="J1322" t="s">
        <v>1349</v>
      </c>
      <c r="K1322" t="s">
        <v>1350</v>
      </c>
    </row>
    <row r="1323" spans="1:11" hidden="1">
      <c r="A1323" t="str">
        <f t="shared" si="40"/>
        <v>T</v>
      </c>
      <c r="B1323" t="str">
        <f t="shared" si="41"/>
        <v>T2</v>
      </c>
      <c r="C1323" s="568" t="s">
        <v>2738</v>
      </c>
      <c r="D1323" s="568" t="s">
        <v>2707</v>
      </c>
      <c r="E1323" s="569">
        <v>12</v>
      </c>
      <c r="F1323" t="s">
        <v>1374</v>
      </c>
      <c r="G1323" t="s">
        <v>2582</v>
      </c>
      <c r="H1323">
        <v>3</v>
      </c>
      <c r="I1323" t="s">
        <v>2583</v>
      </c>
      <c r="J1323" t="s">
        <v>1349</v>
      </c>
      <c r="K1323" t="s">
        <v>1350</v>
      </c>
    </row>
    <row r="1324" spans="1:11" hidden="1">
      <c r="A1324" t="str">
        <f t="shared" si="40"/>
        <v>T</v>
      </c>
      <c r="B1324" t="str">
        <f t="shared" si="41"/>
        <v>T2</v>
      </c>
      <c r="C1324" s="568" t="s">
        <v>2739</v>
      </c>
      <c r="D1324" s="568" t="s">
        <v>2707</v>
      </c>
      <c r="E1324" s="569">
        <v>12</v>
      </c>
      <c r="F1324" t="s">
        <v>1374</v>
      </c>
      <c r="G1324" t="s">
        <v>2582</v>
      </c>
      <c r="H1324">
        <v>3</v>
      </c>
      <c r="I1324" t="s">
        <v>2583</v>
      </c>
      <c r="J1324" t="s">
        <v>1349</v>
      </c>
      <c r="K1324" t="s">
        <v>1350</v>
      </c>
    </row>
    <row r="1325" spans="1:11" hidden="1">
      <c r="A1325" t="str">
        <f t="shared" si="40"/>
        <v>T</v>
      </c>
      <c r="B1325" t="str">
        <f t="shared" si="41"/>
        <v>T2</v>
      </c>
      <c r="C1325" s="568" t="s">
        <v>2740</v>
      </c>
      <c r="D1325" s="568" t="s">
        <v>2707</v>
      </c>
      <c r="E1325" s="569">
        <v>12</v>
      </c>
      <c r="F1325" t="s">
        <v>1374</v>
      </c>
      <c r="G1325" t="s">
        <v>2582</v>
      </c>
      <c r="H1325">
        <v>3</v>
      </c>
      <c r="I1325" t="s">
        <v>2583</v>
      </c>
      <c r="J1325" t="s">
        <v>1349</v>
      </c>
      <c r="K1325" t="s">
        <v>1350</v>
      </c>
    </row>
    <row r="1326" spans="1:11" hidden="1">
      <c r="A1326" t="str">
        <f t="shared" si="40"/>
        <v>T</v>
      </c>
      <c r="B1326" t="str">
        <f t="shared" si="41"/>
        <v>T2</v>
      </c>
      <c r="C1326" s="568" t="s">
        <v>2741</v>
      </c>
      <c r="D1326" s="568" t="s">
        <v>2707</v>
      </c>
      <c r="E1326" s="569">
        <v>12</v>
      </c>
      <c r="F1326" t="s">
        <v>1374</v>
      </c>
      <c r="G1326" t="s">
        <v>2582</v>
      </c>
      <c r="H1326">
        <v>3</v>
      </c>
      <c r="I1326" t="s">
        <v>2583</v>
      </c>
      <c r="J1326" t="s">
        <v>1349</v>
      </c>
      <c r="K1326" t="s">
        <v>1350</v>
      </c>
    </row>
    <row r="1327" spans="1:11" hidden="1">
      <c r="A1327" t="str">
        <f t="shared" si="40"/>
        <v>T</v>
      </c>
      <c r="B1327" t="str">
        <f t="shared" si="41"/>
        <v>T2</v>
      </c>
      <c r="C1327" s="568" t="s">
        <v>2742</v>
      </c>
      <c r="D1327" s="568" t="s">
        <v>2707</v>
      </c>
      <c r="E1327" s="569">
        <v>12</v>
      </c>
      <c r="F1327" t="s">
        <v>1374</v>
      </c>
      <c r="G1327" t="s">
        <v>2582</v>
      </c>
      <c r="H1327">
        <v>3</v>
      </c>
      <c r="I1327" t="s">
        <v>2583</v>
      </c>
      <c r="J1327" t="s">
        <v>1349</v>
      </c>
      <c r="K1327" t="s">
        <v>1350</v>
      </c>
    </row>
    <row r="1328" spans="1:11" hidden="1">
      <c r="A1328" t="str">
        <f t="shared" si="40"/>
        <v>T</v>
      </c>
      <c r="B1328" t="str">
        <f t="shared" si="41"/>
        <v>T2</v>
      </c>
      <c r="C1328" s="568" t="s">
        <v>2743</v>
      </c>
      <c r="D1328" s="568" t="s">
        <v>2707</v>
      </c>
      <c r="E1328" s="569">
        <v>12</v>
      </c>
      <c r="F1328" t="s">
        <v>1374</v>
      </c>
      <c r="G1328" t="s">
        <v>2582</v>
      </c>
      <c r="H1328">
        <v>3</v>
      </c>
      <c r="I1328" t="s">
        <v>2583</v>
      </c>
      <c r="J1328" t="s">
        <v>1349</v>
      </c>
      <c r="K1328" t="s">
        <v>1350</v>
      </c>
    </row>
    <row r="1329" spans="1:11" hidden="1">
      <c r="A1329" t="str">
        <f t="shared" si="40"/>
        <v>T</v>
      </c>
      <c r="B1329" t="str">
        <f t="shared" si="41"/>
        <v>T2</v>
      </c>
      <c r="C1329" s="568" t="s">
        <v>2744</v>
      </c>
      <c r="D1329" s="568" t="s">
        <v>2707</v>
      </c>
      <c r="E1329" s="569">
        <v>12</v>
      </c>
      <c r="F1329" t="s">
        <v>1374</v>
      </c>
      <c r="G1329" t="s">
        <v>2582</v>
      </c>
      <c r="H1329">
        <v>3</v>
      </c>
      <c r="I1329" t="s">
        <v>2583</v>
      </c>
      <c r="J1329" t="s">
        <v>1349</v>
      </c>
      <c r="K1329" t="s">
        <v>1350</v>
      </c>
    </row>
    <row r="1330" spans="1:11" hidden="1">
      <c r="A1330" t="str">
        <f t="shared" si="40"/>
        <v>T</v>
      </c>
      <c r="B1330" t="str">
        <f t="shared" si="41"/>
        <v>T2</v>
      </c>
      <c r="C1330" s="568" t="s">
        <v>2745</v>
      </c>
      <c r="D1330" s="568" t="s">
        <v>2707</v>
      </c>
      <c r="E1330" s="569">
        <v>12</v>
      </c>
      <c r="F1330" t="s">
        <v>1374</v>
      </c>
      <c r="G1330" t="s">
        <v>2582</v>
      </c>
      <c r="H1330">
        <v>3</v>
      </c>
      <c r="I1330" t="s">
        <v>2583</v>
      </c>
      <c r="J1330" t="s">
        <v>1349</v>
      </c>
      <c r="K1330" t="s">
        <v>1350</v>
      </c>
    </row>
    <row r="1331" spans="1:11" hidden="1">
      <c r="A1331" t="str">
        <f t="shared" si="40"/>
        <v>T</v>
      </c>
      <c r="B1331" t="str">
        <f t="shared" si="41"/>
        <v>T2</v>
      </c>
      <c r="C1331" s="568" t="s">
        <v>2746</v>
      </c>
      <c r="D1331" s="568" t="s">
        <v>2707</v>
      </c>
      <c r="E1331" s="569">
        <v>12</v>
      </c>
      <c r="F1331" t="s">
        <v>1374</v>
      </c>
      <c r="G1331" t="s">
        <v>2582</v>
      </c>
      <c r="H1331">
        <v>3</v>
      </c>
      <c r="I1331" t="s">
        <v>2583</v>
      </c>
      <c r="J1331" t="s">
        <v>1349</v>
      </c>
      <c r="K1331" t="s">
        <v>1350</v>
      </c>
    </row>
    <row r="1332" spans="1:11" hidden="1">
      <c r="A1332" t="str">
        <f t="shared" si="40"/>
        <v>T</v>
      </c>
      <c r="B1332" t="str">
        <f t="shared" si="41"/>
        <v>T2</v>
      </c>
      <c r="C1332" s="568" t="s">
        <v>2747</v>
      </c>
      <c r="D1332" s="568" t="s">
        <v>2707</v>
      </c>
      <c r="E1332" s="569">
        <v>12</v>
      </c>
      <c r="F1332" t="s">
        <v>1374</v>
      </c>
      <c r="G1332" t="s">
        <v>2582</v>
      </c>
      <c r="H1332">
        <v>3</v>
      </c>
      <c r="I1332" t="s">
        <v>2583</v>
      </c>
      <c r="J1332" t="s">
        <v>1349</v>
      </c>
      <c r="K1332" t="s">
        <v>1350</v>
      </c>
    </row>
    <row r="1333" spans="1:11" hidden="1">
      <c r="A1333" t="str">
        <f t="shared" si="40"/>
        <v>T</v>
      </c>
      <c r="B1333" t="str">
        <f t="shared" si="41"/>
        <v>T2</v>
      </c>
      <c r="C1333" s="568" t="s">
        <v>2748</v>
      </c>
      <c r="D1333" s="568" t="s">
        <v>2707</v>
      </c>
      <c r="E1333" s="569">
        <v>12</v>
      </c>
      <c r="F1333" t="s">
        <v>1374</v>
      </c>
      <c r="G1333" t="s">
        <v>2582</v>
      </c>
      <c r="H1333">
        <v>3</v>
      </c>
      <c r="I1333" t="s">
        <v>2583</v>
      </c>
      <c r="J1333" t="s">
        <v>1349</v>
      </c>
      <c r="K1333" t="s">
        <v>1350</v>
      </c>
    </row>
    <row r="1334" spans="1:11" hidden="1">
      <c r="A1334" t="str">
        <f t="shared" si="40"/>
        <v>T</v>
      </c>
      <c r="B1334" t="str">
        <f t="shared" si="41"/>
        <v>T2</v>
      </c>
      <c r="C1334" s="568" t="s">
        <v>2749</v>
      </c>
      <c r="D1334" s="568" t="s">
        <v>2707</v>
      </c>
      <c r="E1334" s="569">
        <v>12</v>
      </c>
      <c r="F1334" t="s">
        <v>1374</v>
      </c>
      <c r="G1334" t="s">
        <v>2582</v>
      </c>
      <c r="H1334">
        <v>3</v>
      </c>
      <c r="I1334" t="s">
        <v>2583</v>
      </c>
      <c r="J1334" t="s">
        <v>1349</v>
      </c>
      <c r="K1334" t="s">
        <v>1350</v>
      </c>
    </row>
    <row r="1335" spans="1:11" hidden="1">
      <c r="A1335" t="str">
        <f t="shared" si="40"/>
        <v>T</v>
      </c>
      <c r="B1335" t="str">
        <f t="shared" si="41"/>
        <v>T2</v>
      </c>
      <c r="C1335" s="568" t="s">
        <v>2750</v>
      </c>
      <c r="D1335" s="568" t="s">
        <v>2707</v>
      </c>
      <c r="E1335" s="569">
        <v>12</v>
      </c>
      <c r="F1335" t="s">
        <v>1374</v>
      </c>
      <c r="G1335" t="s">
        <v>2582</v>
      </c>
      <c r="H1335">
        <v>3</v>
      </c>
      <c r="I1335" t="s">
        <v>2583</v>
      </c>
      <c r="J1335" t="s">
        <v>1349</v>
      </c>
      <c r="K1335" t="s">
        <v>1350</v>
      </c>
    </row>
    <row r="1336" spans="1:11" hidden="1">
      <c r="A1336" t="str">
        <f t="shared" si="40"/>
        <v>T</v>
      </c>
      <c r="B1336" t="str">
        <f t="shared" si="41"/>
        <v>T2</v>
      </c>
      <c r="C1336" s="568" t="s">
        <v>2751</v>
      </c>
      <c r="D1336" s="568" t="s">
        <v>2707</v>
      </c>
      <c r="E1336" s="569">
        <v>12</v>
      </c>
      <c r="F1336" t="s">
        <v>1374</v>
      </c>
      <c r="G1336" t="s">
        <v>2582</v>
      </c>
      <c r="H1336">
        <v>3</v>
      </c>
      <c r="I1336" t="s">
        <v>2583</v>
      </c>
      <c r="J1336" t="s">
        <v>1349</v>
      </c>
      <c r="K1336" t="s">
        <v>1350</v>
      </c>
    </row>
    <row r="1337" spans="1:11" hidden="1">
      <c r="A1337" t="str">
        <f t="shared" si="40"/>
        <v>T</v>
      </c>
      <c r="B1337" t="str">
        <f t="shared" si="41"/>
        <v>T2</v>
      </c>
      <c r="C1337" s="568" t="s">
        <v>2752</v>
      </c>
      <c r="D1337" s="568" t="s">
        <v>2707</v>
      </c>
      <c r="E1337" s="569">
        <v>12</v>
      </c>
      <c r="F1337" t="s">
        <v>1374</v>
      </c>
      <c r="G1337" t="s">
        <v>2582</v>
      </c>
      <c r="H1337">
        <v>3</v>
      </c>
      <c r="I1337" t="s">
        <v>2583</v>
      </c>
      <c r="J1337" t="s">
        <v>1349</v>
      </c>
      <c r="K1337" t="s">
        <v>1350</v>
      </c>
    </row>
    <row r="1338" spans="1:11" hidden="1">
      <c r="A1338" t="str">
        <f t="shared" si="40"/>
        <v>T</v>
      </c>
      <c r="B1338" t="str">
        <f t="shared" si="41"/>
        <v>T3</v>
      </c>
      <c r="C1338" s="568" t="s">
        <v>2753</v>
      </c>
      <c r="D1338" s="568" t="s">
        <v>2707</v>
      </c>
      <c r="E1338" s="569">
        <v>12</v>
      </c>
      <c r="F1338" t="s">
        <v>1374</v>
      </c>
      <c r="G1338" t="s">
        <v>2582</v>
      </c>
      <c r="H1338">
        <v>3</v>
      </c>
      <c r="I1338" t="s">
        <v>2583</v>
      </c>
      <c r="J1338" t="s">
        <v>1349</v>
      </c>
      <c r="K1338" t="s">
        <v>1350</v>
      </c>
    </row>
    <row r="1339" spans="1:11" hidden="1">
      <c r="A1339" t="str">
        <f t="shared" si="40"/>
        <v>T</v>
      </c>
      <c r="B1339" t="str">
        <f t="shared" si="41"/>
        <v>T3</v>
      </c>
      <c r="C1339" s="568" t="s">
        <v>2754</v>
      </c>
      <c r="D1339" s="568" t="s">
        <v>2707</v>
      </c>
      <c r="E1339" s="569">
        <v>12</v>
      </c>
      <c r="F1339" t="s">
        <v>1374</v>
      </c>
      <c r="G1339" t="s">
        <v>2582</v>
      </c>
      <c r="H1339">
        <v>3</v>
      </c>
      <c r="I1339" t="s">
        <v>2583</v>
      </c>
      <c r="J1339" t="s">
        <v>1349</v>
      </c>
      <c r="K1339" t="s">
        <v>1350</v>
      </c>
    </row>
    <row r="1340" spans="1:11" hidden="1">
      <c r="A1340" t="str">
        <f t="shared" si="40"/>
        <v>T</v>
      </c>
      <c r="B1340" t="str">
        <f t="shared" si="41"/>
        <v>T3</v>
      </c>
      <c r="C1340" s="568" t="s">
        <v>2755</v>
      </c>
      <c r="D1340" s="568" t="s">
        <v>2707</v>
      </c>
      <c r="E1340" s="569">
        <v>12</v>
      </c>
      <c r="F1340" t="s">
        <v>1374</v>
      </c>
      <c r="G1340" t="s">
        <v>2582</v>
      </c>
      <c r="H1340">
        <v>3</v>
      </c>
      <c r="I1340" t="s">
        <v>2583</v>
      </c>
      <c r="J1340" t="s">
        <v>1349</v>
      </c>
      <c r="K1340" t="s">
        <v>1350</v>
      </c>
    </row>
    <row r="1341" spans="1:11" hidden="1">
      <c r="A1341" t="str">
        <f t="shared" si="40"/>
        <v>T</v>
      </c>
      <c r="B1341" t="str">
        <f t="shared" si="41"/>
        <v>T3</v>
      </c>
      <c r="C1341" s="568" t="s">
        <v>2756</v>
      </c>
      <c r="D1341" s="568" t="s">
        <v>2707</v>
      </c>
      <c r="E1341" s="569">
        <v>12</v>
      </c>
      <c r="F1341" t="s">
        <v>1374</v>
      </c>
      <c r="G1341" t="s">
        <v>2582</v>
      </c>
      <c r="H1341">
        <v>3</v>
      </c>
      <c r="I1341" t="s">
        <v>2583</v>
      </c>
      <c r="J1341" t="s">
        <v>1349</v>
      </c>
      <c r="K1341" t="s">
        <v>1350</v>
      </c>
    </row>
    <row r="1342" spans="1:11" hidden="1">
      <c r="A1342" t="str">
        <f t="shared" si="40"/>
        <v>T</v>
      </c>
      <c r="B1342" t="str">
        <f t="shared" si="41"/>
        <v>T3</v>
      </c>
      <c r="C1342" s="568" t="s">
        <v>2757</v>
      </c>
      <c r="D1342" s="568" t="s">
        <v>2707</v>
      </c>
      <c r="E1342" s="569">
        <v>12</v>
      </c>
      <c r="F1342" t="s">
        <v>1374</v>
      </c>
      <c r="G1342" t="s">
        <v>2582</v>
      </c>
      <c r="H1342">
        <v>3</v>
      </c>
      <c r="I1342" t="s">
        <v>2583</v>
      </c>
      <c r="J1342" t="s">
        <v>1349</v>
      </c>
      <c r="K1342" t="s">
        <v>1350</v>
      </c>
    </row>
    <row r="1343" spans="1:11" hidden="1">
      <c r="A1343" t="str">
        <f t="shared" si="40"/>
        <v>T</v>
      </c>
      <c r="B1343" t="str">
        <f t="shared" si="41"/>
        <v>T3</v>
      </c>
      <c r="C1343" s="568" t="s">
        <v>2758</v>
      </c>
      <c r="D1343" s="568" t="s">
        <v>2707</v>
      </c>
      <c r="E1343" s="569">
        <v>12</v>
      </c>
      <c r="F1343" t="s">
        <v>1374</v>
      </c>
      <c r="G1343" t="s">
        <v>2582</v>
      </c>
      <c r="H1343">
        <v>3</v>
      </c>
      <c r="I1343" t="s">
        <v>2583</v>
      </c>
      <c r="J1343" t="s">
        <v>1349</v>
      </c>
      <c r="K1343" t="s">
        <v>1350</v>
      </c>
    </row>
    <row r="1344" spans="1:11" hidden="1">
      <c r="A1344" t="str">
        <f t="shared" si="40"/>
        <v>T</v>
      </c>
      <c r="B1344" t="str">
        <f t="shared" si="41"/>
        <v>T3</v>
      </c>
      <c r="C1344" s="568" t="s">
        <v>2759</v>
      </c>
      <c r="D1344" s="568" t="s">
        <v>2581</v>
      </c>
      <c r="E1344" s="569">
        <v>12</v>
      </c>
      <c r="F1344" t="s">
        <v>1374</v>
      </c>
      <c r="G1344" t="s">
        <v>2582</v>
      </c>
      <c r="H1344">
        <v>3</v>
      </c>
      <c r="I1344" t="s">
        <v>2583</v>
      </c>
      <c r="J1344" t="s">
        <v>1349</v>
      </c>
      <c r="K1344" t="s">
        <v>1350</v>
      </c>
    </row>
    <row r="1345" spans="1:11" hidden="1">
      <c r="A1345" t="str">
        <f t="shared" si="40"/>
        <v>T</v>
      </c>
      <c r="B1345" t="str">
        <f t="shared" si="41"/>
        <v>T3</v>
      </c>
      <c r="C1345" s="568" t="s">
        <v>2760</v>
      </c>
      <c r="D1345" s="568" t="s">
        <v>2581</v>
      </c>
      <c r="E1345" s="569">
        <v>12</v>
      </c>
      <c r="F1345" t="s">
        <v>1374</v>
      </c>
      <c r="G1345" t="s">
        <v>2582</v>
      </c>
      <c r="H1345">
        <v>3</v>
      </c>
      <c r="I1345" t="s">
        <v>2583</v>
      </c>
      <c r="J1345" t="s">
        <v>1349</v>
      </c>
      <c r="K1345" t="s">
        <v>1350</v>
      </c>
    </row>
    <row r="1346" spans="1:11" hidden="1">
      <c r="A1346" t="str">
        <f t="shared" si="40"/>
        <v>T</v>
      </c>
      <c r="B1346" t="str">
        <f t="shared" si="41"/>
        <v>T3</v>
      </c>
      <c r="C1346" s="568" t="s">
        <v>2761</v>
      </c>
      <c r="D1346" s="568" t="s">
        <v>2707</v>
      </c>
      <c r="E1346" s="569">
        <v>12</v>
      </c>
      <c r="F1346" t="s">
        <v>1374</v>
      </c>
      <c r="G1346" t="s">
        <v>2582</v>
      </c>
      <c r="H1346">
        <v>3</v>
      </c>
      <c r="I1346" t="s">
        <v>2583</v>
      </c>
      <c r="J1346" t="s">
        <v>1349</v>
      </c>
      <c r="K1346" t="s">
        <v>1350</v>
      </c>
    </row>
    <row r="1347" spans="1:11" hidden="1">
      <c r="A1347" t="str">
        <f t="shared" ref="A1347:A1410" si="42">LEFT(C1347)</f>
        <v>T</v>
      </c>
      <c r="B1347" t="str">
        <f t="shared" si="41"/>
        <v>T3</v>
      </c>
      <c r="C1347" s="568" t="s">
        <v>2762</v>
      </c>
      <c r="D1347" s="568" t="s">
        <v>2707</v>
      </c>
      <c r="E1347" s="569">
        <v>12</v>
      </c>
      <c r="F1347" t="s">
        <v>1374</v>
      </c>
      <c r="G1347" t="s">
        <v>2582</v>
      </c>
      <c r="H1347">
        <v>3</v>
      </c>
      <c r="I1347" t="s">
        <v>2583</v>
      </c>
      <c r="J1347" t="s">
        <v>1349</v>
      </c>
      <c r="K1347" t="s">
        <v>1350</v>
      </c>
    </row>
    <row r="1348" spans="1:11" hidden="1">
      <c r="A1348" t="str">
        <f t="shared" si="42"/>
        <v>T</v>
      </c>
      <c r="B1348" t="str">
        <f t="shared" ref="B1348:B1411" si="43">LEFT(C1348,2)</f>
        <v>T3</v>
      </c>
      <c r="C1348" s="568" t="s">
        <v>2763</v>
      </c>
      <c r="D1348" s="568" t="s">
        <v>2581</v>
      </c>
      <c r="E1348" s="569">
        <v>12</v>
      </c>
      <c r="F1348" t="s">
        <v>1374</v>
      </c>
      <c r="G1348" t="s">
        <v>2582</v>
      </c>
      <c r="H1348">
        <v>3</v>
      </c>
      <c r="I1348" t="s">
        <v>2583</v>
      </c>
      <c r="J1348" t="s">
        <v>1349</v>
      </c>
      <c r="K1348" t="s">
        <v>1350</v>
      </c>
    </row>
    <row r="1349" spans="1:11" hidden="1">
      <c r="A1349" t="str">
        <f t="shared" si="42"/>
        <v>T</v>
      </c>
      <c r="B1349" t="str">
        <f t="shared" si="43"/>
        <v>T3</v>
      </c>
      <c r="C1349" s="568" t="s">
        <v>2764</v>
      </c>
      <c r="D1349" s="568" t="s">
        <v>2707</v>
      </c>
      <c r="E1349" s="569">
        <v>12</v>
      </c>
      <c r="F1349" t="s">
        <v>1374</v>
      </c>
      <c r="G1349" t="s">
        <v>2582</v>
      </c>
      <c r="H1349">
        <v>3</v>
      </c>
      <c r="I1349" t="s">
        <v>2583</v>
      </c>
      <c r="J1349" t="s">
        <v>1349</v>
      </c>
      <c r="K1349" t="s">
        <v>1350</v>
      </c>
    </row>
    <row r="1350" spans="1:11" hidden="1">
      <c r="A1350" t="str">
        <f t="shared" si="42"/>
        <v>T</v>
      </c>
      <c r="B1350" t="str">
        <f t="shared" si="43"/>
        <v>T3</v>
      </c>
      <c r="C1350" s="568" t="s">
        <v>2765</v>
      </c>
      <c r="D1350" s="568" t="s">
        <v>2707</v>
      </c>
      <c r="E1350" s="569">
        <v>12</v>
      </c>
      <c r="F1350" t="s">
        <v>1374</v>
      </c>
      <c r="G1350" t="s">
        <v>2582</v>
      </c>
      <c r="H1350">
        <v>3</v>
      </c>
      <c r="I1350" t="s">
        <v>2583</v>
      </c>
      <c r="J1350" t="s">
        <v>1349</v>
      </c>
      <c r="K1350" t="s">
        <v>1350</v>
      </c>
    </row>
    <row r="1351" spans="1:11" hidden="1">
      <c r="A1351" t="str">
        <f t="shared" si="42"/>
        <v>T</v>
      </c>
      <c r="B1351" t="str">
        <f t="shared" si="43"/>
        <v>T3</v>
      </c>
      <c r="C1351" s="575" t="s">
        <v>2766</v>
      </c>
      <c r="D1351" s="575" t="s">
        <v>2581</v>
      </c>
      <c r="E1351" s="576">
        <v>12</v>
      </c>
      <c r="F1351" t="s">
        <v>1374</v>
      </c>
      <c r="G1351" t="s">
        <v>2582</v>
      </c>
      <c r="H1351">
        <v>3</v>
      </c>
      <c r="I1351" t="s">
        <v>2583</v>
      </c>
      <c r="J1351" t="s">
        <v>1349</v>
      </c>
      <c r="K1351" t="s">
        <v>1350</v>
      </c>
    </row>
    <row r="1352" spans="1:11" hidden="1">
      <c r="A1352" t="str">
        <f t="shared" si="42"/>
        <v>T</v>
      </c>
      <c r="B1352" t="str">
        <f t="shared" si="43"/>
        <v>T3</v>
      </c>
      <c r="C1352" s="568" t="s">
        <v>2767</v>
      </c>
      <c r="D1352" s="568" t="s">
        <v>2653</v>
      </c>
      <c r="E1352" s="569">
        <v>12</v>
      </c>
      <c r="F1352" t="s">
        <v>1374</v>
      </c>
      <c r="G1352" t="s">
        <v>2582</v>
      </c>
      <c r="H1352">
        <v>3</v>
      </c>
      <c r="I1352" t="s">
        <v>2583</v>
      </c>
      <c r="J1352" t="s">
        <v>1349</v>
      </c>
      <c r="K1352" t="s">
        <v>1350</v>
      </c>
    </row>
    <row r="1353" spans="1:11" hidden="1">
      <c r="A1353" t="str">
        <f t="shared" si="42"/>
        <v>T</v>
      </c>
      <c r="B1353" t="str">
        <f t="shared" si="43"/>
        <v>T4</v>
      </c>
      <c r="C1353" s="568" t="s">
        <v>2768</v>
      </c>
      <c r="D1353" s="568" t="s">
        <v>2581</v>
      </c>
      <c r="E1353" s="569">
        <v>12</v>
      </c>
      <c r="F1353" t="s">
        <v>1374</v>
      </c>
      <c r="G1353" t="s">
        <v>2582</v>
      </c>
      <c r="H1353">
        <v>3</v>
      </c>
      <c r="I1353" t="s">
        <v>2583</v>
      </c>
      <c r="J1353" t="s">
        <v>1349</v>
      </c>
      <c r="K1353" t="s">
        <v>1350</v>
      </c>
    </row>
    <row r="1354" spans="1:11" hidden="1">
      <c r="A1354" t="str">
        <f t="shared" si="42"/>
        <v>T</v>
      </c>
      <c r="B1354" t="str">
        <f t="shared" si="43"/>
        <v>T4</v>
      </c>
      <c r="C1354" s="568" t="s">
        <v>2769</v>
      </c>
      <c r="D1354" s="568" t="s">
        <v>2581</v>
      </c>
      <c r="E1354" s="569">
        <v>12</v>
      </c>
      <c r="F1354" t="s">
        <v>1374</v>
      </c>
      <c r="G1354" t="s">
        <v>2582</v>
      </c>
      <c r="H1354">
        <v>3</v>
      </c>
      <c r="I1354" t="s">
        <v>2583</v>
      </c>
      <c r="J1354" t="s">
        <v>1349</v>
      </c>
      <c r="K1354" t="s">
        <v>1350</v>
      </c>
    </row>
    <row r="1355" spans="1:11" hidden="1">
      <c r="A1355" t="str">
        <f t="shared" si="42"/>
        <v>T</v>
      </c>
      <c r="B1355" t="str">
        <f t="shared" si="43"/>
        <v>T4</v>
      </c>
      <c r="C1355" s="568" t="s">
        <v>2770</v>
      </c>
      <c r="D1355" s="568" t="s">
        <v>2707</v>
      </c>
      <c r="E1355" s="569">
        <v>12</v>
      </c>
      <c r="F1355" t="s">
        <v>1374</v>
      </c>
      <c r="G1355" t="s">
        <v>2582</v>
      </c>
      <c r="H1355">
        <v>3</v>
      </c>
      <c r="I1355" t="s">
        <v>2583</v>
      </c>
      <c r="J1355" t="s">
        <v>1349</v>
      </c>
      <c r="K1355" t="s">
        <v>1350</v>
      </c>
    </row>
    <row r="1356" spans="1:11" hidden="1">
      <c r="A1356" t="str">
        <f t="shared" si="42"/>
        <v>T</v>
      </c>
      <c r="B1356" t="str">
        <f t="shared" si="43"/>
        <v>T4</v>
      </c>
      <c r="C1356" s="568" t="s">
        <v>2771</v>
      </c>
      <c r="D1356" s="568" t="s">
        <v>2585</v>
      </c>
      <c r="E1356" s="569">
        <v>12</v>
      </c>
      <c r="F1356" t="s">
        <v>1374</v>
      </c>
      <c r="G1356" t="s">
        <v>2582</v>
      </c>
      <c r="H1356">
        <v>3</v>
      </c>
      <c r="I1356" t="s">
        <v>2583</v>
      </c>
      <c r="J1356" t="s">
        <v>1349</v>
      </c>
      <c r="K1356" t="s">
        <v>1350</v>
      </c>
    </row>
    <row r="1357" spans="1:11" hidden="1">
      <c r="A1357" t="str">
        <f t="shared" si="42"/>
        <v>T</v>
      </c>
      <c r="B1357" t="str">
        <f t="shared" si="43"/>
        <v>T4</v>
      </c>
      <c r="C1357" s="568" t="s">
        <v>2772</v>
      </c>
      <c r="D1357" s="568" t="s">
        <v>2587</v>
      </c>
      <c r="E1357" s="569">
        <v>12</v>
      </c>
      <c r="F1357" t="s">
        <v>1374</v>
      </c>
      <c r="G1357" t="s">
        <v>2582</v>
      </c>
      <c r="H1357">
        <v>3</v>
      </c>
      <c r="I1357" t="s">
        <v>2583</v>
      </c>
      <c r="J1357" t="s">
        <v>1349</v>
      </c>
      <c r="K1357" t="s">
        <v>1350</v>
      </c>
    </row>
    <row r="1358" spans="1:11" hidden="1">
      <c r="A1358" t="str">
        <f t="shared" si="42"/>
        <v>T</v>
      </c>
      <c r="B1358" t="str">
        <f t="shared" si="43"/>
        <v>T4</v>
      </c>
      <c r="C1358" s="568" t="s">
        <v>2773</v>
      </c>
      <c r="D1358" s="568" t="s">
        <v>2581</v>
      </c>
      <c r="E1358" s="569">
        <v>12</v>
      </c>
      <c r="F1358" t="s">
        <v>1374</v>
      </c>
      <c r="G1358" t="s">
        <v>2582</v>
      </c>
      <c r="H1358">
        <v>3</v>
      </c>
      <c r="I1358" t="s">
        <v>2583</v>
      </c>
      <c r="J1358" t="s">
        <v>1349</v>
      </c>
      <c r="K1358" t="s">
        <v>1350</v>
      </c>
    </row>
    <row r="1359" spans="1:11" hidden="1">
      <c r="A1359" t="str">
        <f t="shared" si="42"/>
        <v>T</v>
      </c>
      <c r="B1359" t="str">
        <f t="shared" si="43"/>
        <v>T4</v>
      </c>
      <c r="C1359" s="568" t="s">
        <v>2774</v>
      </c>
      <c r="D1359" s="568" t="s">
        <v>2585</v>
      </c>
      <c r="E1359" s="569">
        <v>12</v>
      </c>
      <c r="F1359" t="s">
        <v>1374</v>
      </c>
      <c r="G1359" t="s">
        <v>2582</v>
      </c>
      <c r="H1359">
        <v>3</v>
      </c>
      <c r="I1359" t="s">
        <v>2583</v>
      </c>
      <c r="J1359" t="s">
        <v>1349</v>
      </c>
      <c r="K1359" t="s">
        <v>1350</v>
      </c>
    </row>
    <row r="1360" spans="1:11" hidden="1">
      <c r="A1360" t="str">
        <f t="shared" si="42"/>
        <v>T</v>
      </c>
      <c r="B1360" t="str">
        <f t="shared" si="43"/>
        <v>T4</v>
      </c>
      <c r="C1360" s="568" t="s">
        <v>2775</v>
      </c>
      <c r="D1360" s="568" t="s">
        <v>2585</v>
      </c>
      <c r="E1360" s="569">
        <v>12</v>
      </c>
      <c r="F1360" t="s">
        <v>1374</v>
      </c>
      <c r="G1360" t="s">
        <v>2582</v>
      </c>
      <c r="H1360">
        <v>3</v>
      </c>
      <c r="I1360" t="s">
        <v>2583</v>
      </c>
      <c r="J1360" t="s">
        <v>1349</v>
      </c>
      <c r="K1360" t="s">
        <v>1350</v>
      </c>
    </row>
    <row r="1361" spans="1:11" hidden="1">
      <c r="A1361" t="str">
        <f t="shared" si="42"/>
        <v>T</v>
      </c>
      <c r="B1361" t="str">
        <f t="shared" si="43"/>
        <v>T4</v>
      </c>
      <c r="C1361" s="568" t="s">
        <v>2776</v>
      </c>
      <c r="D1361" s="568" t="s">
        <v>2587</v>
      </c>
      <c r="E1361" s="569">
        <v>12</v>
      </c>
      <c r="F1361" t="s">
        <v>1374</v>
      </c>
      <c r="G1361" t="s">
        <v>2582</v>
      </c>
      <c r="H1361">
        <v>3</v>
      </c>
      <c r="I1361" t="s">
        <v>2583</v>
      </c>
      <c r="J1361" t="s">
        <v>1349</v>
      </c>
      <c r="K1361" t="s">
        <v>1350</v>
      </c>
    </row>
    <row r="1362" spans="1:11" hidden="1">
      <c r="A1362" t="str">
        <f t="shared" si="42"/>
        <v>T</v>
      </c>
      <c r="B1362" t="str">
        <f t="shared" si="43"/>
        <v>T4</v>
      </c>
      <c r="C1362" s="568" t="s">
        <v>2777</v>
      </c>
      <c r="D1362" s="568" t="s">
        <v>2587</v>
      </c>
      <c r="E1362" s="569">
        <v>12</v>
      </c>
      <c r="F1362" t="s">
        <v>1374</v>
      </c>
      <c r="G1362" t="s">
        <v>2582</v>
      </c>
      <c r="H1362">
        <v>3</v>
      </c>
      <c r="I1362" t="s">
        <v>2583</v>
      </c>
      <c r="J1362" t="s">
        <v>1349</v>
      </c>
      <c r="K1362" t="s">
        <v>1350</v>
      </c>
    </row>
    <row r="1363" spans="1:11" hidden="1">
      <c r="A1363" t="str">
        <f t="shared" si="42"/>
        <v>T</v>
      </c>
      <c r="B1363" t="str">
        <f t="shared" si="43"/>
        <v>T4</v>
      </c>
      <c r="C1363" s="568" t="s">
        <v>2778</v>
      </c>
      <c r="D1363" s="568" t="s">
        <v>2587</v>
      </c>
      <c r="E1363" s="569">
        <v>12</v>
      </c>
      <c r="F1363" t="s">
        <v>1374</v>
      </c>
      <c r="G1363" t="s">
        <v>2582</v>
      </c>
      <c r="H1363">
        <v>3</v>
      </c>
      <c r="I1363" t="s">
        <v>2583</v>
      </c>
      <c r="J1363" t="s">
        <v>1349</v>
      </c>
      <c r="K1363" t="s">
        <v>1350</v>
      </c>
    </row>
    <row r="1364" spans="1:11" hidden="1">
      <c r="A1364" t="str">
        <f t="shared" si="42"/>
        <v>T</v>
      </c>
      <c r="B1364" t="str">
        <f t="shared" si="43"/>
        <v>T4</v>
      </c>
      <c r="C1364" s="568" t="s">
        <v>2779</v>
      </c>
      <c r="D1364" s="568" t="s">
        <v>2587</v>
      </c>
      <c r="E1364" s="569">
        <v>12</v>
      </c>
      <c r="F1364" t="s">
        <v>1374</v>
      </c>
      <c r="G1364" t="s">
        <v>2582</v>
      </c>
      <c r="H1364">
        <v>3</v>
      </c>
      <c r="I1364" t="s">
        <v>2583</v>
      </c>
      <c r="J1364" t="s">
        <v>1349</v>
      </c>
      <c r="K1364" t="s">
        <v>1350</v>
      </c>
    </row>
    <row r="1365" spans="1:11" hidden="1">
      <c r="A1365" t="str">
        <f t="shared" si="42"/>
        <v>T</v>
      </c>
      <c r="B1365" t="str">
        <f t="shared" si="43"/>
        <v>T4</v>
      </c>
      <c r="C1365" s="568" t="s">
        <v>2780</v>
      </c>
      <c r="D1365" s="568" t="s">
        <v>2653</v>
      </c>
      <c r="E1365" s="569">
        <v>12</v>
      </c>
      <c r="F1365" t="s">
        <v>1374</v>
      </c>
      <c r="G1365" t="s">
        <v>2582</v>
      </c>
      <c r="H1365">
        <v>3</v>
      </c>
      <c r="I1365" t="s">
        <v>2583</v>
      </c>
      <c r="J1365" t="s">
        <v>1349</v>
      </c>
      <c r="K1365" t="s">
        <v>1350</v>
      </c>
    </row>
    <row r="1366" spans="1:11" hidden="1">
      <c r="A1366" t="str">
        <f t="shared" si="42"/>
        <v>T</v>
      </c>
      <c r="B1366" t="str">
        <f t="shared" si="43"/>
        <v>T4</v>
      </c>
      <c r="C1366" s="568" t="s">
        <v>2781</v>
      </c>
      <c r="D1366" s="568" t="s">
        <v>2585</v>
      </c>
      <c r="E1366" s="569">
        <v>12</v>
      </c>
      <c r="F1366" t="s">
        <v>1374</v>
      </c>
      <c r="G1366" t="s">
        <v>2582</v>
      </c>
      <c r="H1366">
        <v>3</v>
      </c>
      <c r="I1366" t="s">
        <v>2583</v>
      </c>
      <c r="J1366" t="s">
        <v>1349</v>
      </c>
      <c r="K1366" t="s">
        <v>1350</v>
      </c>
    </row>
    <row r="1367" spans="1:11" hidden="1">
      <c r="A1367" t="str">
        <f t="shared" si="42"/>
        <v>T</v>
      </c>
      <c r="B1367" t="str">
        <f t="shared" si="43"/>
        <v>T4</v>
      </c>
      <c r="C1367" s="568" t="s">
        <v>2782</v>
      </c>
      <c r="D1367" s="568" t="s">
        <v>2585</v>
      </c>
      <c r="E1367" s="569">
        <v>12</v>
      </c>
      <c r="F1367" t="s">
        <v>1374</v>
      </c>
      <c r="G1367" t="s">
        <v>2582</v>
      </c>
      <c r="H1367">
        <v>3</v>
      </c>
      <c r="I1367" t="s">
        <v>2583</v>
      </c>
      <c r="J1367" t="s">
        <v>1349</v>
      </c>
      <c r="K1367" t="s">
        <v>1350</v>
      </c>
    </row>
    <row r="1368" spans="1:11" hidden="1">
      <c r="A1368" t="str">
        <f t="shared" si="42"/>
        <v>T</v>
      </c>
      <c r="B1368" t="str">
        <f t="shared" si="43"/>
        <v>T5</v>
      </c>
      <c r="C1368" s="568" t="s">
        <v>2783</v>
      </c>
      <c r="D1368" s="568" t="s">
        <v>2585</v>
      </c>
      <c r="E1368" s="569">
        <v>12</v>
      </c>
      <c r="F1368" t="s">
        <v>1374</v>
      </c>
      <c r="G1368" t="s">
        <v>2582</v>
      </c>
      <c r="H1368">
        <v>3</v>
      </c>
      <c r="I1368" t="s">
        <v>2583</v>
      </c>
      <c r="J1368" t="s">
        <v>1349</v>
      </c>
      <c r="K1368" t="s">
        <v>1350</v>
      </c>
    </row>
    <row r="1369" spans="1:11" hidden="1">
      <c r="A1369" t="str">
        <f t="shared" si="42"/>
        <v>T</v>
      </c>
      <c r="B1369" t="str">
        <f t="shared" si="43"/>
        <v>T5</v>
      </c>
      <c r="C1369" s="568" t="s">
        <v>2784</v>
      </c>
      <c r="D1369" s="568" t="s">
        <v>2585</v>
      </c>
      <c r="E1369" s="569">
        <v>12</v>
      </c>
      <c r="F1369" t="s">
        <v>1374</v>
      </c>
      <c r="G1369" t="s">
        <v>2582</v>
      </c>
      <c r="H1369">
        <v>3</v>
      </c>
      <c r="I1369" t="s">
        <v>2583</v>
      </c>
      <c r="J1369" t="s">
        <v>1349</v>
      </c>
      <c r="K1369" t="s">
        <v>1350</v>
      </c>
    </row>
    <row r="1370" spans="1:11" hidden="1">
      <c r="A1370" t="str">
        <f t="shared" si="42"/>
        <v>T</v>
      </c>
      <c r="B1370" t="str">
        <f t="shared" si="43"/>
        <v>T5</v>
      </c>
      <c r="C1370" s="568" t="s">
        <v>2785</v>
      </c>
      <c r="D1370" s="568" t="s">
        <v>2585</v>
      </c>
      <c r="E1370" s="569">
        <v>12</v>
      </c>
      <c r="F1370" t="s">
        <v>1374</v>
      </c>
      <c r="G1370" t="s">
        <v>2582</v>
      </c>
      <c r="H1370">
        <v>3</v>
      </c>
      <c r="I1370" t="s">
        <v>2583</v>
      </c>
      <c r="J1370" t="s">
        <v>1349</v>
      </c>
      <c r="K1370" t="s">
        <v>1350</v>
      </c>
    </row>
    <row r="1371" spans="1:11" hidden="1">
      <c r="A1371" t="str">
        <f t="shared" si="42"/>
        <v>T</v>
      </c>
      <c r="B1371" t="str">
        <f t="shared" si="43"/>
        <v>T5</v>
      </c>
      <c r="C1371" s="568" t="s">
        <v>2786</v>
      </c>
      <c r="D1371" s="568" t="s">
        <v>2585</v>
      </c>
      <c r="E1371" s="569">
        <v>12</v>
      </c>
      <c r="F1371" t="s">
        <v>1374</v>
      </c>
      <c r="G1371" t="s">
        <v>2582</v>
      </c>
      <c r="H1371">
        <v>3</v>
      </c>
      <c r="I1371" t="s">
        <v>2583</v>
      </c>
      <c r="J1371" t="s">
        <v>1349</v>
      </c>
      <c r="K1371" t="s">
        <v>1350</v>
      </c>
    </row>
    <row r="1372" spans="1:11" hidden="1">
      <c r="A1372" t="str">
        <f t="shared" si="42"/>
        <v>T</v>
      </c>
      <c r="B1372" t="str">
        <f t="shared" si="43"/>
        <v>T5</v>
      </c>
      <c r="C1372" s="568" t="s">
        <v>2787</v>
      </c>
      <c r="D1372" s="568" t="s">
        <v>2585</v>
      </c>
      <c r="E1372" s="569">
        <v>12</v>
      </c>
      <c r="F1372" t="s">
        <v>1374</v>
      </c>
      <c r="G1372" t="s">
        <v>2582</v>
      </c>
      <c r="H1372">
        <v>3</v>
      </c>
      <c r="I1372" t="s">
        <v>2583</v>
      </c>
      <c r="J1372" t="s">
        <v>1349</v>
      </c>
      <c r="K1372" t="s">
        <v>1350</v>
      </c>
    </row>
    <row r="1373" spans="1:11" hidden="1">
      <c r="A1373" t="str">
        <f t="shared" si="42"/>
        <v>T</v>
      </c>
      <c r="B1373" t="str">
        <f t="shared" si="43"/>
        <v>T5</v>
      </c>
      <c r="C1373" s="568" t="s">
        <v>2788</v>
      </c>
      <c r="D1373" s="568" t="s">
        <v>2585</v>
      </c>
      <c r="E1373" s="569">
        <v>12</v>
      </c>
      <c r="F1373" t="s">
        <v>1374</v>
      </c>
      <c r="G1373" t="s">
        <v>2582</v>
      </c>
      <c r="H1373">
        <v>3</v>
      </c>
      <c r="I1373" t="s">
        <v>2583</v>
      </c>
      <c r="J1373" t="s">
        <v>1349</v>
      </c>
      <c r="K1373" t="s">
        <v>1350</v>
      </c>
    </row>
    <row r="1374" spans="1:11" hidden="1">
      <c r="A1374" t="str">
        <f t="shared" si="42"/>
        <v>T</v>
      </c>
      <c r="B1374" t="str">
        <f t="shared" si="43"/>
        <v>T5</v>
      </c>
      <c r="C1374" s="568" t="s">
        <v>2789</v>
      </c>
      <c r="D1374" s="568" t="s">
        <v>2585</v>
      </c>
      <c r="E1374" s="569">
        <v>12</v>
      </c>
      <c r="F1374" t="s">
        <v>1374</v>
      </c>
      <c r="G1374" t="s">
        <v>2582</v>
      </c>
      <c r="H1374">
        <v>3</v>
      </c>
      <c r="I1374" t="s">
        <v>2583</v>
      </c>
      <c r="J1374" t="s">
        <v>1349</v>
      </c>
      <c r="K1374" t="s">
        <v>1350</v>
      </c>
    </row>
    <row r="1375" spans="1:11" hidden="1">
      <c r="A1375" t="str">
        <f t="shared" si="42"/>
        <v>T</v>
      </c>
      <c r="B1375" t="str">
        <f t="shared" si="43"/>
        <v>T5</v>
      </c>
      <c r="C1375" s="568" t="s">
        <v>2790</v>
      </c>
      <c r="D1375" s="568" t="s">
        <v>2585</v>
      </c>
      <c r="E1375" s="569">
        <v>12</v>
      </c>
      <c r="F1375" t="s">
        <v>1374</v>
      </c>
      <c r="G1375" t="s">
        <v>2582</v>
      </c>
      <c r="H1375">
        <v>3</v>
      </c>
      <c r="I1375" t="s">
        <v>2583</v>
      </c>
      <c r="J1375" t="s">
        <v>1349</v>
      </c>
      <c r="K1375" t="s">
        <v>1350</v>
      </c>
    </row>
    <row r="1376" spans="1:11" hidden="1">
      <c r="A1376" t="str">
        <f t="shared" si="42"/>
        <v>T</v>
      </c>
      <c r="B1376" t="str">
        <f t="shared" si="43"/>
        <v>T5</v>
      </c>
      <c r="C1376" s="568" t="s">
        <v>2791</v>
      </c>
      <c r="D1376" s="568" t="s">
        <v>2585</v>
      </c>
      <c r="E1376" s="569">
        <v>12</v>
      </c>
      <c r="F1376" t="s">
        <v>1374</v>
      </c>
      <c r="G1376" t="s">
        <v>2582</v>
      </c>
      <c r="H1376">
        <v>3</v>
      </c>
      <c r="I1376" t="s">
        <v>2583</v>
      </c>
      <c r="J1376" t="s">
        <v>1349</v>
      </c>
      <c r="K1376" t="s">
        <v>1350</v>
      </c>
    </row>
    <row r="1377" spans="1:11" hidden="1">
      <c r="A1377" t="str">
        <f t="shared" si="42"/>
        <v>T</v>
      </c>
      <c r="B1377" t="str">
        <f t="shared" si="43"/>
        <v>T5</v>
      </c>
      <c r="C1377" s="568" t="s">
        <v>2792</v>
      </c>
      <c r="D1377" s="568" t="s">
        <v>2585</v>
      </c>
      <c r="E1377" s="569">
        <v>12</v>
      </c>
      <c r="F1377" t="s">
        <v>1374</v>
      </c>
      <c r="G1377" t="s">
        <v>2582</v>
      </c>
      <c r="H1377">
        <v>3</v>
      </c>
      <c r="I1377" t="s">
        <v>2583</v>
      </c>
      <c r="J1377" t="s">
        <v>1349</v>
      </c>
      <c r="K1377" t="s">
        <v>1350</v>
      </c>
    </row>
    <row r="1378" spans="1:11" hidden="1">
      <c r="A1378" t="str">
        <f t="shared" si="42"/>
        <v>T</v>
      </c>
      <c r="B1378" t="str">
        <f t="shared" si="43"/>
        <v>T5</v>
      </c>
      <c r="C1378" s="568" t="s">
        <v>2793</v>
      </c>
      <c r="D1378" s="568" t="s">
        <v>2585</v>
      </c>
      <c r="E1378" s="569">
        <v>12</v>
      </c>
      <c r="F1378" t="s">
        <v>1374</v>
      </c>
      <c r="G1378" t="s">
        <v>2582</v>
      </c>
      <c r="H1378">
        <v>3</v>
      </c>
      <c r="I1378" t="s">
        <v>2583</v>
      </c>
      <c r="J1378" t="s">
        <v>1349</v>
      </c>
      <c r="K1378" t="s">
        <v>1350</v>
      </c>
    </row>
    <row r="1379" spans="1:11" hidden="1">
      <c r="A1379" t="str">
        <f t="shared" si="42"/>
        <v>T</v>
      </c>
      <c r="B1379" t="str">
        <f t="shared" si="43"/>
        <v>T5</v>
      </c>
      <c r="C1379" s="568" t="s">
        <v>2794</v>
      </c>
      <c r="D1379" s="568" t="s">
        <v>2585</v>
      </c>
      <c r="E1379" s="569">
        <v>12</v>
      </c>
      <c r="F1379" t="s">
        <v>1374</v>
      </c>
      <c r="G1379" t="s">
        <v>2582</v>
      </c>
      <c r="H1379">
        <v>3</v>
      </c>
      <c r="I1379" t="s">
        <v>2583</v>
      </c>
      <c r="J1379" t="s">
        <v>1349</v>
      </c>
      <c r="K1379" t="s">
        <v>1350</v>
      </c>
    </row>
    <row r="1380" spans="1:11" hidden="1">
      <c r="A1380" t="str">
        <f t="shared" si="42"/>
        <v>T</v>
      </c>
      <c r="B1380" t="str">
        <f t="shared" si="43"/>
        <v>T5</v>
      </c>
      <c r="C1380" s="568" t="s">
        <v>2795</v>
      </c>
      <c r="D1380" s="568" t="s">
        <v>2585</v>
      </c>
      <c r="E1380" s="569">
        <v>12</v>
      </c>
      <c r="F1380" t="s">
        <v>1374</v>
      </c>
      <c r="G1380" t="s">
        <v>2582</v>
      </c>
      <c r="H1380">
        <v>3</v>
      </c>
      <c r="I1380" t="s">
        <v>2583</v>
      </c>
      <c r="J1380" t="s">
        <v>1349</v>
      </c>
      <c r="K1380" t="s">
        <v>1350</v>
      </c>
    </row>
    <row r="1381" spans="1:11" hidden="1">
      <c r="A1381" t="str">
        <f t="shared" si="42"/>
        <v>T</v>
      </c>
      <c r="B1381" t="str">
        <f t="shared" si="43"/>
        <v>T5</v>
      </c>
      <c r="C1381" s="568" t="s">
        <v>2796</v>
      </c>
      <c r="D1381" s="568" t="s">
        <v>2585</v>
      </c>
      <c r="E1381" s="569">
        <v>12</v>
      </c>
      <c r="F1381" t="s">
        <v>1374</v>
      </c>
      <c r="G1381" t="s">
        <v>2582</v>
      </c>
      <c r="H1381">
        <v>3</v>
      </c>
      <c r="I1381" t="s">
        <v>2583</v>
      </c>
      <c r="J1381" t="s">
        <v>1349</v>
      </c>
      <c r="K1381" t="s">
        <v>1350</v>
      </c>
    </row>
    <row r="1382" spans="1:11" hidden="1">
      <c r="A1382" t="str">
        <f t="shared" si="42"/>
        <v>T</v>
      </c>
      <c r="B1382" t="str">
        <f t="shared" si="43"/>
        <v>T5</v>
      </c>
      <c r="C1382" s="568" t="s">
        <v>2797</v>
      </c>
      <c r="D1382" s="568" t="s">
        <v>2585</v>
      </c>
      <c r="E1382" s="569">
        <v>12</v>
      </c>
      <c r="F1382" t="s">
        <v>1374</v>
      </c>
      <c r="G1382" t="s">
        <v>2582</v>
      </c>
      <c r="H1382">
        <v>3</v>
      </c>
      <c r="I1382" t="s">
        <v>2583</v>
      </c>
      <c r="J1382" t="s">
        <v>1349</v>
      </c>
      <c r="K1382" t="s">
        <v>1350</v>
      </c>
    </row>
    <row r="1383" spans="1:11" hidden="1">
      <c r="A1383" t="str">
        <f t="shared" si="42"/>
        <v>T</v>
      </c>
      <c r="B1383" t="str">
        <f t="shared" si="43"/>
        <v>T5</v>
      </c>
      <c r="C1383" s="568" t="s">
        <v>2798</v>
      </c>
      <c r="D1383" s="568" t="s">
        <v>2585</v>
      </c>
      <c r="E1383" s="569">
        <v>12</v>
      </c>
      <c r="F1383" t="s">
        <v>1374</v>
      </c>
      <c r="G1383" t="s">
        <v>2582</v>
      </c>
      <c r="H1383">
        <v>3</v>
      </c>
      <c r="I1383" t="s">
        <v>2583</v>
      </c>
      <c r="J1383" t="s">
        <v>1349</v>
      </c>
      <c r="K1383" t="s">
        <v>1350</v>
      </c>
    </row>
    <row r="1384" spans="1:11" hidden="1">
      <c r="A1384" t="str">
        <f t="shared" si="42"/>
        <v>T</v>
      </c>
      <c r="B1384" t="str">
        <f t="shared" si="43"/>
        <v>T5</v>
      </c>
      <c r="C1384" s="568" t="s">
        <v>2799</v>
      </c>
      <c r="D1384" s="568" t="s">
        <v>2585</v>
      </c>
      <c r="E1384" s="569">
        <v>12</v>
      </c>
      <c r="F1384" t="s">
        <v>1374</v>
      </c>
      <c r="G1384" t="s">
        <v>2582</v>
      </c>
      <c r="H1384">
        <v>3</v>
      </c>
      <c r="I1384" t="s">
        <v>2583</v>
      </c>
      <c r="J1384" t="s">
        <v>1349</v>
      </c>
      <c r="K1384" t="s">
        <v>1350</v>
      </c>
    </row>
    <row r="1385" spans="1:11" hidden="1">
      <c r="A1385" t="str">
        <f t="shared" si="42"/>
        <v>T</v>
      </c>
      <c r="B1385" t="str">
        <f t="shared" si="43"/>
        <v>T5</v>
      </c>
      <c r="C1385" s="568" t="s">
        <v>2800</v>
      </c>
      <c r="D1385" s="568" t="s">
        <v>2585</v>
      </c>
      <c r="E1385" s="569">
        <v>12</v>
      </c>
      <c r="F1385" t="s">
        <v>1374</v>
      </c>
      <c r="G1385" t="s">
        <v>2582</v>
      </c>
      <c r="H1385">
        <v>3</v>
      </c>
      <c r="I1385" t="s">
        <v>2583</v>
      </c>
      <c r="J1385" t="s">
        <v>1349</v>
      </c>
      <c r="K1385" t="s">
        <v>1350</v>
      </c>
    </row>
    <row r="1386" spans="1:11" hidden="1">
      <c r="A1386" t="str">
        <f t="shared" si="42"/>
        <v>T</v>
      </c>
      <c r="B1386" t="str">
        <f t="shared" si="43"/>
        <v>T5</v>
      </c>
      <c r="C1386" s="568" t="s">
        <v>2801</v>
      </c>
      <c r="D1386" s="568" t="s">
        <v>2585</v>
      </c>
      <c r="E1386" s="569">
        <v>12</v>
      </c>
      <c r="F1386" t="s">
        <v>1374</v>
      </c>
      <c r="G1386" t="s">
        <v>2582</v>
      </c>
      <c r="H1386">
        <v>3</v>
      </c>
      <c r="I1386" t="s">
        <v>2583</v>
      </c>
      <c r="J1386" t="s">
        <v>1349</v>
      </c>
      <c r="K1386" t="s">
        <v>1350</v>
      </c>
    </row>
    <row r="1387" spans="1:11" hidden="1">
      <c r="A1387" t="str">
        <f t="shared" si="42"/>
        <v>T</v>
      </c>
      <c r="B1387" t="str">
        <f t="shared" si="43"/>
        <v>T5</v>
      </c>
      <c r="C1387" s="568" t="s">
        <v>2802</v>
      </c>
      <c r="D1387" s="568" t="s">
        <v>2585</v>
      </c>
      <c r="E1387" s="569">
        <v>12</v>
      </c>
      <c r="F1387" t="s">
        <v>1374</v>
      </c>
      <c r="G1387" t="s">
        <v>2582</v>
      </c>
      <c r="H1387">
        <v>3</v>
      </c>
      <c r="I1387" t="s">
        <v>2583</v>
      </c>
      <c r="J1387" t="s">
        <v>1349</v>
      </c>
      <c r="K1387" t="s">
        <v>1350</v>
      </c>
    </row>
    <row r="1388" spans="1:11" hidden="1">
      <c r="A1388" t="str">
        <f t="shared" si="42"/>
        <v>T</v>
      </c>
      <c r="B1388" t="str">
        <f t="shared" si="43"/>
        <v>T6</v>
      </c>
      <c r="C1388" s="568" t="s">
        <v>2803</v>
      </c>
      <c r="D1388" s="568" t="s">
        <v>2585</v>
      </c>
      <c r="E1388" s="569">
        <v>12</v>
      </c>
      <c r="F1388" t="s">
        <v>1374</v>
      </c>
      <c r="G1388" t="s">
        <v>2582</v>
      </c>
      <c r="H1388">
        <v>3</v>
      </c>
      <c r="I1388" t="s">
        <v>2583</v>
      </c>
      <c r="J1388" t="s">
        <v>1349</v>
      </c>
      <c r="K1388" t="s">
        <v>1350</v>
      </c>
    </row>
    <row r="1389" spans="1:11" hidden="1">
      <c r="A1389" t="str">
        <f t="shared" si="42"/>
        <v>T</v>
      </c>
      <c r="B1389" t="str">
        <f t="shared" si="43"/>
        <v>T6</v>
      </c>
      <c r="C1389" s="568" t="s">
        <v>2804</v>
      </c>
      <c r="D1389" s="568" t="s">
        <v>2585</v>
      </c>
      <c r="E1389" s="569">
        <v>12</v>
      </c>
      <c r="F1389" t="s">
        <v>1374</v>
      </c>
      <c r="G1389" t="s">
        <v>2582</v>
      </c>
      <c r="H1389">
        <v>3</v>
      </c>
      <c r="I1389" t="s">
        <v>2583</v>
      </c>
      <c r="J1389" t="s">
        <v>1349</v>
      </c>
      <c r="K1389" t="s">
        <v>1350</v>
      </c>
    </row>
    <row r="1390" spans="1:11" hidden="1">
      <c r="A1390" t="str">
        <f t="shared" si="42"/>
        <v>T</v>
      </c>
      <c r="B1390" t="str">
        <f t="shared" si="43"/>
        <v>T6</v>
      </c>
      <c r="C1390" s="568" t="s">
        <v>2805</v>
      </c>
      <c r="D1390" s="568" t="s">
        <v>2585</v>
      </c>
      <c r="E1390" s="569">
        <v>12</v>
      </c>
      <c r="F1390" t="s">
        <v>1374</v>
      </c>
      <c r="G1390" t="s">
        <v>2582</v>
      </c>
      <c r="H1390">
        <v>3</v>
      </c>
      <c r="I1390" t="s">
        <v>2583</v>
      </c>
      <c r="J1390" t="s">
        <v>1349</v>
      </c>
      <c r="K1390" t="s">
        <v>1350</v>
      </c>
    </row>
    <row r="1391" spans="1:11" hidden="1">
      <c r="A1391" t="str">
        <f t="shared" si="42"/>
        <v>T</v>
      </c>
      <c r="B1391" t="str">
        <f t="shared" si="43"/>
        <v>T6</v>
      </c>
      <c r="C1391" s="568" t="s">
        <v>2806</v>
      </c>
      <c r="D1391" s="568" t="s">
        <v>2585</v>
      </c>
      <c r="E1391" s="569">
        <v>12</v>
      </c>
      <c r="F1391" t="s">
        <v>1374</v>
      </c>
      <c r="G1391" t="s">
        <v>2582</v>
      </c>
      <c r="H1391">
        <v>3</v>
      </c>
      <c r="I1391" t="s">
        <v>2583</v>
      </c>
      <c r="J1391" t="s">
        <v>1349</v>
      </c>
      <c r="K1391" t="s">
        <v>1350</v>
      </c>
    </row>
    <row r="1392" spans="1:11" hidden="1">
      <c r="A1392" t="str">
        <f t="shared" si="42"/>
        <v>T</v>
      </c>
      <c r="B1392" t="str">
        <f t="shared" si="43"/>
        <v>T6</v>
      </c>
      <c r="C1392" s="568" t="s">
        <v>2807</v>
      </c>
      <c r="D1392" s="568" t="s">
        <v>2585</v>
      </c>
      <c r="E1392" s="569">
        <v>12</v>
      </c>
      <c r="F1392" t="s">
        <v>1374</v>
      </c>
      <c r="G1392" t="s">
        <v>2582</v>
      </c>
      <c r="H1392">
        <v>3</v>
      </c>
      <c r="I1392" t="s">
        <v>2583</v>
      </c>
      <c r="J1392" t="s">
        <v>1349</v>
      </c>
      <c r="K1392" t="s">
        <v>1350</v>
      </c>
    </row>
    <row r="1393" spans="1:11" hidden="1">
      <c r="A1393" t="str">
        <f t="shared" si="42"/>
        <v>T</v>
      </c>
      <c r="B1393" t="str">
        <f t="shared" si="43"/>
        <v>T6</v>
      </c>
      <c r="C1393" s="568" t="s">
        <v>2808</v>
      </c>
      <c r="D1393" s="568" t="s">
        <v>2585</v>
      </c>
      <c r="E1393" s="569">
        <v>12</v>
      </c>
      <c r="F1393" t="s">
        <v>1374</v>
      </c>
      <c r="G1393" t="s">
        <v>2582</v>
      </c>
      <c r="H1393">
        <v>3</v>
      </c>
      <c r="I1393" t="s">
        <v>2583</v>
      </c>
      <c r="J1393" t="s">
        <v>1349</v>
      </c>
      <c r="K1393" t="s">
        <v>1350</v>
      </c>
    </row>
    <row r="1394" spans="1:11" hidden="1">
      <c r="A1394" t="str">
        <f t="shared" si="42"/>
        <v>T</v>
      </c>
      <c r="B1394" t="str">
        <f t="shared" si="43"/>
        <v>T6</v>
      </c>
      <c r="C1394" s="568" t="s">
        <v>2809</v>
      </c>
      <c r="D1394" s="568" t="s">
        <v>2585</v>
      </c>
      <c r="E1394" s="569">
        <v>12</v>
      </c>
      <c r="F1394" t="s">
        <v>1374</v>
      </c>
      <c r="G1394" t="s">
        <v>2582</v>
      </c>
      <c r="H1394">
        <v>3</v>
      </c>
      <c r="I1394" t="s">
        <v>2583</v>
      </c>
      <c r="J1394" t="s">
        <v>1349</v>
      </c>
      <c r="K1394" t="s">
        <v>1350</v>
      </c>
    </row>
    <row r="1395" spans="1:11" hidden="1">
      <c r="A1395" t="str">
        <f t="shared" si="42"/>
        <v>T</v>
      </c>
      <c r="B1395" t="str">
        <f t="shared" si="43"/>
        <v>T6</v>
      </c>
      <c r="C1395" s="568" t="s">
        <v>2810</v>
      </c>
      <c r="D1395" s="568" t="s">
        <v>2585</v>
      </c>
      <c r="E1395" s="569">
        <v>12</v>
      </c>
      <c r="F1395" t="s">
        <v>1374</v>
      </c>
      <c r="G1395" t="s">
        <v>2582</v>
      </c>
      <c r="H1395">
        <v>3</v>
      </c>
      <c r="I1395" t="s">
        <v>2583</v>
      </c>
      <c r="J1395" t="s">
        <v>1349</v>
      </c>
      <c r="K1395" t="s">
        <v>1350</v>
      </c>
    </row>
    <row r="1396" spans="1:11" hidden="1">
      <c r="A1396" t="str">
        <f t="shared" si="42"/>
        <v>T</v>
      </c>
      <c r="B1396" t="str">
        <f t="shared" si="43"/>
        <v>T6</v>
      </c>
      <c r="C1396" s="568" t="s">
        <v>2811</v>
      </c>
      <c r="D1396" s="568" t="s">
        <v>2585</v>
      </c>
      <c r="E1396" s="569">
        <v>12</v>
      </c>
      <c r="F1396" t="s">
        <v>1374</v>
      </c>
      <c r="G1396" t="s">
        <v>2582</v>
      </c>
      <c r="H1396">
        <v>3</v>
      </c>
      <c r="I1396" t="s">
        <v>2583</v>
      </c>
      <c r="J1396" t="s">
        <v>1349</v>
      </c>
      <c r="K1396" t="s">
        <v>1350</v>
      </c>
    </row>
    <row r="1397" spans="1:11" hidden="1">
      <c r="A1397" t="str">
        <f t="shared" si="42"/>
        <v>T</v>
      </c>
      <c r="B1397" t="str">
        <f t="shared" si="43"/>
        <v>T6</v>
      </c>
      <c r="C1397" s="568" t="s">
        <v>2812</v>
      </c>
      <c r="D1397" s="568" t="s">
        <v>2585</v>
      </c>
      <c r="E1397" s="569">
        <v>12</v>
      </c>
      <c r="F1397" t="s">
        <v>1374</v>
      </c>
      <c r="G1397" t="s">
        <v>2582</v>
      </c>
      <c r="H1397">
        <v>3</v>
      </c>
      <c r="I1397" t="s">
        <v>2583</v>
      </c>
      <c r="J1397" t="s">
        <v>1349</v>
      </c>
      <c r="K1397" t="s">
        <v>1350</v>
      </c>
    </row>
    <row r="1398" spans="1:11" hidden="1">
      <c r="A1398" t="str">
        <f t="shared" si="42"/>
        <v>T</v>
      </c>
      <c r="B1398" t="str">
        <f t="shared" si="43"/>
        <v>T6</v>
      </c>
      <c r="C1398" s="568" t="s">
        <v>2813</v>
      </c>
      <c r="D1398" s="568" t="s">
        <v>2585</v>
      </c>
      <c r="E1398" s="569">
        <v>12</v>
      </c>
      <c r="F1398" t="s">
        <v>1374</v>
      </c>
      <c r="G1398" t="s">
        <v>2582</v>
      </c>
      <c r="H1398">
        <v>3</v>
      </c>
      <c r="I1398" t="s">
        <v>2583</v>
      </c>
      <c r="J1398" t="s">
        <v>1349</v>
      </c>
      <c r="K1398" t="s">
        <v>1350</v>
      </c>
    </row>
    <row r="1399" spans="1:11" hidden="1">
      <c r="A1399" t="str">
        <f t="shared" si="42"/>
        <v>T</v>
      </c>
      <c r="B1399" t="str">
        <f t="shared" si="43"/>
        <v>T6</v>
      </c>
      <c r="C1399" s="568" t="s">
        <v>2814</v>
      </c>
      <c r="D1399" s="568" t="s">
        <v>2585</v>
      </c>
      <c r="E1399" s="569">
        <v>12</v>
      </c>
      <c r="F1399" t="s">
        <v>1374</v>
      </c>
      <c r="G1399" t="s">
        <v>2582</v>
      </c>
      <c r="H1399">
        <v>3</v>
      </c>
      <c r="I1399" t="s">
        <v>2583</v>
      </c>
      <c r="J1399" t="s">
        <v>1349</v>
      </c>
      <c r="K1399" t="s">
        <v>1350</v>
      </c>
    </row>
    <row r="1400" spans="1:11" hidden="1">
      <c r="A1400" t="str">
        <f t="shared" si="42"/>
        <v>T</v>
      </c>
      <c r="B1400" t="str">
        <f t="shared" si="43"/>
        <v>T6</v>
      </c>
      <c r="C1400" s="568" t="s">
        <v>2815</v>
      </c>
      <c r="D1400" s="568" t="s">
        <v>2585</v>
      </c>
      <c r="E1400" s="569">
        <v>12</v>
      </c>
      <c r="F1400" t="s">
        <v>1374</v>
      </c>
      <c r="G1400" t="s">
        <v>2582</v>
      </c>
      <c r="H1400">
        <v>3</v>
      </c>
      <c r="I1400" t="s">
        <v>2583</v>
      </c>
      <c r="J1400" t="s">
        <v>1349</v>
      </c>
      <c r="K1400" t="s">
        <v>1350</v>
      </c>
    </row>
    <row r="1401" spans="1:11" hidden="1">
      <c r="A1401" t="str">
        <f t="shared" si="42"/>
        <v>T</v>
      </c>
      <c r="B1401" t="str">
        <f t="shared" si="43"/>
        <v>T6</v>
      </c>
      <c r="C1401" s="568" t="s">
        <v>2816</v>
      </c>
      <c r="D1401" s="568" t="s">
        <v>2585</v>
      </c>
      <c r="E1401" s="569">
        <v>12</v>
      </c>
      <c r="F1401" t="s">
        <v>1374</v>
      </c>
      <c r="G1401" t="s">
        <v>2582</v>
      </c>
      <c r="H1401">
        <v>3</v>
      </c>
      <c r="I1401" t="s">
        <v>2583</v>
      </c>
      <c r="J1401" t="s">
        <v>1349</v>
      </c>
      <c r="K1401" t="s">
        <v>1350</v>
      </c>
    </row>
    <row r="1402" spans="1:11" hidden="1">
      <c r="A1402" t="str">
        <f t="shared" si="42"/>
        <v>T</v>
      </c>
      <c r="B1402" t="str">
        <f t="shared" si="43"/>
        <v>T6</v>
      </c>
      <c r="C1402" s="568" t="s">
        <v>2817</v>
      </c>
      <c r="D1402" s="568" t="s">
        <v>2585</v>
      </c>
      <c r="E1402" s="569">
        <v>12</v>
      </c>
      <c r="F1402" t="s">
        <v>1374</v>
      </c>
      <c r="G1402" t="s">
        <v>2582</v>
      </c>
      <c r="H1402">
        <v>3</v>
      </c>
      <c r="I1402" t="s">
        <v>2583</v>
      </c>
      <c r="J1402" t="s">
        <v>1349</v>
      </c>
      <c r="K1402" t="s">
        <v>1350</v>
      </c>
    </row>
    <row r="1403" spans="1:11" hidden="1">
      <c r="A1403" t="str">
        <f t="shared" si="42"/>
        <v>T</v>
      </c>
      <c r="B1403" t="str">
        <f t="shared" si="43"/>
        <v>T6</v>
      </c>
      <c r="C1403" s="568" t="s">
        <v>2818</v>
      </c>
      <c r="D1403" s="568" t="s">
        <v>2585</v>
      </c>
      <c r="E1403" s="569">
        <v>12</v>
      </c>
      <c r="F1403" t="s">
        <v>1374</v>
      </c>
      <c r="G1403" t="s">
        <v>2582</v>
      </c>
      <c r="H1403">
        <v>3</v>
      </c>
      <c r="I1403" t="s">
        <v>2583</v>
      </c>
      <c r="J1403" t="s">
        <v>1349</v>
      </c>
      <c r="K1403" t="s">
        <v>1350</v>
      </c>
    </row>
    <row r="1404" spans="1:11" hidden="1">
      <c r="A1404" t="str">
        <f t="shared" si="42"/>
        <v>T</v>
      </c>
      <c r="B1404" t="str">
        <f t="shared" si="43"/>
        <v>T6</v>
      </c>
      <c r="C1404" s="568" t="s">
        <v>2819</v>
      </c>
      <c r="D1404" s="568" t="s">
        <v>2585</v>
      </c>
      <c r="E1404" s="569">
        <v>12</v>
      </c>
      <c r="F1404" t="s">
        <v>1374</v>
      </c>
      <c r="G1404" t="s">
        <v>2582</v>
      </c>
      <c r="H1404">
        <v>3</v>
      </c>
      <c r="I1404" t="s">
        <v>2583</v>
      </c>
      <c r="J1404" t="s">
        <v>1349</v>
      </c>
      <c r="K1404" t="s">
        <v>1350</v>
      </c>
    </row>
    <row r="1405" spans="1:11" hidden="1">
      <c r="A1405" t="str">
        <f t="shared" si="42"/>
        <v>T</v>
      </c>
      <c r="B1405" t="str">
        <f t="shared" si="43"/>
        <v>T6</v>
      </c>
      <c r="C1405" s="568" t="s">
        <v>2820</v>
      </c>
      <c r="D1405" s="568" t="s">
        <v>2585</v>
      </c>
      <c r="E1405" s="569">
        <v>12</v>
      </c>
      <c r="F1405" t="s">
        <v>1374</v>
      </c>
      <c r="G1405" t="s">
        <v>2582</v>
      </c>
      <c r="H1405">
        <v>3</v>
      </c>
      <c r="I1405" t="s">
        <v>2583</v>
      </c>
      <c r="J1405" t="s">
        <v>1349</v>
      </c>
      <c r="K1405" t="s">
        <v>1350</v>
      </c>
    </row>
    <row r="1406" spans="1:11" hidden="1">
      <c r="A1406" t="str">
        <f t="shared" si="42"/>
        <v>T</v>
      </c>
      <c r="B1406" t="str">
        <f t="shared" si="43"/>
        <v>T7</v>
      </c>
      <c r="C1406" s="568" t="s">
        <v>2821</v>
      </c>
      <c r="D1406" s="568" t="s">
        <v>2591</v>
      </c>
      <c r="E1406" s="569">
        <v>12</v>
      </c>
      <c r="F1406" t="s">
        <v>1374</v>
      </c>
      <c r="G1406" t="s">
        <v>2582</v>
      </c>
      <c r="H1406">
        <v>3</v>
      </c>
      <c r="I1406" t="s">
        <v>2583</v>
      </c>
      <c r="J1406" t="s">
        <v>1349</v>
      </c>
      <c r="K1406" t="s">
        <v>1350</v>
      </c>
    </row>
    <row r="1407" spans="1:11" hidden="1">
      <c r="A1407" t="str">
        <f t="shared" si="42"/>
        <v>T</v>
      </c>
      <c r="B1407" t="str">
        <f t="shared" si="43"/>
        <v>T7</v>
      </c>
      <c r="C1407" s="568" t="s">
        <v>2822</v>
      </c>
      <c r="D1407" s="568" t="s">
        <v>2707</v>
      </c>
      <c r="E1407" s="569">
        <v>12</v>
      </c>
      <c r="F1407" t="s">
        <v>1374</v>
      </c>
      <c r="G1407" t="s">
        <v>2582</v>
      </c>
      <c r="H1407">
        <v>3</v>
      </c>
      <c r="I1407" t="s">
        <v>2583</v>
      </c>
      <c r="J1407" t="s">
        <v>1349</v>
      </c>
      <c r="K1407" t="s">
        <v>1350</v>
      </c>
    </row>
    <row r="1408" spans="1:11" hidden="1">
      <c r="A1408" t="str">
        <f t="shared" si="42"/>
        <v>T</v>
      </c>
      <c r="B1408" t="str">
        <f t="shared" si="43"/>
        <v>T7</v>
      </c>
      <c r="C1408" s="568" t="s">
        <v>2823</v>
      </c>
      <c r="D1408" s="568" t="s">
        <v>2585</v>
      </c>
      <c r="E1408" s="569">
        <v>12</v>
      </c>
      <c r="F1408" t="s">
        <v>1374</v>
      </c>
      <c r="G1408" t="s">
        <v>2582</v>
      </c>
      <c r="H1408">
        <v>3</v>
      </c>
      <c r="I1408" t="s">
        <v>2583</v>
      </c>
      <c r="J1408" t="s">
        <v>1349</v>
      </c>
      <c r="K1408" t="s">
        <v>1350</v>
      </c>
    </row>
    <row r="1409" spans="1:11" hidden="1">
      <c r="A1409" t="str">
        <f t="shared" si="42"/>
        <v>T</v>
      </c>
      <c r="B1409" t="str">
        <f t="shared" si="43"/>
        <v>T7</v>
      </c>
      <c r="C1409" s="568" t="s">
        <v>2824</v>
      </c>
      <c r="D1409" s="568" t="s">
        <v>2585</v>
      </c>
      <c r="E1409" s="569">
        <v>12</v>
      </c>
      <c r="F1409" t="s">
        <v>1374</v>
      </c>
      <c r="G1409" t="s">
        <v>2582</v>
      </c>
      <c r="H1409">
        <v>3</v>
      </c>
      <c r="I1409" t="s">
        <v>2583</v>
      </c>
      <c r="J1409" t="s">
        <v>1349</v>
      </c>
      <c r="K1409" t="s">
        <v>1350</v>
      </c>
    </row>
    <row r="1410" spans="1:11" hidden="1">
      <c r="A1410" t="str">
        <f t="shared" si="42"/>
        <v>T</v>
      </c>
      <c r="B1410" t="str">
        <f t="shared" si="43"/>
        <v>T7</v>
      </c>
      <c r="C1410" s="568" t="s">
        <v>2825</v>
      </c>
      <c r="D1410" s="568" t="s">
        <v>2587</v>
      </c>
      <c r="E1410" s="569">
        <v>12</v>
      </c>
      <c r="F1410" t="s">
        <v>1374</v>
      </c>
      <c r="G1410" t="s">
        <v>2582</v>
      </c>
      <c r="H1410">
        <v>3</v>
      </c>
      <c r="I1410" t="s">
        <v>2583</v>
      </c>
      <c r="J1410" t="s">
        <v>1349</v>
      </c>
      <c r="K1410" t="s">
        <v>1350</v>
      </c>
    </row>
    <row r="1411" spans="1:11" hidden="1">
      <c r="A1411" t="str">
        <f t="shared" ref="A1411:A1474" si="44">LEFT(C1411)</f>
        <v>T</v>
      </c>
      <c r="B1411" t="str">
        <f t="shared" si="43"/>
        <v>T7</v>
      </c>
      <c r="C1411" s="568" t="s">
        <v>2826</v>
      </c>
      <c r="D1411" s="568" t="s">
        <v>2667</v>
      </c>
      <c r="E1411" s="569">
        <v>12</v>
      </c>
      <c r="F1411" t="s">
        <v>1374</v>
      </c>
      <c r="G1411" t="s">
        <v>2582</v>
      </c>
      <c r="H1411">
        <v>3</v>
      </c>
      <c r="I1411" t="s">
        <v>2583</v>
      </c>
      <c r="J1411" t="s">
        <v>1349</v>
      </c>
      <c r="K1411" t="s">
        <v>1350</v>
      </c>
    </row>
    <row r="1412" spans="1:11" hidden="1">
      <c r="A1412" t="str">
        <f t="shared" si="44"/>
        <v>T</v>
      </c>
      <c r="B1412" t="str">
        <f t="shared" ref="B1412:B1475" si="45">LEFT(C1412,2)</f>
        <v>T7</v>
      </c>
      <c r="C1412" s="568" t="s">
        <v>2827</v>
      </c>
      <c r="D1412" s="568" t="s">
        <v>2587</v>
      </c>
      <c r="E1412" s="569">
        <v>12</v>
      </c>
      <c r="F1412" t="s">
        <v>1374</v>
      </c>
      <c r="G1412" t="s">
        <v>2582</v>
      </c>
      <c r="H1412">
        <v>3</v>
      </c>
      <c r="I1412" t="s">
        <v>2583</v>
      </c>
      <c r="J1412" t="s">
        <v>1349</v>
      </c>
      <c r="K1412" t="s">
        <v>1350</v>
      </c>
    </row>
    <row r="1413" spans="1:11" hidden="1">
      <c r="A1413" t="str">
        <f t="shared" si="44"/>
        <v>T</v>
      </c>
      <c r="B1413" t="str">
        <f t="shared" si="45"/>
        <v>T7</v>
      </c>
      <c r="C1413" s="568" t="s">
        <v>2828</v>
      </c>
      <c r="D1413" s="568" t="s">
        <v>2585</v>
      </c>
      <c r="E1413" s="569">
        <v>12</v>
      </c>
      <c r="F1413" t="s">
        <v>1374</v>
      </c>
      <c r="G1413" t="s">
        <v>2582</v>
      </c>
      <c r="H1413">
        <v>3</v>
      </c>
      <c r="I1413" t="s">
        <v>2583</v>
      </c>
      <c r="J1413" t="s">
        <v>1349</v>
      </c>
      <c r="K1413" t="s">
        <v>1350</v>
      </c>
    </row>
    <row r="1414" spans="1:11" hidden="1">
      <c r="A1414" t="str">
        <f t="shared" si="44"/>
        <v>T</v>
      </c>
      <c r="B1414" t="str">
        <f t="shared" si="45"/>
        <v>T7</v>
      </c>
      <c r="C1414" s="568" t="s">
        <v>2829</v>
      </c>
      <c r="D1414" s="568" t="s">
        <v>2585</v>
      </c>
      <c r="E1414" s="569">
        <v>12</v>
      </c>
      <c r="F1414" t="s">
        <v>1374</v>
      </c>
      <c r="G1414" t="s">
        <v>2582</v>
      </c>
      <c r="H1414">
        <v>3</v>
      </c>
      <c r="I1414" t="s">
        <v>2583</v>
      </c>
      <c r="J1414" t="s">
        <v>1349</v>
      </c>
      <c r="K1414" t="s">
        <v>1350</v>
      </c>
    </row>
    <row r="1415" spans="1:11" hidden="1">
      <c r="A1415" t="str">
        <f t="shared" si="44"/>
        <v>T</v>
      </c>
      <c r="B1415" t="str">
        <f t="shared" si="45"/>
        <v>T8</v>
      </c>
      <c r="C1415" s="568" t="s">
        <v>2830</v>
      </c>
      <c r="D1415" s="568" t="s">
        <v>2585</v>
      </c>
      <c r="E1415" s="569">
        <v>12</v>
      </c>
      <c r="F1415" t="s">
        <v>1374</v>
      </c>
      <c r="G1415" t="s">
        <v>2582</v>
      </c>
      <c r="H1415">
        <v>3</v>
      </c>
      <c r="I1415" t="s">
        <v>2583</v>
      </c>
      <c r="J1415" t="s">
        <v>1349</v>
      </c>
      <c r="K1415" t="s">
        <v>1350</v>
      </c>
    </row>
    <row r="1416" spans="1:11" hidden="1">
      <c r="A1416" t="str">
        <f t="shared" si="44"/>
        <v>T</v>
      </c>
      <c r="B1416" t="str">
        <f t="shared" si="45"/>
        <v>T8</v>
      </c>
      <c r="C1416" s="568" t="s">
        <v>2831</v>
      </c>
      <c r="D1416" s="568" t="s">
        <v>2585</v>
      </c>
      <c r="E1416" s="569">
        <v>12</v>
      </c>
      <c r="F1416" t="s">
        <v>1374</v>
      </c>
      <c r="G1416" t="s">
        <v>2582</v>
      </c>
      <c r="H1416">
        <v>3</v>
      </c>
      <c r="I1416" t="s">
        <v>2583</v>
      </c>
      <c r="J1416" t="s">
        <v>1349</v>
      </c>
      <c r="K1416" t="s">
        <v>1350</v>
      </c>
    </row>
    <row r="1417" spans="1:11" hidden="1">
      <c r="A1417" t="str">
        <f t="shared" si="44"/>
        <v>T</v>
      </c>
      <c r="B1417" t="str">
        <f t="shared" si="45"/>
        <v>T8</v>
      </c>
      <c r="C1417" s="568" t="s">
        <v>2832</v>
      </c>
      <c r="D1417" s="568" t="s">
        <v>2585</v>
      </c>
      <c r="E1417" s="569">
        <v>12</v>
      </c>
      <c r="F1417" t="s">
        <v>1374</v>
      </c>
      <c r="G1417" t="s">
        <v>2582</v>
      </c>
      <c r="H1417">
        <v>3</v>
      </c>
      <c r="I1417" t="s">
        <v>2583</v>
      </c>
      <c r="J1417" t="s">
        <v>1349</v>
      </c>
      <c r="K1417" t="s">
        <v>1350</v>
      </c>
    </row>
    <row r="1418" spans="1:11" hidden="1">
      <c r="A1418" t="str">
        <f t="shared" si="44"/>
        <v>T</v>
      </c>
      <c r="B1418" t="str">
        <f t="shared" si="45"/>
        <v>T8</v>
      </c>
      <c r="C1418" s="568" t="s">
        <v>2833</v>
      </c>
      <c r="D1418" s="568" t="s">
        <v>2585</v>
      </c>
      <c r="E1418" s="569">
        <v>12</v>
      </c>
      <c r="F1418" t="s">
        <v>1374</v>
      </c>
      <c r="G1418" t="s">
        <v>2582</v>
      </c>
      <c r="H1418">
        <v>3</v>
      </c>
      <c r="I1418" t="s">
        <v>2583</v>
      </c>
      <c r="J1418" t="s">
        <v>1349</v>
      </c>
      <c r="K1418" t="s">
        <v>1350</v>
      </c>
    </row>
    <row r="1419" spans="1:11" hidden="1">
      <c r="A1419" t="str">
        <f t="shared" si="44"/>
        <v>T</v>
      </c>
      <c r="B1419" t="str">
        <f t="shared" si="45"/>
        <v>T8</v>
      </c>
      <c r="C1419" s="568" t="s">
        <v>2834</v>
      </c>
      <c r="D1419" s="568" t="s">
        <v>2585</v>
      </c>
      <c r="E1419" s="569">
        <v>12</v>
      </c>
      <c r="F1419" t="s">
        <v>1374</v>
      </c>
      <c r="G1419" t="s">
        <v>2582</v>
      </c>
      <c r="H1419">
        <v>3</v>
      </c>
      <c r="I1419" t="s">
        <v>2583</v>
      </c>
      <c r="J1419" t="s">
        <v>1349</v>
      </c>
      <c r="K1419" t="s">
        <v>1350</v>
      </c>
    </row>
    <row r="1420" spans="1:11" hidden="1">
      <c r="A1420" t="str">
        <f t="shared" si="44"/>
        <v>T</v>
      </c>
      <c r="B1420" t="str">
        <f t="shared" si="45"/>
        <v>T8</v>
      </c>
      <c r="C1420" s="568" t="s">
        <v>2835</v>
      </c>
      <c r="D1420" s="568" t="s">
        <v>2585</v>
      </c>
      <c r="E1420" s="569">
        <v>12</v>
      </c>
      <c r="F1420" t="s">
        <v>1374</v>
      </c>
      <c r="G1420" t="s">
        <v>2582</v>
      </c>
      <c r="H1420">
        <v>3</v>
      </c>
      <c r="I1420" t="s">
        <v>2583</v>
      </c>
      <c r="J1420" t="s">
        <v>1349</v>
      </c>
      <c r="K1420" t="s">
        <v>1350</v>
      </c>
    </row>
    <row r="1421" spans="1:11" hidden="1">
      <c r="A1421" t="str">
        <f t="shared" si="44"/>
        <v>T</v>
      </c>
      <c r="B1421" t="str">
        <f t="shared" si="45"/>
        <v>T8</v>
      </c>
      <c r="C1421" s="568" t="s">
        <v>2836</v>
      </c>
      <c r="D1421" s="568" t="s">
        <v>2585</v>
      </c>
      <c r="E1421" s="569">
        <v>12</v>
      </c>
      <c r="F1421" t="s">
        <v>1374</v>
      </c>
      <c r="G1421" t="s">
        <v>2582</v>
      </c>
      <c r="H1421">
        <v>3</v>
      </c>
      <c r="I1421" t="s">
        <v>2583</v>
      </c>
      <c r="J1421" t="s">
        <v>1349</v>
      </c>
      <c r="K1421" t="s">
        <v>1350</v>
      </c>
    </row>
    <row r="1422" spans="1:11" hidden="1">
      <c r="A1422" t="str">
        <f t="shared" si="44"/>
        <v>T</v>
      </c>
      <c r="B1422" t="str">
        <f t="shared" si="45"/>
        <v>T8</v>
      </c>
      <c r="C1422" s="568" t="s">
        <v>2837</v>
      </c>
      <c r="D1422" s="568" t="s">
        <v>2585</v>
      </c>
      <c r="E1422" s="569">
        <v>12</v>
      </c>
      <c r="F1422" t="s">
        <v>1374</v>
      </c>
      <c r="G1422" t="s">
        <v>2582</v>
      </c>
      <c r="H1422">
        <v>3</v>
      </c>
      <c r="I1422" t="s">
        <v>2583</v>
      </c>
      <c r="J1422" t="s">
        <v>1349</v>
      </c>
      <c r="K1422" t="s">
        <v>1350</v>
      </c>
    </row>
    <row r="1423" spans="1:11" hidden="1">
      <c r="A1423" t="str">
        <f t="shared" si="44"/>
        <v>T</v>
      </c>
      <c r="B1423" t="str">
        <f t="shared" si="45"/>
        <v>T8</v>
      </c>
      <c r="C1423" s="568" t="s">
        <v>2838</v>
      </c>
      <c r="D1423" s="568" t="s">
        <v>2587</v>
      </c>
      <c r="E1423" s="569">
        <v>12</v>
      </c>
      <c r="F1423" t="s">
        <v>1374</v>
      </c>
      <c r="G1423" t="s">
        <v>2582</v>
      </c>
      <c r="H1423">
        <v>3</v>
      </c>
      <c r="I1423" t="s">
        <v>2583</v>
      </c>
      <c r="J1423" t="s">
        <v>1349</v>
      </c>
      <c r="K1423" t="s">
        <v>1350</v>
      </c>
    </row>
    <row r="1424" spans="1:11" hidden="1">
      <c r="A1424" t="str">
        <f t="shared" si="44"/>
        <v>T</v>
      </c>
      <c r="B1424" t="str">
        <f t="shared" si="45"/>
        <v>T8</v>
      </c>
      <c r="C1424" s="568" t="s">
        <v>2839</v>
      </c>
      <c r="D1424" s="568" t="s">
        <v>2707</v>
      </c>
      <c r="E1424" s="569">
        <v>12</v>
      </c>
      <c r="F1424" t="s">
        <v>1374</v>
      </c>
      <c r="G1424" t="s">
        <v>2582</v>
      </c>
      <c r="H1424">
        <v>3</v>
      </c>
      <c r="I1424" t="s">
        <v>2583</v>
      </c>
      <c r="J1424" t="s">
        <v>1349</v>
      </c>
      <c r="K1424" t="s">
        <v>1350</v>
      </c>
    </row>
    <row r="1425" spans="1:11" hidden="1">
      <c r="A1425" t="str">
        <f t="shared" si="44"/>
        <v>T</v>
      </c>
      <c r="B1425" t="str">
        <f t="shared" si="45"/>
        <v>T8</v>
      </c>
      <c r="C1425" s="575" t="s">
        <v>2840</v>
      </c>
      <c r="D1425" s="575" t="s">
        <v>2707</v>
      </c>
      <c r="E1425" s="576">
        <v>12</v>
      </c>
      <c r="F1425" t="s">
        <v>1374</v>
      </c>
      <c r="G1425" t="s">
        <v>2582</v>
      </c>
      <c r="H1425">
        <v>3</v>
      </c>
      <c r="I1425" t="s">
        <v>2583</v>
      </c>
      <c r="J1425" t="s">
        <v>1349</v>
      </c>
      <c r="K1425" t="s">
        <v>1350</v>
      </c>
    </row>
    <row r="1426" spans="1:11" hidden="1">
      <c r="A1426" t="str">
        <f t="shared" si="44"/>
        <v>T</v>
      </c>
      <c r="B1426" t="str">
        <f t="shared" si="45"/>
        <v>T8</v>
      </c>
      <c r="C1426" s="568" t="s">
        <v>2841</v>
      </c>
      <c r="D1426" s="568" t="s">
        <v>2707</v>
      </c>
      <c r="E1426" s="569">
        <v>12</v>
      </c>
      <c r="F1426" t="s">
        <v>1374</v>
      </c>
      <c r="G1426" t="s">
        <v>2582</v>
      </c>
      <c r="H1426">
        <v>3</v>
      </c>
      <c r="I1426" t="s">
        <v>2583</v>
      </c>
      <c r="J1426" t="s">
        <v>1349</v>
      </c>
      <c r="K1426" t="s">
        <v>1350</v>
      </c>
    </row>
    <row r="1427" spans="1:11" hidden="1">
      <c r="A1427" t="str">
        <f t="shared" si="44"/>
        <v>T</v>
      </c>
      <c r="B1427" t="str">
        <f t="shared" si="45"/>
        <v>T8</v>
      </c>
      <c r="C1427" s="568" t="s">
        <v>2842</v>
      </c>
      <c r="D1427" s="568" t="s">
        <v>2707</v>
      </c>
      <c r="E1427" s="569">
        <v>12</v>
      </c>
      <c r="F1427" t="s">
        <v>1374</v>
      </c>
      <c r="G1427" t="s">
        <v>2582</v>
      </c>
      <c r="H1427">
        <v>3</v>
      </c>
      <c r="I1427" t="s">
        <v>2583</v>
      </c>
      <c r="J1427" t="s">
        <v>1349</v>
      </c>
      <c r="K1427" t="s">
        <v>1350</v>
      </c>
    </row>
    <row r="1428" spans="1:11" hidden="1">
      <c r="A1428" t="str">
        <f t="shared" si="44"/>
        <v>T</v>
      </c>
      <c r="B1428" t="str">
        <f t="shared" si="45"/>
        <v>T8</v>
      </c>
      <c r="C1428" s="568" t="s">
        <v>2843</v>
      </c>
      <c r="D1428" s="568" t="s">
        <v>2585</v>
      </c>
      <c r="E1428" s="569">
        <v>12</v>
      </c>
      <c r="F1428" t="s">
        <v>1374</v>
      </c>
      <c r="G1428" t="s">
        <v>2582</v>
      </c>
      <c r="H1428">
        <v>3</v>
      </c>
      <c r="I1428" t="s">
        <v>2583</v>
      </c>
      <c r="J1428" t="s">
        <v>1349</v>
      </c>
      <c r="K1428" t="s">
        <v>1350</v>
      </c>
    </row>
    <row r="1429" spans="1:11" hidden="1">
      <c r="A1429" t="str">
        <f t="shared" si="44"/>
        <v>T</v>
      </c>
      <c r="B1429" t="str">
        <f t="shared" si="45"/>
        <v>T9</v>
      </c>
      <c r="C1429" s="568" t="s">
        <v>2844</v>
      </c>
      <c r="D1429" s="568" t="s">
        <v>2585</v>
      </c>
      <c r="E1429" s="569">
        <v>12</v>
      </c>
      <c r="F1429" t="s">
        <v>1374</v>
      </c>
      <c r="G1429" t="s">
        <v>2582</v>
      </c>
      <c r="H1429">
        <v>3</v>
      </c>
      <c r="I1429" t="s">
        <v>2583</v>
      </c>
      <c r="J1429" t="s">
        <v>1349</v>
      </c>
      <c r="K1429" t="s">
        <v>1350</v>
      </c>
    </row>
    <row r="1430" spans="1:11" hidden="1">
      <c r="A1430" t="str">
        <f t="shared" si="44"/>
        <v>T</v>
      </c>
      <c r="B1430" t="str">
        <f t="shared" si="45"/>
        <v>T9</v>
      </c>
      <c r="C1430" s="568" t="s">
        <v>2845</v>
      </c>
      <c r="D1430" s="568" t="s">
        <v>2585</v>
      </c>
      <c r="E1430" s="569">
        <v>12</v>
      </c>
      <c r="F1430" t="s">
        <v>1374</v>
      </c>
      <c r="G1430" t="s">
        <v>2582</v>
      </c>
      <c r="H1430">
        <v>3</v>
      </c>
      <c r="I1430" t="s">
        <v>2583</v>
      </c>
      <c r="J1430" t="s">
        <v>1349</v>
      </c>
      <c r="K1430" t="s">
        <v>1350</v>
      </c>
    </row>
    <row r="1431" spans="1:11" hidden="1">
      <c r="A1431" t="str">
        <f t="shared" si="44"/>
        <v>T</v>
      </c>
      <c r="B1431" t="str">
        <f t="shared" si="45"/>
        <v>T9</v>
      </c>
      <c r="C1431" s="568" t="s">
        <v>2846</v>
      </c>
      <c r="D1431" s="568" t="s">
        <v>2585</v>
      </c>
      <c r="E1431" s="569">
        <v>12</v>
      </c>
      <c r="F1431" t="s">
        <v>1374</v>
      </c>
      <c r="G1431" t="s">
        <v>2582</v>
      </c>
      <c r="H1431">
        <v>3</v>
      </c>
      <c r="I1431" t="s">
        <v>2583</v>
      </c>
      <c r="J1431" t="s">
        <v>1349</v>
      </c>
      <c r="K1431" t="s">
        <v>1350</v>
      </c>
    </row>
    <row r="1432" spans="1:11" hidden="1">
      <c r="A1432" t="str">
        <f t="shared" si="44"/>
        <v>T</v>
      </c>
      <c r="B1432" t="str">
        <f t="shared" si="45"/>
        <v>T9</v>
      </c>
      <c r="C1432" s="568" t="s">
        <v>2847</v>
      </c>
      <c r="D1432" s="568" t="s">
        <v>2585</v>
      </c>
      <c r="E1432" s="569">
        <v>12</v>
      </c>
      <c r="F1432" t="s">
        <v>1374</v>
      </c>
      <c r="G1432" t="s">
        <v>2582</v>
      </c>
      <c r="H1432">
        <v>3</v>
      </c>
      <c r="I1432" t="s">
        <v>2583</v>
      </c>
      <c r="J1432" t="s">
        <v>1349</v>
      </c>
      <c r="K1432" t="s">
        <v>1350</v>
      </c>
    </row>
    <row r="1433" spans="1:11" hidden="1">
      <c r="A1433" t="str">
        <f t="shared" si="44"/>
        <v>T</v>
      </c>
      <c r="B1433" t="str">
        <f t="shared" si="45"/>
        <v>T9</v>
      </c>
      <c r="C1433" s="568" t="s">
        <v>2848</v>
      </c>
      <c r="D1433" s="568" t="s">
        <v>2585</v>
      </c>
      <c r="E1433" s="569">
        <v>12</v>
      </c>
      <c r="F1433" t="s">
        <v>1374</v>
      </c>
      <c r="G1433" t="s">
        <v>2582</v>
      </c>
      <c r="H1433">
        <v>3</v>
      </c>
      <c r="I1433" t="s">
        <v>2583</v>
      </c>
      <c r="J1433" t="s">
        <v>1349</v>
      </c>
      <c r="K1433" t="s">
        <v>1350</v>
      </c>
    </row>
    <row r="1434" spans="1:11" hidden="1">
      <c r="A1434" t="str">
        <f t="shared" si="44"/>
        <v>T</v>
      </c>
      <c r="B1434" t="str">
        <f t="shared" si="45"/>
        <v>T9</v>
      </c>
      <c r="C1434" s="568" t="s">
        <v>2849</v>
      </c>
      <c r="D1434" s="568" t="s">
        <v>2585</v>
      </c>
      <c r="E1434" s="569">
        <v>12</v>
      </c>
      <c r="F1434" t="s">
        <v>1374</v>
      </c>
      <c r="G1434" t="s">
        <v>2582</v>
      </c>
      <c r="H1434">
        <v>3</v>
      </c>
      <c r="I1434" t="s">
        <v>2583</v>
      </c>
      <c r="J1434" t="s">
        <v>1349</v>
      </c>
      <c r="K1434" t="s">
        <v>1350</v>
      </c>
    </row>
    <row r="1435" spans="1:11" hidden="1">
      <c r="A1435" t="str">
        <f t="shared" si="44"/>
        <v>T</v>
      </c>
      <c r="B1435" t="str">
        <f t="shared" si="45"/>
        <v>T9</v>
      </c>
      <c r="C1435" s="568" t="s">
        <v>2850</v>
      </c>
      <c r="D1435" s="568" t="s">
        <v>2585</v>
      </c>
      <c r="E1435" s="569">
        <v>12</v>
      </c>
      <c r="F1435" t="s">
        <v>1374</v>
      </c>
      <c r="G1435" t="s">
        <v>2582</v>
      </c>
      <c r="H1435">
        <v>3</v>
      </c>
      <c r="I1435" t="s">
        <v>2583</v>
      </c>
      <c r="J1435" t="s">
        <v>1349</v>
      </c>
      <c r="K1435" t="s">
        <v>1350</v>
      </c>
    </row>
    <row r="1436" spans="1:11" hidden="1">
      <c r="A1436" t="str">
        <f t="shared" si="44"/>
        <v>T</v>
      </c>
      <c r="B1436" t="str">
        <f t="shared" si="45"/>
        <v>T9</v>
      </c>
      <c r="C1436" s="568" t="s">
        <v>2851</v>
      </c>
      <c r="D1436" s="568" t="s">
        <v>2585</v>
      </c>
      <c r="E1436" s="569">
        <v>12</v>
      </c>
      <c r="F1436" t="s">
        <v>1374</v>
      </c>
      <c r="G1436" t="s">
        <v>2582</v>
      </c>
      <c r="H1436">
        <v>3</v>
      </c>
      <c r="I1436" t="s">
        <v>2583</v>
      </c>
      <c r="J1436" t="s">
        <v>1349</v>
      </c>
      <c r="K1436" t="s">
        <v>1350</v>
      </c>
    </row>
    <row r="1437" spans="1:11" hidden="1">
      <c r="A1437" t="str">
        <f t="shared" si="44"/>
        <v>T</v>
      </c>
      <c r="B1437" t="str">
        <f t="shared" si="45"/>
        <v>T9</v>
      </c>
      <c r="C1437" s="568" t="s">
        <v>2852</v>
      </c>
      <c r="D1437" s="568" t="s">
        <v>2585</v>
      </c>
      <c r="E1437" s="569">
        <v>12</v>
      </c>
      <c r="F1437" t="s">
        <v>1374</v>
      </c>
      <c r="G1437" t="s">
        <v>2582</v>
      </c>
      <c r="H1437">
        <v>3</v>
      </c>
      <c r="I1437" t="s">
        <v>2583</v>
      </c>
      <c r="J1437" t="s">
        <v>1349</v>
      </c>
      <c r="K1437" t="s">
        <v>1350</v>
      </c>
    </row>
    <row r="1438" spans="1:11" hidden="1">
      <c r="A1438" t="str">
        <f t="shared" si="44"/>
        <v>T</v>
      </c>
      <c r="B1438" t="str">
        <f t="shared" si="45"/>
        <v>T9</v>
      </c>
      <c r="C1438" s="568" t="s">
        <v>2853</v>
      </c>
      <c r="D1438" s="568" t="s">
        <v>2585</v>
      </c>
      <c r="E1438" s="569">
        <v>12</v>
      </c>
      <c r="F1438" t="s">
        <v>1374</v>
      </c>
      <c r="G1438" t="s">
        <v>2582</v>
      </c>
      <c r="H1438">
        <v>3</v>
      </c>
      <c r="I1438" t="s">
        <v>2583</v>
      </c>
      <c r="J1438" t="s">
        <v>1349</v>
      </c>
      <c r="K1438" t="s">
        <v>1350</v>
      </c>
    </row>
    <row r="1439" spans="1:11" hidden="1">
      <c r="A1439" t="str">
        <f t="shared" si="44"/>
        <v>T</v>
      </c>
      <c r="B1439" t="str">
        <f t="shared" si="45"/>
        <v>T9</v>
      </c>
      <c r="C1439" s="568" t="s">
        <v>2854</v>
      </c>
      <c r="D1439" s="568" t="s">
        <v>2585</v>
      </c>
      <c r="E1439" s="569">
        <v>12</v>
      </c>
      <c r="F1439" t="s">
        <v>1374</v>
      </c>
      <c r="G1439" t="s">
        <v>2582</v>
      </c>
      <c r="H1439">
        <v>3</v>
      </c>
      <c r="I1439" t="s">
        <v>2583</v>
      </c>
      <c r="J1439" t="s">
        <v>1349</v>
      </c>
      <c r="K1439" t="s">
        <v>1350</v>
      </c>
    </row>
    <row r="1440" spans="1:11" hidden="1">
      <c r="A1440" t="str">
        <f t="shared" si="44"/>
        <v>T</v>
      </c>
      <c r="B1440" t="str">
        <f t="shared" si="45"/>
        <v>T9</v>
      </c>
      <c r="C1440" s="568" t="s">
        <v>2855</v>
      </c>
      <c r="D1440" s="568" t="s">
        <v>2667</v>
      </c>
      <c r="E1440" s="569">
        <v>12</v>
      </c>
      <c r="F1440" t="s">
        <v>1374</v>
      </c>
      <c r="G1440" t="s">
        <v>2582</v>
      </c>
      <c r="H1440">
        <v>3</v>
      </c>
      <c r="I1440" t="s">
        <v>2583</v>
      </c>
      <c r="J1440" t="s">
        <v>1349</v>
      </c>
      <c r="K1440" t="s">
        <v>1350</v>
      </c>
    </row>
    <row r="1441" spans="1:11" hidden="1">
      <c r="A1441" t="str">
        <f t="shared" si="44"/>
        <v>T</v>
      </c>
      <c r="B1441" t="str">
        <f t="shared" si="45"/>
        <v>T9</v>
      </c>
      <c r="C1441" s="568" t="s">
        <v>2856</v>
      </c>
      <c r="D1441" s="568" t="s">
        <v>2585</v>
      </c>
      <c r="E1441" s="569">
        <v>12</v>
      </c>
      <c r="F1441" t="s">
        <v>1374</v>
      </c>
      <c r="G1441" t="s">
        <v>2582</v>
      </c>
      <c r="H1441">
        <v>3</v>
      </c>
      <c r="I1441" t="s">
        <v>2583</v>
      </c>
      <c r="J1441" t="s">
        <v>1349</v>
      </c>
      <c r="K1441" t="s">
        <v>1350</v>
      </c>
    </row>
    <row r="1442" spans="1:11" hidden="1">
      <c r="A1442" t="str">
        <f t="shared" si="44"/>
        <v>V</v>
      </c>
      <c r="B1442" t="str">
        <f t="shared" si="45"/>
        <v>V0</v>
      </c>
      <c r="C1442" s="578" t="s">
        <v>2857</v>
      </c>
      <c r="D1442" s="568" t="s">
        <v>2858</v>
      </c>
      <c r="E1442" s="569">
        <v>11</v>
      </c>
      <c r="F1442" t="s">
        <v>1609</v>
      </c>
      <c r="G1442" t="s">
        <v>239</v>
      </c>
      <c r="H1442">
        <v>1</v>
      </c>
      <c r="I1442" t="s">
        <v>2859</v>
      </c>
      <c r="J1442" t="s">
        <v>2860</v>
      </c>
      <c r="K1442" t="s">
        <v>2861</v>
      </c>
    </row>
    <row r="1443" spans="1:11" hidden="1">
      <c r="A1443" t="str">
        <f t="shared" si="44"/>
        <v>V</v>
      </c>
      <c r="B1443" t="str">
        <f t="shared" si="45"/>
        <v>V0</v>
      </c>
      <c r="C1443" s="578" t="s">
        <v>2862</v>
      </c>
      <c r="D1443" s="568" t="s">
        <v>2863</v>
      </c>
      <c r="E1443" s="569">
        <v>11</v>
      </c>
      <c r="F1443" t="s">
        <v>1609</v>
      </c>
      <c r="G1443" t="s">
        <v>239</v>
      </c>
      <c r="H1443">
        <v>1</v>
      </c>
      <c r="I1443" t="s">
        <v>2859</v>
      </c>
      <c r="J1443" t="s">
        <v>2860</v>
      </c>
      <c r="K1443" t="s">
        <v>2861</v>
      </c>
    </row>
    <row r="1444" spans="1:11" hidden="1">
      <c r="A1444" t="str">
        <f t="shared" si="44"/>
        <v>V</v>
      </c>
      <c r="B1444" t="str">
        <f t="shared" si="45"/>
        <v>V0</v>
      </c>
      <c r="C1444" s="578" t="s">
        <v>2864</v>
      </c>
      <c r="D1444" s="568" t="s">
        <v>2863</v>
      </c>
      <c r="E1444" s="569">
        <v>11</v>
      </c>
      <c r="F1444" t="s">
        <v>1609</v>
      </c>
      <c r="G1444" t="s">
        <v>239</v>
      </c>
      <c r="H1444">
        <v>1</v>
      </c>
      <c r="I1444" t="s">
        <v>2859</v>
      </c>
      <c r="J1444" t="s">
        <v>2860</v>
      </c>
      <c r="K1444" t="s">
        <v>2861</v>
      </c>
    </row>
    <row r="1445" spans="1:11" hidden="1">
      <c r="A1445" t="str">
        <f t="shared" si="44"/>
        <v>V</v>
      </c>
      <c r="B1445" t="str">
        <f t="shared" si="45"/>
        <v>V0</v>
      </c>
      <c r="C1445" s="578" t="s">
        <v>2865</v>
      </c>
      <c r="D1445" s="568" t="s">
        <v>2863</v>
      </c>
      <c r="E1445" s="569">
        <v>11</v>
      </c>
      <c r="F1445" t="s">
        <v>1609</v>
      </c>
      <c r="G1445" t="s">
        <v>239</v>
      </c>
      <c r="H1445">
        <v>1</v>
      </c>
      <c r="I1445" t="s">
        <v>2859</v>
      </c>
      <c r="J1445" t="s">
        <v>2860</v>
      </c>
      <c r="K1445" t="s">
        <v>2861</v>
      </c>
    </row>
    <row r="1446" spans="1:11" hidden="1">
      <c r="A1446" t="str">
        <f t="shared" si="44"/>
        <v>V</v>
      </c>
      <c r="B1446" t="str">
        <f t="shared" si="45"/>
        <v>V0</v>
      </c>
      <c r="C1446" s="578" t="s">
        <v>2866</v>
      </c>
      <c r="D1446" s="568" t="s">
        <v>2863</v>
      </c>
      <c r="E1446" s="569">
        <v>11</v>
      </c>
      <c r="F1446" t="s">
        <v>1609</v>
      </c>
      <c r="G1446" t="s">
        <v>239</v>
      </c>
      <c r="H1446">
        <v>1</v>
      </c>
      <c r="I1446" t="s">
        <v>2859</v>
      </c>
      <c r="J1446" t="s">
        <v>2860</v>
      </c>
      <c r="K1446" t="s">
        <v>2861</v>
      </c>
    </row>
    <row r="1447" spans="1:11" hidden="1">
      <c r="A1447" t="str">
        <f t="shared" si="44"/>
        <v>V</v>
      </c>
      <c r="B1447" t="str">
        <f t="shared" si="45"/>
        <v>V0</v>
      </c>
      <c r="C1447" s="578" t="s">
        <v>2867</v>
      </c>
      <c r="D1447" s="568" t="s">
        <v>2863</v>
      </c>
      <c r="E1447" s="569">
        <v>11</v>
      </c>
      <c r="F1447" t="s">
        <v>1609</v>
      </c>
      <c r="G1447" t="s">
        <v>239</v>
      </c>
      <c r="H1447">
        <v>1</v>
      </c>
      <c r="I1447" t="s">
        <v>2859</v>
      </c>
      <c r="J1447" t="s">
        <v>2860</v>
      </c>
      <c r="K1447" t="s">
        <v>2861</v>
      </c>
    </row>
    <row r="1448" spans="1:11" hidden="1">
      <c r="A1448" t="str">
        <f t="shared" si="44"/>
        <v>V</v>
      </c>
      <c r="B1448" t="str">
        <f t="shared" si="45"/>
        <v>V0</v>
      </c>
      <c r="C1448" s="578" t="s">
        <v>2868</v>
      </c>
      <c r="D1448" s="568" t="s">
        <v>2863</v>
      </c>
      <c r="E1448" s="569">
        <v>11</v>
      </c>
      <c r="F1448" t="s">
        <v>1609</v>
      </c>
      <c r="G1448" t="s">
        <v>239</v>
      </c>
      <c r="H1448">
        <v>1</v>
      </c>
      <c r="I1448" t="s">
        <v>2859</v>
      </c>
      <c r="J1448" t="s">
        <v>2860</v>
      </c>
      <c r="K1448" t="s">
        <v>2861</v>
      </c>
    </row>
    <row r="1449" spans="1:11" hidden="1">
      <c r="A1449" t="str">
        <f t="shared" si="44"/>
        <v>V</v>
      </c>
      <c r="B1449" t="str">
        <f t="shared" si="45"/>
        <v>V0</v>
      </c>
      <c r="C1449" s="578" t="s">
        <v>2869</v>
      </c>
      <c r="D1449" s="568" t="s">
        <v>2863</v>
      </c>
      <c r="E1449" s="569">
        <v>11</v>
      </c>
      <c r="F1449" t="s">
        <v>1609</v>
      </c>
      <c r="G1449" t="s">
        <v>239</v>
      </c>
      <c r="H1449">
        <v>1</v>
      </c>
      <c r="I1449" t="s">
        <v>2859</v>
      </c>
      <c r="J1449" t="s">
        <v>2860</v>
      </c>
      <c r="K1449" t="s">
        <v>2861</v>
      </c>
    </row>
    <row r="1450" spans="1:11" hidden="1">
      <c r="A1450" t="str">
        <f t="shared" si="44"/>
        <v>V</v>
      </c>
      <c r="B1450" t="str">
        <f t="shared" si="45"/>
        <v>V0</v>
      </c>
      <c r="C1450" s="578" t="s">
        <v>2870</v>
      </c>
      <c r="D1450" s="568" t="s">
        <v>2863</v>
      </c>
      <c r="E1450" s="569">
        <v>11</v>
      </c>
      <c r="F1450" t="s">
        <v>1609</v>
      </c>
      <c r="G1450" t="s">
        <v>239</v>
      </c>
      <c r="H1450">
        <v>1</v>
      </c>
      <c r="I1450" t="s">
        <v>2859</v>
      </c>
      <c r="J1450" t="s">
        <v>2860</v>
      </c>
      <c r="K1450" t="s">
        <v>2861</v>
      </c>
    </row>
    <row r="1451" spans="1:11" hidden="1">
      <c r="A1451" t="str">
        <f t="shared" si="44"/>
        <v>V</v>
      </c>
      <c r="B1451" t="str">
        <f t="shared" si="45"/>
        <v>V0</v>
      </c>
      <c r="C1451" s="568" t="s">
        <v>2871</v>
      </c>
      <c r="D1451" s="568" t="s">
        <v>2872</v>
      </c>
      <c r="E1451" s="569">
        <v>11</v>
      </c>
      <c r="F1451" t="s">
        <v>1616</v>
      </c>
      <c r="G1451" t="s">
        <v>239</v>
      </c>
      <c r="H1451">
        <v>2</v>
      </c>
      <c r="I1451" t="s">
        <v>2859</v>
      </c>
      <c r="J1451" t="s">
        <v>2860</v>
      </c>
      <c r="K1451" t="s">
        <v>2861</v>
      </c>
    </row>
    <row r="1452" spans="1:11" hidden="1">
      <c r="A1452" t="str">
        <f t="shared" si="44"/>
        <v>V</v>
      </c>
      <c r="B1452" t="str">
        <f t="shared" si="45"/>
        <v>V0</v>
      </c>
      <c r="C1452" s="568" t="s">
        <v>2873</v>
      </c>
      <c r="D1452" s="568" t="s">
        <v>2874</v>
      </c>
      <c r="E1452" s="569">
        <v>11</v>
      </c>
      <c r="F1452" t="s">
        <v>1616</v>
      </c>
      <c r="G1452" t="s">
        <v>239</v>
      </c>
      <c r="H1452">
        <v>2</v>
      </c>
      <c r="I1452" t="s">
        <v>2859</v>
      </c>
      <c r="J1452" t="s">
        <v>2860</v>
      </c>
      <c r="K1452" t="s">
        <v>2861</v>
      </c>
    </row>
    <row r="1453" spans="1:11" hidden="1">
      <c r="A1453" t="str">
        <f t="shared" si="44"/>
        <v>V</v>
      </c>
      <c r="B1453" t="str">
        <f t="shared" si="45"/>
        <v>V0</v>
      </c>
      <c r="C1453" s="568" t="s">
        <v>2875</v>
      </c>
      <c r="D1453" s="568" t="s">
        <v>2876</v>
      </c>
      <c r="E1453" s="569">
        <v>11</v>
      </c>
      <c r="F1453" t="s">
        <v>1629</v>
      </c>
      <c r="G1453" t="s">
        <v>239</v>
      </c>
      <c r="H1453">
        <v>2</v>
      </c>
      <c r="I1453" t="s">
        <v>2859</v>
      </c>
      <c r="J1453" t="s">
        <v>2860</v>
      </c>
      <c r="K1453" t="s">
        <v>2861</v>
      </c>
    </row>
    <row r="1454" spans="1:11" hidden="1">
      <c r="A1454" t="str">
        <f t="shared" si="44"/>
        <v>V</v>
      </c>
      <c r="B1454" t="str">
        <f t="shared" si="45"/>
        <v>V0</v>
      </c>
      <c r="C1454" s="568" t="s">
        <v>2877</v>
      </c>
      <c r="D1454" s="568" t="s">
        <v>2878</v>
      </c>
      <c r="E1454" s="569">
        <v>11</v>
      </c>
      <c r="F1454" t="s">
        <v>1603</v>
      </c>
      <c r="G1454" t="s">
        <v>239</v>
      </c>
      <c r="H1454">
        <v>2</v>
      </c>
      <c r="I1454" t="s">
        <v>2859</v>
      </c>
      <c r="J1454" t="s">
        <v>2860</v>
      </c>
      <c r="K1454" t="s">
        <v>2861</v>
      </c>
    </row>
    <row r="1455" spans="1:11" hidden="1">
      <c r="A1455" t="str">
        <f t="shared" si="44"/>
        <v>V</v>
      </c>
      <c r="B1455" t="str">
        <f t="shared" si="45"/>
        <v>V0</v>
      </c>
      <c r="C1455" s="568" t="s">
        <v>2879</v>
      </c>
      <c r="D1455" s="568" t="s">
        <v>2874</v>
      </c>
      <c r="E1455" s="569">
        <v>11</v>
      </c>
      <c r="F1455" t="s">
        <v>1603</v>
      </c>
      <c r="G1455" t="s">
        <v>239</v>
      </c>
      <c r="H1455">
        <v>2</v>
      </c>
      <c r="I1455" t="s">
        <v>2859</v>
      </c>
      <c r="J1455" t="s">
        <v>2860</v>
      </c>
      <c r="K1455" t="s">
        <v>2861</v>
      </c>
    </row>
    <row r="1456" spans="1:11" hidden="1">
      <c r="A1456" t="str">
        <f t="shared" si="44"/>
        <v>V</v>
      </c>
      <c r="B1456" t="str">
        <f t="shared" si="45"/>
        <v>V0</v>
      </c>
      <c r="C1456" s="579" t="s">
        <v>2880</v>
      </c>
      <c r="D1456" s="568" t="s">
        <v>2874</v>
      </c>
      <c r="E1456" s="569">
        <v>11</v>
      </c>
      <c r="F1456" s="577" t="s">
        <v>1603</v>
      </c>
      <c r="G1456" t="s">
        <v>239</v>
      </c>
      <c r="H1456">
        <v>2</v>
      </c>
      <c r="I1456" t="s">
        <v>2859</v>
      </c>
      <c r="J1456" t="s">
        <v>2860</v>
      </c>
      <c r="K1456" t="s">
        <v>2861</v>
      </c>
    </row>
    <row r="1457" spans="1:11" hidden="1">
      <c r="A1457" t="str">
        <f t="shared" si="44"/>
        <v>V</v>
      </c>
      <c r="B1457" t="str">
        <f t="shared" si="45"/>
        <v>V0</v>
      </c>
      <c r="C1457" s="578" t="s">
        <v>2881</v>
      </c>
      <c r="D1457" s="568" t="s">
        <v>2863</v>
      </c>
      <c r="E1457" s="569">
        <v>11</v>
      </c>
      <c r="F1457" t="s">
        <v>1609</v>
      </c>
      <c r="G1457" t="s">
        <v>239</v>
      </c>
      <c r="H1457">
        <v>1</v>
      </c>
      <c r="I1457" t="s">
        <v>2859</v>
      </c>
      <c r="J1457" t="s">
        <v>2860</v>
      </c>
      <c r="K1457" t="s">
        <v>2861</v>
      </c>
    </row>
    <row r="1458" spans="1:11" hidden="1">
      <c r="A1458" t="str">
        <f t="shared" si="44"/>
        <v>V</v>
      </c>
      <c r="B1458" t="str">
        <f t="shared" si="45"/>
        <v>V0</v>
      </c>
      <c r="C1458" s="578" t="s">
        <v>2882</v>
      </c>
      <c r="D1458" s="568" t="s">
        <v>2863</v>
      </c>
      <c r="E1458" s="569">
        <v>11</v>
      </c>
      <c r="F1458" t="s">
        <v>1609</v>
      </c>
      <c r="G1458" t="s">
        <v>239</v>
      </c>
      <c r="H1458">
        <v>2</v>
      </c>
      <c r="I1458" t="s">
        <v>2859</v>
      </c>
      <c r="J1458" t="s">
        <v>2860</v>
      </c>
      <c r="K1458" t="s">
        <v>2861</v>
      </c>
    </row>
    <row r="1459" spans="1:11" hidden="1">
      <c r="A1459" t="str">
        <f t="shared" si="44"/>
        <v>V</v>
      </c>
      <c r="B1459" t="str">
        <f t="shared" si="45"/>
        <v>V0</v>
      </c>
      <c r="C1459" s="568" t="s">
        <v>2883</v>
      </c>
      <c r="D1459" s="568" t="s">
        <v>2884</v>
      </c>
      <c r="E1459" s="569">
        <v>11</v>
      </c>
      <c r="F1459" s="577" t="s">
        <v>1616</v>
      </c>
      <c r="G1459" t="s">
        <v>239</v>
      </c>
      <c r="H1459">
        <v>1</v>
      </c>
      <c r="I1459" t="s">
        <v>2859</v>
      </c>
      <c r="J1459" t="s">
        <v>2860</v>
      </c>
      <c r="K1459" t="s">
        <v>2861</v>
      </c>
    </row>
    <row r="1460" spans="1:11" hidden="1">
      <c r="A1460" t="str">
        <f t="shared" si="44"/>
        <v>V</v>
      </c>
      <c r="B1460" t="str">
        <f t="shared" si="45"/>
        <v>V1</v>
      </c>
      <c r="C1460" s="578" t="s">
        <v>2885</v>
      </c>
      <c r="D1460" s="568" t="s">
        <v>2863</v>
      </c>
      <c r="E1460" s="569">
        <v>11</v>
      </c>
      <c r="F1460" t="s">
        <v>1609</v>
      </c>
      <c r="G1460" t="s">
        <v>239</v>
      </c>
      <c r="H1460">
        <v>7</v>
      </c>
      <c r="I1460" t="s">
        <v>2859</v>
      </c>
      <c r="J1460" t="s">
        <v>2860</v>
      </c>
      <c r="K1460" t="s">
        <v>2861</v>
      </c>
    </row>
    <row r="1461" spans="1:11" hidden="1">
      <c r="A1461" t="str">
        <f t="shared" si="44"/>
        <v>V</v>
      </c>
      <c r="B1461" t="str">
        <f t="shared" si="45"/>
        <v>V1</v>
      </c>
      <c r="C1461" s="578" t="s">
        <v>2886</v>
      </c>
      <c r="D1461" s="568" t="s">
        <v>2858</v>
      </c>
      <c r="E1461" s="569">
        <v>11</v>
      </c>
      <c r="F1461" t="s">
        <v>1609</v>
      </c>
      <c r="G1461" t="s">
        <v>239</v>
      </c>
      <c r="H1461">
        <v>7</v>
      </c>
      <c r="I1461" t="s">
        <v>2859</v>
      </c>
      <c r="J1461" t="s">
        <v>2860</v>
      </c>
      <c r="K1461" t="s">
        <v>2861</v>
      </c>
    </row>
    <row r="1462" spans="1:11" hidden="1">
      <c r="A1462" t="str">
        <f t="shared" si="44"/>
        <v>V</v>
      </c>
      <c r="B1462" t="str">
        <f t="shared" si="45"/>
        <v>V1</v>
      </c>
      <c r="C1462" s="578" t="s">
        <v>2887</v>
      </c>
      <c r="D1462" s="568" t="s">
        <v>2863</v>
      </c>
      <c r="E1462" s="569">
        <v>11</v>
      </c>
      <c r="F1462" t="s">
        <v>1609</v>
      </c>
      <c r="G1462" t="s">
        <v>239</v>
      </c>
      <c r="H1462">
        <v>7</v>
      </c>
      <c r="I1462" t="s">
        <v>2859</v>
      </c>
      <c r="J1462" t="s">
        <v>2860</v>
      </c>
      <c r="K1462" t="s">
        <v>2861</v>
      </c>
    </row>
    <row r="1463" spans="1:11" hidden="1">
      <c r="A1463" t="str">
        <f t="shared" si="44"/>
        <v>V</v>
      </c>
      <c r="B1463" t="str">
        <f t="shared" si="45"/>
        <v>V1</v>
      </c>
      <c r="C1463" s="578" t="s">
        <v>2888</v>
      </c>
      <c r="D1463" s="568" t="s">
        <v>2863</v>
      </c>
      <c r="E1463" s="569">
        <v>11</v>
      </c>
      <c r="F1463" t="s">
        <v>1609</v>
      </c>
      <c r="G1463" t="s">
        <v>239</v>
      </c>
      <c r="H1463">
        <v>7</v>
      </c>
      <c r="I1463" t="s">
        <v>2859</v>
      </c>
      <c r="J1463" t="s">
        <v>2860</v>
      </c>
      <c r="K1463" t="s">
        <v>2861</v>
      </c>
    </row>
    <row r="1464" spans="1:11" hidden="1">
      <c r="A1464" t="str">
        <f t="shared" si="44"/>
        <v>V</v>
      </c>
      <c r="B1464" t="str">
        <f t="shared" si="45"/>
        <v>V1</v>
      </c>
      <c r="C1464" s="578" t="s">
        <v>2889</v>
      </c>
      <c r="D1464" s="568" t="s">
        <v>2863</v>
      </c>
      <c r="E1464" s="569">
        <v>11</v>
      </c>
      <c r="F1464" t="s">
        <v>1609</v>
      </c>
      <c r="G1464" t="s">
        <v>239</v>
      </c>
      <c r="H1464">
        <v>7</v>
      </c>
      <c r="I1464" t="s">
        <v>2859</v>
      </c>
      <c r="J1464" t="s">
        <v>2860</v>
      </c>
      <c r="K1464" t="s">
        <v>2861</v>
      </c>
    </row>
    <row r="1465" spans="1:11" hidden="1">
      <c r="A1465" t="str">
        <f t="shared" si="44"/>
        <v>V</v>
      </c>
      <c r="B1465" t="str">
        <f t="shared" si="45"/>
        <v>V1</v>
      </c>
      <c r="C1465" s="578" t="s">
        <v>2890</v>
      </c>
      <c r="D1465" s="568" t="s">
        <v>2863</v>
      </c>
      <c r="E1465" s="569">
        <v>11</v>
      </c>
      <c r="F1465" t="s">
        <v>1609</v>
      </c>
      <c r="G1465" t="s">
        <v>239</v>
      </c>
      <c r="H1465">
        <v>7</v>
      </c>
      <c r="I1465" t="s">
        <v>2859</v>
      </c>
      <c r="J1465" t="s">
        <v>2860</v>
      </c>
      <c r="K1465" t="s">
        <v>2861</v>
      </c>
    </row>
    <row r="1466" spans="1:11" hidden="1">
      <c r="A1466" t="str">
        <f t="shared" si="44"/>
        <v>V</v>
      </c>
      <c r="B1466" t="str">
        <f t="shared" si="45"/>
        <v>V1</v>
      </c>
      <c r="C1466" s="578" t="s">
        <v>2891</v>
      </c>
      <c r="D1466" s="568" t="s">
        <v>2863</v>
      </c>
      <c r="E1466" s="569">
        <v>11</v>
      </c>
      <c r="F1466" t="s">
        <v>1609</v>
      </c>
      <c r="G1466" t="s">
        <v>239</v>
      </c>
      <c r="H1466">
        <v>7</v>
      </c>
      <c r="I1466" t="s">
        <v>2859</v>
      </c>
      <c r="J1466" t="s">
        <v>2860</v>
      </c>
      <c r="K1466" t="s">
        <v>2861</v>
      </c>
    </row>
    <row r="1467" spans="1:11" hidden="1">
      <c r="A1467" t="str">
        <f t="shared" si="44"/>
        <v>V</v>
      </c>
      <c r="B1467" t="str">
        <f t="shared" si="45"/>
        <v>V1</v>
      </c>
      <c r="C1467" s="578" t="s">
        <v>2892</v>
      </c>
      <c r="D1467" s="568" t="s">
        <v>2863</v>
      </c>
      <c r="E1467" s="569">
        <v>11</v>
      </c>
      <c r="F1467" t="s">
        <v>1609</v>
      </c>
      <c r="G1467" t="s">
        <v>239</v>
      </c>
      <c r="H1467">
        <v>7</v>
      </c>
      <c r="I1467" t="s">
        <v>2859</v>
      </c>
      <c r="J1467" t="s">
        <v>2860</v>
      </c>
      <c r="K1467" t="s">
        <v>2861</v>
      </c>
    </row>
    <row r="1468" spans="1:11" hidden="1">
      <c r="A1468" t="str">
        <f t="shared" si="44"/>
        <v>V</v>
      </c>
      <c r="B1468" t="str">
        <f t="shared" si="45"/>
        <v>V1</v>
      </c>
      <c r="C1468" s="578" t="s">
        <v>2893</v>
      </c>
      <c r="D1468" s="568" t="s">
        <v>2863</v>
      </c>
      <c r="E1468" s="569">
        <v>11</v>
      </c>
      <c r="F1468" t="s">
        <v>1609</v>
      </c>
      <c r="G1468" t="s">
        <v>239</v>
      </c>
      <c r="H1468">
        <v>7</v>
      </c>
      <c r="I1468" t="s">
        <v>2859</v>
      </c>
      <c r="J1468" t="s">
        <v>2860</v>
      </c>
      <c r="K1468" t="s">
        <v>2861</v>
      </c>
    </row>
    <row r="1469" spans="1:11" hidden="1">
      <c r="A1469" t="str">
        <f t="shared" si="44"/>
        <v>V</v>
      </c>
      <c r="B1469" t="str">
        <f t="shared" si="45"/>
        <v>V1</v>
      </c>
      <c r="C1469" s="568" t="s">
        <v>2894</v>
      </c>
      <c r="D1469" s="568" t="s">
        <v>2874</v>
      </c>
      <c r="E1469" s="569" t="s">
        <v>2895</v>
      </c>
      <c r="F1469" t="s">
        <v>1603</v>
      </c>
      <c r="G1469" t="s">
        <v>239</v>
      </c>
      <c r="H1469">
        <v>7</v>
      </c>
      <c r="I1469" t="s">
        <v>2859</v>
      </c>
      <c r="J1469" t="s">
        <v>2860</v>
      </c>
      <c r="K1469" t="s">
        <v>2861</v>
      </c>
    </row>
    <row r="1470" spans="1:11" hidden="1">
      <c r="A1470" t="str">
        <f t="shared" si="44"/>
        <v>V</v>
      </c>
      <c r="B1470" t="str">
        <f t="shared" si="45"/>
        <v>V1</v>
      </c>
      <c r="C1470" s="578" t="s">
        <v>2896</v>
      </c>
      <c r="D1470" s="568" t="s">
        <v>2863</v>
      </c>
      <c r="E1470" s="569">
        <v>11</v>
      </c>
      <c r="F1470" t="s">
        <v>1609</v>
      </c>
      <c r="G1470" t="s">
        <v>239</v>
      </c>
      <c r="H1470">
        <v>7</v>
      </c>
      <c r="I1470" t="s">
        <v>2859</v>
      </c>
      <c r="J1470" t="s">
        <v>2860</v>
      </c>
      <c r="K1470" t="s">
        <v>2861</v>
      </c>
    </row>
    <row r="1471" spans="1:11" hidden="1">
      <c r="A1471" t="str">
        <f t="shared" si="44"/>
        <v>V</v>
      </c>
      <c r="B1471" t="str">
        <f t="shared" si="45"/>
        <v>V1</v>
      </c>
      <c r="C1471" s="578" t="s">
        <v>2897</v>
      </c>
      <c r="D1471" s="568" t="s">
        <v>2863</v>
      </c>
      <c r="E1471" s="569">
        <v>11</v>
      </c>
      <c r="F1471" t="s">
        <v>1609</v>
      </c>
      <c r="G1471" t="s">
        <v>239</v>
      </c>
      <c r="H1471">
        <v>7</v>
      </c>
      <c r="I1471" t="s">
        <v>2859</v>
      </c>
      <c r="J1471" t="s">
        <v>2860</v>
      </c>
      <c r="K1471" t="s">
        <v>2861</v>
      </c>
    </row>
    <row r="1472" spans="1:11" hidden="1">
      <c r="A1472" t="str">
        <f t="shared" si="44"/>
        <v>V</v>
      </c>
      <c r="B1472" t="str">
        <f t="shared" si="45"/>
        <v>V1</v>
      </c>
      <c r="C1472" s="578" t="s">
        <v>2898</v>
      </c>
      <c r="D1472" s="568" t="s">
        <v>2863</v>
      </c>
      <c r="E1472" s="569">
        <v>11</v>
      </c>
      <c r="F1472" t="s">
        <v>1609</v>
      </c>
      <c r="G1472" t="s">
        <v>239</v>
      </c>
      <c r="H1472">
        <v>7</v>
      </c>
      <c r="I1472" t="s">
        <v>2859</v>
      </c>
      <c r="J1472" t="s">
        <v>2860</v>
      </c>
      <c r="K1472" t="s">
        <v>2861</v>
      </c>
    </row>
    <row r="1473" spans="1:11" hidden="1">
      <c r="A1473" t="str">
        <f t="shared" si="44"/>
        <v>V</v>
      </c>
      <c r="B1473" t="str">
        <f t="shared" si="45"/>
        <v>V1</v>
      </c>
      <c r="C1473" s="578" t="s">
        <v>2899</v>
      </c>
      <c r="D1473" s="568" t="s">
        <v>2863</v>
      </c>
      <c r="E1473" s="569">
        <v>11</v>
      </c>
      <c r="F1473" t="s">
        <v>1609</v>
      </c>
      <c r="G1473" t="s">
        <v>239</v>
      </c>
      <c r="H1473">
        <v>7</v>
      </c>
      <c r="I1473" t="s">
        <v>2859</v>
      </c>
      <c r="J1473" t="s">
        <v>2860</v>
      </c>
      <c r="K1473" t="s">
        <v>2861</v>
      </c>
    </row>
    <row r="1474" spans="1:11" hidden="1">
      <c r="A1474" t="str">
        <f t="shared" si="44"/>
        <v>V</v>
      </c>
      <c r="B1474" t="str">
        <f t="shared" si="45"/>
        <v>V1</v>
      </c>
      <c r="C1474" s="578" t="s">
        <v>2900</v>
      </c>
      <c r="D1474" s="568" t="s">
        <v>2858</v>
      </c>
      <c r="E1474" s="569">
        <v>11</v>
      </c>
      <c r="F1474" t="s">
        <v>1609</v>
      </c>
      <c r="G1474" t="s">
        <v>239</v>
      </c>
      <c r="H1474">
        <v>7</v>
      </c>
      <c r="I1474" t="s">
        <v>2859</v>
      </c>
      <c r="J1474" t="s">
        <v>2860</v>
      </c>
      <c r="K1474" t="s">
        <v>2861</v>
      </c>
    </row>
    <row r="1475" spans="1:11" hidden="1">
      <c r="A1475" t="str">
        <f t="shared" ref="A1475:A1538" si="46">LEFT(C1475)</f>
        <v>V</v>
      </c>
      <c r="B1475" t="str">
        <f t="shared" si="45"/>
        <v>V1</v>
      </c>
      <c r="C1475" s="578" t="s">
        <v>2901</v>
      </c>
      <c r="D1475" s="568" t="s">
        <v>2863</v>
      </c>
      <c r="E1475" s="569">
        <v>11</v>
      </c>
      <c r="F1475" t="s">
        <v>1609</v>
      </c>
      <c r="G1475" t="s">
        <v>239</v>
      </c>
      <c r="H1475">
        <v>7</v>
      </c>
      <c r="I1475" t="s">
        <v>2859</v>
      </c>
      <c r="J1475" t="s">
        <v>2860</v>
      </c>
      <c r="K1475" t="s">
        <v>2861</v>
      </c>
    </row>
    <row r="1476" spans="1:11" hidden="1">
      <c r="A1476" t="str">
        <f t="shared" si="46"/>
        <v>V</v>
      </c>
      <c r="B1476" t="str">
        <f t="shared" ref="B1476:B1539" si="47">LEFT(C1476,2)</f>
        <v>V1</v>
      </c>
      <c r="C1476" s="578" t="s">
        <v>2902</v>
      </c>
      <c r="D1476" s="568" t="s">
        <v>2863</v>
      </c>
      <c r="E1476" s="569">
        <v>11</v>
      </c>
      <c r="F1476" t="s">
        <v>1609</v>
      </c>
      <c r="G1476" t="s">
        <v>239</v>
      </c>
      <c r="H1476">
        <v>7</v>
      </c>
      <c r="I1476" t="s">
        <v>2859</v>
      </c>
      <c r="J1476" t="s">
        <v>2860</v>
      </c>
      <c r="K1476" t="s">
        <v>2861</v>
      </c>
    </row>
    <row r="1477" spans="1:11" hidden="1">
      <c r="A1477" t="str">
        <f t="shared" si="46"/>
        <v>V</v>
      </c>
      <c r="B1477" t="str">
        <f t="shared" si="47"/>
        <v>V1</v>
      </c>
      <c r="C1477" s="578" t="s">
        <v>2903</v>
      </c>
      <c r="D1477" s="568" t="s">
        <v>2863</v>
      </c>
      <c r="E1477" s="569">
        <v>11</v>
      </c>
      <c r="F1477" t="s">
        <v>1609</v>
      </c>
      <c r="G1477" t="s">
        <v>239</v>
      </c>
      <c r="H1477">
        <v>7</v>
      </c>
      <c r="I1477" t="s">
        <v>2859</v>
      </c>
      <c r="J1477" t="s">
        <v>2860</v>
      </c>
      <c r="K1477" t="s">
        <v>2861</v>
      </c>
    </row>
    <row r="1478" spans="1:11" hidden="1">
      <c r="A1478" t="str">
        <f t="shared" si="46"/>
        <v>V</v>
      </c>
      <c r="B1478" t="str">
        <f t="shared" si="47"/>
        <v>V1</v>
      </c>
      <c r="C1478" s="578" t="s">
        <v>2904</v>
      </c>
      <c r="D1478" s="568" t="s">
        <v>2863</v>
      </c>
      <c r="E1478" s="569">
        <v>11</v>
      </c>
      <c r="F1478" t="s">
        <v>1609</v>
      </c>
      <c r="G1478" t="s">
        <v>239</v>
      </c>
      <c r="H1478">
        <v>7</v>
      </c>
      <c r="I1478" t="s">
        <v>2859</v>
      </c>
      <c r="J1478" t="s">
        <v>2860</v>
      </c>
      <c r="K1478" t="s">
        <v>2861</v>
      </c>
    </row>
    <row r="1479" spans="1:11" hidden="1">
      <c r="A1479" t="str">
        <f t="shared" si="46"/>
        <v>V</v>
      </c>
      <c r="B1479" t="str">
        <f t="shared" si="47"/>
        <v>V1</v>
      </c>
      <c r="C1479" s="578" t="s">
        <v>2905</v>
      </c>
      <c r="D1479" s="568" t="s">
        <v>2863</v>
      </c>
      <c r="E1479" s="569">
        <v>11</v>
      </c>
      <c r="F1479" t="s">
        <v>1609</v>
      </c>
      <c r="G1479" t="s">
        <v>239</v>
      </c>
      <c r="H1479">
        <v>7</v>
      </c>
      <c r="I1479" t="s">
        <v>2859</v>
      </c>
      <c r="J1479" t="s">
        <v>2860</v>
      </c>
      <c r="K1479" t="s">
        <v>2861</v>
      </c>
    </row>
    <row r="1480" spans="1:11" hidden="1">
      <c r="A1480" t="str">
        <f t="shared" si="46"/>
        <v>V</v>
      </c>
      <c r="B1480" t="str">
        <f t="shared" si="47"/>
        <v>V2</v>
      </c>
      <c r="C1480" s="578" t="s">
        <v>2906</v>
      </c>
      <c r="D1480" s="568" t="s">
        <v>2863</v>
      </c>
      <c r="E1480" s="569">
        <v>11</v>
      </c>
      <c r="F1480" t="s">
        <v>1609</v>
      </c>
      <c r="G1480" t="s">
        <v>239</v>
      </c>
      <c r="H1480">
        <v>3</v>
      </c>
      <c r="I1480" t="s">
        <v>2859</v>
      </c>
      <c r="J1480" t="s">
        <v>2860</v>
      </c>
      <c r="K1480" t="s">
        <v>2861</v>
      </c>
    </row>
    <row r="1481" spans="1:11" hidden="1">
      <c r="A1481" t="str">
        <f t="shared" si="46"/>
        <v>V</v>
      </c>
      <c r="B1481" t="str">
        <f t="shared" si="47"/>
        <v>V2</v>
      </c>
      <c r="C1481" s="578" t="s">
        <v>2907</v>
      </c>
      <c r="D1481" s="568" t="s">
        <v>2863</v>
      </c>
      <c r="E1481" s="569">
        <v>11</v>
      </c>
      <c r="F1481" t="s">
        <v>1609</v>
      </c>
      <c r="G1481" t="s">
        <v>239</v>
      </c>
      <c r="H1481">
        <v>3</v>
      </c>
      <c r="I1481" t="s">
        <v>2859</v>
      </c>
      <c r="J1481" t="s">
        <v>2860</v>
      </c>
      <c r="K1481" t="s">
        <v>2861</v>
      </c>
    </row>
    <row r="1482" spans="1:11" hidden="1">
      <c r="A1482" t="str">
        <f t="shared" si="46"/>
        <v>V</v>
      </c>
      <c r="B1482" t="str">
        <f t="shared" si="47"/>
        <v>V2</v>
      </c>
      <c r="C1482" s="578" t="s">
        <v>2908</v>
      </c>
      <c r="D1482" s="568" t="s">
        <v>2863</v>
      </c>
      <c r="E1482" s="569">
        <v>11</v>
      </c>
      <c r="F1482" t="s">
        <v>1609</v>
      </c>
      <c r="G1482" t="s">
        <v>239</v>
      </c>
      <c r="H1482">
        <v>3</v>
      </c>
      <c r="I1482" t="s">
        <v>2859</v>
      </c>
      <c r="J1482" t="s">
        <v>2860</v>
      </c>
      <c r="K1482" t="s">
        <v>2861</v>
      </c>
    </row>
    <row r="1483" spans="1:11" hidden="1">
      <c r="A1483" t="str">
        <f t="shared" si="46"/>
        <v>V</v>
      </c>
      <c r="B1483" t="str">
        <f t="shared" si="47"/>
        <v>V2</v>
      </c>
      <c r="C1483" s="578" t="s">
        <v>2909</v>
      </c>
      <c r="D1483" s="568" t="s">
        <v>2863</v>
      </c>
      <c r="E1483" s="569">
        <v>11</v>
      </c>
      <c r="F1483" t="s">
        <v>1609</v>
      </c>
      <c r="G1483" t="s">
        <v>239</v>
      </c>
      <c r="H1483">
        <v>3</v>
      </c>
      <c r="I1483" t="s">
        <v>2859</v>
      </c>
      <c r="J1483" t="s">
        <v>2860</v>
      </c>
      <c r="K1483" t="s">
        <v>2861</v>
      </c>
    </row>
    <row r="1484" spans="1:11" hidden="1">
      <c r="A1484" t="str">
        <f t="shared" si="46"/>
        <v>V</v>
      </c>
      <c r="B1484" t="str">
        <f t="shared" si="47"/>
        <v>V2</v>
      </c>
      <c r="C1484" s="578" t="s">
        <v>2910</v>
      </c>
      <c r="D1484" s="568" t="s">
        <v>2863</v>
      </c>
      <c r="E1484" s="569">
        <v>11</v>
      </c>
      <c r="F1484" t="s">
        <v>1609</v>
      </c>
      <c r="G1484" t="s">
        <v>239</v>
      </c>
      <c r="H1484">
        <v>3</v>
      </c>
      <c r="I1484" t="s">
        <v>2859</v>
      </c>
      <c r="J1484" t="s">
        <v>2860</v>
      </c>
      <c r="K1484" t="s">
        <v>2861</v>
      </c>
    </row>
    <row r="1485" spans="1:11" hidden="1">
      <c r="A1485" t="str">
        <f t="shared" si="46"/>
        <v>V</v>
      </c>
      <c r="B1485" t="str">
        <f t="shared" si="47"/>
        <v>V2</v>
      </c>
      <c r="C1485" s="578" t="s">
        <v>2911</v>
      </c>
      <c r="D1485" s="568" t="s">
        <v>2858</v>
      </c>
      <c r="E1485" s="569">
        <v>11</v>
      </c>
      <c r="F1485" t="s">
        <v>1609</v>
      </c>
      <c r="G1485" t="s">
        <v>239</v>
      </c>
      <c r="H1485">
        <v>3</v>
      </c>
      <c r="I1485" t="s">
        <v>2859</v>
      </c>
      <c r="J1485" t="s">
        <v>2860</v>
      </c>
      <c r="K1485" t="s">
        <v>2861</v>
      </c>
    </row>
    <row r="1486" spans="1:11" hidden="1">
      <c r="A1486" t="str">
        <f t="shared" si="46"/>
        <v>V</v>
      </c>
      <c r="B1486" t="str">
        <f t="shared" si="47"/>
        <v>V2</v>
      </c>
      <c r="C1486" s="578" t="s">
        <v>2912</v>
      </c>
      <c r="D1486" s="568" t="s">
        <v>2858</v>
      </c>
      <c r="E1486" s="569">
        <v>11</v>
      </c>
      <c r="F1486" t="s">
        <v>1609</v>
      </c>
      <c r="G1486" t="s">
        <v>239</v>
      </c>
      <c r="H1486">
        <v>3</v>
      </c>
      <c r="I1486" t="s">
        <v>2859</v>
      </c>
      <c r="J1486" t="s">
        <v>2860</v>
      </c>
      <c r="K1486" t="s">
        <v>2861</v>
      </c>
    </row>
    <row r="1487" spans="1:11" hidden="1">
      <c r="A1487" t="str">
        <f t="shared" si="46"/>
        <v>V</v>
      </c>
      <c r="B1487" t="str">
        <f t="shared" si="47"/>
        <v>V2</v>
      </c>
      <c r="C1487" s="578" t="s">
        <v>2913</v>
      </c>
      <c r="D1487" s="568" t="s">
        <v>2863</v>
      </c>
      <c r="E1487" s="569">
        <v>11</v>
      </c>
      <c r="F1487" t="s">
        <v>1609</v>
      </c>
      <c r="G1487" t="s">
        <v>239</v>
      </c>
      <c r="H1487">
        <v>3</v>
      </c>
      <c r="I1487" t="s">
        <v>2859</v>
      </c>
      <c r="J1487" t="s">
        <v>2860</v>
      </c>
      <c r="K1487" t="s">
        <v>2861</v>
      </c>
    </row>
    <row r="1488" spans="1:11" hidden="1">
      <c r="A1488" t="str">
        <f t="shared" si="46"/>
        <v>V</v>
      </c>
      <c r="B1488" t="str">
        <f t="shared" si="47"/>
        <v>V2</v>
      </c>
      <c r="C1488" s="578" t="s">
        <v>2914</v>
      </c>
      <c r="D1488" s="568" t="s">
        <v>2863</v>
      </c>
      <c r="E1488" s="569">
        <v>11</v>
      </c>
      <c r="F1488" t="s">
        <v>1609</v>
      </c>
      <c r="G1488" t="s">
        <v>239</v>
      </c>
      <c r="H1488">
        <v>3</v>
      </c>
      <c r="I1488" t="s">
        <v>2859</v>
      </c>
      <c r="J1488" t="s">
        <v>2860</v>
      </c>
      <c r="K1488" t="s">
        <v>2861</v>
      </c>
    </row>
    <row r="1489" spans="1:11" hidden="1">
      <c r="A1489" t="str">
        <f t="shared" si="46"/>
        <v>V</v>
      </c>
      <c r="B1489" t="str">
        <f t="shared" si="47"/>
        <v>V2</v>
      </c>
      <c r="C1489" s="578" t="s">
        <v>2915</v>
      </c>
      <c r="D1489" s="568" t="s">
        <v>2863</v>
      </c>
      <c r="E1489" s="569">
        <v>11</v>
      </c>
      <c r="F1489" t="s">
        <v>1609</v>
      </c>
      <c r="G1489" t="s">
        <v>239</v>
      </c>
      <c r="H1489">
        <v>3</v>
      </c>
      <c r="I1489" t="s">
        <v>2859</v>
      </c>
      <c r="J1489" t="s">
        <v>2860</v>
      </c>
      <c r="K1489" t="s">
        <v>2861</v>
      </c>
    </row>
    <row r="1490" spans="1:11" hidden="1">
      <c r="A1490" t="str">
        <f t="shared" si="46"/>
        <v>V</v>
      </c>
      <c r="B1490" t="str">
        <f t="shared" si="47"/>
        <v>V2</v>
      </c>
      <c r="C1490" s="578" t="s">
        <v>2916</v>
      </c>
      <c r="D1490" s="568" t="s">
        <v>2863</v>
      </c>
      <c r="E1490" s="569">
        <v>11</v>
      </c>
      <c r="F1490" t="s">
        <v>1609</v>
      </c>
      <c r="G1490" t="s">
        <v>239</v>
      </c>
      <c r="H1490">
        <v>3</v>
      </c>
      <c r="I1490" t="s">
        <v>2859</v>
      </c>
      <c r="J1490" t="s">
        <v>2860</v>
      </c>
      <c r="K1490" t="s">
        <v>2861</v>
      </c>
    </row>
    <row r="1491" spans="1:11" hidden="1">
      <c r="A1491" t="str">
        <f t="shared" si="46"/>
        <v>V</v>
      </c>
      <c r="B1491" t="str">
        <f t="shared" si="47"/>
        <v>V2</v>
      </c>
      <c r="C1491" s="568" t="s">
        <v>2917</v>
      </c>
      <c r="D1491" s="568" t="s">
        <v>2918</v>
      </c>
      <c r="E1491" s="569">
        <v>11</v>
      </c>
      <c r="F1491" t="s">
        <v>1629</v>
      </c>
      <c r="G1491" t="s">
        <v>239</v>
      </c>
      <c r="H1491">
        <v>4</v>
      </c>
      <c r="I1491" t="s">
        <v>2859</v>
      </c>
      <c r="J1491" t="s">
        <v>2860</v>
      </c>
      <c r="K1491" t="s">
        <v>2861</v>
      </c>
    </row>
    <row r="1492" spans="1:11" hidden="1">
      <c r="A1492" t="str">
        <f t="shared" si="46"/>
        <v>V</v>
      </c>
      <c r="B1492" t="str">
        <f t="shared" si="47"/>
        <v>V2</v>
      </c>
      <c r="C1492" s="568" t="s">
        <v>2919</v>
      </c>
      <c r="D1492" s="568" t="s">
        <v>2918</v>
      </c>
      <c r="E1492" s="569">
        <v>11</v>
      </c>
      <c r="F1492" t="s">
        <v>1616</v>
      </c>
      <c r="G1492" t="s">
        <v>239</v>
      </c>
      <c r="H1492">
        <v>4</v>
      </c>
      <c r="I1492" t="s">
        <v>2859</v>
      </c>
      <c r="J1492" t="s">
        <v>2860</v>
      </c>
      <c r="K1492" t="s">
        <v>2861</v>
      </c>
    </row>
    <row r="1493" spans="1:11" hidden="1">
      <c r="A1493" t="str">
        <f t="shared" si="46"/>
        <v>V</v>
      </c>
      <c r="B1493" t="str">
        <f t="shared" si="47"/>
        <v>V2</v>
      </c>
      <c r="C1493" s="568" t="s">
        <v>2920</v>
      </c>
      <c r="D1493" s="568" t="s">
        <v>2874</v>
      </c>
      <c r="E1493" s="569" t="s">
        <v>2921</v>
      </c>
      <c r="F1493" t="s">
        <v>1616</v>
      </c>
      <c r="G1493" t="s">
        <v>239</v>
      </c>
      <c r="H1493">
        <v>4</v>
      </c>
      <c r="I1493" t="s">
        <v>2859</v>
      </c>
      <c r="J1493" t="s">
        <v>2860</v>
      </c>
      <c r="K1493" t="s">
        <v>2861</v>
      </c>
    </row>
    <row r="1494" spans="1:11" hidden="1">
      <c r="A1494" t="str">
        <f t="shared" si="46"/>
        <v>V</v>
      </c>
      <c r="B1494" t="str">
        <f t="shared" si="47"/>
        <v>V2</v>
      </c>
      <c r="C1494" s="568" t="s">
        <v>2922</v>
      </c>
      <c r="D1494" s="568" t="s">
        <v>2874</v>
      </c>
      <c r="E1494" s="569" t="s">
        <v>2921</v>
      </c>
      <c r="F1494" t="s">
        <v>1629</v>
      </c>
      <c r="G1494" t="s">
        <v>239</v>
      </c>
      <c r="H1494">
        <v>4</v>
      </c>
      <c r="I1494" t="s">
        <v>2859</v>
      </c>
      <c r="J1494" t="s">
        <v>2860</v>
      </c>
      <c r="K1494" t="s">
        <v>2861</v>
      </c>
    </row>
    <row r="1495" spans="1:11" hidden="1">
      <c r="A1495" t="str">
        <f t="shared" si="46"/>
        <v>V</v>
      </c>
      <c r="B1495" t="str">
        <f t="shared" si="47"/>
        <v>V2</v>
      </c>
      <c r="C1495" s="568" t="s">
        <v>2923</v>
      </c>
      <c r="D1495" s="568" t="s">
        <v>2918</v>
      </c>
      <c r="E1495" s="569" t="s">
        <v>2921</v>
      </c>
      <c r="F1495" t="s">
        <v>1616</v>
      </c>
      <c r="G1495" t="s">
        <v>239</v>
      </c>
      <c r="H1495">
        <v>4</v>
      </c>
      <c r="I1495" t="s">
        <v>2859</v>
      </c>
      <c r="J1495" t="s">
        <v>2860</v>
      </c>
      <c r="K1495" t="s">
        <v>2861</v>
      </c>
    </row>
    <row r="1496" spans="1:11" hidden="1">
      <c r="A1496" t="str">
        <f t="shared" si="46"/>
        <v>V</v>
      </c>
      <c r="B1496" t="str">
        <f t="shared" si="47"/>
        <v>V2</v>
      </c>
      <c r="C1496" s="568" t="s">
        <v>2924</v>
      </c>
      <c r="D1496" s="568" t="s">
        <v>2874</v>
      </c>
      <c r="E1496" s="569" t="s">
        <v>2925</v>
      </c>
      <c r="F1496" s="577" t="s">
        <v>1616</v>
      </c>
      <c r="G1496" t="s">
        <v>239</v>
      </c>
      <c r="H1496">
        <v>4</v>
      </c>
      <c r="I1496" t="s">
        <v>2859</v>
      </c>
      <c r="J1496" t="s">
        <v>2860</v>
      </c>
      <c r="K1496" t="s">
        <v>2861</v>
      </c>
    </row>
    <row r="1497" spans="1:11" hidden="1">
      <c r="A1497" t="str">
        <f t="shared" si="46"/>
        <v>V</v>
      </c>
      <c r="B1497" t="str">
        <f t="shared" si="47"/>
        <v>V2</v>
      </c>
      <c r="C1497" s="568" t="s">
        <v>2926</v>
      </c>
      <c r="D1497" s="568" t="s">
        <v>2874</v>
      </c>
      <c r="E1497" s="569" t="s">
        <v>2895</v>
      </c>
      <c r="F1497" t="s">
        <v>1616</v>
      </c>
      <c r="G1497" t="s">
        <v>239</v>
      </c>
      <c r="H1497">
        <v>4</v>
      </c>
      <c r="I1497" t="s">
        <v>2859</v>
      </c>
      <c r="J1497" t="s">
        <v>2860</v>
      </c>
      <c r="K1497" t="s">
        <v>2861</v>
      </c>
    </row>
    <row r="1498" spans="1:11" hidden="1">
      <c r="A1498" t="str">
        <f t="shared" si="46"/>
        <v>V</v>
      </c>
      <c r="B1498" t="str">
        <f t="shared" si="47"/>
        <v>V2</v>
      </c>
      <c r="C1498" s="568" t="s">
        <v>2927</v>
      </c>
      <c r="D1498" s="568" t="s">
        <v>2884</v>
      </c>
      <c r="E1498" s="569" t="s">
        <v>2895</v>
      </c>
      <c r="F1498" t="s">
        <v>1629</v>
      </c>
      <c r="G1498" t="s">
        <v>239</v>
      </c>
      <c r="H1498">
        <v>4</v>
      </c>
      <c r="I1498" t="s">
        <v>2859</v>
      </c>
      <c r="J1498" t="s">
        <v>2860</v>
      </c>
      <c r="K1498" t="s">
        <v>2861</v>
      </c>
    </row>
    <row r="1499" spans="1:11" hidden="1">
      <c r="A1499" t="str">
        <f t="shared" si="46"/>
        <v>V</v>
      </c>
      <c r="B1499" t="str">
        <f t="shared" si="47"/>
        <v>V2</v>
      </c>
      <c r="C1499" s="568" t="s">
        <v>2928</v>
      </c>
      <c r="D1499" s="568" t="s">
        <v>2874</v>
      </c>
      <c r="E1499" s="569" t="s">
        <v>2925</v>
      </c>
      <c r="F1499" t="s">
        <v>1616</v>
      </c>
      <c r="G1499" t="s">
        <v>239</v>
      </c>
      <c r="H1499">
        <v>4</v>
      </c>
      <c r="I1499" t="s">
        <v>2859</v>
      </c>
      <c r="J1499" t="s">
        <v>2860</v>
      </c>
      <c r="K1499" t="s">
        <v>2861</v>
      </c>
    </row>
    <row r="1500" spans="1:11" hidden="1">
      <c r="A1500" t="str">
        <f t="shared" si="46"/>
        <v>V</v>
      </c>
      <c r="B1500" t="str">
        <f t="shared" si="47"/>
        <v>V3</v>
      </c>
      <c r="C1500" s="568" t="s">
        <v>2929</v>
      </c>
      <c r="D1500" s="568" t="s">
        <v>2874</v>
      </c>
      <c r="E1500" s="569" t="s">
        <v>2925</v>
      </c>
      <c r="F1500" t="s">
        <v>1629</v>
      </c>
      <c r="G1500" t="s">
        <v>239</v>
      </c>
      <c r="H1500">
        <v>4</v>
      </c>
      <c r="I1500" t="s">
        <v>2859</v>
      </c>
      <c r="J1500" t="s">
        <v>2860</v>
      </c>
      <c r="K1500" t="s">
        <v>2861</v>
      </c>
    </row>
    <row r="1501" spans="1:11" hidden="1">
      <c r="A1501" t="str">
        <f t="shared" si="46"/>
        <v>V</v>
      </c>
      <c r="B1501" t="str">
        <f t="shared" si="47"/>
        <v>V3</v>
      </c>
      <c r="C1501" s="568" t="s">
        <v>2930</v>
      </c>
      <c r="D1501" s="568" t="s">
        <v>2874</v>
      </c>
      <c r="E1501" s="569" t="s">
        <v>2895</v>
      </c>
      <c r="F1501" t="s">
        <v>1629</v>
      </c>
      <c r="G1501" t="s">
        <v>239</v>
      </c>
      <c r="H1501">
        <v>4</v>
      </c>
      <c r="I1501" t="s">
        <v>2859</v>
      </c>
      <c r="J1501" t="s">
        <v>2860</v>
      </c>
      <c r="K1501" t="s">
        <v>2861</v>
      </c>
    </row>
    <row r="1502" spans="1:11" hidden="1">
      <c r="A1502" t="str">
        <f t="shared" si="46"/>
        <v>V</v>
      </c>
      <c r="B1502" t="str">
        <f t="shared" si="47"/>
        <v>V3</v>
      </c>
      <c r="C1502" s="568" t="s">
        <v>2931</v>
      </c>
      <c r="D1502" s="568" t="s">
        <v>2874</v>
      </c>
      <c r="E1502" s="569" t="s">
        <v>2932</v>
      </c>
      <c r="F1502" t="s">
        <v>1603</v>
      </c>
      <c r="G1502" t="s">
        <v>239</v>
      </c>
      <c r="H1502">
        <v>4</v>
      </c>
      <c r="I1502" t="s">
        <v>2859</v>
      </c>
      <c r="J1502" t="s">
        <v>2860</v>
      </c>
      <c r="K1502" t="s">
        <v>2861</v>
      </c>
    </row>
    <row r="1503" spans="1:11" hidden="1">
      <c r="A1503" t="str">
        <f t="shared" si="46"/>
        <v>V</v>
      </c>
      <c r="B1503" t="str">
        <f t="shared" si="47"/>
        <v>V3</v>
      </c>
      <c r="C1503" s="568" t="s">
        <v>2933</v>
      </c>
      <c r="D1503" s="568" t="s">
        <v>2874</v>
      </c>
      <c r="E1503" s="569" t="s">
        <v>2925</v>
      </c>
      <c r="F1503" t="s">
        <v>1616</v>
      </c>
      <c r="G1503" t="s">
        <v>239</v>
      </c>
      <c r="H1503">
        <v>4</v>
      </c>
      <c r="I1503" t="s">
        <v>2859</v>
      </c>
      <c r="J1503" t="s">
        <v>2860</v>
      </c>
      <c r="K1503" t="s">
        <v>2861</v>
      </c>
    </row>
    <row r="1504" spans="1:11" hidden="1">
      <c r="A1504" t="str">
        <f t="shared" si="46"/>
        <v>V</v>
      </c>
      <c r="B1504" t="str">
        <f t="shared" si="47"/>
        <v>V3</v>
      </c>
      <c r="C1504" s="568" t="s">
        <v>2934</v>
      </c>
      <c r="D1504" s="568" t="s">
        <v>2874</v>
      </c>
      <c r="E1504" s="569">
        <v>11</v>
      </c>
      <c r="F1504" t="s">
        <v>1629</v>
      </c>
      <c r="G1504" t="s">
        <v>239</v>
      </c>
      <c r="H1504">
        <v>4</v>
      </c>
      <c r="I1504" t="s">
        <v>2859</v>
      </c>
      <c r="J1504" t="s">
        <v>2860</v>
      </c>
      <c r="K1504" t="s">
        <v>2861</v>
      </c>
    </row>
    <row r="1505" spans="1:11" hidden="1">
      <c r="A1505" t="str">
        <f t="shared" si="46"/>
        <v>V</v>
      </c>
      <c r="B1505" t="str">
        <f t="shared" si="47"/>
        <v>V3</v>
      </c>
      <c r="C1505" s="568" t="s">
        <v>2935</v>
      </c>
      <c r="D1505" s="568" t="s">
        <v>2918</v>
      </c>
      <c r="E1505" s="569" t="s">
        <v>2895</v>
      </c>
      <c r="F1505" t="s">
        <v>1629</v>
      </c>
      <c r="G1505" t="s">
        <v>239</v>
      </c>
      <c r="H1505">
        <v>4</v>
      </c>
      <c r="I1505" t="s">
        <v>2859</v>
      </c>
      <c r="J1505" t="s">
        <v>2860</v>
      </c>
      <c r="K1505" t="s">
        <v>2861</v>
      </c>
    </row>
    <row r="1506" spans="1:11" hidden="1">
      <c r="A1506" t="str">
        <f t="shared" si="46"/>
        <v>V</v>
      </c>
      <c r="B1506" t="str">
        <f t="shared" si="47"/>
        <v>V3</v>
      </c>
      <c r="C1506" s="568" t="s">
        <v>2936</v>
      </c>
      <c r="D1506" s="568" t="s">
        <v>2884</v>
      </c>
      <c r="E1506" s="569" t="s">
        <v>2895</v>
      </c>
      <c r="F1506" t="s">
        <v>1616</v>
      </c>
      <c r="G1506" t="s">
        <v>239</v>
      </c>
      <c r="H1506">
        <v>4</v>
      </c>
      <c r="I1506" t="s">
        <v>2859</v>
      </c>
      <c r="J1506" t="s">
        <v>2860</v>
      </c>
      <c r="K1506" t="s">
        <v>2861</v>
      </c>
    </row>
    <row r="1507" spans="1:11" hidden="1">
      <c r="A1507" t="str">
        <f t="shared" si="46"/>
        <v>V</v>
      </c>
      <c r="B1507" t="str">
        <f t="shared" si="47"/>
        <v>V3</v>
      </c>
      <c r="C1507" s="568" t="s">
        <v>2937</v>
      </c>
      <c r="D1507" s="568" t="s">
        <v>2874</v>
      </c>
      <c r="E1507" s="569" t="s">
        <v>2932</v>
      </c>
      <c r="F1507" t="s">
        <v>1603</v>
      </c>
      <c r="G1507" t="s">
        <v>239</v>
      </c>
      <c r="H1507">
        <v>4</v>
      </c>
      <c r="I1507" t="s">
        <v>2859</v>
      </c>
      <c r="J1507" t="s">
        <v>2860</v>
      </c>
      <c r="K1507" t="s">
        <v>2861</v>
      </c>
    </row>
    <row r="1508" spans="1:11" hidden="1">
      <c r="A1508" t="str">
        <f t="shared" si="46"/>
        <v>V</v>
      </c>
      <c r="B1508" t="str">
        <f t="shared" si="47"/>
        <v>V3</v>
      </c>
      <c r="C1508" s="568" t="s">
        <v>2938</v>
      </c>
      <c r="D1508" s="568" t="s">
        <v>2876</v>
      </c>
      <c r="E1508" s="569" t="s">
        <v>2932</v>
      </c>
      <c r="F1508" t="s">
        <v>1629</v>
      </c>
      <c r="G1508" t="s">
        <v>239</v>
      </c>
      <c r="H1508">
        <v>4</v>
      </c>
      <c r="I1508" t="s">
        <v>2859</v>
      </c>
      <c r="J1508" t="s">
        <v>2860</v>
      </c>
      <c r="K1508" t="s">
        <v>2861</v>
      </c>
    </row>
    <row r="1509" spans="1:11" hidden="1">
      <c r="A1509" t="str">
        <f t="shared" si="46"/>
        <v>V</v>
      </c>
      <c r="B1509" t="str">
        <f t="shared" si="47"/>
        <v>V3</v>
      </c>
      <c r="C1509" s="568" t="s">
        <v>2939</v>
      </c>
      <c r="D1509" s="568" t="s">
        <v>2876</v>
      </c>
      <c r="E1509" s="569" t="s">
        <v>2932</v>
      </c>
      <c r="F1509" t="s">
        <v>1603</v>
      </c>
      <c r="G1509" t="s">
        <v>239</v>
      </c>
      <c r="H1509">
        <v>4</v>
      </c>
      <c r="I1509" t="s">
        <v>2859</v>
      </c>
      <c r="J1509" t="s">
        <v>2860</v>
      </c>
      <c r="K1509" t="s">
        <v>2861</v>
      </c>
    </row>
    <row r="1510" spans="1:11" hidden="1">
      <c r="A1510" t="str">
        <f t="shared" si="46"/>
        <v>V</v>
      </c>
      <c r="B1510" t="str">
        <f t="shared" si="47"/>
        <v>V3</v>
      </c>
      <c r="C1510" s="568" t="s">
        <v>2940</v>
      </c>
      <c r="D1510" s="568" t="s">
        <v>2876</v>
      </c>
      <c r="E1510" s="569" t="s">
        <v>2932</v>
      </c>
      <c r="F1510" t="s">
        <v>1629</v>
      </c>
      <c r="G1510" t="s">
        <v>239</v>
      </c>
      <c r="H1510">
        <v>4</v>
      </c>
      <c r="I1510" t="s">
        <v>2859</v>
      </c>
      <c r="J1510" t="s">
        <v>2860</v>
      </c>
      <c r="K1510" t="s">
        <v>2861</v>
      </c>
    </row>
    <row r="1511" spans="1:11" hidden="1">
      <c r="A1511" t="str">
        <f t="shared" si="46"/>
        <v>V</v>
      </c>
      <c r="B1511" t="str">
        <f t="shared" si="47"/>
        <v>V3</v>
      </c>
      <c r="C1511" s="568" t="s">
        <v>2941</v>
      </c>
      <c r="D1511" s="568" t="s">
        <v>2874</v>
      </c>
      <c r="E1511" s="569" t="s">
        <v>2942</v>
      </c>
      <c r="F1511" t="s">
        <v>1603</v>
      </c>
      <c r="G1511" t="s">
        <v>239</v>
      </c>
      <c r="H1511">
        <v>4</v>
      </c>
      <c r="I1511" t="s">
        <v>2859</v>
      </c>
      <c r="J1511" t="s">
        <v>2860</v>
      </c>
      <c r="K1511" t="s">
        <v>2861</v>
      </c>
    </row>
    <row r="1512" spans="1:11" hidden="1">
      <c r="A1512" t="str">
        <f t="shared" si="46"/>
        <v>V</v>
      </c>
      <c r="B1512" t="str">
        <f t="shared" si="47"/>
        <v>V3</v>
      </c>
      <c r="C1512" s="568" t="s">
        <v>2943</v>
      </c>
      <c r="D1512" s="568" t="s">
        <v>2874</v>
      </c>
      <c r="E1512" s="569" t="s">
        <v>2932</v>
      </c>
      <c r="F1512" t="s">
        <v>1629</v>
      </c>
      <c r="G1512" t="s">
        <v>239</v>
      </c>
      <c r="H1512">
        <v>4</v>
      </c>
      <c r="I1512" t="s">
        <v>2859</v>
      </c>
      <c r="J1512" t="s">
        <v>2860</v>
      </c>
      <c r="K1512" t="s">
        <v>2861</v>
      </c>
    </row>
    <row r="1513" spans="1:11" hidden="1">
      <c r="A1513" t="str">
        <f t="shared" si="46"/>
        <v>V</v>
      </c>
      <c r="B1513" t="str">
        <f t="shared" si="47"/>
        <v>V3</v>
      </c>
      <c r="C1513" s="568" t="s">
        <v>2944</v>
      </c>
      <c r="D1513" s="568" t="s">
        <v>2874</v>
      </c>
      <c r="E1513" s="569" t="s">
        <v>2932</v>
      </c>
      <c r="F1513" t="s">
        <v>1629</v>
      </c>
      <c r="G1513" t="s">
        <v>239</v>
      </c>
      <c r="H1513">
        <v>4</v>
      </c>
      <c r="I1513" t="s">
        <v>2859</v>
      </c>
      <c r="J1513" t="s">
        <v>2860</v>
      </c>
      <c r="K1513" t="s">
        <v>2861</v>
      </c>
    </row>
    <row r="1514" spans="1:11" hidden="1">
      <c r="A1514" t="str">
        <f t="shared" si="46"/>
        <v>V</v>
      </c>
      <c r="B1514" t="str">
        <f t="shared" si="47"/>
        <v>V3</v>
      </c>
      <c r="C1514" s="568" t="s">
        <v>2945</v>
      </c>
      <c r="D1514" s="568" t="s">
        <v>2874</v>
      </c>
      <c r="E1514" s="569" t="s">
        <v>2942</v>
      </c>
      <c r="F1514" t="s">
        <v>1603</v>
      </c>
      <c r="G1514" t="s">
        <v>239</v>
      </c>
      <c r="H1514">
        <v>4</v>
      </c>
      <c r="I1514" t="s">
        <v>2859</v>
      </c>
      <c r="J1514" t="s">
        <v>2860</v>
      </c>
      <c r="K1514" t="s">
        <v>2861</v>
      </c>
    </row>
    <row r="1515" spans="1:11" hidden="1">
      <c r="A1515" t="str">
        <f t="shared" si="46"/>
        <v>V</v>
      </c>
      <c r="B1515" t="str">
        <f t="shared" si="47"/>
        <v>V3</v>
      </c>
      <c r="C1515" s="568" t="s">
        <v>2946</v>
      </c>
      <c r="D1515" s="568" t="s">
        <v>2874</v>
      </c>
      <c r="E1515" s="569" t="s">
        <v>2942</v>
      </c>
      <c r="F1515" t="s">
        <v>1618</v>
      </c>
      <c r="G1515" t="s">
        <v>239</v>
      </c>
      <c r="H1515">
        <v>4</v>
      </c>
      <c r="I1515" t="s">
        <v>2859</v>
      </c>
      <c r="J1515" t="s">
        <v>2860</v>
      </c>
      <c r="K1515" t="s">
        <v>2861</v>
      </c>
    </row>
    <row r="1516" spans="1:11" hidden="1">
      <c r="A1516" t="str">
        <f t="shared" si="46"/>
        <v>V</v>
      </c>
      <c r="B1516" t="str">
        <f t="shared" si="47"/>
        <v>V3</v>
      </c>
      <c r="C1516" s="568" t="s">
        <v>2947</v>
      </c>
      <c r="D1516" s="568" t="s">
        <v>2874</v>
      </c>
      <c r="E1516" s="569" t="s">
        <v>2895</v>
      </c>
      <c r="F1516" t="s">
        <v>1618</v>
      </c>
      <c r="G1516" t="s">
        <v>239</v>
      </c>
      <c r="H1516">
        <v>4</v>
      </c>
      <c r="I1516" t="s">
        <v>2859</v>
      </c>
      <c r="J1516" t="s">
        <v>2860</v>
      </c>
      <c r="K1516" t="s">
        <v>2861</v>
      </c>
    </row>
    <row r="1517" spans="1:11" hidden="1">
      <c r="A1517" t="str">
        <f t="shared" si="46"/>
        <v>V</v>
      </c>
      <c r="B1517" t="str">
        <f t="shared" si="47"/>
        <v>V3</v>
      </c>
      <c r="C1517" s="568" t="s">
        <v>2948</v>
      </c>
      <c r="D1517" s="568" t="s">
        <v>2874</v>
      </c>
      <c r="E1517" s="569" t="s">
        <v>2895</v>
      </c>
      <c r="F1517" t="s">
        <v>1616</v>
      </c>
      <c r="G1517" t="s">
        <v>239</v>
      </c>
      <c r="H1517">
        <v>4</v>
      </c>
      <c r="I1517" t="s">
        <v>2859</v>
      </c>
      <c r="J1517" t="s">
        <v>2860</v>
      </c>
      <c r="K1517" t="s">
        <v>2861</v>
      </c>
    </row>
    <row r="1518" spans="1:11" hidden="1">
      <c r="A1518" t="str">
        <f t="shared" si="46"/>
        <v>V</v>
      </c>
      <c r="B1518" t="str">
        <f t="shared" si="47"/>
        <v>V4</v>
      </c>
      <c r="C1518" s="568" t="s">
        <v>2949</v>
      </c>
      <c r="D1518" s="568" t="s">
        <v>2874</v>
      </c>
      <c r="E1518" s="569" t="s">
        <v>2895</v>
      </c>
      <c r="F1518" t="s">
        <v>1618</v>
      </c>
      <c r="G1518" t="s">
        <v>239</v>
      </c>
      <c r="H1518">
        <v>4</v>
      </c>
      <c r="I1518" t="s">
        <v>2859</v>
      </c>
      <c r="J1518" t="s">
        <v>2860</v>
      </c>
      <c r="K1518" t="s">
        <v>2861</v>
      </c>
    </row>
    <row r="1519" spans="1:11" hidden="1">
      <c r="A1519" t="str">
        <f t="shared" si="46"/>
        <v>V</v>
      </c>
      <c r="B1519" t="str">
        <f t="shared" si="47"/>
        <v>V4</v>
      </c>
      <c r="C1519" s="568" t="s">
        <v>2950</v>
      </c>
      <c r="D1519" s="568" t="s">
        <v>2874</v>
      </c>
      <c r="E1519" s="569" t="s">
        <v>2925</v>
      </c>
      <c r="F1519" t="s">
        <v>1618</v>
      </c>
      <c r="G1519" t="s">
        <v>239</v>
      </c>
      <c r="H1519">
        <v>4</v>
      </c>
      <c r="I1519" t="s">
        <v>2859</v>
      </c>
      <c r="J1519" t="s">
        <v>2860</v>
      </c>
      <c r="K1519" t="s">
        <v>2861</v>
      </c>
    </row>
    <row r="1520" spans="1:11" hidden="1">
      <c r="A1520" t="str">
        <f t="shared" si="46"/>
        <v>V</v>
      </c>
      <c r="B1520" t="str">
        <f t="shared" si="47"/>
        <v>V4</v>
      </c>
      <c r="C1520" s="568" t="s">
        <v>2951</v>
      </c>
      <c r="D1520" s="568" t="s">
        <v>2876</v>
      </c>
      <c r="E1520" s="569" t="s">
        <v>2932</v>
      </c>
      <c r="F1520" t="s">
        <v>1618</v>
      </c>
      <c r="G1520" t="s">
        <v>239</v>
      </c>
      <c r="H1520">
        <v>4</v>
      </c>
      <c r="I1520" t="s">
        <v>2859</v>
      </c>
      <c r="J1520" t="s">
        <v>2860</v>
      </c>
      <c r="K1520" t="s">
        <v>2861</v>
      </c>
    </row>
    <row r="1521" spans="1:11" hidden="1">
      <c r="A1521" t="str">
        <f t="shared" si="46"/>
        <v>V</v>
      </c>
      <c r="B1521" t="str">
        <f t="shared" si="47"/>
        <v>V4</v>
      </c>
      <c r="C1521" s="568" t="s">
        <v>2952</v>
      </c>
      <c r="D1521" s="568" t="s">
        <v>2874</v>
      </c>
      <c r="E1521" s="569" t="s">
        <v>2932</v>
      </c>
      <c r="F1521" t="s">
        <v>1603</v>
      </c>
      <c r="G1521" t="s">
        <v>239</v>
      </c>
      <c r="H1521">
        <v>4</v>
      </c>
      <c r="I1521" t="s">
        <v>2859</v>
      </c>
      <c r="J1521" t="s">
        <v>2860</v>
      </c>
      <c r="K1521" t="s">
        <v>2861</v>
      </c>
    </row>
    <row r="1522" spans="1:11" hidden="1">
      <c r="A1522" t="str">
        <f t="shared" si="46"/>
        <v>V</v>
      </c>
      <c r="B1522" t="str">
        <f t="shared" si="47"/>
        <v>V4</v>
      </c>
      <c r="C1522" s="568" t="s">
        <v>2953</v>
      </c>
      <c r="D1522" s="568" t="s">
        <v>2876</v>
      </c>
      <c r="E1522" s="569" t="s">
        <v>2942</v>
      </c>
      <c r="F1522" t="s">
        <v>1603</v>
      </c>
      <c r="G1522" t="s">
        <v>239</v>
      </c>
      <c r="H1522">
        <v>4</v>
      </c>
      <c r="I1522" t="s">
        <v>2859</v>
      </c>
      <c r="J1522" t="s">
        <v>2860</v>
      </c>
      <c r="K1522" t="s">
        <v>2861</v>
      </c>
    </row>
    <row r="1523" spans="1:11" hidden="1">
      <c r="A1523" t="str">
        <f t="shared" si="46"/>
        <v>V</v>
      </c>
      <c r="B1523" t="str">
        <f t="shared" si="47"/>
        <v>V4</v>
      </c>
      <c r="C1523" s="568" t="s">
        <v>2954</v>
      </c>
      <c r="D1523" s="568" t="s">
        <v>2955</v>
      </c>
      <c r="E1523" s="569" t="s">
        <v>2932</v>
      </c>
      <c r="F1523" t="s">
        <v>1603</v>
      </c>
      <c r="G1523" t="s">
        <v>239</v>
      </c>
      <c r="H1523">
        <v>4</v>
      </c>
      <c r="I1523" t="s">
        <v>2859</v>
      </c>
      <c r="J1523" t="s">
        <v>2860</v>
      </c>
      <c r="K1523" t="s">
        <v>2861</v>
      </c>
    </row>
    <row r="1524" spans="1:11" hidden="1">
      <c r="A1524" t="str">
        <f t="shared" si="46"/>
        <v>V</v>
      </c>
      <c r="B1524" t="str">
        <f t="shared" si="47"/>
        <v>V4</v>
      </c>
      <c r="C1524" s="568" t="s">
        <v>2956</v>
      </c>
      <c r="D1524" s="568" t="s">
        <v>2955</v>
      </c>
      <c r="E1524" s="569" t="s">
        <v>2895</v>
      </c>
      <c r="F1524" t="s">
        <v>1603</v>
      </c>
      <c r="G1524" t="s">
        <v>239</v>
      </c>
      <c r="H1524">
        <v>4</v>
      </c>
      <c r="I1524" t="s">
        <v>2859</v>
      </c>
      <c r="J1524" t="s">
        <v>2860</v>
      </c>
      <c r="K1524" t="s">
        <v>2861</v>
      </c>
    </row>
    <row r="1525" spans="1:11" hidden="1">
      <c r="A1525" t="str">
        <f t="shared" si="46"/>
        <v>V</v>
      </c>
      <c r="B1525" t="str">
        <f t="shared" si="47"/>
        <v>V4</v>
      </c>
      <c r="C1525" s="568" t="s">
        <v>2957</v>
      </c>
      <c r="D1525" s="568" t="s">
        <v>2955</v>
      </c>
      <c r="E1525" s="569" t="s">
        <v>2921</v>
      </c>
      <c r="F1525" t="s">
        <v>1603</v>
      </c>
      <c r="G1525" t="s">
        <v>239</v>
      </c>
      <c r="H1525">
        <v>4</v>
      </c>
      <c r="I1525" t="s">
        <v>2859</v>
      </c>
      <c r="J1525" t="s">
        <v>2860</v>
      </c>
      <c r="K1525" t="s">
        <v>2861</v>
      </c>
    </row>
    <row r="1526" spans="1:11" hidden="1">
      <c r="A1526" t="str">
        <f t="shared" si="46"/>
        <v>V</v>
      </c>
      <c r="B1526" t="str">
        <f t="shared" si="47"/>
        <v>V4</v>
      </c>
      <c r="C1526" s="568" t="s">
        <v>2958</v>
      </c>
      <c r="D1526" s="568" t="s">
        <v>2874</v>
      </c>
      <c r="E1526" s="569" t="s">
        <v>2932</v>
      </c>
      <c r="F1526" t="s">
        <v>1629</v>
      </c>
      <c r="G1526" t="s">
        <v>239</v>
      </c>
      <c r="H1526">
        <v>4</v>
      </c>
      <c r="I1526" t="s">
        <v>2859</v>
      </c>
      <c r="J1526" t="s">
        <v>2860</v>
      </c>
      <c r="K1526" t="s">
        <v>2861</v>
      </c>
    </row>
    <row r="1527" spans="1:11" hidden="1">
      <c r="A1527" t="str">
        <f t="shared" si="46"/>
        <v>V</v>
      </c>
      <c r="B1527" t="str">
        <f t="shared" si="47"/>
        <v>V4</v>
      </c>
      <c r="C1527" s="568" t="s">
        <v>2959</v>
      </c>
      <c r="D1527" s="568" t="s">
        <v>2874</v>
      </c>
      <c r="E1527" s="569" t="s">
        <v>2925</v>
      </c>
      <c r="F1527" t="s">
        <v>1618</v>
      </c>
      <c r="G1527" t="s">
        <v>239</v>
      </c>
      <c r="H1527">
        <v>4</v>
      </c>
      <c r="I1527" t="s">
        <v>2859</v>
      </c>
      <c r="J1527" t="s">
        <v>2860</v>
      </c>
      <c r="K1527" t="s">
        <v>2861</v>
      </c>
    </row>
    <row r="1528" spans="1:11" hidden="1">
      <c r="A1528" t="str">
        <f t="shared" si="46"/>
        <v>V</v>
      </c>
      <c r="B1528" t="str">
        <f t="shared" si="47"/>
        <v>V4</v>
      </c>
      <c r="C1528" s="568" t="s">
        <v>2960</v>
      </c>
      <c r="D1528" s="568" t="s">
        <v>2918</v>
      </c>
      <c r="E1528" s="569" t="s">
        <v>2895</v>
      </c>
      <c r="F1528" t="s">
        <v>1616</v>
      </c>
      <c r="G1528" t="s">
        <v>239</v>
      </c>
      <c r="H1528">
        <v>4</v>
      </c>
      <c r="I1528" t="s">
        <v>2859</v>
      </c>
      <c r="J1528" t="s">
        <v>2860</v>
      </c>
      <c r="K1528" t="s">
        <v>2861</v>
      </c>
    </row>
    <row r="1529" spans="1:11" hidden="1">
      <c r="A1529" t="str">
        <f t="shared" si="46"/>
        <v>V</v>
      </c>
      <c r="B1529" t="str">
        <f t="shared" si="47"/>
        <v>V4</v>
      </c>
      <c r="C1529" s="568" t="s">
        <v>2961</v>
      </c>
      <c r="D1529" s="568" t="s">
        <v>2918</v>
      </c>
      <c r="E1529" s="569">
        <v>11</v>
      </c>
      <c r="F1529" t="s">
        <v>1616</v>
      </c>
      <c r="G1529" t="s">
        <v>239</v>
      </c>
      <c r="H1529">
        <v>4</v>
      </c>
      <c r="I1529" t="s">
        <v>2859</v>
      </c>
      <c r="J1529" t="s">
        <v>2860</v>
      </c>
      <c r="K1529" t="s">
        <v>2861</v>
      </c>
    </row>
    <row r="1530" spans="1:11" hidden="1">
      <c r="A1530" t="str">
        <f t="shared" si="46"/>
        <v>V</v>
      </c>
      <c r="B1530" t="str">
        <f t="shared" si="47"/>
        <v>V4</v>
      </c>
      <c r="C1530" s="578" t="s">
        <v>2962</v>
      </c>
      <c r="D1530" s="568" t="s">
        <v>2863</v>
      </c>
      <c r="E1530" s="569">
        <v>11</v>
      </c>
      <c r="F1530" t="s">
        <v>1609</v>
      </c>
      <c r="G1530" t="s">
        <v>239</v>
      </c>
      <c r="H1530">
        <v>3</v>
      </c>
      <c r="I1530" t="s">
        <v>2859</v>
      </c>
      <c r="J1530" t="s">
        <v>2860</v>
      </c>
      <c r="K1530" t="s">
        <v>2861</v>
      </c>
    </row>
    <row r="1531" spans="1:11" hidden="1">
      <c r="A1531" t="str">
        <f t="shared" si="46"/>
        <v>V</v>
      </c>
      <c r="B1531" t="str">
        <f t="shared" si="47"/>
        <v>V4</v>
      </c>
      <c r="C1531" s="578" t="s">
        <v>2963</v>
      </c>
      <c r="D1531" s="568" t="s">
        <v>2863</v>
      </c>
      <c r="E1531" s="569">
        <v>11</v>
      </c>
      <c r="F1531" t="s">
        <v>1609</v>
      </c>
      <c r="G1531" t="s">
        <v>239</v>
      </c>
      <c r="H1531">
        <v>3</v>
      </c>
      <c r="I1531" t="s">
        <v>2859</v>
      </c>
      <c r="J1531" t="s">
        <v>2860</v>
      </c>
      <c r="K1531" t="s">
        <v>2861</v>
      </c>
    </row>
    <row r="1532" spans="1:11" hidden="1">
      <c r="A1532" t="str">
        <f t="shared" si="46"/>
        <v>V</v>
      </c>
      <c r="B1532" t="str">
        <f t="shared" si="47"/>
        <v>V4</v>
      </c>
      <c r="C1532" s="579" t="s">
        <v>2964</v>
      </c>
      <c r="D1532" s="568" t="s">
        <v>2874</v>
      </c>
      <c r="E1532" s="569" t="s">
        <v>2921</v>
      </c>
      <c r="F1532" s="341" t="s">
        <v>1629</v>
      </c>
      <c r="G1532" t="s">
        <v>239</v>
      </c>
      <c r="H1532">
        <v>4</v>
      </c>
      <c r="I1532" t="s">
        <v>2859</v>
      </c>
      <c r="J1532" t="s">
        <v>2860</v>
      </c>
      <c r="K1532" t="s">
        <v>2861</v>
      </c>
    </row>
    <row r="1533" spans="1:11" hidden="1">
      <c r="A1533" t="str">
        <f t="shared" si="46"/>
        <v>V</v>
      </c>
      <c r="B1533" t="str">
        <f t="shared" si="47"/>
        <v>V4</v>
      </c>
      <c r="C1533" s="568" t="s">
        <v>2965</v>
      </c>
      <c r="D1533" s="568" t="s">
        <v>2874</v>
      </c>
      <c r="E1533" s="569" t="s">
        <v>2921</v>
      </c>
      <c r="F1533" t="s">
        <v>1629</v>
      </c>
      <c r="G1533" t="s">
        <v>239</v>
      </c>
      <c r="H1533">
        <v>4</v>
      </c>
      <c r="I1533" t="s">
        <v>2859</v>
      </c>
      <c r="J1533" t="s">
        <v>2860</v>
      </c>
      <c r="K1533" t="s">
        <v>2861</v>
      </c>
    </row>
    <row r="1534" spans="1:11" hidden="1">
      <c r="A1534" t="str">
        <f t="shared" si="46"/>
        <v>V</v>
      </c>
      <c r="B1534" t="str">
        <f t="shared" si="47"/>
        <v>V4</v>
      </c>
      <c r="C1534" s="568" t="s">
        <v>2966</v>
      </c>
      <c r="D1534" s="568" t="s">
        <v>2874</v>
      </c>
      <c r="E1534" s="569">
        <v>11</v>
      </c>
      <c r="F1534" t="s">
        <v>1616</v>
      </c>
      <c r="G1534" t="s">
        <v>239</v>
      </c>
      <c r="H1534">
        <v>4</v>
      </c>
      <c r="I1534" t="s">
        <v>2859</v>
      </c>
      <c r="J1534" t="s">
        <v>2860</v>
      </c>
      <c r="K1534" t="s">
        <v>2861</v>
      </c>
    </row>
    <row r="1535" spans="1:11" hidden="1">
      <c r="A1535" t="str">
        <f t="shared" si="46"/>
        <v>V</v>
      </c>
      <c r="B1535" t="str">
        <f t="shared" si="47"/>
        <v>V5</v>
      </c>
      <c r="C1535" s="568" t="s">
        <v>2967</v>
      </c>
      <c r="D1535" s="568" t="s">
        <v>2874</v>
      </c>
      <c r="E1535" s="569" t="s">
        <v>2925</v>
      </c>
      <c r="F1535" t="s">
        <v>1629</v>
      </c>
      <c r="G1535" t="s">
        <v>239</v>
      </c>
      <c r="H1535">
        <v>4</v>
      </c>
      <c r="I1535" t="s">
        <v>2859</v>
      </c>
      <c r="J1535" t="s">
        <v>2860</v>
      </c>
      <c r="K1535" t="s">
        <v>2861</v>
      </c>
    </row>
    <row r="1536" spans="1:11" hidden="1">
      <c r="A1536" t="str">
        <f t="shared" si="46"/>
        <v>V</v>
      </c>
      <c r="B1536" t="str">
        <f t="shared" si="47"/>
        <v>V5</v>
      </c>
      <c r="C1536" s="568" t="s">
        <v>2968</v>
      </c>
      <c r="D1536" s="568" t="s">
        <v>2874</v>
      </c>
      <c r="E1536" s="569" t="s">
        <v>2925</v>
      </c>
      <c r="F1536" t="s">
        <v>1629</v>
      </c>
      <c r="G1536" t="s">
        <v>239</v>
      </c>
      <c r="H1536">
        <v>4</v>
      </c>
      <c r="I1536" t="s">
        <v>2859</v>
      </c>
      <c r="J1536" t="s">
        <v>2860</v>
      </c>
      <c r="K1536" t="s">
        <v>2861</v>
      </c>
    </row>
    <row r="1537" spans="1:11" hidden="1">
      <c r="A1537" t="str">
        <f t="shared" si="46"/>
        <v>V</v>
      </c>
      <c r="B1537" t="str">
        <f t="shared" si="47"/>
        <v>V5</v>
      </c>
      <c r="C1537" s="568" t="s">
        <v>2969</v>
      </c>
      <c r="D1537" s="568" t="s">
        <v>2876</v>
      </c>
      <c r="E1537" s="569" t="s">
        <v>2925</v>
      </c>
      <c r="F1537" t="s">
        <v>1629</v>
      </c>
      <c r="G1537" t="s">
        <v>239</v>
      </c>
      <c r="H1537">
        <v>4</v>
      </c>
      <c r="I1537" t="s">
        <v>2859</v>
      </c>
      <c r="J1537" t="s">
        <v>2860</v>
      </c>
      <c r="K1537" t="s">
        <v>2861</v>
      </c>
    </row>
    <row r="1538" spans="1:11" hidden="1">
      <c r="A1538" t="str">
        <f t="shared" si="46"/>
        <v>V</v>
      </c>
      <c r="B1538" t="str">
        <f t="shared" si="47"/>
        <v>V5</v>
      </c>
      <c r="C1538" s="568" t="s">
        <v>2970</v>
      </c>
      <c r="D1538" s="568" t="s">
        <v>2918</v>
      </c>
      <c r="E1538" s="569" t="s">
        <v>2895</v>
      </c>
      <c r="F1538" t="s">
        <v>1629</v>
      </c>
      <c r="G1538" t="s">
        <v>239</v>
      </c>
      <c r="H1538">
        <v>4</v>
      </c>
      <c r="I1538" t="s">
        <v>2859</v>
      </c>
      <c r="J1538" t="s">
        <v>2860</v>
      </c>
      <c r="K1538" t="s">
        <v>2861</v>
      </c>
    </row>
    <row r="1539" spans="1:11" hidden="1">
      <c r="A1539" t="str">
        <f t="shared" ref="A1539:A1602" si="48">LEFT(C1539)</f>
        <v>V</v>
      </c>
      <c r="B1539" t="str">
        <f t="shared" si="47"/>
        <v>V5</v>
      </c>
      <c r="C1539" s="568" t="s">
        <v>2971</v>
      </c>
      <c r="D1539" s="568" t="s">
        <v>2874</v>
      </c>
      <c r="E1539" s="569" t="s">
        <v>2925</v>
      </c>
      <c r="F1539" t="s">
        <v>1629</v>
      </c>
      <c r="G1539" t="s">
        <v>239</v>
      </c>
      <c r="H1539">
        <v>4</v>
      </c>
      <c r="I1539" t="s">
        <v>2859</v>
      </c>
      <c r="J1539" t="s">
        <v>2860</v>
      </c>
      <c r="K1539" t="s">
        <v>2861</v>
      </c>
    </row>
    <row r="1540" spans="1:11" hidden="1">
      <c r="A1540" t="str">
        <f t="shared" si="48"/>
        <v>V</v>
      </c>
      <c r="B1540" t="str">
        <f t="shared" ref="B1540:B1603" si="49">LEFT(C1540,2)</f>
        <v>V5</v>
      </c>
      <c r="C1540" s="568" t="s">
        <v>2972</v>
      </c>
      <c r="D1540" s="568" t="s">
        <v>2874</v>
      </c>
      <c r="E1540" s="569" t="s">
        <v>2895</v>
      </c>
      <c r="F1540" t="s">
        <v>1629</v>
      </c>
      <c r="G1540" t="s">
        <v>239</v>
      </c>
      <c r="H1540">
        <v>4</v>
      </c>
      <c r="I1540" t="s">
        <v>2859</v>
      </c>
      <c r="J1540" t="s">
        <v>2860</v>
      </c>
      <c r="K1540" t="s">
        <v>2861</v>
      </c>
    </row>
    <row r="1541" spans="1:11" hidden="1">
      <c r="A1541" t="str">
        <f t="shared" si="48"/>
        <v>V</v>
      </c>
      <c r="B1541" t="str">
        <f t="shared" si="49"/>
        <v>V5</v>
      </c>
      <c r="C1541" s="568" t="s">
        <v>2973</v>
      </c>
      <c r="D1541" s="568" t="s">
        <v>2876</v>
      </c>
      <c r="E1541" s="569" t="s">
        <v>2925</v>
      </c>
      <c r="F1541" t="s">
        <v>1603</v>
      </c>
      <c r="G1541" t="s">
        <v>239</v>
      </c>
      <c r="H1541">
        <v>4</v>
      </c>
      <c r="I1541" t="s">
        <v>2859</v>
      </c>
      <c r="J1541" t="s">
        <v>2860</v>
      </c>
      <c r="K1541" t="s">
        <v>2861</v>
      </c>
    </row>
    <row r="1542" spans="1:11" hidden="1">
      <c r="A1542" t="str">
        <f t="shared" si="48"/>
        <v>V</v>
      </c>
      <c r="B1542" t="str">
        <f t="shared" si="49"/>
        <v>V5</v>
      </c>
      <c r="C1542" s="568" t="s">
        <v>2974</v>
      </c>
      <c r="D1542" s="568" t="s">
        <v>2876</v>
      </c>
      <c r="E1542" s="569" t="s">
        <v>2925</v>
      </c>
      <c r="F1542" t="s">
        <v>1618</v>
      </c>
      <c r="G1542" t="s">
        <v>239</v>
      </c>
      <c r="H1542">
        <v>4</v>
      </c>
      <c r="I1542" t="s">
        <v>2859</v>
      </c>
      <c r="J1542" t="s">
        <v>2860</v>
      </c>
      <c r="K1542" t="s">
        <v>2861</v>
      </c>
    </row>
    <row r="1543" spans="1:11" hidden="1">
      <c r="A1543" t="str">
        <f t="shared" si="48"/>
        <v>V</v>
      </c>
      <c r="B1543" t="str">
        <f t="shared" si="49"/>
        <v>V5</v>
      </c>
      <c r="C1543" s="568" t="s">
        <v>2975</v>
      </c>
      <c r="D1543" s="568" t="s">
        <v>2874</v>
      </c>
      <c r="E1543" s="569" t="s">
        <v>2921</v>
      </c>
      <c r="F1543" t="s">
        <v>1629</v>
      </c>
      <c r="G1543" t="s">
        <v>239</v>
      </c>
      <c r="H1543">
        <v>4</v>
      </c>
      <c r="I1543" t="s">
        <v>2859</v>
      </c>
      <c r="J1543" t="s">
        <v>2860</v>
      </c>
      <c r="K1543" t="s">
        <v>2861</v>
      </c>
    </row>
    <row r="1544" spans="1:11" hidden="1">
      <c r="A1544" t="str">
        <f t="shared" si="48"/>
        <v>V</v>
      </c>
      <c r="B1544" t="str">
        <f t="shared" si="49"/>
        <v>V5</v>
      </c>
      <c r="C1544" s="568" t="s">
        <v>2976</v>
      </c>
      <c r="D1544" s="568" t="s">
        <v>2876</v>
      </c>
      <c r="E1544" s="569" t="s">
        <v>2925</v>
      </c>
      <c r="F1544" t="s">
        <v>1629</v>
      </c>
      <c r="G1544" t="s">
        <v>239</v>
      </c>
      <c r="H1544">
        <v>4</v>
      </c>
      <c r="I1544" t="s">
        <v>2859</v>
      </c>
      <c r="J1544" t="s">
        <v>2860</v>
      </c>
      <c r="K1544" t="s">
        <v>2861</v>
      </c>
    </row>
    <row r="1545" spans="1:11" hidden="1">
      <c r="A1545" t="str">
        <f t="shared" si="48"/>
        <v>V</v>
      </c>
      <c r="B1545" t="str">
        <f t="shared" si="49"/>
        <v>V5</v>
      </c>
      <c r="C1545" s="568" t="s">
        <v>2977</v>
      </c>
      <c r="D1545" s="568" t="s">
        <v>2874</v>
      </c>
      <c r="E1545" s="569" t="s">
        <v>2925</v>
      </c>
      <c r="F1545" t="s">
        <v>1629</v>
      </c>
      <c r="G1545" t="s">
        <v>239</v>
      </c>
      <c r="H1545">
        <v>4</v>
      </c>
      <c r="I1545" t="s">
        <v>2859</v>
      </c>
      <c r="J1545" t="s">
        <v>2860</v>
      </c>
      <c r="K1545" t="s">
        <v>2861</v>
      </c>
    </row>
    <row r="1546" spans="1:11" hidden="1">
      <c r="A1546" t="str">
        <f t="shared" si="48"/>
        <v>V</v>
      </c>
      <c r="B1546" t="str">
        <f t="shared" si="49"/>
        <v>V5</v>
      </c>
      <c r="C1546" s="568" t="s">
        <v>2978</v>
      </c>
      <c r="D1546" s="568" t="s">
        <v>2874</v>
      </c>
      <c r="E1546" s="569" t="s">
        <v>2925</v>
      </c>
      <c r="F1546" t="s">
        <v>1629</v>
      </c>
      <c r="G1546" t="s">
        <v>239</v>
      </c>
      <c r="H1546">
        <v>4</v>
      </c>
      <c r="I1546" t="s">
        <v>2859</v>
      </c>
      <c r="J1546" t="s">
        <v>2860</v>
      </c>
      <c r="K1546" t="s">
        <v>2861</v>
      </c>
    </row>
    <row r="1547" spans="1:11" hidden="1">
      <c r="A1547" t="str">
        <f t="shared" si="48"/>
        <v>V</v>
      </c>
      <c r="B1547" t="str">
        <f t="shared" si="49"/>
        <v>V5</v>
      </c>
      <c r="C1547" s="568" t="s">
        <v>2979</v>
      </c>
      <c r="D1547" s="568" t="s">
        <v>2874</v>
      </c>
      <c r="E1547" s="569" t="s">
        <v>2925</v>
      </c>
      <c r="F1547" t="s">
        <v>1618</v>
      </c>
      <c r="G1547" t="s">
        <v>239</v>
      </c>
      <c r="H1547">
        <v>4</v>
      </c>
      <c r="I1547" t="s">
        <v>2859</v>
      </c>
      <c r="J1547" t="s">
        <v>2860</v>
      </c>
      <c r="K1547" t="s">
        <v>2861</v>
      </c>
    </row>
    <row r="1548" spans="1:11" hidden="1">
      <c r="A1548" t="str">
        <f t="shared" si="48"/>
        <v>V</v>
      </c>
      <c r="B1548" t="str">
        <f t="shared" si="49"/>
        <v>V5</v>
      </c>
      <c r="C1548" s="568" t="s">
        <v>2980</v>
      </c>
      <c r="D1548" s="568" t="s">
        <v>2876</v>
      </c>
      <c r="E1548" s="569" t="s">
        <v>2925</v>
      </c>
      <c r="F1548" t="s">
        <v>1618</v>
      </c>
      <c r="G1548" t="s">
        <v>239</v>
      </c>
      <c r="H1548">
        <v>4</v>
      </c>
      <c r="I1548" t="s">
        <v>2859</v>
      </c>
      <c r="J1548" t="s">
        <v>2860</v>
      </c>
      <c r="K1548" t="s">
        <v>2861</v>
      </c>
    </row>
    <row r="1549" spans="1:11" hidden="1">
      <c r="A1549" t="str">
        <f t="shared" si="48"/>
        <v>V</v>
      </c>
      <c r="B1549" t="str">
        <f t="shared" si="49"/>
        <v>V5</v>
      </c>
      <c r="C1549" s="568" t="s">
        <v>2981</v>
      </c>
      <c r="D1549" s="568" t="s">
        <v>2874</v>
      </c>
      <c r="E1549" s="569" t="s">
        <v>2925</v>
      </c>
      <c r="F1549" t="s">
        <v>1618</v>
      </c>
      <c r="G1549" t="s">
        <v>239</v>
      </c>
      <c r="H1549">
        <v>4</v>
      </c>
      <c r="I1549" t="s">
        <v>2859</v>
      </c>
      <c r="J1549" t="s">
        <v>2860</v>
      </c>
      <c r="K1549" t="s">
        <v>2861</v>
      </c>
    </row>
    <row r="1550" spans="1:11" hidden="1">
      <c r="A1550" t="str">
        <f t="shared" si="48"/>
        <v>V</v>
      </c>
      <c r="B1550" t="str">
        <f t="shared" si="49"/>
        <v>V5</v>
      </c>
      <c r="C1550" s="568" t="s">
        <v>2982</v>
      </c>
      <c r="D1550" s="568" t="s">
        <v>2874</v>
      </c>
      <c r="E1550" s="569" t="s">
        <v>2921</v>
      </c>
      <c r="F1550" t="s">
        <v>1618</v>
      </c>
      <c r="G1550" t="s">
        <v>239</v>
      </c>
      <c r="H1550">
        <v>4</v>
      </c>
      <c r="I1550" t="s">
        <v>2859</v>
      </c>
      <c r="J1550" t="s">
        <v>2860</v>
      </c>
      <c r="K1550" t="s">
        <v>2861</v>
      </c>
    </row>
    <row r="1551" spans="1:11" hidden="1">
      <c r="A1551" t="str">
        <f t="shared" si="48"/>
        <v>V</v>
      </c>
      <c r="B1551" t="str">
        <f t="shared" si="49"/>
        <v>V5</v>
      </c>
      <c r="C1551" s="568" t="s">
        <v>2983</v>
      </c>
      <c r="D1551" s="568" t="s">
        <v>2884</v>
      </c>
      <c r="E1551" s="569" t="s">
        <v>2925</v>
      </c>
      <c r="F1551" t="s">
        <v>1629</v>
      </c>
      <c r="G1551" t="s">
        <v>239</v>
      </c>
      <c r="H1551">
        <v>4</v>
      </c>
      <c r="I1551" t="s">
        <v>2859</v>
      </c>
      <c r="J1551" t="s">
        <v>2860</v>
      </c>
      <c r="K1551" t="s">
        <v>2861</v>
      </c>
    </row>
    <row r="1552" spans="1:11" hidden="1">
      <c r="A1552" t="str">
        <f t="shared" si="48"/>
        <v>V</v>
      </c>
      <c r="B1552" t="str">
        <f t="shared" si="49"/>
        <v>V5</v>
      </c>
      <c r="C1552" s="568" t="s">
        <v>2984</v>
      </c>
      <c r="D1552" s="568" t="s">
        <v>2876</v>
      </c>
      <c r="E1552" s="569" t="s">
        <v>2925</v>
      </c>
      <c r="F1552" t="s">
        <v>1618</v>
      </c>
      <c r="G1552" t="s">
        <v>239</v>
      </c>
      <c r="H1552">
        <v>4</v>
      </c>
      <c r="I1552" t="s">
        <v>2859</v>
      </c>
      <c r="J1552" t="s">
        <v>2860</v>
      </c>
      <c r="K1552" t="s">
        <v>2861</v>
      </c>
    </row>
    <row r="1553" spans="1:11" hidden="1">
      <c r="A1553" t="str">
        <f t="shared" si="48"/>
        <v>V</v>
      </c>
      <c r="B1553" t="str">
        <f t="shared" si="49"/>
        <v>V5</v>
      </c>
      <c r="C1553" s="568" t="s">
        <v>2985</v>
      </c>
      <c r="D1553" s="568" t="s">
        <v>2874</v>
      </c>
      <c r="E1553" s="569" t="s">
        <v>2921</v>
      </c>
      <c r="F1553" t="s">
        <v>1629</v>
      </c>
      <c r="G1553" t="s">
        <v>239</v>
      </c>
      <c r="H1553">
        <v>4</v>
      </c>
      <c r="I1553" t="s">
        <v>2859</v>
      </c>
      <c r="J1553" t="s">
        <v>2860</v>
      </c>
      <c r="K1553" t="s">
        <v>2861</v>
      </c>
    </row>
    <row r="1554" spans="1:11" hidden="1">
      <c r="A1554" t="str">
        <f t="shared" si="48"/>
        <v>V</v>
      </c>
      <c r="B1554" t="str">
        <f t="shared" si="49"/>
        <v>V5</v>
      </c>
      <c r="C1554" s="568" t="s">
        <v>2986</v>
      </c>
      <c r="D1554" s="568" t="s">
        <v>2874</v>
      </c>
      <c r="E1554" s="569" t="s">
        <v>2925</v>
      </c>
      <c r="F1554" t="s">
        <v>1618</v>
      </c>
      <c r="G1554" t="s">
        <v>239</v>
      </c>
      <c r="H1554">
        <v>4</v>
      </c>
      <c r="I1554" t="s">
        <v>2859</v>
      </c>
      <c r="J1554" t="s">
        <v>2860</v>
      </c>
      <c r="K1554" t="s">
        <v>2861</v>
      </c>
    </row>
    <row r="1555" spans="1:11" hidden="1">
      <c r="A1555" t="str">
        <f t="shared" si="48"/>
        <v>V</v>
      </c>
      <c r="B1555" t="str">
        <f t="shared" si="49"/>
        <v>V6</v>
      </c>
      <c r="C1555" s="568" t="s">
        <v>2987</v>
      </c>
      <c r="D1555" s="568" t="s">
        <v>2874</v>
      </c>
      <c r="E1555" s="569" t="s">
        <v>2925</v>
      </c>
      <c r="F1555" t="s">
        <v>1618</v>
      </c>
      <c r="G1555" t="s">
        <v>239</v>
      </c>
      <c r="H1555">
        <v>4</v>
      </c>
      <c r="I1555" t="s">
        <v>2859</v>
      </c>
      <c r="J1555" t="s">
        <v>2860</v>
      </c>
      <c r="K1555" t="s">
        <v>2861</v>
      </c>
    </row>
    <row r="1556" spans="1:11" hidden="1">
      <c r="A1556" t="str">
        <f t="shared" si="48"/>
        <v>V</v>
      </c>
      <c r="B1556" t="str">
        <f t="shared" si="49"/>
        <v>V6</v>
      </c>
      <c r="C1556" s="568" t="s">
        <v>2988</v>
      </c>
      <c r="D1556" s="568" t="s">
        <v>2874</v>
      </c>
      <c r="E1556" s="569" t="s">
        <v>2925</v>
      </c>
      <c r="F1556" t="s">
        <v>1629</v>
      </c>
      <c r="G1556" t="s">
        <v>239</v>
      </c>
      <c r="H1556">
        <v>4</v>
      </c>
      <c r="I1556" t="s">
        <v>2859</v>
      </c>
      <c r="J1556" t="s">
        <v>2860</v>
      </c>
      <c r="K1556" t="s">
        <v>2861</v>
      </c>
    </row>
    <row r="1557" spans="1:11" hidden="1">
      <c r="A1557" t="str">
        <f t="shared" si="48"/>
        <v>V</v>
      </c>
      <c r="B1557" t="str">
        <f t="shared" si="49"/>
        <v>V6</v>
      </c>
      <c r="C1557" s="568" t="s">
        <v>2989</v>
      </c>
      <c r="D1557" s="568" t="s">
        <v>2874</v>
      </c>
      <c r="E1557" s="569" t="s">
        <v>2921</v>
      </c>
      <c r="F1557" t="s">
        <v>1629</v>
      </c>
      <c r="G1557" t="s">
        <v>239</v>
      </c>
      <c r="H1557">
        <v>4</v>
      </c>
      <c r="I1557" t="s">
        <v>2859</v>
      </c>
      <c r="J1557" t="s">
        <v>2860</v>
      </c>
      <c r="K1557" t="s">
        <v>2861</v>
      </c>
    </row>
    <row r="1558" spans="1:11" hidden="1">
      <c r="A1558" t="str">
        <f t="shared" si="48"/>
        <v>V</v>
      </c>
      <c r="B1558" t="str">
        <f t="shared" si="49"/>
        <v>V6</v>
      </c>
      <c r="C1558" s="568" t="s">
        <v>2990</v>
      </c>
      <c r="D1558" s="568" t="s">
        <v>2874</v>
      </c>
      <c r="E1558" s="569" t="s">
        <v>2921</v>
      </c>
      <c r="F1558" t="s">
        <v>1629</v>
      </c>
      <c r="G1558" t="s">
        <v>239</v>
      </c>
      <c r="H1558">
        <v>4</v>
      </c>
      <c r="I1558" t="s">
        <v>2859</v>
      </c>
      <c r="J1558" t="s">
        <v>2860</v>
      </c>
      <c r="K1558" t="s">
        <v>2861</v>
      </c>
    </row>
    <row r="1559" spans="1:11" hidden="1">
      <c r="A1559" t="str">
        <f t="shared" si="48"/>
        <v>V</v>
      </c>
      <c r="B1559" t="str">
        <f t="shared" si="49"/>
        <v>V6</v>
      </c>
      <c r="C1559" s="568" t="s">
        <v>2991</v>
      </c>
      <c r="D1559" s="568" t="s">
        <v>2884</v>
      </c>
      <c r="E1559" s="569" t="s">
        <v>2921</v>
      </c>
      <c r="F1559" t="s">
        <v>1629</v>
      </c>
      <c r="G1559" t="s">
        <v>239</v>
      </c>
      <c r="H1559">
        <v>4</v>
      </c>
      <c r="I1559" t="s">
        <v>2859</v>
      </c>
      <c r="J1559" t="s">
        <v>2860</v>
      </c>
      <c r="K1559" t="s">
        <v>2861</v>
      </c>
    </row>
    <row r="1560" spans="1:11" hidden="1">
      <c r="A1560" t="str">
        <f t="shared" si="48"/>
        <v>V</v>
      </c>
      <c r="B1560" t="str">
        <f t="shared" si="49"/>
        <v>V6</v>
      </c>
      <c r="C1560" s="568" t="s">
        <v>2992</v>
      </c>
      <c r="D1560" s="568" t="s">
        <v>2876</v>
      </c>
      <c r="E1560" s="569" t="s">
        <v>2921</v>
      </c>
      <c r="F1560" t="s">
        <v>1618</v>
      </c>
      <c r="G1560" t="s">
        <v>239</v>
      </c>
      <c r="H1560">
        <v>4</v>
      </c>
      <c r="I1560" t="s">
        <v>2859</v>
      </c>
      <c r="J1560" t="s">
        <v>2860</v>
      </c>
      <c r="K1560" t="s">
        <v>2861</v>
      </c>
    </row>
    <row r="1561" spans="1:11" hidden="1">
      <c r="A1561" t="str">
        <f t="shared" si="48"/>
        <v>V</v>
      </c>
      <c r="B1561" t="str">
        <f t="shared" si="49"/>
        <v>V6</v>
      </c>
      <c r="C1561" s="568" t="s">
        <v>2993</v>
      </c>
      <c r="D1561" s="568" t="s">
        <v>2876</v>
      </c>
      <c r="E1561" s="569" t="s">
        <v>2921</v>
      </c>
      <c r="F1561" t="s">
        <v>1618</v>
      </c>
      <c r="G1561" t="s">
        <v>239</v>
      </c>
      <c r="H1561">
        <v>4</v>
      </c>
      <c r="I1561" t="s">
        <v>2859</v>
      </c>
      <c r="J1561" t="s">
        <v>2860</v>
      </c>
      <c r="K1561" t="s">
        <v>2861</v>
      </c>
    </row>
    <row r="1562" spans="1:11" hidden="1">
      <c r="A1562" t="str">
        <f t="shared" si="48"/>
        <v>V</v>
      </c>
      <c r="B1562" t="str">
        <f t="shared" si="49"/>
        <v>V6</v>
      </c>
      <c r="C1562" s="568" t="s">
        <v>2994</v>
      </c>
      <c r="D1562" s="568" t="s">
        <v>2874</v>
      </c>
      <c r="E1562" s="569" t="s">
        <v>2921</v>
      </c>
      <c r="F1562" t="s">
        <v>1618</v>
      </c>
      <c r="G1562" t="s">
        <v>239</v>
      </c>
      <c r="H1562">
        <v>4</v>
      </c>
      <c r="I1562" t="s">
        <v>2859</v>
      </c>
      <c r="J1562" t="s">
        <v>2860</v>
      </c>
      <c r="K1562" t="s">
        <v>2861</v>
      </c>
    </row>
    <row r="1563" spans="1:11" hidden="1">
      <c r="A1563" t="str">
        <f t="shared" si="48"/>
        <v>V</v>
      </c>
      <c r="B1563" t="str">
        <f t="shared" si="49"/>
        <v>V6</v>
      </c>
      <c r="C1563" s="568" t="s">
        <v>2995</v>
      </c>
      <c r="D1563" s="568" t="s">
        <v>2874</v>
      </c>
      <c r="E1563" s="569" t="s">
        <v>2921</v>
      </c>
      <c r="F1563" t="s">
        <v>1618</v>
      </c>
      <c r="G1563" t="s">
        <v>239</v>
      </c>
      <c r="H1563">
        <v>4</v>
      </c>
      <c r="I1563" t="s">
        <v>2859</v>
      </c>
      <c r="J1563" t="s">
        <v>2860</v>
      </c>
      <c r="K1563" t="s">
        <v>2861</v>
      </c>
    </row>
    <row r="1564" spans="1:11" hidden="1">
      <c r="A1564" t="str">
        <f t="shared" si="48"/>
        <v>V</v>
      </c>
      <c r="B1564" t="str">
        <f t="shared" si="49"/>
        <v>V6</v>
      </c>
      <c r="C1564" s="568" t="s">
        <v>2996</v>
      </c>
      <c r="D1564" s="568" t="s">
        <v>2884</v>
      </c>
      <c r="E1564" s="569" t="s">
        <v>2921</v>
      </c>
      <c r="F1564" t="s">
        <v>1618</v>
      </c>
      <c r="G1564" t="s">
        <v>239</v>
      </c>
      <c r="H1564">
        <v>4</v>
      </c>
      <c r="I1564" t="s">
        <v>2859</v>
      </c>
      <c r="J1564" t="s">
        <v>2860</v>
      </c>
      <c r="K1564" t="s">
        <v>2861</v>
      </c>
    </row>
    <row r="1565" spans="1:11" hidden="1">
      <c r="A1565" t="str">
        <f t="shared" si="48"/>
        <v>V</v>
      </c>
      <c r="B1565" t="str">
        <f t="shared" si="49"/>
        <v>V6</v>
      </c>
      <c r="C1565" s="568" t="s">
        <v>2997</v>
      </c>
      <c r="D1565" s="568" t="s">
        <v>2876</v>
      </c>
      <c r="E1565" s="569" t="s">
        <v>2921</v>
      </c>
      <c r="F1565" t="s">
        <v>1618</v>
      </c>
      <c r="G1565" t="s">
        <v>239</v>
      </c>
      <c r="H1565">
        <v>4</v>
      </c>
      <c r="I1565" t="s">
        <v>2859</v>
      </c>
      <c r="J1565" t="s">
        <v>2860</v>
      </c>
      <c r="K1565" t="s">
        <v>2861</v>
      </c>
    </row>
    <row r="1566" spans="1:11" hidden="1">
      <c r="A1566" t="str">
        <f t="shared" si="48"/>
        <v>V</v>
      </c>
      <c r="B1566" t="str">
        <f t="shared" si="49"/>
        <v>V6</v>
      </c>
      <c r="C1566" s="568" t="s">
        <v>2998</v>
      </c>
      <c r="D1566" s="568" t="s">
        <v>2876</v>
      </c>
      <c r="E1566" s="569" t="s">
        <v>2921</v>
      </c>
      <c r="F1566" t="s">
        <v>1618</v>
      </c>
      <c r="G1566" t="s">
        <v>239</v>
      </c>
      <c r="H1566">
        <v>4</v>
      </c>
      <c r="I1566" t="s">
        <v>2859</v>
      </c>
      <c r="J1566" t="s">
        <v>2860</v>
      </c>
      <c r="K1566" t="s">
        <v>2861</v>
      </c>
    </row>
    <row r="1567" spans="1:11" hidden="1">
      <c r="A1567" t="str">
        <f t="shared" si="48"/>
        <v>V</v>
      </c>
      <c r="B1567" t="str">
        <f t="shared" si="49"/>
        <v>V6</v>
      </c>
      <c r="C1567" s="568" t="s">
        <v>2999</v>
      </c>
      <c r="D1567" s="568" t="s">
        <v>2874</v>
      </c>
      <c r="E1567" s="569" t="s">
        <v>2921</v>
      </c>
      <c r="F1567" t="s">
        <v>1618</v>
      </c>
      <c r="G1567" t="s">
        <v>239</v>
      </c>
      <c r="H1567">
        <v>4</v>
      </c>
      <c r="I1567" t="s">
        <v>2859</v>
      </c>
      <c r="J1567" t="s">
        <v>2860</v>
      </c>
      <c r="K1567" t="s">
        <v>2861</v>
      </c>
    </row>
    <row r="1568" spans="1:11" hidden="1">
      <c r="A1568" t="str">
        <f t="shared" si="48"/>
        <v>V</v>
      </c>
      <c r="B1568" t="str">
        <f t="shared" si="49"/>
        <v>V6</v>
      </c>
      <c r="C1568" s="568" t="s">
        <v>3000</v>
      </c>
      <c r="D1568" s="568" t="s">
        <v>2918</v>
      </c>
      <c r="E1568" s="569" t="s">
        <v>2921</v>
      </c>
      <c r="F1568" t="s">
        <v>1629</v>
      </c>
      <c r="G1568" t="s">
        <v>239</v>
      </c>
      <c r="H1568">
        <v>4</v>
      </c>
      <c r="I1568" t="s">
        <v>2859</v>
      </c>
      <c r="J1568" t="s">
        <v>2860</v>
      </c>
      <c r="K1568" t="s">
        <v>2861</v>
      </c>
    </row>
    <row r="1569" spans="1:11" hidden="1">
      <c r="A1569" t="str">
        <f t="shared" si="48"/>
        <v>V</v>
      </c>
      <c r="B1569" t="str">
        <f t="shared" si="49"/>
        <v>V6</v>
      </c>
      <c r="C1569" s="568" t="s">
        <v>3001</v>
      </c>
      <c r="D1569" s="568" t="s">
        <v>2884</v>
      </c>
      <c r="E1569" s="569" t="s">
        <v>2921</v>
      </c>
      <c r="F1569" t="s">
        <v>1618</v>
      </c>
      <c r="G1569" t="s">
        <v>239</v>
      </c>
      <c r="H1569">
        <v>4</v>
      </c>
      <c r="I1569" t="s">
        <v>2859</v>
      </c>
      <c r="J1569" t="s">
        <v>2860</v>
      </c>
      <c r="K1569" t="s">
        <v>2861</v>
      </c>
    </row>
    <row r="1570" spans="1:11" hidden="1">
      <c r="A1570" t="str">
        <f t="shared" si="48"/>
        <v>V</v>
      </c>
      <c r="B1570" t="str">
        <f t="shared" si="49"/>
        <v>V6</v>
      </c>
      <c r="C1570" s="568" t="s">
        <v>3002</v>
      </c>
      <c r="D1570" s="568" t="s">
        <v>2955</v>
      </c>
      <c r="E1570" s="569" t="s">
        <v>2942</v>
      </c>
      <c r="F1570" t="s">
        <v>1603</v>
      </c>
      <c r="G1570" t="s">
        <v>239</v>
      </c>
      <c r="H1570">
        <v>4</v>
      </c>
      <c r="I1570" t="s">
        <v>2859</v>
      </c>
      <c r="J1570" t="s">
        <v>2860</v>
      </c>
      <c r="K1570" t="s">
        <v>2861</v>
      </c>
    </row>
    <row r="1571" spans="1:11" hidden="1">
      <c r="A1571" t="str">
        <f t="shared" si="48"/>
        <v>V</v>
      </c>
      <c r="B1571" t="str">
        <f t="shared" si="49"/>
        <v>V6</v>
      </c>
      <c r="C1571" s="568" t="s">
        <v>3003</v>
      </c>
      <c r="D1571" s="568" t="s">
        <v>2876</v>
      </c>
      <c r="E1571" s="569" t="s">
        <v>2932</v>
      </c>
      <c r="F1571" t="s">
        <v>1603</v>
      </c>
      <c r="G1571" t="s">
        <v>239</v>
      </c>
      <c r="H1571">
        <v>4</v>
      </c>
      <c r="I1571" t="s">
        <v>2859</v>
      </c>
      <c r="J1571" t="s">
        <v>2860</v>
      </c>
      <c r="K1571" t="s">
        <v>2861</v>
      </c>
    </row>
    <row r="1572" spans="1:11" hidden="1">
      <c r="A1572" t="str">
        <f t="shared" si="48"/>
        <v>V</v>
      </c>
      <c r="B1572" t="str">
        <f t="shared" si="49"/>
        <v>V6</v>
      </c>
      <c r="C1572" s="568" t="s">
        <v>3004</v>
      </c>
      <c r="D1572" s="568" t="s">
        <v>2876</v>
      </c>
      <c r="E1572" s="569" t="s">
        <v>2932</v>
      </c>
      <c r="F1572" t="s">
        <v>1603</v>
      </c>
      <c r="G1572" t="s">
        <v>239</v>
      </c>
      <c r="H1572">
        <v>4</v>
      </c>
      <c r="I1572" t="s">
        <v>2859</v>
      </c>
      <c r="J1572" t="s">
        <v>2860</v>
      </c>
      <c r="K1572" t="s">
        <v>2861</v>
      </c>
    </row>
    <row r="1573" spans="1:11" hidden="1">
      <c r="A1573" t="str">
        <f t="shared" si="48"/>
        <v>V</v>
      </c>
      <c r="B1573" t="str">
        <f t="shared" si="49"/>
        <v>V6</v>
      </c>
      <c r="C1573" s="568" t="s">
        <v>3005</v>
      </c>
      <c r="D1573" s="568" t="s">
        <v>2955</v>
      </c>
      <c r="E1573" s="569" t="s">
        <v>2895</v>
      </c>
      <c r="F1573" t="s">
        <v>1603</v>
      </c>
      <c r="G1573" t="s">
        <v>239</v>
      </c>
      <c r="H1573">
        <v>4</v>
      </c>
      <c r="I1573" t="s">
        <v>2859</v>
      </c>
      <c r="J1573" t="s">
        <v>2860</v>
      </c>
      <c r="K1573" t="s">
        <v>2861</v>
      </c>
    </row>
    <row r="1574" spans="1:11" hidden="1">
      <c r="A1574" t="str">
        <f t="shared" si="48"/>
        <v>V</v>
      </c>
      <c r="B1574" t="str">
        <f t="shared" si="49"/>
        <v>V6</v>
      </c>
      <c r="C1574" s="568" t="s">
        <v>3006</v>
      </c>
      <c r="D1574" s="568" t="s">
        <v>2876</v>
      </c>
      <c r="E1574" s="569" t="s">
        <v>2921</v>
      </c>
      <c r="F1574" t="s">
        <v>1629</v>
      </c>
      <c r="G1574" t="s">
        <v>239</v>
      </c>
      <c r="H1574">
        <v>4</v>
      </c>
      <c r="I1574" t="s">
        <v>2859</v>
      </c>
      <c r="J1574" t="s">
        <v>2860</v>
      </c>
      <c r="K1574" t="s">
        <v>2861</v>
      </c>
    </row>
    <row r="1575" spans="1:11" hidden="1">
      <c r="A1575" t="str">
        <f t="shared" si="48"/>
        <v>V</v>
      </c>
      <c r="B1575" t="str">
        <f t="shared" si="49"/>
        <v>V7</v>
      </c>
      <c r="C1575" s="568" t="s">
        <v>3007</v>
      </c>
      <c r="D1575" s="568" t="s">
        <v>2955</v>
      </c>
      <c r="E1575" s="569" t="s">
        <v>2895</v>
      </c>
      <c r="F1575" t="s">
        <v>1603</v>
      </c>
      <c r="G1575" t="s">
        <v>239</v>
      </c>
      <c r="H1575">
        <v>4</v>
      </c>
      <c r="I1575" t="s">
        <v>2859</v>
      </c>
      <c r="J1575" t="s">
        <v>2860</v>
      </c>
      <c r="K1575" t="s">
        <v>2861</v>
      </c>
    </row>
    <row r="1576" spans="1:11" hidden="1">
      <c r="A1576" t="str">
        <f t="shared" si="48"/>
        <v>V</v>
      </c>
      <c r="B1576" t="str">
        <f t="shared" si="49"/>
        <v>V7</v>
      </c>
      <c r="C1576" s="568" t="s">
        <v>3008</v>
      </c>
      <c r="D1576" s="568" t="s">
        <v>2955</v>
      </c>
      <c r="E1576" s="569" t="s">
        <v>2895</v>
      </c>
      <c r="F1576" t="s">
        <v>1603</v>
      </c>
      <c r="G1576" t="s">
        <v>239</v>
      </c>
      <c r="H1576">
        <v>4</v>
      </c>
      <c r="I1576" t="s">
        <v>2859</v>
      </c>
      <c r="J1576" t="s">
        <v>2860</v>
      </c>
      <c r="K1576" t="s">
        <v>2861</v>
      </c>
    </row>
    <row r="1577" spans="1:11" hidden="1">
      <c r="A1577" t="str">
        <f t="shared" si="48"/>
        <v>V</v>
      </c>
      <c r="B1577" t="str">
        <f t="shared" si="49"/>
        <v>V7</v>
      </c>
      <c r="C1577" s="568" t="s">
        <v>3009</v>
      </c>
      <c r="D1577" s="568" t="s">
        <v>2955</v>
      </c>
      <c r="E1577" s="569" t="s">
        <v>2895</v>
      </c>
      <c r="F1577" t="s">
        <v>1603</v>
      </c>
      <c r="G1577" t="s">
        <v>239</v>
      </c>
      <c r="H1577">
        <v>4</v>
      </c>
      <c r="I1577" t="s">
        <v>2859</v>
      </c>
      <c r="J1577" t="s">
        <v>2860</v>
      </c>
      <c r="K1577" t="s">
        <v>2861</v>
      </c>
    </row>
    <row r="1578" spans="1:11" hidden="1">
      <c r="A1578" t="str">
        <f t="shared" si="48"/>
        <v>V</v>
      </c>
      <c r="B1578" t="str">
        <f t="shared" si="49"/>
        <v>V7</v>
      </c>
      <c r="C1578" s="568" t="s">
        <v>3010</v>
      </c>
      <c r="D1578" s="568" t="s">
        <v>2955</v>
      </c>
      <c r="E1578" s="569" t="s">
        <v>2895</v>
      </c>
      <c r="F1578" t="s">
        <v>1603</v>
      </c>
      <c r="G1578" t="s">
        <v>239</v>
      </c>
      <c r="H1578">
        <v>4</v>
      </c>
      <c r="I1578" t="s">
        <v>2859</v>
      </c>
      <c r="J1578" t="s">
        <v>2860</v>
      </c>
      <c r="K1578" t="s">
        <v>2861</v>
      </c>
    </row>
    <row r="1579" spans="1:11" hidden="1">
      <c r="A1579" t="str">
        <f t="shared" si="48"/>
        <v>V</v>
      </c>
      <c r="B1579" t="str">
        <f t="shared" si="49"/>
        <v>V7</v>
      </c>
      <c r="C1579" s="568" t="s">
        <v>3011</v>
      </c>
      <c r="D1579" s="568" t="s">
        <v>2874</v>
      </c>
      <c r="E1579" s="569" t="s">
        <v>2921</v>
      </c>
      <c r="F1579" t="s">
        <v>1616</v>
      </c>
      <c r="G1579" t="s">
        <v>239</v>
      </c>
      <c r="H1579">
        <v>4</v>
      </c>
      <c r="I1579" t="s">
        <v>2859</v>
      </c>
      <c r="J1579" t="s">
        <v>2860</v>
      </c>
      <c r="K1579" t="s">
        <v>2861</v>
      </c>
    </row>
    <row r="1580" spans="1:11" hidden="1">
      <c r="A1580" t="str">
        <f t="shared" si="48"/>
        <v>V</v>
      </c>
      <c r="B1580" t="str">
        <f t="shared" si="49"/>
        <v>V7</v>
      </c>
      <c r="C1580" s="568" t="s">
        <v>3012</v>
      </c>
      <c r="D1580" s="568" t="s">
        <v>2918</v>
      </c>
      <c r="E1580" s="569" t="s">
        <v>2925</v>
      </c>
      <c r="F1580" t="s">
        <v>1629</v>
      </c>
      <c r="G1580" t="s">
        <v>239</v>
      </c>
      <c r="H1580">
        <v>4</v>
      </c>
      <c r="I1580" t="s">
        <v>2859</v>
      </c>
      <c r="J1580" t="s">
        <v>2860</v>
      </c>
      <c r="K1580" t="s">
        <v>2861</v>
      </c>
    </row>
    <row r="1581" spans="1:11" hidden="1">
      <c r="A1581" t="str">
        <f t="shared" si="48"/>
        <v>V</v>
      </c>
      <c r="B1581" t="str">
        <f t="shared" si="49"/>
        <v>V7</v>
      </c>
      <c r="C1581" s="568" t="s">
        <v>3013</v>
      </c>
      <c r="D1581" s="568" t="s">
        <v>2918</v>
      </c>
      <c r="E1581" s="569" t="s">
        <v>2925</v>
      </c>
      <c r="F1581" t="s">
        <v>1629</v>
      </c>
      <c r="G1581" t="s">
        <v>239</v>
      </c>
      <c r="H1581">
        <v>4</v>
      </c>
      <c r="I1581" t="s">
        <v>2859</v>
      </c>
      <c r="J1581" t="s">
        <v>2860</v>
      </c>
      <c r="K1581" t="s">
        <v>2861</v>
      </c>
    </row>
    <row r="1582" spans="1:11" hidden="1">
      <c r="A1582" t="str">
        <f t="shared" si="48"/>
        <v>V</v>
      </c>
      <c r="B1582" t="str">
        <f t="shared" si="49"/>
        <v>V7</v>
      </c>
      <c r="C1582" s="568" t="s">
        <v>3014</v>
      </c>
      <c r="D1582" s="568" t="s">
        <v>2872</v>
      </c>
      <c r="E1582" s="569" t="s">
        <v>2921</v>
      </c>
      <c r="F1582" t="s">
        <v>1629</v>
      </c>
      <c r="G1582" t="s">
        <v>239</v>
      </c>
      <c r="H1582">
        <v>4</v>
      </c>
      <c r="I1582" t="s">
        <v>2859</v>
      </c>
      <c r="J1582" t="s">
        <v>2860</v>
      </c>
      <c r="K1582" t="s">
        <v>2861</v>
      </c>
    </row>
    <row r="1583" spans="1:11" hidden="1">
      <c r="A1583" t="str">
        <f t="shared" si="48"/>
        <v>V</v>
      </c>
      <c r="B1583" t="str">
        <f t="shared" si="49"/>
        <v>V7</v>
      </c>
      <c r="C1583" s="568" t="s">
        <v>3015</v>
      </c>
      <c r="D1583" s="568" t="s">
        <v>2918</v>
      </c>
      <c r="E1583" s="569" t="s">
        <v>2921</v>
      </c>
      <c r="F1583" t="s">
        <v>1629</v>
      </c>
      <c r="G1583" t="s">
        <v>239</v>
      </c>
      <c r="H1583">
        <v>4</v>
      </c>
      <c r="I1583" t="s">
        <v>2859</v>
      </c>
      <c r="J1583" t="s">
        <v>2860</v>
      </c>
      <c r="K1583" t="s">
        <v>2861</v>
      </c>
    </row>
    <row r="1584" spans="1:11" hidden="1">
      <c r="A1584" t="str">
        <f t="shared" si="48"/>
        <v>V</v>
      </c>
      <c r="B1584" t="str">
        <f t="shared" si="49"/>
        <v>V7</v>
      </c>
      <c r="C1584" s="568" t="s">
        <v>3016</v>
      </c>
      <c r="D1584" s="568" t="s">
        <v>2918</v>
      </c>
      <c r="E1584" s="569" t="s">
        <v>2921</v>
      </c>
      <c r="F1584" t="s">
        <v>1629</v>
      </c>
      <c r="G1584" t="s">
        <v>239</v>
      </c>
      <c r="H1584">
        <v>4</v>
      </c>
      <c r="I1584" t="s">
        <v>2859</v>
      </c>
      <c r="J1584" t="s">
        <v>2860</v>
      </c>
      <c r="K1584" t="s">
        <v>2861</v>
      </c>
    </row>
    <row r="1585" spans="1:11" hidden="1">
      <c r="A1585" t="str">
        <f t="shared" si="48"/>
        <v>V</v>
      </c>
      <c r="B1585" t="str">
        <f t="shared" si="49"/>
        <v>V7</v>
      </c>
      <c r="C1585" s="568" t="s">
        <v>3017</v>
      </c>
      <c r="D1585" s="568" t="s">
        <v>2872</v>
      </c>
      <c r="E1585" s="569" t="s">
        <v>2921</v>
      </c>
      <c r="F1585" t="s">
        <v>1629</v>
      </c>
      <c r="G1585" t="s">
        <v>239</v>
      </c>
      <c r="H1585">
        <v>4</v>
      </c>
      <c r="I1585" t="s">
        <v>2859</v>
      </c>
      <c r="J1585" t="s">
        <v>2860</v>
      </c>
      <c r="K1585" t="s">
        <v>2861</v>
      </c>
    </row>
    <row r="1586" spans="1:11" hidden="1">
      <c r="A1586" t="str">
        <f t="shared" si="48"/>
        <v>V</v>
      </c>
      <c r="B1586" t="str">
        <f t="shared" si="49"/>
        <v>V7</v>
      </c>
      <c r="C1586" s="568" t="s">
        <v>3018</v>
      </c>
      <c r="D1586" s="568" t="s">
        <v>2874</v>
      </c>
      <c r="E1586" s="569" t="s">
        <v>2925</v>
      </c>
      <c r="F1586" t="s">
        <v>1618</v>
      </c>
      <c r="G1586" t="s">
        <v>239</v>
      </c>
      <c r="H1586">
        <v>4</v>
      </c>
      <c r="I1586" t="s">
        <v>2859</v>
      </c>
      <c r="J1586" t="s">
        <v>2860</v>
      </c>
      <c r="K1586" t="s">
        <v>2861</v>
      </c>
    </row>
    <row r="1587" spans="1:11" hidden="1">
      <c r="A1587" t="str">
        <f t="shared" si="48"/>
        <v>V</v>
      </c>
      <c r="B1587" t="str">
        <f t="shared" si="49"/>
        <v>V7</v>
      </c>
      <c r="C1587" s="568" t="s">
        <v>3019</v>
      </c>
      <c r="D1587" s="568" t="s">
        <v>2872</v>
      </c>
      <c r="E1587" s="569" t="s">
        <v>2921</v>
      </c>
      <c r="F1587" t="s">
        <v>1629</v>
      </c>
      <c r="G1587" t="s">
        <v>239</v>
      </c>
      <c r="H1587">
        <v>4</v>
      </c>
      <c r="I1587" t="s">
        <v>2859</v>
      </c>
      <c r="J1587" t="s">
        <v>2860</v>
      </c>
      <c r="K1587" t="s">
        <v>2861</v>
      </c>
    </row>
    <row r="1588" spans="1:11" hidden="1">
      <c r="A1588" t="str">
        <f t="shared" si="48"/>
        <v>V</v>
      </c>
      <c r="B1588" t="str">
        <f t="shared" si="49"/>
        <v>V7</v>
      </c>
      <c r="C1588" s="568" t="s">
        <v>3020</v>
      </c>
      <c r="D1588" s="568" t="s">
        <v>2884</v>
      </c>
      <c r="E1588" s="569">
        <v>11</v>
      </c>
      <c r="F1588" t="s">
        <v>1616</v>
      </c>
      <c r="G1588" t="s">
        <v>239</v>
      </c>
      <c r="H1588">
        <v>4</v>
      </c>
      <c r="I1588" t="s">
        <v>2859</v>
      </c>
      <c r="J1588" t="s">
        <v>2860</v>
      </c>
      <c r="K1588" t="s">
        <v>2861</v>
      </c>
    </row>
    <row r="1589" spans="1:11" hidden="1">
      <c r="A1589" t="str">
        <f t="shared" si="48"/>
        <v>V</v>
      </c>
      <c r="B1589" t="str">
        <f t="shared" si="49"/>
        <v>V7</v>
      </c>
      <c r="C1589" s="568" t="s">
        <v>3021</v>
      </c>
      <c r="D1589" s="568" t="s">
        <v>2874</v>
      </c>
      <c r="E1589" s="569" t="s">
        <v>2921</v>
      </c>
      <c r="F1589" t="s">
        <v>1629</v>
      </c>
      <c r="G1589" t="s">
        <v>239</v>
      </c>
      <c r="H1589">
        <v>4</v>
      </c>
      <c r="I1589" t="s">
        <v>2859</v>
      </c>
      <c r="J1589" t="s">
        <v>2860</v>
      </c>
      <c r="K1589" t="s">
        <v>2861</v>
      </c>
    </row>
    <row r="1590" spans="1:11" hidden="1">
      <c r="A1590" t="str">
        <f t="shared" si="48"/>
        <v>V</v>
      </c>
      <c r="B1590" t="str">
        <f t="shared" si="49"/>
        <v>V7</v>
      </c>
      <c r="C1590" s="568" t="s">
        <v>3022</v>
      </c>
      <c r="D1590" s="568" t="s">
        <v>2874</v>
      </c>
      <c r="E1590" s="569">
        <v>11</v>
      </c>
      <c r="F1590" t="s">
        <v>1629</v>
      </c>
      <c r="G1590" t="s">
        <v>239</v>
      </c>
      <c r="H1590">
        <v>4</v>
      </c>
      <c r="I1590" t="s">
        <v>2859</v>
      </c>
      <c r="J1590" t="s">
        <v>2860</v>
      </c>
      <c r="K1590" t="s">
        <v>2861</v>
      </c>
    </row>
    <row r="1591" spans="1:11" hidden="1">
      <c r="A1591" t="str">
        <f t="shared" si="48"/>
        <v>V</v>
      </c>
      <c r="B1591" t="str">
        <f t="shared" si="49"/>
        <v>V7</v>
      </c>
      <c r="C1591" s="578" t="s">
        <v>3023</v>
      </c>
      <c r="D1591" s="568" t="s">
        <v>2884</v>
      </c>
      <c r="E1591" s="569">
        <v>11</v>
      </c>
      <c r="F1591" t="s">
        <v>1609</v>
      </c>
      <c r="G1591" t="s">
        <v>239</v>
      </c>
      <c r="H1591">
        <v>4</v>
      </c>
      <c r="I1591" t="s">
        <v>2859</v>
      </c>
      <c r="J1591" t="s">
        <v>2860</v>
      </c>
      <c r="K1591" t="s">
        <v>2861</v>
      </c>
    </row>
    <row r="1592" spans="1:11" hidden="1">
      <c r="A1592" t="str">
        <f t="shared" si="48"/>
        <v>V</v>
      </c>
      <c r="B1592" t="str">
        <f t="shared" si="49"/>
        <v>V7</v>
      </c>
      <c r="C1592" s="568" t="s">
        <v>3024</v>
      </c>
      <c r="D1592" s="568" t="s">
        <v>2955</v>
      </c>
      <c r="E1592" s="569">
        <v>11</v>
      </c>
      <c r="F1592" t="s">
        <v>1629</v>
      </c>
      <c r="G1592" t="s">
        <v>239</v>
      </c>
      <c r="H1592">
        <v>4</v>
      </c>
      <c r="I1592" t="s">
        <v>2859</v>
      </c>
      <c r="J1592" t="s">
        <v>2860</v>
      </c>
      <c r="K1592" t="s">
        <v>2861</v>
      </c>
    </row>
    <row r="1593" spans="1:11" hidden="1">
      <c r="A1593" t="str">
        <f t="shared" si="48"/>
        <v>V</v>
      </c>
      <c r="B1593" t="str">
        <f t="shared" si="49"/>
        <v>V7</v>
      </c>
      <c r="C1593" s="568" t="s">
        <v>3025</v>
      </c>
      <c r="D1593" s="568" t="s">
        <v>2884</v>
      </c>
      <c r="E1593" s="569">
        <v>11</v>
      </c>
      <c r="F1593" s="577" t="s">
        <v>1616</v>
      </c>
      <c r="G1593" t="s">
        <v>239</v>
      </c>
      <c r="H1593">
        <v>4</v>
      </c>
      <c r="I1593" t="s">
        <v>2859</v>
      </c>
      <c r="J1593" t="s">
        <v>2860</v>
      </c>
      <c r="K1593" t="s">
        <v>2861</v>
      </c>
    </row>
    <row r="1594" spans="1:11" hidden="1">
      <c r="A1594" t="str">
        <f t="shared" si="48"/>
        <v>V</v>
      </c>
      <c r="B1594" t="str">
        <f t="shared" si="49"/>
        <v>V8</v>
      </c>
      <c r="C1594" s="568" t="s">
        <v>3026</v>
      </c>
      <c r="D1594" s="568" t="s">
        <v>2872</v>
      </c>
      <c r="E1594" s="569">
        <v>11</v>
      </c>
      <c r="F1594" t="s">
        <v>1616</v>
      </c>
      <c r="G1594" t="s">
        <v>239</v>
      </c>
      <c r="H1594">
        <v>5</v>
      </c>
      <c r="I1594" t="s">
        <v>2859</v>
      </c>
      <c r="J1594" t="s">
        <v>2860</v>
      </c>
      <c r="K1594" t="s">
        <v>2861</v>
      </c>
    </row>
    <row r="1595" spans="1:11" hidden="1">
      <c r="A1595" t="str">
        <f t="shared" si="48"/>
        <v>V</v>
      </c>
      <c r="B1595" t="str">
        <f t="shared" si="49"/>
        <v>V8</v>
      </c>
      <c r="C1595" s="575" t="s">
        <v>3027</v>
      </c>
      <c r="D1595" s="575" t="s">
        <v>3028</v>
      </c>
      <c r="E1595" s="576">
        <v>11</v>
      </c>
      <c r="F1595" t="s">
        <v>1616</v>
      </c>
      <c r="G1595" t="s">
        <v>239</v>
      </c>
      <c r="H1595">
        <v>5</v>
      </c>
      <c r="I1595" t="s">
        <v>2859</v>
      </c>
      <c r="J1595" t="s">
        <v>2860</v>
      </c>
      <c r="K1595" t="s">
        <v>2861</v>
      </c>
    </row>
    <row r="1596" spans="1:11" hidden="1">
      <c r="A1596" t="str">
        <f t="shared" si="48"/>
        <v>V</v>
      </c>
      <c r="B1596" t="str">
        <f t="shared" si="49"/>
        <v>V8</v>
      </c>
      <c r="C1596" s="578" t="s">
        <v>3029</v>
      </c>
      <c r="D1596" s="568" t="s">
        <v>2863</v>
      </c>
      <c r="E1596" s="569">
        <v>11</v>
      </c>
      <c r="F1596" t="s">
        <v>1609</v>
      </c>
      <c r="G1596" t="s">
        <v>239</v>
      </c>
      <c r="H1596">
        <v>5</v>
      </c>
      <c r="I1596" t="s">
        <v>2859</v>
      </c>
      <c r="J1596" t="s">
        <v>2860</v>
      </c>
      <c r="K1596" t="s">
        <v>2861</v>
      </c>
    </row>
    <row r="1597" spans="1:11" hidden="1">
      <c r="A1597" t="str">
        <f t="shared" si="48"/>
        <v>V</v>
      </c>
      <c r="B1597" t="str">
        <f t="shared" si="49"/>
        <v>V8</v>
      </c>
      <c r="C1597" s="578" t="s">
        <v>3030</v>
      </c>
      <c r="D1597" s="568" t="s">
        <v>2863</v>
      </c>
      <c r="E1597" s="569">
        <v>11</v>
      </c>
      <c r="F1597" t="s">
        <v>1609</v>
      </c>
      <c r="G1597" t="s">
        <v>239</v>
      </c>
      <c r="H1597">
        <v>5</v>
      </c>
      <c r="I1597" t="s">
        <v>2859</v>
      </c>
      <c r="J1597" t="s">
        <v>2860</v>
      </c>
      <c r="K1597" t="s">
        <v>2861</v>
      </c>
    </row>
    <row r="1598" spans="1:11" hidden="1">
      <c r="A1598" t="str">
        <f t="shared" si="48"/>
        <v>V</v>
      </c>
      <c r="B1598" t="str">
        <f t="shared" si="49"/>
        <v>V8</v>
      </c>
      <c r="C1598" s="578" t="s">
        <v>3031</v>
      </c>
      <c r="D1598" s="568" t="s">
        <v>2863</v>
      </c>
      <c r="E1598" s="569">
        <v>11</v>
      </c>
      <c r="F1598" t="s">
        <v>1609</v>
      </c>
      <c r="G1598" t="s">
        <v>239</v>
      </c>
      <c r="H1598">
        <v>5</v>
      </c>
      <c r="I1598" t="s">
        <v>2859</v>
      </c>
      <c r="J1598" t="s">
        <v>2860</v>
      </c>
      <c r="K1598" t="s">
        <v>2861</v>
      </c>
    </row>
    <row r="1599" spans="1:11" hidden="1">
      <c r="A1599" t="str">
        <f t="shared" si="48"/>
        <v>V</v>
      </c>
      <c r="B1599" t="str">
        <f t="shared" si="49"/>
        <v>V8</v>
      </c>
      <c r="C1599" s="568" t="s">
        <v>3032</v>
      </c>
      <c r="D1599" s="568" t="s">
        <v>2876</v>
      </c>
      <c r="E1599" s="569">
        <v>11</v>
      </c>
      <c r="F1599" t="s">
        <v>1603</v>
      </c>
      <c r="G1599" t="s">
        <v>239</v>
      </c>
      <c r="H1599">
        <v>6</v>
      </c>
      <c r="I1599" t="s">
        <v>2859</v>
      </c>
      <c r="J1599" t="s">
        <v>2860</v>
      </c>
      <c r="K1599" t="s">
        <v>2861</v>
      </c>
    </row>
    <row r="1600" spans="1:11" hidden="1">
      <c r="A1600" t="str">
        <f t="shared" si="48"/>
        <v>V</v>
      </c>
      <c r="B1600" t="str">
        <f t="shared" si="49"/>
        <v>V8</v>
      </c>
      <c r="C1600" s="568" t="s">
        <v>3033</v>
      </c>
      <c r="D1600" s="568" t="s">
        <v>2876</v>
      </c>
      <c r="E1600" s="569">
        <v>11</v>
      </c>
      <c r="F1600" t="s">
        <v>1603</v>
      </c>
      <c r="G1600" t="s">
        <v>239</v>
      </c>
      <c r="H1600">
        <v>6</v>
      </c>
      <c r="I1600" t="s">
        <v>2859</v>
      </c>
      <c r="J1600" t="s">
        <v>2860</v>
      </c>
      <c r="K1600" t="s">
        <v>2861</v>
      </c>
    </row>
    <row r="1601" spans="1:11" hidden="1">
      <c r="A1601" t="str">
        <f t="shared" si="48"/>
        <v>V</v>
      </c>
      <c r="B1601" t="str">
        <f t="shared" si="49"/>
        <v>V8</v>
      </c>
      <c r="C1601" s="568" t="s">
        <v>3034</v>
      </c>
      <c r="D1601" s="568" t="s">
        <v>3035</v>
      </c>
      <c r="E1601" s="569">
        <v>11</v>
      </c>
      <c r="F1601" t="s">
        <v>1603</v>
      </c>
      <c r="G1601" t="s">
        <v>239</v>
      </c>
      <c r="H1601">
        <v>6</v>
      </c>
      <c r="I1601" t="s">
        <v>2859</v>
      </c>
      <c r="J1601" t="s">
        <v>2860</v>
      </c>
      <c r="K1601" t="s">
        <v>2861</v>
      </c>
    </row>
    <row r="1602" spans="1:11" hidden="1">
      <c r="A1602" t="str">
        <f t="shared" si="48"/>
        <v>V</v>
      </c>
      <c r="B1602" t="str">
        <f t="shared" si="49"/>
        <v>V8</v>
      </c>
      <c r="C1602" s="568" t="s">
        <v>3036</v>
      </c>
      <c r="D1602" s="568" t="s">
        <v>3037</v>
      </c>
      <c r="E1602" s="569">
        <v>11</v>
      </c>
      <c r="F1602" t="s">
        <v>1603</v>
      </c>
      <c r="G1602" t="s">
        <v>239</v>
      </c>
      <c r="H1602">
        <v>6</v>
      </c>
      <c r="I1602" t="s">
        <v>2859</v>
      </c>
      <c r="J1602" t="s">
        <v>2860</v>
      </c>
      <c r="K1602" t="s">
        <v>2861</v>
      </c>
    </row>
    <row r="1603" spans="1:11" hidden="1">
      <c r="A1603" t="str">
        <f t="shared" ref="A1603:A1641" si="50">LEFT(C1603)</f>
        <v>V</v>
      </c>
      <c r="B1603" t="str">
        <f t="shared" si="49"/>
        <v>V8</v>
      </c>
      <c r="C1603" s="568" t="s">
        <v>3038</v>
      </c>
      <c r="D1603" s="568" t="s">
        <v>3037</v>
      </c>
      <c r="E1603" s="569">
        <v>11</v>
      </c>
      <c r="F1603" t="s">
        <v>1603</v>
      </c>
      <c r="G1603" t="s">
        <v>239</v>
      </c>
      <c r="H1603">
        <v>6</v>
      </c>
      <c r="I1603" t="s">
        <v>2859</v>
      </c>
      <c r="J1603" t="s">
        <v>2860</v>
      </c>
      <c r="K1603" t="s">
        <v>2861</v>
      </c>
    </row>
    <row r="1604" spans="1:11" hidden="1">
      <c r="A1604" t="str">
        <f t="shared" si="50"/>
        <v>V</v>
      </c>
      <c r="B1604" t="str">
        <f t="shared" ref="B1604:B1641" si="51">LEFT(C1604,2)</f>
        <v>V8</v>
      </c>
      <c r="C1604" s="568" t="s">
        <v>3039</v>
      </c>
      <c r="D1604" s="568" t="s">
        <v>3037</v>
      </c>
      <c r="E1604" s="569">
        <v>11</v>
      </c>
      <c r="F1604" t="s">
        <v>1603</v>
      </c>
      <c r="G1604" t="s">
        <v>239</v>
      </c>
      <c r="H1604">
        <v>6</v>
      </c>
      <c r="I1604" t="s">
        <v>2859</v>
      </c>
      <c r="J1604" t="s">
        <v>2860</v>
      </c>
      <c r="K1604" t="s">
        <v>2861</v>
      </c>
    </row>
    <row r="1605" spans="1:11" hidden="1">
      <c r="A1605" t="str">
        <f t="shared" si="50"/>
        <v>V</v>
      </c>
      <c r="B1605" t="str">
        <f t="shared" si="51"/>
        <v>V8</v>
      </c>
      <c r="C1605" s="568" t="s">
        <v>3040</v>
      </c>
      <c r="D1605" s="568" t="s">
        <v>3037</v>
      </c>
      <c r="E1605" s="569">
        <v>11</v>
      </c>
      <c r="F1605" t="s">
        <v>1603</v>
      </c>
      <c r="G1605" t="s">
        <v>239</v>
      </c>
      <c r="H1605">
        <v>6</v>
      </c>
      <c r="I1605" t="s">
        <v>2859</v>
      </c>
      <c r="J1605" t="s">
        <v>2860</v>
      </c>
      <c r="K1605" t="s">
        <v>2861</v>
      </c>
    </row>
    <row r="1606" spans="1:11" hidden="1">
      <c r="A1606" t="str">
        <f t="shared" si="50"/>
        <v>V</v>
      </c>
      <c r="B1606" t="str">
        <f t="shared" si="51"/>
        <v>V8</v>
      </c>
      <c r="C1606" s="568" t="s">
        <v>3041</v>
      </c>
      <c r="D1606" s="568" t="s">
        <v>3037</v>
      </c>
      <c r="E1606" s="569">
        <v>11</v>
      </c>
      <c r="F1606" t="s">
        <v>1603</v>
      </c>
      <c r="G1606" t="s">
        <v>239</v>
      </c>
      <c r="H1606">
        <v>6</v>
      </c>
      <c r="I1606" t="s">
        <v>2859</v>
      </c>
      <c r="J1606" t="s">
        <v>2860</v>
      </c>
      <c r="K1606" t="s">
        <v>2861</v>
      </c>
    </row>
    <row r="1607" spans="1:11" hidden="1">
      <c r="A1607" t="str">
        <f t="shared" si="50"/>
        <v>V</v>
      </c>
      <c r="B1607" t="str">
        <f t="shared" si="51"/>
        <v>V8</v>
      </c>
      <c r="C1607" s="568" t="s">
        <v>3042</v>
      </c>
      <c r="D1607" s="568" t="s">
        <v>3037</v>
      </c>
      <c r="E1607" s="569">
        <v>11</v>
      </c>
      <c r="F1607" t="s">
        <v>1603</v>
      </c>
      <c r="G1607" t="s">
        <v>239</v>
      </c>
      <c r="H1607">
        <v>6</v>
      </c>
      <c r="I1607" t="s">
        <v>2859</v>
      </c>
      <c r="J1607" t="s">
        <v>2860</v>
      </c>
      <c r="K1607" t="s">
        <v>2861</v>
      </c>
    </row>
    <row r="1608" spans="1:11" hidden="1">
      <c r="A1608" t="str">
        <f t="shared" si="50"/>
        <v>V</v>
      </c>
      <c r="B1608" t="str">
        <f t="shared" si="51"/>
        <v>V8</v>
      </c>
      <c r="C1608" s="568" t="s">
        <v>3043</v>
      </c>
      <c r="D1608" s="568" t="s">
        <v>3037</v>
      </c>
      <c r="E1608" s="569">
        <v>11</v>
      </c>
      <c r="F1608" t="s">
        <v>1603</v>
      </c>
      <c r="G1608" t="s">
        <v>239</v>
      </c>
      <c r="H1608">
        <v>6</v>
      </c>
      <c r="I1608" t="s">
        <v>2859</v>
      </c>
      <c r="J1608" t="s">
        <v>2860</v>
      </c>
      <c r="K1608" t="s">
        <v>2861</v>
      </c>
    </row>
    <row r="1609" spans="1:11" hidden="1">
      <c r="A1609" t="str">
        <f t="shared" si="50"/>
        <v>V</v>
      </c>
      <c r="B1609" t="str">
        <f t="shared" si="51"/>
        <v>V8</v>
      </c>
      <c r="C1609" s="568" t="s">
        <v>3044</v>
      </c>
      <c r="D1609" s="568" t="s">
        <v>3037</v>
      </c>
      <c r="E1609" s="569">
        <v>11</v>
      </c>
      <c r="F1609" t="s">
        <v>1603</v>
      </c>
      <c r="G1609" t="s">
        <v>239</v>
      </c>
      <c r="H1609">
        <v>6</v>
      </c>
      <c r="I1609" t="s">
        <v>2859</v>
      </c>
      <c r="J1609" t="s">
        <v>2860</v>
      </c>
      <c r="K1609" t="s">
        <v>2861</v>
      </c>
    </row>
    <row r="1610" spans="1:11" hidden="1">
      <c r="A1610" t="str">
        <f t="shared" si="50"/>
        <v>V</v>
      </c>
      <c r="B1610" t="str">
        <f t="shared" si="51"/>
        <v>V8</v>
      </c>
      <c r="C1610" s="568" t="s">
        <v>3045</v>
      </c>
      <c r="D1610" s="568" t="s">
        <v>3037</v>
      </c>
      <c r="E1610" s="569">
        <v>11</v>
      </c>
      <c r="F1610" t="s">
        <v>1603</v>
      </c>
      <c r="G1610" t="s">
        <v>239</v>
      </c>
      <c r="H1610">
        <v>6</v>
      </c>
      <c r="I1610" t="s">
        <v>2859</v>
      </c>
      <c r="J1610" t="s">
        <v>2860</v>
      </c>
      <c r="K1610" t="s">
        <v>2861</v>
      </c>
    </row>
    <row r="1611" spans="1:11" hidden="1">
      <c r="A1611" t="str">
        <f t="shared" si="50"/>
        <v>V</v>
      </c>
      <c r="B1611" t="str">
        <f t="shared" si="51"/>
        <v>V8</v>
      </c>
      <c r="C1611" s="568" t="s">
        <v>3046</v>
      </c>
      <c r="D1611" s="568" t="s">
        <v>3037</v>
      </c>
      <c r="E1611" s="569">
        <v>11</v>
      </c>
      <c r="F1611" t="s">
        <v>1603</v>
      </c>
      <c r="G1611" t="s">
        <v>239</v>
      </c>
      <c r="H1611">
        <v>6</v>
      </c>
      <c r="I1611" t="s">
        <v>2859</v>
      </c>
      <c r="J1611" t="s">
        <v>2860</v>
      </c>
      <c r="K1611" t="s">
        <v>2861</v>
      </c>
    </row>
    <row r="1612" spans="1:11" hidden="1">
      <c r="A1612" t="str">
        <f t="shared" si="50"/>
        <v>V</v>
      </c>
      <c r="B1612" t="str">
        <f t="shared" si="51"/>
        <v>V9</v>
      </c>
      <c r="C1612" s="568" t="s">
        <v>3047</v>
      </c>
      <c r="D1612" s="568" t="s">
        <v>3037</v>
      </c>
      <c r="E1612" s="569">
        <v>11</v>
      </c>
      <c r="F1612" t="s">
        <v>1603</v>
      </c>
      <c r="G1612" t="s">
        <v>239</v>
      </c>
      <c r="H1612">
        <v>6</v>
      </c>
      <c r="I1612" t="s">
        <v>2859</v>
      </c>
      <c r="J1612" t="s">
        <v>2860</v>
      </c>
      <c r="K1612" t="s">
        <v>2861</v>
      </c>
    </row>
    <row r="1613" spans="1:11" hidden="1">
      <c r="A1613" t="str">
        <f t="shared" si="50"/>
        <v>V</v>
      </c>
      <c r="B1613" t="str">
        <f t="shared" si="51"/>
        <v>V9</v>
      </c>
      <c r="C1613" s="568" t="s">
        <v>3048</v>
      </c>
      <c r="D1613" s="568" t="s">
        <v>3037</v>
      </c>
      <c r="E1613" s="569">
        <v>11</v>
      </c>
      <c r="F1613" t="s">
        <v>1603</v>
      </c>
      <c r="G1613" t="s">
        <v>239</v>
      </c>
      <c r="H1613">
        <v>6</v>
      </c>
      <c r="I1613" t="s">
        <v>2859</v>
      </c>
      <c r="J1613" t="s">
        <v>2860</v>
      </c>
      <c r="K1613" t="s">
        <v>2861</v>
      </c>
    </row>
    <row r="1614" spans="1:11" hidden="1">
      <c r="A1614" t="str">
        <f t="shared" si="50"/>
        <v>V</v>
      </c>
      <c r="B1614" t="str">
        <f t="shared" si="51"/>
        <v>V9</v>
      </c>
      <c r="C1614" s="568" t="s">
        <v>3049</v>
      </c>
      <c r="D1614" s="568" t="s">
        <v>3037</v>
      </c>
      <c r="E1614" s="569">
        <v>11</v>
      </c>
      <c r="F1614" t="s">
        <v>1603</v>
      </c>
      <c r="G1614" t="s">
        <v>239</v>
      </c>
      <c r="H1614">
        <v>6</v>
      </c>
      <c r="I1614" t="s">
        <v>2859</v>
      </c>
      <c r="J1614" t="s">
        <v>2860</v>
      </c>
      <c r="K1614" t="s">
        <v>2861</v>
      </c>
    </row>
    <row r="1615" spans="1:11" hidden="1">
      <c r="A1615" t="str">
        <f t="shared" si="50"/>
        <v>V</v>
      </c>
      <c r="B1615" t="str">
        <f t="shared" si="51"/>
        <v>V9</v>
      </c>
      <c r="C1615" s="568" t="s">
        <v>3050</v>
      </c>
      <c r="D1615" s="568" t="s">
        <v>2878</v>
      </c>
      <c r="E1615" s="569">
        <v>11</v>
      </c>
      <c r="F1615" t="s">
        <v>1603</v>
      </c>
      <c r="G1615" t="s">
        <v>239</v>
      </c>
      <c r="H1615">
        <v>6</v>
      </c>
      <c r="I1615" t="s">
        <v>2859</v>
      </c>
      <c r="J1615" t="s">
        <v>2860</v>
      </c>
      <c r="K1615" t="s">
        <v>2861</v>
      </c>
    </row>
    <row r="1616" spans="1:11" hidden="1">
      <c r="A1616" t="str">
        <f t="shared" si="50"/>
        <v>V</v>
      </c>
      <c r="B1616" t="str">
        <f t="shared" si="51"/>
        <v>V9</v>
      </c>
      <c r="C1616" s="568" t="s">
        <v>3051</v>
      </c>
      <c r="D1616" s="568" t="s">
        <v>2876</v>
      </c>
      <c r="E1616" s="569">
        <v>11</v>
      </c>
      <c r="F1616" t="s">
        <v>1603</v>
      </c>
      <c r="G1616" t="s">
        <v>239</v>
      </c>
      <c r="H1616">
        <v>6</v>
      </c>
      <c r="I1616" t="s">
        <v>2859</v>
      </c>
      <c r="J1616" t="s">
        <v>2860</v>
      </c>
      <c r="K1616" t="s">
        <v>2861</v>
      </c>
    </row>
    <row r="1617" spans="1:11" hidden="1">
      <c r="A1617" t="str">
        <f t="shared" si="50"/>
        <v>V</v>
      </c>
      <c r="B1617" t="str">
        <f t="shared" si="51"/>
        <v>V9</v>
      </c>
      <c r="C1617" s="568" t="s">
        <v>3052</v>
      </c>
      <c r="D1617" s="568" t="s">
        <v>2955</v>
      </c>
      <c r="E1617" s="569">
        <v>11</v>
      </c>
      <c r="F1617" t="s">
        <v>1603</v>
      </c>
      <c r="G1617" t="s">
        <v>239</v>
      </c>
      <c r="H1617">
        <v>6</v>
      </c>
      <c r="I1617" t="s">
        <v>2859</v>
      </c>
      <c r="J1617" t="s">
        <v>2860</v>
      </c>
      <c r="K1617" t="s">
        <v>2861</v>
      </c>
    </row>
    <row r="1618" spans="1:11" hidden="1">
      <c r="A1618" t="str">
        <f t="shared" si="50"/>
        <v>V</v>
      </c>
      <c r="B1618" t="str">
        <f t="shared" si="51"/>
        <v>V9</v>
      </c>
      <c r="C1618" s="568" t="s">
        <v>3053</v>
      </c>
      <c r="D1618" s="568" t="s">
        <v>2878</v>
      </c>
      <c r="E1618" s="569">
        <v>11</v>
      </c>
      <c r="F1618" t="s">
        <v>1603</v>
      </c>
      <c r="G1618" t="s">
        <v>239</v>
      </c>
      <c r="H1618">
        <v>6</v>
      </c>
      <c r="I1618" t="s">
        <v>2859</v>
      </c>
      <c r="J1618" t="s">
        <v>2860</v>
      </c>
      <c r="K1618" t="s">
        <v>2861</v>
      </c>
    </row>
    <row r="1619" spans="1:11" hidden="1">
      <c r="A1619" t="str">
        <f t="shared" si="50"/>
        <v>V</v>
      </c>
      <c r="B1619" t="str">
        <f t="shared" si="51"/>
        <v>V9</v>
      </c>
      <c r="C1619" s="568" t="s">
        <v>3054</v>
      </c>
      <c r="D1619" s="568" t="s">
        <v>2876</v>
      </c>
      <c r="E1619" s="569">
        <v>11</v>
      </c>
      <c r="F1619" t="s">
        <v>1618</v>
      </c>
      <c r="G1619" t="s">
        <v>239</v>
      </c>
      <c r="H1619">
        <v>6</v>
      </c>
      <c r="I1619" t="s">
        <v>2859</v>
      </c>
      <c r="J1619" t="s">
        <v>2860</v>
      </c>
      <c r="K1619" t="s">
        <v>2861</v>
      </c>
    </row>
    <row r="1620" spans="1:11" hidden="1">
      <c r="A1620" t="str">
        <f t="shared" si="50"/>
        <v>V</v>
      </c>
      <c r="B1620" t="str">
        <f t="shared" si="51"/>
        <v>V9</v>
      </c>
      <c r="C1620" s="568" t="s">
        <v>3055</v>
      </c>
      <c r="D1620" s="568" t="s">
        <v>2878</v>
      </c>
      <c r="E1620" s="569">
        <v>11</v>
      </c>
      <c r="F1620" t="s">
        <v>1603</v>
      </c>
      <c r="G1620" t="s">
        <v>239</v>
      </c>
      <c r="H1620">
        <v>6</v>
      </c>
      <c r="I1620" t="s">
        <v>2859</v>
      </c>
      <c r="J1620" t="s">
        <v>2860</v>
      </c>
      <c r="K1620" t="s">
        <v>2861</v>
      </c>
    </row>
    <row r="1621" spans="1:11" hidden="1">
      <c r="A1621" t="str">
        <f t="shared" si="50"/>
        <v>V</v>
      </c>
      <c r="B1621" t="str">
        <f t="shared" si="51"/>
        <v>V9</v>
      </c>
      <c r="C1621" s="568" t="s">
        <v>3056</v>
      </c>
      <c r="D1621" s="568" t="s">
        <v>2876</v>
      </c>
      <c r="E1621" s="569">
        <v>11</v>
      </c>
      <c r="F1621" t="s">
        <v>1603</v>
      </c>
      <c r="G1621" t="s">
        <v>239</v>
      </c>
      <c r="H1621">
        <v>6</v>
      </c>
      <c r="I1621" t="s">
        <v>2859</v>
      </c>
      <c r="J1621" t="s">
        <v>2860</v>
      </c>
      <c r="K1621" t="s">
        <v>2861</v>
      </c>
    </row>
    <row r="1622" spans="1:11" hidden="1">
      <c r="A1622" t="str">
        <f t="shared" si="50"/>
        <v>V</v>
      </c>
      <c r="B1622" t="str">
        <f t="shared" si="51"/>
        <v>V9</v>
      </c>
      <c r="C1622" s="568" t="s">
        <v>3057</v>
      </c>
      <c r="D1622" s="568" t="s">
        <v>2876</v>
      </c>
      <c r="E1622" s="569">
        <v>11</v>
      </c>
      <c r="F1622" t="s">
        <v>1603</v>
      </c>
      <c r="G1622" t="s">
        <v>239</v>
      </c>
      <c r="H1622">
        <v>6</v>
      </c>
      <c r="I1622" t="s">
        <v>2859</v>
      </c>
      <c r="J1622" t="s">
        <v>2860</v>
      </c>
      <c r="K1622" t="s">
        <v>2861</v>
      </c>
    </row>
    <row r="1623" spans="1:11" hidden="1">
      <c r="A1623" t="str">
        <f t="shared" si="50"/>
        <v>V</v>
      </c>
      <c r="B1623" t="str">
        <f t="shared" si="51"/>
        <v>V9</v>
      </c>
      <c r="C1623" s="568" t="s">
        <v>3058</v>
      </c>
      <c r="D1623" s="568" t="s">
        <v>2876</v>
      </c>
      <c r="E1623" s="569">
        <v>11</v>
      </c>
      <c r="F1623" t="s">
        <v>1629</v>
      </c>
      <c r="G1623" t="s">
        <v>239</v>
      </c>
      <c r="H1623">
        <v>6</v>
      </c>
      <c r="I1623" t="s">
        <v>2859</v>
      </c>
      <c r="J1623" t="s">
        <v>2860</v>
      </c>
      <c r="K1623" t="s">
        <v>2861</v>
      </c>
    </row>
    <row r="1624" spans="1:11" hidden="1">
      <c r="A1624" t="str">
        <f t="shared" si="50"/>
        <v>V</v>
      </c>
      <c r="B1624" t="str">
        <f t="shared" si="51"/>
        <v>V9</v>
      </c>
      <c r="C1624" s="568" t="s">
        <v>3059</v>
      </c>
      <c r="D1624" s="568" t="s">
        <v>2874</v>
      </c>
      <c r="E1624" s="569">
        <v>11</v>
      </c>
      <c r="F1624" t="s">
        <v>1618</v>
      </c>
      <c r="G1624" t="s">
        <v>239</v>
      </c>
      <c r="H1624">
        <v>6</v>
      </c>
      <c r="I1624" t="s">
        <v>2859</v>
      </c>
      <c r="J1624" t="s">
        <v>2860</v>
      </c>
      <c r="K1624" t="s">
        <v>2861</v>
      </c>
    </row>
    <row r="1625" spans="1:11" hidden="1">
      <c r="A1625" t="str">
        <f t="shared" si="50"/>
        <v>V</v>
      </c>
      <c r="B1625" t="str">
        <f t="shared" si="51"/>
        <v>V9</v>
      </c>
      <c r="C1625" s="568" t="s">
        <v>3060</v>
      </c>
      <c r="D1625" s="568" t="s">
        <v>2874</v>
      </c>
      <c r="E1625" s="569">
        <v>11</v>
      </c>
      <c r="F1625" t="s">
        <v>1618</v>
      </c>
      <c r="G1625" t="s">
        <v>239</v>
      </c>
      <c r="H1625">
        <v>6</v>
      </c>
      <c r="I1625" t="s">
        <v>2859</v>
      </c>
      <c r="J1625" t="s">
        <v>2860</v>
      </c>
      <c r="K1625" t="s">
        <v>2861</v>
      </c>
    </row>
    <row r="1626" spans="1:11" hidden="1">
      <c r="A1626" t="str">
        <f t="shared" si="50"/>
        <v>V</v>
      </c>
      <c r="B1626" t="str">
        <f t="shared" si="51"/>
        <v>V9</v>
      </c>
      <c r="C1626" s="568" t="s">
        <v>3061</v>
      </c>
      <c r="D1626" s="568" t="s">
        <v>2874</v>
      </c>
      <c r="E1626" s="569">
        <v>11</v>
      </c>
      <c r="F1626" t="s">
        <v>1618</v>
      </c>
      <c r="G1626" t="s">
        <v>239</v>
      </c>
      <c r="H1626">
        <v>6</v>
      </c>
      <c r="I1626" t="s">
        <v>2859</v>
      </c>
      <c r="J1626" t="s">
        <v>2860</v>
      </c>
      <c r="K1626" t="s">
        <v>2861</v>
      </c>
    </row>
    <row r="1627" spans="1:11" hidden="1">
      <c r="A1627" t="str">
        <f t="shared" si="50"/>
        <v>V</v>
      </c>
      <c r="B1627" t="str">
        <f t="shared" si="51"/>
        <v>V9</v>
      </c>
      <c r="C1627" s="568" t="s">
        <v>3062</v>
      </c>
      <c r="D1627" s="568" t="s">
        <v>2874</v>
      </c>
      <c r="E1627" s="569">
        <v>11</v>
      </c>
      <c r="F1627" t="s">
        <v>1618</v>
      </c>
      <c r="G1627" t="s">
        <v>239</v>
      </c>
      <c r="H1627">
        <v>6</v>
      </c>
      <c r="I1627" t="s">
        <v>2859</v>
      </c>
      <c r="J1627" t="s">
        <v>2860</v>
      </c>
      <c r="K1627" t="s">
        <v>2861</v>
      </c>
    </row>
    <row r="1628" spans="1:11" hidden="1">
      <c r="A1628" t="str">
        <f t="shared" si="50"/>
        <v>V</v>
      </c>
      <c r="B1628" t="str">
        <f t="shared" si="51"/>
        <v>V9</v>
      </c>
      <c r="C1628" s="568" t="s">
        <v>3063</v>
      </c>
      <c r="D1628" s="568" t="s">
        <v>2876</v>
      </c>
      <c r="E1628" s="569">
        <v>11</v>
      </c>
      <c r="F1628" t="s">
        <v>1618</v>
      </c>
      <c r="G1628" t="s">
        <v>239</v>
      </c>
      <c r="H1628">
        <v>6</v>
      </c>
      <c r="I1628" t="s">
        <v>2859</v>
      </c>
      <c r="J1628" t="s">
        <v>2860</v>
      </c>
      <c r="K1628" t="s">
        <v>2861</v>
      </c>
    </row>
    <row r="1629" spans="1:11" hidden="1">
      <c r="A1629" t="str">
        <f t="shared" si="50"/>
        <v>V</v>
      </c>
      <c r="B1629" t="str">
        <f t="shared" si="51"/>
        <v>V9</v>
      </c>
      <c r="C1629" s="568" t="s">
        <v>3064</v>
      </c>
      <c r="D1629" s="568" t="s">
        <v>2874</v>
      </c>
      <c r="E1629" s="569">
        <v>11</v>
      </c>
      <c r="F1629" t="s">
        <v>1618</v>
      </c>
      <c r="G1629" t="s">
        <v>239</v>
      </c>
      <c r="H1629">
        <v>6</v>
      </c>
      <c r="I1629" t="s">
        <v>2859</v>
      </c>
      <c r="J1629" t="s">
        <v>2860</v>
      </c>
      <c r="K1629" t="s">
        <v>2861</v>
      </c>
    </row>
    <row r="1630" spans="1:11" hidden="1">
      <c r="A1630" t="str">
        <f t="shared" si="50"/>
        <v>V</v>
      </c>
      <c r="B1630" t="str">
        <f t="shared" si="51"/>
        <v>V9</v>
      </c>
      <c r="C1630" s="568" t="s">
        <v>3065</v>
      </c>
      <c r="D1630" s="568" t="s">
        <v>2874</v>
      </c>
      <c r="E1630" s="569">
        <v>11</v>
      </c>
      <c r="F1630" t="s">
        <v>1618</v>
      </c>
      <c r="G1630" t="s">
        <v>239</v>
      </c>
      <c r="H1630">
        <v>6</v>
      </c>
      <c r="I1630" t="s">
        <v>2859</v>
      </c>
      <c r="J1630" t="s">
        <v>2860</v>
      </c>
      <c r="K1630" t="s">
        <v>2861</v>
      </c>
    </row>
    <row r="1631" spans="1:11" hidden="1">
      <c r="A1631" t="str">
        <f t="shared" si="50"/>
        <v>V</v>
      </c>
      <c r="B1631" t="str">
        <f t="shared" si="51"/>
        <v>V9</v>
      </c>
      <c r="C1631" s="575" t="s">
        <v>3066</v>
      </c>
      <c r="D1631" s="575" t="s">
        <v>2876</v>
      </c>
      <c r="E1631" s="576">
        <v>11</v>
      </c>
      <c r="F1631" t="s">
        <v>1603</v>
      </c>
      <c r="G1631" t="s">
        <v>239</v>
      </c>
      <c r="H1631">
        <v>6</v>
      </c>
      <c r="I1631" t="s">
        <v>2859</v>
      </c>
      <c r="J1631" t="s">
        <v>2860</v>
      </c>
      <c r="K1631" t="s">
        <v>2861</v>
      </c>
    </row>
    <row r="1632" spans="1:11" hidden="1">
      <c r="A1632" t="str">
        <f t="shared" si="50"/>
        <v>X</v>
      </c>
      <c r="B1632" t="str">
        <f t="shared" si="51"/>
        <v>X0</v>
      </c>
      <c r="C1632" s="575" t="s">
        <v>3067</v>
      </c>
      <c r="D1632" s="575" t="s">
        <v>2585</v>
      </c>
      <c r="E1632" s="576">
        <v>20</v>
      </c>
      <c r="F1632" t="s">
        <v>1374</v>
      </c>
      <c r="G1632" t="s">
        <v>2582</v>
      </c>
      <c r="H1632">
        <v>4</v>
      </c>
      <c r="I1632" t="s">
        <v>2583</v>
      </c>
      <c r="J1632" t="s">
        <v>1349</v>
      </c>
      <c r="K1632" t="s">
        <v>1350</v>
      </c>
    </row>
    <row r="1633" spans="1:11" hidden="1">
      <c r="A1633" t="str">
        <f t="shared" si="50"/>
        <v>X</v>
      </c>
      <c r="B1633" t="str">
        <f t="shared" si="51"/>
        <v>X0</v>
      </c>
      <c r="C1633" s="575" t="s">
        <v>3068</v>
      </c>
      <c r="D1633" s="575" t="s">
        <v>2585</v>
      </c>
      <c r="E1633" s="576">
        <v>20</v>
      </c>
      <c r="F1633" t="s">
        <v>1374</v>
      </c>
      <c r="G1633" t="s">
        <v>2582</v>
      </c>
      <c r="H1633">
        <v>4</v>
      </c>
      <c r="I1633" t="s">
        <v>2583</v>
      </c>
      <c r="J1633" t="s">
        <v>1349</v>
      </c>
      <c r="K1633" t="s">
        <v>1350</v>
      </c>
    </row>
    <row r="1634" spans="1:11" hidden="1">
      <c r="A1634" t="str">
        <f t="shared" si="50"/>
        <v>X</v>
      </c>
      <c r="B1634" t="str">
        <f t="shared" si="51"/>
        <v>X0</v>
      </c>
      <c r="C1634" s="575" t="s">
        <v>3069</v>
      </c>
      <c r="D1634" s="575" t="s">
        <v>2585</v>
      </c>
      <c r="E1634" s="576">
        <v>20</v>
      </c>
      <c r="F1634" t="s">
        <v>1374</v>
      </c>
      <c r="G1634" t="s">
        <v>2582</v>
      </c>
      <c r="H1634">
        <v>4</v>
      </c>
      <c r="I1634" t="s">
        <v>2583</v>
      </c>
      <c r="J1634" t="s">
        <v>1349</v>
      </c>
      <c r="K1634" t="s">
        <v>1350</v>
      </c>
    </row>
    <row r="1635" spans="1:11" hidden="1">
      <c r="A1635" t="str">
        <f t="shared" si="50"/>
        <v>X</v>
      </c>
      <c r="B1635" t="str">
        <f t="shared" si="51"/>
        <v>X0</v>
      </c>
      <c r="C1635" s="568" t="s">
        <v>3070</v>
      </c>
      <c r="D1635" s="568" t="s">
        <v>2585</v>
      </c>
      <c r="E1635" s="569">
        <v>20</v>
      </c>
      <c r="F1635" t="s">
        <v>1374</v>
      </c>
      <c r="G1635" t="s">
        <v>2582</v>
      </c>
      <c r="H1635">
        <v>4</v>
      </c>
      <c r="I1635" t="s">
        <v>2583</v>
      </c>
      <c r="J1635" t="s">
        <v>1349</v>
      </c>
      <c r="K1635" t="s">
        <v>1350</v>
      </c>
    </row>
    <row r="1636" spans="1:11" hidden="1">
      <c r="A1636" t="str">
        <f t="shared" si="50"/>
        <v>X</v>
      </c>
      <c r="B1636" t="str">
        <f t="shared" si="51"/>
        <v>X0</v>
      </c>
      <c r="C1636" s="568" t="s">
        <v>3071</v>
      </c>
      <c r="D1636" s="568" t="s">
        <v>2585</v>
      </c>
      <c r="E1636" s="569">
        <v>20</v>
      </c>
      <c r="F1636" t="s">
        <v>1374</v>
      </c>
      <c r="G1636" t="s">
        <v>2582</v>
      </c>
      <c r="H1636">
        <v>4</v>
      </c>
      <c r="I1636" t="s">
        <v>2583</v>
      </c>
      <c r="J1636" t="s">
        <v>1349</v>
      </c>
      <c r="K1636" t="s">
        <v>1350</v>
      </c>
    </row>
    <row r="1637" spans="1:11" hidden="1">
      <c r="A1637" t="str">
        <f t="shared" si="50"/>
        <v>X</v>
      </c>
      <c r="B1637" t="str">
        <f t="shared" si="51"/>
        <v>X0</v>
      </c>
      <c r="C1637" s="575" t="s">
        <v>3072</v>
      </c>
      <c r="D1637" s="575" t="s">
        <v>2585</v>
      </c>
      <c r="E1637" s="576">
        <v>20</v>
      </c>
      <c r="F1637" t="s">
        <v>1374</v>
      </c>
      <c r="G1637" t="s">
        <v>2582</v>
      </c>
      <c r="H1637">
        <v>4</v>
      </c>
      <c r="I1637" t="s">
        <v>2583</v>
      </c>
      <c r="J1637" t="s">
        <v>1349</v>
      </c>
      <c r="K1637" t="s">
        <v>1350</v>
      </c>
    </row>
    <row r="1638" spans="1:11" hidden="1">
      <c r="A1638" t="str">
        <f t="shared" si="50"/>
        <v>X</v>
      </c>
      <c r="B1638" t="str">
        <f t="shared" si="51"/>
        <v>X1</v>
      </c>
      <c r="C1638" s="568" t="s">
        <v>3073</v>
      </c>
      <c r="D1638" s="568" t="s">
        <v>2667</v>
      </c>
      <c r="E1638" s="569">
        <v>20</v>
      </c>
      <c r="F1638" t="s">
        <v>1374</v>
      </c>
      <c r="G1638" t="s">
        <v>2582</v>
      </c>
      <c r="H1638">
        <v>4</v>
      </c>
      <c r="I1638" t="s">
        <v>2583</v>
      </c>
      <c r="J1638" t="s">
        <v>1349</v>
      </c>
      <c r="K1638" t="s">
        <v>1350</v>
      </c>
    </row>
    <row r="1639" spans="1:11" hidden="1">
      <c r="A1639" t="str">
        <f t="shared" si="50"/>
        <v>Y</v>
      </c>
      <c r="B1639" t="str">
        <f t="shared" si="51"/>
        <v>Y0</v>
      </c>
      <c r="C1639" s="568" t="s">
        <v>3074</v>
      </c>
      <c r="D1639" s="568" t="s">
        <v>2667</v>
      </c>
      <c r="E1639" s="569">
        <v>19</v>
      </c>
      <c r="F1639" t="s">
        <v>1374</v>
      </c>
      <c r="G1639" t="s">
        <v>2582</v>
      </c>
      <c r="H1639">
        <v>5</v>
      </c>
      <c r="I1639" t="s">
        <v>2583</v>
      </c>
      <c r="J1639" t="s">
        <v>1349</v>
      </c>
      <c r="K1639" t="s">
        <v>1350</v>
      </c>
    </row>
    <row r="1640" spans="1:11" hidden="1">
      <c r="A1640" t="str">
        <f t="shared" si="50"/>
        <v>Y</v>
      </c>
      <c r="B1640" t="str">
        <f t="shared" si="51"/>
        <v>Y0</v>
      </c>
      <c r="C1640" s="568" t="s">
        <v>3075</v>
      </c>
      <c r="D1640" s="568" t="s">
        <v>2667</v>
      </c>
      <c r="E1640" s="569">
        <v>19</v>
      </c>
      <c r="F1640" t="s">
        <v>1374</v>
      </c>
      <c r="G1640" t="s">
        <v>2582</v>
      </c>
      <c r="H1640">
        <v>5</v>
      </c>
      <c r="I1640" t="s">
        <v>2583</v>
      </c>
      <c r="J1640" t="s">
        <v>1349</v>
      </c>
      <c r="K1640" t="s">
        <v>1350</v>
      </c>
    </row>
    <row r="1641" spans="1:11" hidden="1">
      <c r="A1641" t="str">
        <f t="shared" si="50"/>
        <v>Y</v>
      </c>
      <c r="B1641" t="str">
        <f t="shared" si="51"/>
        <v>Y1</v>
      </c>
      <c r="C1641" s="568" t="s">
        <v>3076</v>
      </c>
      <c r="D1641" s="568" t="s">
        <v>2667</v>
      </c>
      <c r="E1641" s="569">
        <v>19</v>
      </c>
      <c r="F1641" t="s">
        <v>1374</v>
      </c>
      <c r="G1641" t="s">
        <v>2582</v>
      </c>
      <c r="H1641">
        <v>5</v>
      </c>
      <c r="I1641" t="s">
        <v>2583</v>
      </c>
      <c r="J1641" t="s">
        <v>1349</v>
      </c>
      <c r="K1641" t="s">
        <v>1350</v>
      </c>
    </row>
  </sheetData>
  <autoFilter ref="A2:P1641" xr:uid="{00000000-0009-0000-0000-000027000000}">
    <filterColumn colId="6">
      <filters>
        <filter val="ATL"/>
      </filters>
    </filterColumn>
  </autoFilter>
  <pageMargins left="0.7" right="0.7" top="0.75" bottom="0.75" header="0.3" footer="0.3"/>
  <pageSetup orientation="portrait" horizontalDpi="90" verticalDpi="9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92D050"/>
  </sheetPr>
  <dimension ref="B1:Q1647"/>
  <sheetViews>
    <sheetView showGridLines="0" workbookViewId="0">
      <selection activeCell="K5" sqref="K5"/>
    </sheetView>
  </sheetViews>
  <sheetFormatPr defaultColWidth="9.140625" defaultRowHeight="15"/>
  <cols>
    <col min="4" max="4" width="12.7109375" customWidth="1"/>
    <col min="5" max="5" width="17.42578125" style="569" customWidth="1"/>
    <col min="6" max="6" width="20.28515625" style="569" customWidth="1"/>
    <col min="10" max="10" width="17.42578125" customWidth="1"/>
    <col min="11" max="11" width="15.140625" customWidth="1"/>
    <col min="15" max="15" width="16.5703125" customWidth="1"/>
    <col min="17" max="17" width="9.140625" style="569"/>
  </cols>
  <sheetData>
    <row r="1" spans="2:17">
      <c r="B1" s="580" t="s">
        <v>3077</v>
      </c>
      <c r="E1" s="581" t="s">
        <v>3078</v>
      </c>
    </row>
    <row r="2" spans="2:17">
      <c r="E2" s="582" t="s">
        <v>3079</v>
      </c>
      <c r="F2" s="583"/>
      <c r="P2" t="s">
        <v>1335</v>
      </c>
      <c r="Q2" s="569">
        <v>2003</v>
      </c>
    </row>
    <row r="3" spans="2:17">
      <c r="E3" s="582"/>
      <c r="F3" s="584"/>
      <c r="P3" t="s">
        <v>2978</v>
      </c>
      <c r="Q3" s="569">
        <v>1</v>
      </c>
    </row>
    <row r="4" spans="2:17">
      <c r="E4" s="582" t="s">
        <v>3080</v>
      </c>
      <c r="F4" s="585" t="e">
        <f>VLOOKUP($K$14,$D$11:$E$30,2,FALSE)</f>
        <v>#N/A</v>
      </c>
      <c r="P4" t="s">
        <v>2980</v>
      </c>
      <c r="Q4" s="569">
        <v>1</v>
      </c>
    </row>
    <row r="5" spans="2:17">
      <c r="E5" s="582" t="s">
        <v>3081</v>
      </c>
      <c r="F5" s="585" t="e">
        <f>VLOOKUP($K$14,$D$11:$F$30,3,FALSE)</f>
        <v>#N/A</v>
      </c>
      <c r="J5" s="586" t="s">
        <v>3082</v>
      </c>
      <c r="K5" s="587" t="str">
        <f>PostalCode</f>
        <v>0</v>
      </c>
      <c r="L5" s="588"/>
      <c r="M5" s="588"/>
      <c r="P5" t="s">
        <v>2984</v>
      </c>
      <c r="Q5" s="569">
        <v>1</v>
      </c>
    </row>
    <row r="6" spans="2:17">
      <c r="E6" s="582" t="s">
        <v>1321</v>
      </c>
      <c r="F6" s="589">
        <v>1</v>
      </c>
      <c r="J6" s="586"/>
      <c r="K6" s="590"/>
      <c r="L6" s="588"/>
      <c r="M6" s="588"/>
      <c r="P6" t="s">
        <v>2998</v>
      </c>
      <c r="Q6" s="569">
        <v>1</v>
      </c>
    </row>
    <row r="7" spans="2:17">
      <c r="J7" s="586"/>
      <c r="K7" s="590"/>
      <c r="L7" s="588"/>
      <c r="M7" s="588"/>
      <c r="P7" t="s">
        <v>3002</v>
      </c>
      <c r="Q7" s="569">
        <v>1</v>
      </c>
    </row>
    <row r="8" spans="2:17">
      <c r="J8" s="586" t="s">
        <v>1300</v>
      </c>
      <c r="K8" s="591">
        <f>Yrbuilt</f>
        <v>0</v>
      </c>
      <c r="L8" s="588"/>
      <c r="M8" s="588"/>
      <c r="P8" t="s">
        <v>3003</v>
      </c>
      <c r="Q8" s="569">
        <v>1</v>
      </c>
    </row>
    <row r="9" spans="2:17">
      <c r="J9" s="586" t="s">
        <v>1301</v>
      </c>
      <c r="K9" s="591" t="str">
        <f>'EQ rate no1'!D8</f>
        <v>Fire Resistive</v>
      </c>
      <c r="L9" s="592"/>
      <c r="M9" s="593"/>
      <c r="P9" t="s">
        <v>3004</v>
      </c>
      <c r="Q9" s="569">
        <v>1</v>
      </c>
    </row>
    <row r="10" spans="2:17">
      <c r="D10" t="s">
        <v>3083</v>
      </c>
      <c r="E10" s="582" t="s">
        <v>3080</v>
      </c>
      <c r="F10" s="582" t="s">
        <v>3081</v>
      </c>
      <c r="J10" s="586" t="s">
        <v>1302</v>
      </c>
      <c r="K10" s="591">
        <f>Nbofstoreys</f>
        <v>0</v>
      </c>
      <c r="L10" s="588"/>
      <c r="M10" s="588"/>
      <c r="P10" t="s">
        <v>3005</v>
      </c>
      <c r="Q10" s="569">
        <v>1</v>
      </c>
    </row>
    <row r="11" spans="2:17">
      <c r="D11">
        <v>1</v>
      </c>
      <c r="E11" s="594">
        <v>0.1</v>
      </c>
      <c r="F11" s="595">
        <v>100000</v>
      </c>
      <c r="J11" s="586" t="s">
        <v>3084</v>
      </c>
      <c r="K11" s="591">
        <f>Totalinsuredvalue</f>
        <v>0</v>
      </c>
      <c r="L11" s="588"/>
      <c r="M11" s="588"/>
      <c r="P11" t="s">
        <v>3006</v>
      </c>
      <c r="Q11" s="569">
        <v>1</v>
      </c>
    </row>
    <row r="12" spans="2:17">
      <c r="D12">
        <v>2</v>
      </c>
      <c r="E12" s="594">
        <v>0.1</v>
      </c>
      <c r="F12" s="595">
        <v>100000</v>
      </c>
      <c r="P12" t="s">
        <v>3007</v>
      </c>
      <c r="Q12" s="569">
        <v>1</v>
      </c>
    </row>
    <row r="13" spans="2:17">
      <c r="D13">
        <v>3</v>
      </c>
      <c r="E13" s="594">
        <v>0.1</v>
      </c>
      <c r="F13" s="595">
        <v>100000</v>
      </c>
      <c r="P13" t="s">
        <v>3008</v>
      </c>
      <c r="Q13" s="569">
        <v>1</v>
      </c>
    </row>
    <row r="14" spans="2:17">
      <c r="D14">
        <v>4</v>
      </c>
      <c r="E14" s="594">
        <v>0.1</v>
      </c>
      <c r="F14" s="595">
        <v>100000</v>
      </c>
      <c r="J14" s="586" t="s">
        <v>3083</v>
      </c>
      <c r="K14" s="591" t="e">
        <f>VLOOKUP($K$5,P:Q,2,FALSE)</f>
        <v>#N/A</v>
      </c>
      <c r="P14" t="s">
        <v>3009</v>
      </c>
      <c r="Q14" s="569">
        <v>1</v>
      </c>
    </row>
    <row r="15" spans="2:17">
      <c r="D15">
        <v>5</v>
      </c>
      <c r="E15" s="594">
        <v>0.05</v>
      </c>
      <c r="F15" s="595">
        <v>100000</v>
      </c>
      <c r="P15" t="s">
        <v>3010</v>
      </c>
      <c r="Q15" s="569">
        <v>1</v>
      </c>
    </row>
    <row r="16" spans="2:17">
      <c r="D16">
        <v>6</v>
      </c>
      <c r="E16" s="594">
        <v>0.05</v>
      </c>
      <c r="F16" s="595">
        <v>100000</v>
      </c>
      <c r="P16" t="s">
        <v>2974</v>
      </c>
      <c r="Q16" s="569">
        <v>2</v>
      </c>
    </row>
    <row r="17" spans="4:17">
      <c r="D17">
        <v>7</v>
      </c>
      <c r="E17" s="594">
        <v>0.05</v>
      </c>
      <c r="F17" s="595">
        <v>100000</v>
      </c>
      <c r="P17" t="s">
        <v>2975</v>
      </c>
      <c r="Q17" s="569">
        <v>2</v>
      </c>
    </row>
    <row r="18" spans="4:17">
      <c r="D18">
        <v>8</v>
      </c>
      <c r="E18" s="594">
        <v>0.05</v>
      </c>
      <c r="F18" s="595">
        <v>100000</v>
      </c>
      <c r="P18" t="s">
        <v>2976</v>
      </c>
      <c r="Q18" s="569">
        <v>2</v>
      </c>
    </row>
    <row r="19" spans="4:17">
      <c r="D19">
        <v>9</v>
      </c>
      <c r="E19" s="594">
        <v>0.05</v>
      </c>
      <c r="F19" s="595">
        <v>100000</v>
      </c>
      <c r="P19" t="s">
        <v>2977</v>
      </c>
      <c r="Q19" s="569">
        <v>2</v>
      </c>
    </row>
    <row r="20" spans="4:17">
      <c r="D20">
        <v>10</v>
      </c>
      <c r="E20" s="594">
        <v>0.05</v>
      </c>
      <c r="F20" s="595">
        <v>100000</v>
      </c>
      <c r="P20" t="s">
        <v>2979</v>
      </c>
      <c r="Q20" s="569">
        <v>2</v>
      </c>
    </row>
    <row r="21" spans="4:17">
      <c r="D21">
        <v>11</v>
      </c>
      <c r="E21" s="569" t="s">
        <v>1320</v>
      </c>
      <c r="F21" s="569" t="s">
        <v>1320</v>
      </c>
      <c r="P21" t="s">
        <v>2981</v>
      </c>
      <c r="Q21" s="569">
        <v>2</v>
      </c>
    </row>
    <row r="22" spans="4:17">
      <c r="D22">
        <v>12</v>
      </c>
      <c r="E22" s="569" t="s">
        <v>1320</v>
      </c>
      <c r="F22" s="569" t="s">
        <v>1320</v>
      </c>
      <c r="P22" t="s">
        <v>2982</v>
      </c>
      <c r="Q22" s="569">
        <v>2</v>
      </c>
    </row>
    <row r="23" spans="4:17">
      <c r="D23">
        <v>13</v>
      </c>
      <c r="E23" s="569" t="s">
        <v>1320</v>
      </c>
      <c r="F23" s="569" t="s">
        <v>1320</v>
      </c>
      <c r="P23" t="s">
        <v>2983</v>
      </c>
      <c r="Q23" s="569">
        <v>2</v>
      </c>
    </row>
    <row r="24" spans="4:17">
      <c r="D24">
        <v>14</v>
      </c>
      <c r="E24" s="569" t="s">
        <v>1320</v>
      </c>
      <c r="F24" s="569" t="s">
        <v>1320</v>
      </c>
      <c r="P24" t="s">
        <v>2985</v>
      </c>
      <c r="Q24" s="569">
        <v>2</v>
      </c>
    </row>
    <row r="25" spans="4:17">
      <c r="D25">
        <v>15</v>
      </c>
      <c r="E25" s="569" t="s">
        <v>1320</v>
      </c>
      <c r="F25" s="569" t="s">
        <v>1320</v>
      </c>
      <c r="P25" t="s">
        <v>2986</v>
      </c>
      <c r="Q25" s="569">
        <v>2</v>
      </c>
    </row>
    <row r="26" spans="4:17">
      <c r="D26">
        <v>16</v>
      </c>
      <c r="E26" s="569" t="s">
        <v>1320</v>
      </c>
      <c r="F26" s="569" t="s">
        <v>1320</v>
      </c>
      <c r="P26" t="s">
        <v>2987</v>
      </c>
      <c r="Q26" s="569">
        <v>2</v>
      </c>
    </row>
    <row r="27" spans="4:17">
      <c r="D27">
        <v>17</v>
      </c>
      <c r="E27" s="569" t="s">
        <v>1320</v>
      </c>
      <c r="F27" s="569" t="s">
        <v>1320</v>
      </c>
      <c r="P27" t="s">
        <v>2988</v>
      </c>
      <c r="Q27" s="569">
        <v>2</v>
      </c>
    </row>
    <row r="28" spans="4:17">
      <c r="D28">
        <v>18</v>
      </c>
      <c r="E28" s="569" t="s">
        <v>1320</v>
      </c>
      <c r="F28" s="569" t="s">
        <v>1320</v>
      </c>
      <c r="P28" t="s">
        <v>2989</v>
      </c>
      <c r="Q28" s="569">
        <v>2</v>
      </c>
    </row>
    <row r="29" spans="4:17">
      <c r="D29">
        <v>19</v>
      </c>
      <c r="E29" s="569" t="s">
        <v>1320</v>
      </c>
      <c r="F29" s="569" t="s">
        <v>1320</v>
      </c>
      <c r="P29" t="s">
        <v>2990</v>
      </c>
      <c r="Q29" s="569">
        <v>2</v>
      </c>
    </row>
    <row r="30" spans="4:17">
      <c r="D30">
        <v>20</v>
      </c>
      <c r="E30" s="569" t="s">
        <v>1320</v>
      </c>
      <c r="F30" s="569" t="s">
        <v>1320</v>
      </c>
      <c r="P30" t="s">
        <v>2991</v>
      </c>
      <c r="Q30" s="569">
        <v>2</v>
      </c>
    </row>
    <row r="31" spans="4:17">
      <c r="P31" t="s">
        <v>2992</v>
      </c>
      <c r="Q31" s="569">
        <v>2</v>
      </c>
    </row>
    <row r="32" spans="4:17">
      <c r="P32" t="s">
        <v>2993</v>
      </c>
      <c r="Q32" s="569">
        <v>2</v>
      </c>
    </row>
    <row r="33" spans="16:17">
      <c r="P33" t="s">
        <v>2994</v>
      </c>
      <c r="Q33" s="569">
        <v>2</v>
      </c>
    </row>
    <row r="34" spans="16:17">
      <c r="P34" t="s">
        <v>2995</v>
      </c>
      <c r="Q34" s="569">
        <v>2</v>
      </c>
    </row>
    <row r="35" spans="16:17">
      <c r="P35" t="s">
        <v>2996</v>
      </c>
      <c r="Q35" s="569">
        <v>2</v>
      </c>
    </row>
    <row r="36" spans="16:17">
      <c r="P36" t="s">
        <v>2997</v>
      </c>
      <c r="Q36" s="569">
        <v>2</v>
      </c>
    </row>
    <row r="37" spans="16:17">
      <c r="P37" t="s">
        <v>2999</v>
      </c>
      <c r="Q37" s="569">
        <v>2</v>
      </c>
    </row>
    <row r="38" spans="16:17">
      <c r="P38" t="s">
        <v>3000</v>
      </c>
      <c r="Q38" s="569">
        <v>2</v>
      </c>
    </row>
    <row r="39" spans="16:17">
      <c r="P39" t="s">
        <v>3001</v>
      </c>
      <c r="Q39" s="569">
        <v>2</v>
      </c>
    </row>
    <row r="40" spans="16:17">
      <c r="P40" t="s">
        <v>3013</v>
      </c>
      <c r="Q40" s="569">
        <v>2</v>
      </c>
    </row>
    <row r="41" spans="16:17">
      <c r="P41" t="s">
        <v>3014</v>
      </c>
      <c r="Q41" s="569">
        <v>2</v>
      </c>
    </row>
    <row r="42" spans="16:17">
      <c r="P42" t="s">
        <v>3015</v>
      </c>
      <c r="Q42" s="569">
        <v>2</v>
      </c>
    </row>
    <row r="43" spans="16:17">
      <c r="P43" t="s">
        <v>3016</v>
      </c>
      <c r="Q43" s="569">
        <v>2</v>
      </c>
    </row>
    <row r="44" spans="16:17">
      <c r="P44" t="s">
        <v>3017</v>
      </c>
      <c r="Q44" s="569">
        <v>2</v>
      </c>
    </row>
    <row r="45" spans="16:17">
      <c r="P45" t="s">
        <v>3018</v>
      </c>
      <c r="Q45" s="569">
        <v>2</v>
      </c>
    </row>
    <row r="46" spans="16:17">
      <c r="P46" t="s">
        <v>3019</v>
      </c>
      <c r="Q46" s="569">
        <v>2</v>
      </c>
    </row>
    <row r="47" spans="16:17">
      <c r="P47" t="s">
        <v>3020</v>
      </c>
      <c r="Q47" s="569">
        <v>2</v>
      </c>
    </row>
    <row r="48" spans="16:17">
      <c r="P48" t="s">
        <v>3021</v>
      </c>
      <c r="Q48" s="569">
        <v>2</v>
      </c>
    </row>
    <row r="49" spans="16:17">
      <c r="P49" t="s">
        <v>3022</v>
      </c>
      <c r="Q49" s="569">
        <v>2</v>
      </c>
    </row>
    <row r="50" spans="16:17">
      <c r="P50" t="s">
        <v>3023</v>
      </c>
      <c r="Q50" s="569">
        <v>2</v>
      </c>
    </row>
    <row r="51" spans="16:17">
      <c r="P51" t="s">
        <v>3024</v>
      </c>
      <c r="Q51" s="569">
        <v>2</v>
      </c>
    </row>
    <row r="52" spans="16:17">
      <c r="P52" t="s">
        <v>3025</v>
      </c>
      <c r="Q52" s="569">
        <v>2</v>
      </c>
    </row>
    <row r="53" spans="16:17">
      <c r="P53" t="s">
        <v>3026</v>
      </c>
      <c r="Q53" s="569">
        <v>2</v>
      </c>
    </row>
    <row r="54" spans="16:17">
      <c r="P54" t="s">
        <v>3029</v>
      </c>
      <c r="Q54" s="569">
        <v>2</v>
      </c>
    </row>
    <row r="55" spans="16:17">
      <c r="P55" t="s">
        <v>3030</v>
      </c>
      <c r="Q55" s="569">
        <v>2</v>
      </c>
    </row>
    <row r="56" spans="16:17">
      <c r="P56" t="s">
        <v>3031</v>
      </c>
      <c r="Q56" s="569">
        <v>2</v>
      </c>
    </row>
    <row r="57" spans="16:17">
      <c r="P57" t="s">
        <v>3036</v>
      </c>
      <c r="Q57" s="569">
        <v>3</v>
      </c>
    </row>
    <row r="58" spans="16:17">
      <c r="P58" t="s">
        <v>3038</v>
      </c>
      <c r="Q58" s="569">
        <v>3</v>
      </c>
    </row>
    <row r="59" spans="16:17">
      <c r="P59" t="s">
        <v>3039</v>
      </c>
      <c r="Q59" s="569">
        <v>3</v>
      </c>
    </row>
    <row r="60" spans="16:17">
      <c r="P60" t="s">
        <v>3040</v>
      </c>
      <c r="Q60" s="569">
        <v>3</v>
      </c>
    </row>
    <row r="61" spans="16:17">
      <c r="P61" t="s">
        <v>3041</v>
      </c>
      <c r="Q61" s="569">
        <v>3</v>
      </c>
    </row>
    <row r="62" spans="16:17">
      <c r="P62" t="s">
        <v>3042</v>
      </c>
      <c r="Q62" s="569">
        <v>3</v>
      </c>
    </row>
    <row r="63" spans="16:17">
      <c r="P63" t="s">
        <v>3043</v>
      </c>
      <c r="Q63" s="569">
        <v>3</v>
      </c>
    </row>
    <row r="64" spans="16:17">
      <c r="P64" t="s">
        <v>3044</v>
      </c>
      <c r="Q64" s="569">
        <v>3</v>
      </c>
    </row>
    <row r="65" spans="16:17">
      <c r="P65" t="s">
        <v>3045</v>
      </c>
      <c r="Q65" s="569">
        <v>3</v>
      </c>
    </row>
    <row r="66" spans="16:17">
      <c r="P66" t="s">
        <v>3046</v>
      </c>
      <c r="Q66" s="569">
        <v>3</v>
      </c>
    </row>
    <row r="67" spans="16:17">
      <c r="P67" t="s">
        <v>3047</v>
      </c>
      <c r="Q67" s="569">
        <v>3</v>
      </c>
    </row>
    <row r="68" spans="16:17">
      <c r="P68" t="s">
        <v>3048</v>
      </c>
      <c r="Q68" s="569">
        <v>3</v>
      </c>
    </row>
    <row r="69" spans="16:17">
      <c r="P69" t="s">
        <v>3049</v>
      </c>
      <c r="Q69" s="569">
        <v>3</v>
      </c>
    </row>
    <row r="70" spans="16:17">
      <c r="P70" t="s">
        <v>3050</v>
      </c>
      <c r="Q70" s="569">
        <v>3</v>
      </c>
    </row>
    <row r="71" spans="16:17">
      <c r="P71" t="s">
        <v>2894</v>
      </c>
      <c r="Q71" s="569">
        <v>4</v>
      </c>
    </row>
    <row r="72" spans="16:17">
      <c r="P72" t="s">
        <v>2920</v>
      </c>
      <c r="Q72" s="569">
        <v>4</v>
      </c>
    </row>
    <row r="73" spans="16:17">
      <c r="P73" t="s">
        <v>2922</v>
      </c>
      <c r="Q73" s="569">
        <v>4</v>
      </c>
    </row>
    <row r="74" spans="16:17">
      <c r="P74" t="s">
        <v>2923</v>
      </c>
      <c r="Q74" s="569">
        <v>4</v>
      </c>
    </row>
    <row r="75" spans="16:17">
      <c r="P75" t="s">
        <v>2924</v>
      </c>
      <c r="Q75" s="569">
        <v>4</v>
      </c>
    </row>
    <row r="76" spans="16:17">
      <c r="P76" t="s">
        <v>2926</v>
      </c>
      <c r="Q76" s="569">
        <v>4</v>
      </c>
    </row>
    <row r="77" spans="16:17">
      <c r="P77" t="s">
        <v>2927</v>
      </c>
      <c r="Q77" s="569">
        <v>4</v>
      </c>
    </row>
    <row r="78" spans="16:17">
      <c r="P78" t="s">
        <v>2928</v>
      </c>
      <c r="Q78" s="569">
        <v>4</v>
      </c>
    </row>
    <row r="79" spans="16:17">
      <c r="P79" t="s">
        <v>2929</v>
      </c>
      <c r="Q79" s="569">
        <v>4</v>
      </c>
    </row>
    <row r="80" spans="16:17">
      <c r="P80" t="s">
        <v>2930</v>
      </c>
      <c r="Q80" s="569">
        <v>4</v>
      </c>
    </row>
    <row r="81" spans="16:17">
      <c r="P81" t="s">
        <v>2931</v>
      </c>
      <c r="Q81" s="569">
        <v>4</v>
      </c>
    </row>
    <row r="82" spans="16:17">
      <c r="P82" t="s">
        <v>2933</v>
      </c>
      <c r="Q82" s="569">
        <v>4</v>
      </c>
    </row>
    <row r="83" spans="16:17">
      <c r="P83" t="s">
        <v>2934</v>
      </c>
      <c r="Q83" s="569">
        <v>4</v>
      </c>
    </row>
    <row r="84" spans="16:17">
      <c r="P84" t="s">
        <v>2935</v>
      </c>
      <c r="Q84" s="569">
        <v>4</v>
      </c>
    </row>
    <row r="85" spans="16:17">
      <c r="P85" t="s">
        <v>2936</v>
      </c>
      <c r="Q85" s="569">
        <v>4</v>
      </c>
    </row>
    <row r="86" spans="16:17">
      <c r="P86" t="s">
        <v>2937</v>
      </c>
      <c r="Q86" s="569">
        <v>4</v>
      </c>
    </row>
    <row r="87" spans="16:17">
      <c r="P87" t="s">
        <v>2938</v>
      </c>
      <c r="Q87" s="569">
        <v>4</v>
      </c>
    </row>
    <row r="88" spans="16:17">
      <c r="P88" t="s">
        <v>2939</v>
      </c>
      <c r="Q88" s="569">
        <v>4</v>
      </c>
    </row>
    <row r="89" spans="16:17">
      <c r="P89" t="s">
        <v>2940</v>
      </c>
      <c r="Q89" s="569">
        <v>4</v>
      </c>
    </row>
    <row r="90" spans="16:17">
      <c r="P90" t="s">
        <v>2941</v>
      </c>
      <c r="Q90" s="569">
        <v>4</v>
      </c>
    </row>
    <row r="91" spans="16:17">
      <c r="P91" t="s">
        <v>2943</v>
      </c>
      <c r="Q91" s="569">
        <v>4</v>
      </c>
    </row>
    <row r="92" spans="16:17">
      <c r="P92" t="s">
        <v>2944</v>
      </c>
      <c r="Q92" s="569">
        <v>4</v>
      </c>
    </row>
    <row r="93" spans="16:17">
      <c r="P93" t="s">
        <v>2945</v>
      </c>
      <c r="Q93" s="569">
        <v>4</v>
      </c>
    </row>
    <row r="94" spans="16:17">
      <c r="P94" t="s">
        <v>2946</v>
      </c>
      <c r="Q94" s="569">
        <v>4</v>
      </c>
    </row>
    <row r="95" spans="16:17">
      <c r="P95" t="s">
        <v>2947</v>
      </c>
      <c r="Q95" s="569">
        <v>4</v>
      </c>
    </row>
    <row r="96" spans="16:17">
      <c r="P96" t="s">
        <v>2948</v>
      </c>
      <c r="Q96" s="569">
        <v>4</v>
      </c>
    </row>
    <row r="97" spans="16:17">
      <c r="P97" t="s">
        <v>2949</v>
      </c>
      <c r="Q97" s="569">
        <v>4</v>
      </c>
    </row>
    <row r="98" spans="16:17">
      <c r="P98" t="s">
        <v>2950</v>
      </c>
      <c r="Q98" s="569">
        <v>4</v>
      </c>
    </row>
    <row r="99" spans="16:17">
      <c r="P99" t="s">
        <v>2951</v>
      </c>
      <c r="Q99" s="569">
        <v>4</v>
      </c>
    </row>
    <row r="100" spans="16:17">
      <c r="P100" t="s">
        <v>2952</v>
      </c>
      <c r="Q100" s="569">
        <v>4</v>
      </c>
    </row>
    <row r="101" spans="16:17">
      <c r="P101" t="s">
        <v>2953</v>
      </c>
      <c r="Q101" s="569">
        <v>4</v>
      </c>
    </row>
    <row r="102" spans="16:17">
      <c r="P102" t="s">
        <v>2954</v>
      </c>
      <c r="Q102" s="569">
        <v>4</v>
      </c>
    </row>
    <row r="103" spans="16:17">
      <c r="P103" t="s">
        <v>2956</v>
      </c>
      <c r="Q103" s="569">
        <v>4</v>
      </c>
    </row>
    <row r="104" spans="16:17">
      <c r="P104" t="s">
        <v>2957</v>
      </c>
      <c r="Q104" s="569">
        <v>4</v>
      </c>
    </row>
    <row r="105" spans="16:17">
      <c r="P105" t="s">
        <v>2958</v>
      </c>
      <c r="Q105" s="569">
        <v>4</v>
      </c>
    </row>
    <row r="106" spans="16:17">
      <c r="P106" t="s">
        <v>2959</v>
      </c>
      <c r="Q106" s="569">
        <v>4</v>
      </c>
    </row>
    <row r="107" spans="16:17">
      <c r="P107" t="s">
        <v>2960</v>
      </c>
      <c r="Q107" s="569">
        <v>4</v>
      </c>
    </row>
    <row r="108" spans="16:17">
      <c r="P108" t="s">
        <v>2961</v>
      </c>
      <c r="Q108" s="569">
        <v>4</v>
      </c>
    </row>
    <row r="109" spans="16:17">
      <c r="P109" t="s">
        <v>2964</v>
      </c>
      <c r="Q109" s="569">
        <v>4</v>
      </c>
    </row>
    <row r="110" spans="16:17">
      <c r="P110" t="s">
        <v>2965</v>
      </c>
      <c r="Q110" s="569">
        <v>4</v>
      </c>
    </row>
    <row r="111" spans="16:17">
      <c r="P111" t="s">
        <v>2967</v>
      </c>
      <c r="Q111" s="569">
        <v>4</v>
      </c>
    </row>
    <row r="112" spans="16:17">
      <c r="P112" t="s">
        <v>2968</v>
      </c>
      <c r="Q112" s="569">
        <v>4</v>
      </c>
    </row>
    <row r="113" spans="16:17">
      <c r="P113" t="s">
        <v>2969</v>
      </c>
      <c r="Q113" s="569">
        <v>4</v>
      </c>
    </row>
    <row r="114" spans="16:17">
      <c r="P114" t="s">
        <v>2970</v>
      </c>
      <c r="Q114" s="569">
        <v>4</v>
      </c>
    </row>
    <row r="115" spans="16:17">
      <c r="P115" t="s">
        <v>2971</v>
      </c>
      <c r="Q115" s="569">
        <v>4</v>
      </c>
    </row>
    <row r="116" spans="16:17">
      <c r="P116" t="s">
        <v>2972</v>
      </c>
      <c r="Q116" s="569">
        <v>4</v>
      </c>
    </row>
    <row r="117" spans="16:17">
      <c r="P117" t="s">
        <v>2973</v>
      </c>
      <c r="Q117" s="569">
        <v>4</v>
      </c>
    </row>
    <row r="118" spans="16:17">
      <c r="P118" t="s">
        <v>3011</v>
      </c>
      <c r="Q118" s="569">
        <v>4</v>
      </c>
    </row>
    <row r="119" spans="16:17">
      <c r="P119" t="s">
        <v>3012</v>
      </c>
      <c r="Q119" s="569">
        <v>4</v>
      </c>
    </row>
    <row r="120" spans="16:17">
      <c r="P120" t="s">
        <v>1789</v>
      </c>
      <c r="Q120" s="569">
        <v>5</v>
      </c>
    </row>
    <row r="121" spans="16:17">
      <c r="P121" t="s">
        <v>3085</v>
      </c>
      <c r="Q121" s="569">
        <v>5</v>
      </c>
    </row>
    <row r="122" spans="16:17">
      <c r="P122" t="s">
        <v>1790</v>
      </c>
      <c r="Q122" s="569">
        <v>5</v>
      </c>
    </row>
    <row r="123" spans="16:17">
      <c r="P123" t="s">
        <v>1791</v>
      </c>
      <c r="Q123" s="569">
        <v>5</v>
      </c>
    </row>
    <row r="124" spans="16:17">
      <c r="P124" t="s">
        <v>1792</v>
      </c>
      <c r="Q124" s="569">
        <v>5</v>
      </c>
    </row>
    <row r="125" spans="16:17">
      <c r="P125" t="s">
        <v>1798</v>
      </c>
      <c r="Q125" s="569">
        <v>5</v>
      </c>
    </row>
    <row r="126" spans="16:17">
      <c r="P126" t="s">
        <v>1799</v>
      </c>
      <c r="Q126" s="569">
        <v>5</v>
      </c>
    </row>
    <row r="127" spans="16:17">
      <c r="P127" t="s">
        <v>1800</v>
      </c>
      <c r="Q127" s="569">
        <v>5</v>
      </c>
    </row>
    <row r="128" spans="16:17">
      <c r="P128" t="s">
        <v>1801</v>
      </c>
      <c r="Q128" s="569">
        <v>5</v>
      </c>
    </row>
    <row r="129" spans="16:17">
      <c r="P129" t="s">
        <v>1802</v>
      </c>
      <c r="Q129" s="569">
        <v>5</v>
      </c>
    </row>
    <row r="130" spans="16:17">
      <c r="P130" t="s">
        <v>1803</v>
      </c>
      <c r="Q130" s="569">
        <v>5</v>
      </c>
    </row>
    <row r="131" spans="16:17">
      <c r="P131" t="s">
        <v>1804</v>
      </c>
      <c r="Q131" s="569">
        <v>5</v>
      </c>
    </row>
    <row r="132" spans="16:17">
      <c r="P132" t="s">
        <v>1806</v>
      </c>
      <c r="Q132" s="569">
        <v>5</v>
      </c>
    </row>
    <row r="133" spans="16:17">
      <c r="P133" t="s">
        <v>1808</v>
      </c>
      <c r="Q133" s="569">
        <v>5</v>
      </c>
    </row>
    <row r="134" spans="16:17">
      <c r="P134" t="s">
        <v>1809</v>
      </c>
      <c r="Q134" s="569">
        <v>5</v>
      </c>
    </row>
    <row r="135" spans="16:17">
      <c r="P135" t="s">
        <v>1810</v>
      </c>
      <c r="Q135" s="569">
        <v>5</v>
      </c>
    </row>
    <row r="136" spans="16:17">
      <c r="P136" t="s">
        <v>1811</v>
      </c>
      <c r="Q136" s="569">
        <v>5</v>
      </c>
    </row>
    <row r="137" spans="16:17">
      <c r="P137" t="s">
        <v>1812</v>
      </c>
      <c r="Q137" s="569">
        <v>5</v>
      </c>
    </row>
    <row r="138" spans="16:17">
      <c r="P138" t="s">
        <v>1813</v>
      </c>
      <c r="Q138" s="569">
        <v>5</v>
      </c>
    </row>
    <row r="139" spans="16:17">
      <c r="P139" t="s">
        <v>1819</v>
      </c>
      <c r="Q139" s="569">
        <v>5</v>
      </c>
    </row>
    <row r="140" spans="16:17">
      <c r="P140" t="s">
        <v>1820</v>
      </c>
      <c r="Q140" s="569">
        <v>5</v>
      </c>
    </row>
    <row r="141" spans="16:17">
      <c r="P141" t="s">
        <v>1821</v>
      </c>
      <c r="Q141" s="569">
        <v>5</v>
      </c>
    </row>
    <row r="142" spans="16:17">
      <c r="P142" t="s">
        <v>1822</v>
      </c>
      <c r="Q142" s="569">
        <v>5</v>
      </c>
    </row>
    <row r="143" spans="16:17">
      <c r="P143" t="s">
        <v>1824</v>
      </c>
      <c r="Q143" s="569">
        <v>5</v>
      </c>
    </row>
    <row r="144" spans="16:17">
      <c r="P144" t="s">
        <v>1825</v>
      </c>
      <c r="Q144" s="569">
        <v>5</v>
      </c>
    </row>
    <row r="145" spans="16:17">
      <c r="P145" t="s">
        <v>1769</v>
      </c>
      <c r="Q145" s="569">
        <v>6</v>
      </c>
    </row>
    <row r="146" spans="16:17">
      <c r="P146" t="s">
        <v>1771</v>
      </c>
      <c r="Q146" s="569">
        <v>6</v>
      </c>
    </row>
    <row r="147" spans="16:17">
      <c r="P147" t="s">
        <v>1772</v>
      </c>
      <c r="Q147" s="569">
        <v>6</v>
      </c>
    </row>
    <row r="148" spans="16:17">
      <c r="P148" t="s">
        <v>1773</v>
      </c>
      <c r="Q148" s="569">
        <v>6</v>
      </c>
    </row>
    <row r="149" spans="16:17">
      <c r="P149" t="s">
        <v>1774</v>
      </c>
      <c r="Q149" s="569">
        <v>6</v>
      </c>
    </row>
    <row r="150" spans="16:17">
      <c r="P150" t="s">
        <v>1775</v>
      </c>
      <c r="Q150" s="569">
        <v>6</v>
      </c>
    </row>
    <row r="151" spans="16:17">
      <c r="P151" t="s">
        <v>1776</v>
      </c>
      <c r="Q151" s="569">
        <v>6</v>
      </c>
    </row>
    <row r="152" spans="16:17">
      <c r="P152" t="s">
        <v>1777</v>
      </c>
      <c r="Q152" s="569">
        <v>6</v>
      </c>
    </row>
    <row r="153" spans="16:17">
      <c r="P153" t="s">
        <v>1778</v>
      </c>
      <c r="Q153" s="569">
        <v>6</v>
      </c>
    </row>
    <row r="154" spans="16:17">
      <c r="P154" t="s">
        <v>1779</v>
      </c>
      <c r="Q154" s="569">
        <v>6</v>
      </c>
    </row>
    <row r="155" spans="16:17">
      <c r="P155" t="s">
        <v>1780</v>
      </c>
      <c r="Q155" s="569">
        <v>6</v>
      </c>
    </row>
    <row r="156" spans="16:17">
      <c r="P156" t="s">
        <v>1781</v>
      </c>
      <c r="Q156" s="569">
        <v>6</v>
      </c>
    </row>
    <row r="157" spans="16:17">
      <c r="P157" t="s">
        <v>1782</v>
      </c>
      <c r="Q157" s="569">
        <v>6</v>
      </c>
    </row>
    <row r="158" spans="16:17">
      <c r="P158" t="s">
        <v>1783</v>
      </c>
      <c r="Q158" s="569">
        <v>6</v>
      </c>
    </row>
    <row r="159" spans="16:17">
      <c r="P159" t="s">
        <v>1784</v>
      </c>
      <c r="Q159" s="569">
        <v>6</v>
      </c>
    </row>
    <row r="160" spans="16:17">
      <c r="P160" t="s">
        <v>1785</v>
      </c>
      <c r="Q160" s="569">
        <v>6</v>
      </c>
    </row>
    <row r="161" spans="16:17">
      <c r="P161" t="s">
        <v>1786</v>
      </c>
      <c r="Q161" s="569">
        <v>6</v>
      </c>
    </row>
    <row r="162" spans="16:17">
      <c r="P162" t="s">
        <v>1787</v>
      </c>
      <c r="Q162" s="569">
        <v>6</v>
      </c>
    </row>
    <row r="163" spans="16:17">
      <c r="P163" t="s">
        <v>1788</v>
      </c>
      <c r="Q163" s="569">
        <v>6</v>
      </c>
    </row>
    <row r="164" spans="16:17">
      <c r="P164" t="s">
        <v>1794</v>
      </c>
      <c r="Q164" s="569">
        <v>6</v>
      </c>
    </row>
    <row r="165" spans="16:17">
      <c r="P165" t="s">
        <v>1795</v>
      </c>
      <c r="Q165" s="569">
        <v>6</v>
      </c>
    </row>
    <row r="166" spans="16:17">
      <c r="P166" t="s">
        <v>1796</v>
      </c>
      <c r="Q166" s="569">
        <v>6</v>
      </c>
    </row>
    <row r="167" spans="16:17">
      <c r="P167" t="s">
        <v>1797</v>
      </c>
      <c r="Q167" s="569">
        <v>6</v>
      </c>
    </row>
    <row r="168" spans="16:17">
      <c r="P168" t="s">
        <v>1807</v>
      </c>
      <c r="Q168" s="569">
        <v>6</v>
      </c>
    </row>
    <row r="169" spans="16:17">
      <c r="P169" t="s">
        <v>1814</v>
      </c>
      <c r="Q169" s="569">
        <v>6</v>
      </c>
    </row>
    <row r="170" spans="16:17">
      <c r="P170" t="s">
        <v>1816</v>
      </c>
      <c r="Q170" s="569">
        <v>6</v>
      </c>
    </row>
    <row r="171" spans="16:17">
      <c r="P171" t="s">
        <v>1817</v>
      </c>
      <c r="Q171" s="569">
        <v>6</v>
      </c>
    </row>
    <row r="172" spans="16:17">
      <c r="P172" t="s">
        <v>1818</v>
      </c>
      <c r="Q172" s="569">
        <v>6</v>
      </c>
    </row>
    <row r="173" spans="16:17">
      <c r="P173" t="s">
        <v>1823</v>
      </c>
      <c r="Q173" s="569">
        <v>6</v>
      </c>
    </row>
    <row r="174" spans="16:17">
      <c r="P174" t="s">
        <v>1826</v>
      </c>
      <c r="Q174" s="569">
        <v>6</v>
      </c>
    </row>
    <row r="175" spans="16:17">
      <c r="P175" t="s">
        <v>1827</v>
      </c>
      <c r="Q175" s="569">
        <v>6</v>
      </c>
    </row>
    <row r="176" spans="16:17">
      <c r="P176" t="s">
        <v>1828</v>
      </c>
      <c r="Q176" s="569">
        <v>6</v>
      </c>
    </row>
    <row r="177" spans="16:17">
      <c r="P177" t="s">
        <v>1829</v>
      </c>
      <c r="Q177" s="569">
        <v>6</v>
      </c>
    </row>
    <row r="178" spans="16:17">
      <c r="P178" t="s">
        <v>1830</v>
      </c>
      <c r="Q178" s="569">
        <v>6</v>
      </c>
    </row>
    <row r="179" spans="16:17">
      <c r="P179" t="s">
        <v>1831</v>
      </c>
      <c r="Q179" s="569">
        <v>6</v>
      </c>
    </row>
    <row r="180" spans="16:17">
      <c r="P180" t="s">
        <v>1834</v>
      </c>
      <c r="Q180" s="569">
        <v>6</v>
      </c>
    </row>
    <row r="181" spans="16:17">
      <c r="P181" t="s">
        <v>1835</v>
      </c>
      <c r="Q181" s="569">
        <v>6</v>
      </c>
    </row>
    <row r="182" spans="16:17">
      <c r="P182" t="s">
        <v>1836</v>
      </c>
      <c r="Q182" s="569">
        <v>6</v>
      </c>
    </row>
    <row r="183" spans="16:17">
      <c r="P183" t="s">
        <v>1299</v>
      </c>
      <c r="Q183" s="569">
        <v>6</v>
      </c>
    </row>
    <row r="184" spans="16:17">
      <c r="P184" t="s">
        <v>1839</v>
      </c>
      <c r="Q184" s="569">
        <v>6</v>
      </c>
    </row>
    <row r="185" spans="16:17">
      <c r="P185" t="s">
        <v>1840</v>
      </c>
      <c r="Q185" s="569">
        <v>6</v>
      </c>
    </row>
    <row r="186" spans="16:17">
      <c r="P186" t="s">
        <v>1841</v>
      </c>
      <c r="Q186" s="569">
        <v>6</v>
      </c>
    </row>
    <row r="187" spans="16:17">
      <c r="P187" t="s">
        <v>1842</v>
      </c>
      <c r="Q187" s="569">
        <v>6</v>
      </c>
    </row>
    <row r="188" spans="16:17">
      <c r="P188" t="s">
        <v>1866</v>
      </c>
      <c r="Q188" s="569">
        <v>6</v>
      </c>
    </row>
    <row r="189" spans="16:17">
      <c r="P189" t="s">
        <v>1867</v>
      </c>
      <c r="Q189" s="569">
        <v>6</v>
      </c>
    </row>
    <row r="190" spans="16:17">
      <c r="P190" t="s">
        <v>1868</v>
      </c>
      <c r="Q190" s="569">
        <v>6</v>
      </c>
    </row>
    <row r="191" spans="16:17">
      <c r="P191" t="s">
        <v>1869</v>
      </c>
      <c r="Q191" s="569">
        <v>6</v>
      </c>
    </row>
    <row r="192" spans="16:17">
      <c r="P192" t="s">
        <v>1760</v>
      </c>
      <c r="Q192" s="569">
        <v>7</v>
      </c>
    </row>
    <row r="193" spans="16:17">
      <c r="P193" t="s">
        <v>1762</v>
      </c>
      <c r="Q193" s="569">
        <v>7</v>
      </c>
    </row>
    <row r="194" spans="16:17">
      <c r="P194" t="s">
        <v>1764</v>
      </c>
      <c r="Q194" s="569">
        <v>7</v>
      </c>
    </row>
    <row r="195" spans="16:17">
      <c r="P195" t="s">
        <v>1766</v>
      </c>
      <c r="Q195" s="569">
        <v>7</v>
      </c>
    </row>
    <row r="196" spans="16:17">
      <c r="P196" t="s">
        <v>1767</v>
      </c>
      <c r="Q196" s="569">
        <v>7</v>
      </c>
    </row>
    <row r="197" spans="16:17">
      <c r="P197" t="s">
        <v>1768</v>
      </c>
      <c r="Q197" s="569">
        <v>7</v>
      </c>
    </row>
    <row r="198" spans="16:17">
      <c r="P198" t="s">
        <v>1770</v>
      </c>
      <c r="Q198" s="569">
        <v>7</v>
      </c>
    </row>
    <row r="199" spans="16:17">
      <c r="P199" t="s">
        <v>1815</v>
      </c>
      <c r="Q199" s="569">
        <v>7</v>
      </c>
    </row>
    <row r="200" spans="16:17">
      <c r="P200" t="s">
        <v>1832</v>
      </c>
      <c r="Q200" s="569">
        <v>7</v>
      </c>
    </row>
    <row r="201" spans="16:17">
      <c r="P201" t="s">
        <v>1833</v>
      </c>
      <c r="Q201" s="569">
        <v>7</v>
      </c>
    </row>
    <row r="202" spans="16:17">
      <c r="P202" t="s">
        <v>1837</v>
      </c>
      <c r="Q202" s="569">
        <v>7</v>
      </c>
    </row>
    <row r="203" spans="16:17">
      <c r="P203" t="s">
        <v>1838</v>
      </c>
      <c r="Q203" s="569">
        <v>7</v>
      </c>
    </row>
    <row r="204" spans="16:17">
      <c r="P204" t="s">
        <v>1843</v>
      </c>
      <c r="Q204" s="569">
        <v>7</v>
      </c>
    </row>
    <row r="205" spans="16:17">
      <c r="P205" t="s">
        <v>1847</v>
      </c>
      <c r="Q205" s="569">
        <v>7</v>
      </c>
    </row>
    <row r="206" spans="16:17">
      <c r="P206" t="s">
        <v>1848</v>
      </c>
      <c r="Q206" s="569">
        <v>7</v>
      </c>
    </row>
    <row r="207" spans="16:17">
      <c r="P207" t="s">
        <v>1849</v>
      </c>
      <c r="Q207" s="569">
        <v>7</v>
      </c>
    </row>
    <row r="208" spans="16:17">
      <c r="P208" t="s">
        <v>1850</v>
      </c>
      <c r="Q208" s="569">
        <v>7</v>
      </c>
    </row>
    <row r="209" spans="16:17">
      <c r="P209" t="s">
        <v>1851</v>
      </c>
      <c r="Q209" s="569">
        <v>7</v>
      </c>
    </row>
    <row r="210" spans="16:17">
      <c r="P210" t="s">
        <v>1857</v>
      </c>
      <c r="Q210" s="569">
        <v>7</v>
      </c>
    </row>
    <row r="211" spans="16:17">
      <c r="P211" t="s">
        <v>1862</v>
      </c>
      <c r="Q211" s="569">
        <v>7</v>
      </c>
    </row>
    <row r="212" spans="16:17">
      <c r="P212" t="s">
        <v>1863</v>
      </c>
      <c r="Q212" s="569">
        <v>7</v>
      </c>
    </row>
    <row r="213" spans="16:17">
      <c r="P213" t="s">
        <v>1870</v>
      </c>
      <c r="Q213" s="569">
        <v>7</v>
      </c>
    </row>
    <row r="214" spans="16:17">
      <c r="P214" t="s">
        <v>1881</v>
      </c>
      <c r="Q214" s="569">
        <v>7</v>
      </c>
    </row>
    <row r="215" spans="16:17">
      <c r="P215" t="s">
        <v>1882</v>
      </c>
      <c r="Q215" s="569">
        <v>7</v>
      </c>
    </row>
    <row r="216" spans="16:17">
      <c r="P216" t="s">
        <v>1883</v>
      </c>
      <c r="Q216" s="569">
        <v>7</v>
      </c>
    </row>
    <row r="217" spans="16:17">
      <c r="P217" t="s">
        <v>1852</v>
      </c>
      <c r="Q217" s="569">
        <v>8</v>
      </c>
    </row>
    <row r="218" spans="16:17">
      <c r="P218" t="s">
        <v>1853</v>
      </c>
      <c r="Q218" s="569">
        <v>8</v>
      </c>
    </row>
    <row r="219" spans="16:17">
      <c r="P219" t="s">
        <v>1854</v>
      </c>
      <c r="Q219" s="569">
        <v>8</v>
      </c>
    </row>
    <row r="220" spans="16:17">
      <c r="P220" t="s">
        <v>1855</v>
      </c>
      <c r="Q220" s="569">
        <v>8</v>
      </c>
    </row>
    <row r="221" spans="16:17">
      <c r="P221" t="s">
        <v>1856</v>
      </c>
      <c r="Q221" s="569">
        <v>8</v>
      </c>
    </row>
    <row r="222" spans="16:17">
      <c r="P222" t="s">
        <v>1858</v>
      </c>
      <c r="Q222" s="569">
        <v>8</v>
      </c>
    </row>
    <row r="223" spans="16:17">
      <c r="P223" t="s">
        <v>1859</v>
      </c>
      <c r="Q223" s="569">
        <v>8</v>
      </c>
    </row>
    <row r="224" spans="16:17">
      <c r="P224" t="s">
        <v>1860</v>
      </c>
      <c r="Q224" s="569">
        <v>8</v>
      </c>
    </row>
    <row r="225" spans="16:17">
      <c r="P225" t="s">
        <v>1861</v>
      </c>
      <c r="Q225" s="569">
        <v>8</v>
      </c>
    </row>
    <row r="226" spans="16:17">
      <c r="P226" t="s">
        <v>1864</v>
      </c>
      <c r="Q226" s="569">
        <v>8</v>
      </c>
    </row>
    <row r="227" spans="16:17">
      <c r="P227" t="s">
        <v>1865</v>
      </c>
      <c r="Q227" s="569">
        <v>8</v>
      </c>
    </row>
    <row r="228" spans="16:17">
      <c r="P228" t="s">
        <v>1871</v>
      </c>
      <c r="Q228" s="569">
        <v>8</v>
      </c>
    </row>
    <row r="229" spans="16:17">
      <c r="P229" t="s">
        <v>1872</v>
      </c>
      <c r="Q229" s="569">
        <v>8</v>
      </c>
    </row>
    <row r="230" spans="16:17">
      <c r="P230" t="s">
        <v>1873</v>
      </c>
      <c r="Q230" s="569">
        <v>8</v>
      </c>
    </row>
    <row r="231" spans="16:17">
      <c r="P231" t="s">
        <v>1874</v>
      </c>
      <c r="Q231" s="569">
        <v>8</v>
      </c>
    </row>
    <row r="232" spans="16:17">
      <c r="P232" t="s">
        <v>1875</v>
      </c>
      <c r="Q232" s="569">
        <v>8</v>
      </c>
    </row>
    <row r="233" spans="16:17">
      <c r="P233" t="s">
        <v>1876</v>
      </c>
      <c r="Q233" s="569">
        <v>8</v>
      </c>
    </row>
    <row r="234" spans="16:17">
      <c r="P234" t="s">
        <v>1877</v>
      </c>
      <c r="Q234" s="569">
        <v>8</v>
      </c>
    </row>
    <row r="235" spans="16:17">
      <c r="P235" t="s">
        <v>1878</v>
      </c>
      <c r="Q235" s="569">
        <v>8</v>
      </c>
    </row>
    <row r="236" spans="16:17">
      <c r="P236" t="s">
        <v>1879</v>
      </c>
      <c r="Q236" s="569">
        <v>8</v>
      </c>
    </row>
    <row r="237" spans="16:17">
      <c r="P237" t="s">
        <v>1880</v>
      </c>
      <c r="Q237" s="569">
        <v>8</v>
      </c>
    </row>
    <row r="238" spans="16:17">
      <c r="P238" t="s">
        <v>1884</v>
      </c>
      <c r="Q238" s="569">
        <v>8</v>
      </c>
    </row>
    <row r="239" spans="16:17">
      <c r="P239" t="s">
        <v>1885</v>
      </c>
      <c r="Q239" s="569">
        <v>8</v>
      </c>
    </row>
    <row r="240" spans="16:17">
      <c r="P240" t="s">
        <v>1637</v>
      </c>
      <c r="Q240" s="569">
        <v>9</v>
      </c>
    </row>
    <row r="241" spans="16:17">
      <c r="P241" t="s">
        <v>1639</v>
      </c>
      <c r="Q241" s="569">
        <v>9</v>
      </c>
    </row>
    <row r="242" spans="16:17">
      <c r="P242" t="s">
        <v>1640</v>
      </c>
      <c r="Q242" s="569">
        <v>9</v>
      </c>
    </row>
    <row r="243" spans="16:17">
      <c r="P243" t="s">
        <v>1641</v>
      </c>
      <c r="Q243" s="569">
        <v>9</v>
      </c>
    </row>
    <row r="244" spans="16:17">
      <c r="P244" t="s">
        <v>1642</v>
      </c>
      <c r="Q244" s="569">
        <v>9</v>
      </c>
    </row>
    <row r="245" spans="16:17">
      <c r="P245" t="s">
        <v>1643</v>
      </c>
      <c r="Q245" s="569">
        <v>9</v>
      </c>
    </row>
    <row r="246" spans="16:17">
      <c r="P246" t="s">
        <v>1644</v>
      </c>
      <c r="Q246" s="569">
        <v>9</v>
      </c>
    </row>
    <row r="247" spans="16:17">
      <c r="P247" t="s">
        <v>1645</v>
      </c>
      <c r="Q247" s="569">
        <v>9</v>
      </c>
    </row>
    <row r="248" spans="16:17">
      <c r="P248" t="s">
        <v>1646</v>
      </c>
      <c r="Q248" s="569">
        <v>9</v>
      </c>
    </row>
    <row r="249" spans="16:17">
      <c r="P249" t="s">
        <v>1647</v>
      </c>
      <c r="Q249" s="569">
        <v>9</v>
      </c>
    </row>
    <row r="250" spans="16:17">
      <c r="P250" t="s">
        <v>1648</v>
      </c>
      <c r="Q250" s="569">
        <v>9</v>
      </c>
    </row>
    <row r="251" spans="16:17">
      <c r="P251" t="s">
        <v>1649</v>
      </c>
      <c r="Q251" s="569">
        <v>9</v>
      </c>
    </row>
    <row r="252" spans="16:17">
      <c r="P252" t="s">
        <v>1650</v>
      </c>
      <c r="Q252" s="569">
        <v>9</v>
      </c>
    </row>
    <row r="253" spans="16:17">
      <c r="P253" t="s">
        <v>1651</v>
      </c>
      <c r="Q253" s="569">
        <v>9</v>
      </c>
    </row>
    <row r="254" spans="16:17">
      <c r="P254" t="s">
        <v>1652</v>
      </c>
      <c r="Q254" s="569">
        <v>9</v>
      </c>
    </row>
    <row r="255" spans="16:17">
      <c r="P255" t="s">
        <v>1653</v>
      </c>
      <c r="Q255" s="569">
        <v>9</v>
      </c>
    </row>
    <row r="256" spans="16:17">
      <c r="P256" t="s">
        <v>1654</v>
      </c>
      <c r="Q256" s="569">
        <v>9</v>
      </c>
    </row>
    <row r="257" spans="16:17">
      <c r="P257" t="s">
        <v>1655</v>
      </c>
      <c r="Q257" s="569">
        <v>9</v>
      </c>
    </row>
    <row r="258" spans="16:17">
      <c r="P258" t="s">
        <v>1656</v>
      </c>
      <c r="Q258" s="569">
        <v>9</v>
      </c>
    </row>
    <row r="259" spans="16:17">
      <c r="P259" t="s">
        <v>1657</v>
      </c>
      <c r="Q259" s="569">
        <v>9</v>
      </c>
    </row>
    <row r="260" spans="16:17">
      <c r="P260" t="s">
        <v>1658</v>
      </c>
      <c r="Q260" s="569">
        <v>9</v>
      </c>
    </row>
    <row r="261" spans="16:17">
      <c r="P261" t="s">
        <v>1660</v>
      </c>
      <c r="Q261" s="569">
        <v>9</v>
      </c>
    </row>
    <row r="262" spans="16:17">
      <c r="P262" t="s">
        <v>1661</v>
      </c>
      <c r="Q262" s="569">
        <v>9</v>
      </c>
    </row>
    <row r="263" spans="16:17">
      <c r="P263" t="s">
        <v>1663</v>
      </c>
      <c r="Q263" s="569">
        <v>9</v>
      </c>
    </row>
    <row r="264" spans="16:17">
      <c r="P264" t="s">
        <v>1664</v>
      </c>
      <c r="Q264" s="569">
        <v>9</v>
      </c>
    </row>
    <row r="265" spans="16:17">
      <c r="P265" t="s">
        <v>1665</v>
      </c>
      <c r="Q265" s="569">
        <v>9</v>
      </c>
    </row>
    <row r="266" spans="16:17">
      <c r="P266" t="s">
        <v>1666</v>
      </c>
      <c r="Q266" s="569">
        <v>9</v>
      </c>
    </row>
    <row r="267" spans="16:17">
      <c r="P267" t="s">
        <v>1667</v>
      </c>
      <c r="Q267" s="569">
        <v>9</v>
      </c>
    </row>
    <row r="268" spans="16:17">
      <c r="P268" t="s">
        <v>1668</v>
      </c>
      <c r="Q268" s="569">
        <v>9</v>
      </c>
    </row>
    <row r="269" spans="16:17">
      <c r="P269" t="s">
        <v>1669</v>
      </c>
      <c r="Q269" s="569">
        <v>9</v>
      </c>
    </row>
    <row r="270" spans="16:17">
      <c r="P270" t="s">
        <v>1671</v>
      </c>
      <c r="Q270" s="569">
        <v>9</v>
      </c>
    </row>
    <row r="271" spans="16:17">
      <c r="P271" t="s">
        <v>1672</v>
      </c>
      <c r="Q271" s="569">
        <v>9</v>
      </c>
    </row>
    <row r="272" spans="16:17">
      <c r="P272" t="s">
        <v>1601</v>
      </c>
      <c r="Q272" s="569">
        <v>10</v>
      </c>
    </row>
    <row r="273" spans="16:17">
      <c r="P273" t="s">
        <v>1607</v>
      </c>
      <c r="Q273" s="569">
        <v>10</v>
      </c>
    </row>
    <row r="274" spans="16:17">
      <c r="P274" t="s">
        <v>1610</v>
      </c>
      <c r="Q274" s="569">
        <v>10</v>
      </c>
    </row>
    <row r="275" spans="16:17">
      <c r="P275" t="s">
        <v>1612</v>
      </c>
      <c r="Q275" s="569">
        <v>10</v>
      </c>
    </row>
    <row r="276" spans="16:17">
      <c r="P276" t="s">
        <v>1613</v>
      </c>
      <c r="Q276" s="569">
        <v>10</v>
      </c>
    </row>
    <row r="277" spans="16:17">
      <c r="P277" t="s">
        <v>1615</v>
      </c>
      <c r="Q277" s="569">
        <v>10</v>
      </c>
    </row>
    <row r="278" spans="16:17">
      <c r="P278" t="s">
        <v>1617</v>
      </c>
      <c r="Q278" s="569">
        <v>10</v>
      </c>
    </row>
    <row r="279" spans="16:17">
      <c r="P279" t="s">
        <v>1619</v>
      </c>
      <c r="Q279" s="569">
        <v>10</v>
      </c>
    </row>
    <row r="280" spans="16:17">
      <c r="P280" t="s">
        <v>1620</v>
      </c>
      <c r="Q280" s="569">
        <v>10</v>
      </c>
    </row>
    <row r="281" spans="16:17">
      <c r="P281" t="s">
        <v>1621</v>
      </c>
      <c r="Q281" s="569">
        <v>10</v>
      </c>
    </row>
    <row r="282" spans="16:17">
      <c r="P282" t="s">
        <v>1622</v>
      </c>
      <c r="Q282" s="569">
        <v>10</v>
      </c>
    </row>
    <row r="283" spans="16:17">
      <c r="P283" t="s">
        <v>1623</v>
      </c>
      <c r="Q283" s="569">
        <v>10</v>
      </c>
    </row>
    <row r="284" spans="16:17">
      <c r="P284" t="s">
        <v>1625</v>
      </c>
      <c r="Q284" s="569">
        <v>10</v>
      </c>
    </row>
    <row r="285" spans="16:17">
      <c r="P285" t="s">
        <v>1627</v>
      </c>
      <c r="Q285" s="569">
        <v>10</v>
      </c>
    </row>
    <row r="286" spans="16:17">
      <c r="P286" t="s">
        <v>1628</v>
      </c>
      <c r="Q286" s="569">
        <v>10</v>
      </c>
    </row>
    <row r="287" spans="16:17">
      <c r="P287" t="s">
        <v>1630</v>
      </c>
      <c r="Q287" s="569">
        <v>10</v>
      </c>
    </row>
    <row r="288" spans="16:17">
      <c r="P288" t="s">
        <v>1632</v>
      </c>
      <c r="Q288" s="569">
        <v>10</v>
      </c>
    </row>
    <row r="289" spans="16:17">
      <c r="P289" t="s">
        <v>1633</v>
      </c>
      <c r="Q289" s="569">
        <v>10</v>
      </c>
    </row>
    <row r="290" spans="16:17">
      <c r="P290" t="s">
        <v>1635</v>
      </c>
      <c r="Q290" s="569">
        <v>10</v>
      </c>
    </row>
    <row r="291" spans="16:17">
      <c r="P291" t="s">
        <v>1673</v>
      </c>
      <c r="Q291" s="569">
        <v>10</v>
      </c>
    </row>
    <row r="292" spans="16:17">
      <c r="P292" t="s">
        <v>1674</v>
      </c>
      <c r="Q292" s="569">
        <v>10</v>
      </c>
    </row>
    <row r="293" spans="16:17">
      <c r="P293" t="s">
        <v>1675</v>
      </c>
      <c r="Q293" s="569">
        <v>10</v>
      </c>
    </row>
    <row r="294" spans="16:17">
      <c r="P294" t="s">
        <v>1676</v>
      </c>
      <c r="Q294" s="569">
        <v>10</v>
      </c>
    </row>
    <row r="295" spans="16:17">
      <c r="P295" t="s">
        <v>1677</v>
      </c>
      <c r="Q295" s="569">
        <v>10</v>
      </c>
    </row>
    <row r="296" spans="16:17">
      <c r="P296" t="s">
        <v>1679</v>
      </c>
      <c r="Q296" s="569">
        <v>10</v>
      </c>
    </row>
    <row r="297" spans="16:17">
      <c r="P297" t="s">
        <v>1682</v>
      </c>
      <c r="Q297" s="569">
        <v>10</v>
      </c>
    </row>
    <row r="298" spans="16:17">
      <c r="P298" t="s">
        <v>1683</v>
      </c>
      <c r="Q298" s="569">
        <v>10</v>
      </c>
    </row>
    <row r="299" spans="16:17">
      <c r="P299" t="s">
        <v>1684</v>
      </c>
      <c r="Q299" s="569">
        <v>10</v>
      </c>
    </row>
    <row r="300" spans="16:17">
      <c r="P300" t="s">
        <v>1685</v>
      </c>
      <c r="Q300" s="569">
        <v>10</v>
      </c>
    </row>
    <row r="301" spans="16:17">
      <c r="P301" t="s">
        <v>1686</v>
      </c>
      <c r="Q301" s="569">
        <v>10</v>
      </c>
    </row>
    <row r="302" spans="16:17">
      <c r="P302" t="s">
        <v>1687</v>
      </c>
      <c r="Q302" s="569">
        <v>10</v>
      </c>
    </row>
    <row r="303" spans="16:17">
      <c r="P303" t="s">
        <v>1688</v>
      </c>
      <c r="Q303" s="569">
        <v>10</v>
      </c>
    </row>
    <row r="304" spans="16:17">
      <c r="P304" t="s">
        <v>1689</v>
      </c>
      <c r="Q304" s="569">
        <v>10</v>
      </c>
    </row>
    <row r="305" spans="16:17">
      <c r="P305" t="s">
        <v>1690</v>
      </c>
      <c r="Q305" s="569">
        <v>10</v>
      </c>
    </row>
    <row r="306" spans="16:17">
      <c r="P306" t="s">
        <v>1691</v>
      </c>
      <c r="Q306" s="569">
        <v>10</v>
      </c>
    </row>
    <row r="307" spans="16:17">
      <c r="P307" t="s">
        <v>1692</v>
      </c>
      <c r="Q307" s="569">
        <v>10</v>
      </c>
    </row>
    <row r="308" spans="16:17">
      <c r="P308" t="s">
        <v>1693</v>
      </c>
      <c r="Q308" s="569">
        <v>10</v>
      </c>
    </row>
    <row r="309" spans="16:17">
      <c r="P309" t="s">
        <v>1694</v>
      </c>
      <c r="Q309" s="569">
        <v>10</v>
      </c>
    </row>
    <row r="310" spans="16:17">
      <c r="P310" t="s">
        <v>1695</v>
      </c>
      <c r="Q310" s="569">
        <v>10</v>
      </c>
    </row>
    <row r="311" spans="16:17">
      <c r="P311" t="s">
        <v>1696</v>
      </c>
      <c r="Q311" s="569">
        <v>10</v>
      </c>
    </row>
    <row r="312" spans="16:17">
      <c r="P312" t="s">
        <v>1697</v>
      </c>
      <c r="Q312" s="569">
        <v>10</v>
      </c>
    </row>
    <row r="313" spans="16:17">
      <c r="P313" t="s">
        <v>1698</v>
      </c>
      <c r="Q313" s="569">
        <v>10</v>
      </c>
    </row>
    <row r="314" spans="16:17">
      <c r="P314" t="s">
        <v>1699</v>
      </c>
      <c r="Q314" s="569">
        <v>10</v>
      </c>
    </row>
    <row r="315" spans="16:17">
      <c r="P315" t="s">
        <v>1700</v>
      </c>
      <c r="Q315" s="569">
        <v>10</v>
      </c>
    </row>
    <row r="316" spans="16:17">
      <c r="P316" t="s">
        <v>1701</v>
      </c>
      <c r="Q316" s="569">
        <v>10</v>
      </c>
    </row>
    <row r="317" spans="16:17">
      <c r="P317" t="s">
        <v>1702</v>
      </c>
      <c r="Q317" s="569">
        <v>10</v>
      </c>
    </row>
    <row r="318" spans="16:17">
      <c r="P318" t="s">
        <v>1703</v>
      </c>
      <c r="Q318" s="569">
        <v>10</v>
      </c>
    </row>
    <row r="319" spans="16:17">
      <c r="P319" t="s">
        <v>1704</v>
      </c>
      <c r="Q319" s="569">
        <v>10</v>
      </c>
    </row>
    <row r="320" spans="16:17">
      <c r="P320" t="s">
        <v>1705</v>
      </c>
      <c r="Q320" s="569">
        <v>10</v>
      </c>
    </row>
    <row r="321" spans="16:17">
      <c r="P321" t="s">
        <v>1706</v>
      </c>
      <c r="Q321" s="569">
        <v>10</v>
      </c>
    </row>
    <row r="322" spans="16:17">
      <c r="P322" t="s">
        <v>1707</v>
      </c>
      <c r="Q322" s="569">
        <v>10</v>
      </c>
    </row>
    <row r="323" spans="16:17">
      <c r="P323" t="s">
        <v>1708</v>
      </c>
      <c r="Q323" s="569">
        <v>10</v>
      </c>
    </row>
    <row r="324" spans="16:17">
      <c r="P324" t="s">
        <v>1709</v>
      </c>
      <c r="Q324" s="569">
        <v>10</v>
      </c>
    </row>
    <row r="325" spans="16:17">
      <c r="P325" t="s">
        <v>1710</v>
      </c>
      <c r="Q325" s="569">
        <v>10</v>
      </c>
    </row>
    <row r="326" spans="16:17">
      <c r="P326" t="s">
        <v>1711</v>
      </c>
      <c r="Q326" s="569">
        <v>10</v>
      </c>
    </row>
    <row r="327" spans="16:17">
      <c r="P327" t="s">
        <v>1712</v>
      </c>
      <c r="Q327" s="569">
        <v>10</v>
      </c>
    </row>
    <row r="328" spans="16:17">
      <c r="P328" t="s">
        <v>1713</v>
      </c>
      <c r="Q328" s="569">
        <v>10</v>
      </c>
    </row>
    <row r="329" spans="16:17">
      <c r="P329" t="s">
        <v>1714</v>
      </c>
      <c r="Q329" s="569">
        <v>10</v>
      </c>
    </row>
    <row r="330" spans="16:17">
      <c r="P330" t="s">
        <v>1715</v>
      </c>
      <c r="Q330" s="569">
        <v>10</v>
      </c>
    </row>
    <row r="331" spans="16:17">
      <c r="P331" t="s">
        <v>1716</v>
      </c>
      <c r="Q331" s="569">
        <v>10</v>
      </c>
    </row>
    <row r="332" spans="16:17">
      <c r="P332" t="s">
        <v>1717</v>
      </c>
      <c r="Q332" s="569">
        <v>10</v>
      </c>
    </row>
    <row r="333" spans="16:17">
      <c r="P333" t="s">
        <v>1718</v>
      </c>
      <c r="Q333" s="569">
        <v>10</v>
      </c>
    </row>
    <row r="334" spans="16:17">
      <c r="P334" t="s">
        <v>1719</v>
      </c>
      <c r="Q334" s="569">
        <v>10</v>
      </c>
    </row>
    <row r="335" spans="16:17">
      <c r="P335" t="s">
        <v>1720</v>
      </c>
      <c r="Q335" s="569">
        <v>10</v>
      </c>
    </row>
    <row r="336" spans="16:17">
      <c r="P336" t="s">
        <v>1721</v>
      </c>
      <c r="Q336" s="569">
        <v>10</v>
      </c>
    </row>
    <row r="337" spans="16:17">
      <c r="P337" t="s">
        <v>1722</v>
      </c>
      <c r="Q337" s="569">
        <v>10</v>
      </c>
    </row>
    <row r="338" spans="16:17">
      <c r="P338" t="s">
        <v>1723</v>
      </c>
      <c r="Q338" s="569">
        <v>10</v>
      </c>
    </row>
    <row r="339" spans="16:17">
      <c r="P339" t="s">
        <v>1724</v>
      </c>
      <c r="Q339" s="569">
        <v>10</v>
      </c>
    </row>
    <row r="340" spans="16:17">
      <c r="P340" t="s">
        <v>1725</v>
      </c>
      <c r="Q340" s="569">
        <v>10</v>
      </c>
    </row>
    <row r="341" spans="16:17">
      <c r="P341" t="s">
        <v>1726</v>
      </c>
      <c r="Q341" s="569">
        <v>10</v>
      </c>
    </row>
    <row r="342" spans="16:17">
      <c r="P342" t="s">
        <v>1727</v>
      </c>
      <c r="Q342" s="569">
        <v>10</v>
      </c>
    </row>
    <row r="343" spans="16:17">
      <c r="P343" t="s">
        <v>1728</v>
      </c>
      <c r="Q343" s="569">
        <v>10</v>
      </c>
    </row>
    <row r="344" spans="16:17">
      <c r="P344" t="s">
        <v>1729</v>
      </c>
      <c r="Q344" s="569">
        <v>10</v>
      </c>
    </row>
    <row r="345" spans="16:17">
      <c r="P345" t="s">
        <v>1730</v>
      </c>
      <c r="Q345" s="569">
        <v>10</v>
      </c>
    </row>
    <row r="346" spans="16:17">
      <c r="P346" t="s">
        <v>1731</v>
      </c>
      <c r="Q346" s="569">
        <v>10</v>
      </c>
    </row>
    <row r="347" spans="16:17">
      <c r="P347" t="s">
        <v>1732</v>
      </c>
      <c r="Q347" s="569">
        <v>10</v>
      </c>
    </row>
    <row r="348" spans="16:17">
      <c r="P348" t="s">
        <v>1733</v>
      </c>
      <c r="Q348" s="569">
        <v>10</v>
      </c>
    </row>
    <row r="349" spans="16:17">
      <c r="P349" t="s">
        <v>1734</v>
      </c>
      <c r="Q349" s="569">
        <v>10</v>
      </c>
    </row>
    <row r="350" spans="16:17">
      <c r="P350" t="s">
        <v>1735</v>
      </c>
      <c r="Q350" s="569">
        <v>10</v>
      </c>
    </row>
    <row r="351" spans="16:17">
      <c r="P351" t="s">
        <v>1736</v>
      </c>
      <c r="Q351" s="569">
        <v>10</v>
      </c>
    </row>
    <row r="352" spans="16:17">
      <c r="P352" t="s">
        <v>1737</v>
      </c>
      <c r="Q352" s="569">
        <v>10</v>
      </c>
    </row>
    <row r="353" spans="16:17">
      <c r="P353" t="s">
        <v>1738</v>
      </c>
      <c r="Q353" s="569">
        <v>10</v>
      </c>
    </row>
    <row r="354" spans="16:17">
      <c r="P354" t="s">
        <v>1739</v>
      </c>
      <c r="Q354" s="569">
        <v>10</v>
      </c>
    </row>
    <row r="355" spans="16:17">
      <c r="P355" t="s">
        <v>1740</v>
      </c>
      <c r="Q355" s="569">
        <v>10</v>
      </c>
    </row>
    <row r="356" spans="16:17">
      <c r="P356" t="s">
        <v>1741</v>
      </c>
      <c r="Q356" s="569">
        <v>10</v>
      </c>
    </row>
    <row r="357" spans="16:17">
      <c r="P357" t="s">
        <v>1742</v>
      </c>
      <c r="Q357" s="569">
        <v>10</v>
      </c>
    </row>
    <row r="358" spans="16:17">
      <c r="P358" t="s">
        <v>1743</v>
      </c>
      <c r="Q358" s="569">
        <v>10</v>
      </c>
    </row>
    <row r="359" spans="16:17">
      <c r="P359" t="s">
        <v>1744</v>
      </c>
      <c r="Q359" s="569">
        <v>10</v>
      </c>
    </row>
    <row r="360" spans="16:17">
      <c r="P360" t="s">
        <v>1745</v>
      </c>
      <c r="Q360" s="569">
        <v>10</v>
      </c>
    </row>
    <row r="361" spans="16:17">
      <c r="P361" t="s">
        <v>1746</v>
      </c>
      <c r="Q361" s="569">
        <v>10</v>
      </c>
    </row>
    <row r="362" spans="16:17">
      <c r="P362" t="s">
        <v>1747</v>
      </c>
      <c r="Q362" s="569">
        <v>10</v>
      </c>
    </row>
    <row r="363" spans="16:17">
      <c r="P363" t="s">
        <v>1748</v>
      </c>
      <c r="Q363" s="569">
        <v>10</v>
      </c>
    </row>
    <row r="364" spans="16:17">
      <c r="P364" t="s">
        <v>1749</v>
      </c>
      <c r="Q364" s="569">
        <v>10</v>
      </c>
    </row>
    <row r="365" spans="16:17">
      <c r="P365" t="s">
        <v>1750</v>
      </c>
      <c r="Q365" s="569">
        <v>10</v>
      </c>
    </row>
    <row r="366" spans="16:17">
      <c r="P366" t="s">
        <v>1751</v>
      </c>
      <c r="Q366" s="569">
        <v>10</v>
      </c>
    </row>
    <row r="367" spans="16:17">
      <c r="P367" t="s">
        <v>1752</v>
      </c>
      <c r="Q367" s="569">
        <v>10</v>
      </c>
    </row>
    <row r="368" spans="16:17">
      <c r="P368" t="s">
        <v>1753</v>
      </c>
      <c r="Q368" s="569">
        <v>10</v>
      </c>
    </row>
    <row r="369" spans="16:17">
      <c r="P369" t="s">
        <v>1754</v>
      </c>
      <c r="Q369" s="569">
        <v>10</v>
      </c>
    </row>
    <row r="370" spans="16:17">
      <c r="P370" t="s">
        <v>1755</v>
      </c>
      <c r="Q370" s="569">
        <v>10</v>
      </c>
    </row>
    <row r="371" spans="16:17">
      <c r="P371" t="s">
        <v>1756</v>
      </c>
      <c r="Q371" s="569">
        <v>10</v>
      </c>
    </row>
    <row r="372" spans="16:17">
      <c r="P372" t="s">
        <v>1757</v>
      </c>
      <c r="Q372" s="569">
        <v>10</v>
      </c>
    </row>
    <row r="373" spans="16:17">
      <c r="P373" t="s">
        <v>1758</v>
      </c>
      <c r="Q373" s="569">
        <v>10</v>
      </c>
    </row>
    <row r="374" spans="16:17">
      <c r="P374" t="s">
        <v>1759</v>
      </c>
      <c r="Q374" s="569">
        <v>10</v>
      </c>
    </row>
    <row r="375" spans="16:17">
      <c r="P375" t="s">
        <v>2857</v>
      </c>
      <c r="Q375" s="569">
        <v>11</v>
      </c>
    </row>
    <row r="376" spans="16:17">
      <c r="P376" t="s">
        <v>2862</v>
      </c>
      <c r="Q376" s="569">
        <v>11</v>
      </c>
    </row>
    <row r="377" spans="16:17">
      <c r="P377" t="s">
        <v>2864</v>
      </c>
      <c r="Q377" s="569">
        <v>11</v>
      </c>
    </row>
    <row r="378" spans="16:17">
      <c r="P378" t="s">
        <v>2865</v>
      </c>
      <c r="Q378" s="569">
        <v>11</v>
      </c>
    </row>
    <row r="379" spans="16:17">
      <c r="P379" t="s">
        <v>2866</v>
      </c>
      <c r="Q379" s="569">
        <v>11</v>
      </c>
    </row>
    <row r="380" spans="16:17">
      <c r="P380" t="s">
        <v>2867</v>
      </c>
      <c r="Q380" s="569">
        <v>11</v>
      </c>
    </row>
    <row r="381" spans="16:17">
      <c r="P381" t="s">
        <v>2868</v>
      </c>
      <c r="Q381" s="569">
        <v>11</v>
      </c>
    </row>
    <row r="382" spans="16:17">
      <c r="P382" t="s">
        <v>2869</v>
      </c>
      <c r="Q382" s="569">
        <v>11</v>
      </c>
    </row>
    <row r="383" spans="16:17">
      <c r="P383" t="s">
        <v>2870</v>
      </c>
      <c r="Q383" s="569">
        <v>11</v>
      </c>
    </row>
    <row r="384" spans="16:17">
      <c r="P384" t="s">
        <v>2871</v>
      </c>
      <c r="Q384" s="569">
        <v>11</v>
      </c>
    </row>
    <row r="385" spans="16:17">
      <c r="P385" t="s">
        <v>2873</v>
      </c>
      <c r="Q385" s="569">
        <v>11</v>
      </c>
    </row>
    <row r="386" spans="16:17">
      <c r="P386" t="s">
        <v>2875</v>
      </c>
      <c r="Q386" s="569">
        <v>11</v>
      </c>
    </row>
    <row r="387" spans="16:17">
      <c r="P387" t="s">
        <v>2877</v>
      </c>
      <c r="Q387" s="569">
        <v>11</v>
      </c>
    </row>
    <row r="388" spans="16:17">
      <c r="P388" t="s">
        <v>2879</v>
      </c>
      <c r="Q388" s="569">
        <v>11</v>
      </c>
    </row>
    <row r="389" spans="16:17">
      <c r="P389" t="s">
        <v>2880</v>
      </c>
      <c r="Q389" s="569">
        <v>11</v>
      </c>
    </row>
    <row r="390" spans="16:17">
      <c r="P390" t="s">
        <v>2881</v>
      </c>
      <c r="Q390" s="569">
        <v>11</v>
      </c>
    </row>
    <row r="391" spans="16:17">
      <c r="P391" t="s">
        <v>2882</v>
      </c>
      <c r="Q391" s="569">
        <v>11</v>
      </c>
    </row>
    <row r="392" spans="16:17">
      <c r="P392" t="s">
        <v>2883</v>
      </c>
      <c r="Q392" s="569">
        <v>11</v>
      </c>
    </row>
    <row r="393" spans="16:17">
      <c r="P393" t="s">
        <v>2885</v>
      </c>
      <c r="Q393" s="569">
        <v>11</v>
      </c>
    </row>
    <row r="394" spans="16:17">
      <c r="P394" t="s">
        <v>2886</v>
      </c>
      <c r="Q394" s="569">
        <v>11</v>
      </c>
    </row>
    <row r="395" spans="16:17">
      <c r="P395" t="s">
        <v>2887</v>
      </c>
      <c r="Q395" s="569">
        <v>11</v>
      </c>
    </row>
    <row r="396" spans="16:17">
      <c r="P396" t="s">
        <v>2888</v>
      </c>
      <c r="Q396" s="569">
        <v>11</v>
      </c>
    </row>
    <row r="397" spans="16:17">
      <c r="P397" t="s">
        <v>2889</v>
      </c>
      <c r="Q397" s="569">
        <v>11</v>
      </c>
    </row>
    <row r="398" spans="16:17">
      <c r="P398" t="s">
        <v>2890</v>
      </c>
      <c r="Q398" s="569">
        <v>11</v>
      </c>
    </row>
    <row r="399" spans="16:17">
      <c r="P399" t="s">
        <v>2891</v>
      </c>
      <c r="Q399" s="569">
        <v>11</v>
      </c>
    </row>
    <row r="400" spans="16:17">
      <c r="P400" t="s">
        <v>2892</v>
      </c>
      <c r="Q400" s="569">
        <v>11</v>
      </c>
    </row>
    <row r="401" spans="16:17">
      <c r="P401" t="s">
        <v>2893</v>
      </c>
      <c r="Q401" s="569">
        <v>11</v>
      </c>
    </row>
    <row r="402" spans="16:17">
      <c r="P402" t="s">
        <v>2896</v>
      </c>
      <c r="Q402" s="569">
        <v>11</v>
      </c>
    </row>
    <row r="403" spans="16:17">
      <c r="P403" t="s">
        <v>2897</v>
      </c>
      <c r="Q403" s="569">
        <v>11</v>
      </c>
    </row>
    <row r="404" spans="16:17">
      <c r="P404" t="s">
        <v>2898</v>
      </c>
      <c r="Q404" s="569">
        <v>11</v>
      </c>
    </row>
    <row r="405" spans="16:17">
      <c r="P405" t="s">
        <v>2899</v>
      </c>
      <c r="Q405" s="569">
        <v>11</v>
      </c>
    </row>
    <row r="406" spans="16:17">
      <c r="P406" t="s">
        <v>2900</v>
      </c>
      <c r="Q406" s="569">
        <v>11</v>
      </c>
    </row>
    <row r="407" spans="16:17">
      <c r="P407" t="s">
        <v>2901</v>
      </c>
      <c r="Q407" s="569">
        <v>11</v>
      </c>
    </row>
    <row r="408" spans="16:17">
      <c r="P408" t="s">
        <v>2902</v>
      </c>
      <c r="Q408" s="569">
        <v>11</v>
      </c>
    </row>
    <row r="409" spans="16:17">
      <c r="P409" t="s">
        <v>2903</v>
      </c>
      <c r="Q409" s="569">
        <v>11</v>
      </c>
    </row>
    <row r="410" spans="16:17">
      <c r="P410" t="s">
        <v>2904</v>
      </c>
      <c r="Q410" s="569">
        <v>11</v>
      </c>
    </row>
    <row r="411" spans="16:17">
      <c r="P411" t="s">
        <v>2905</v>
      </c>
      <c r="Q411" s="569">
        <v>11</v>
      </c>
    </row>
    <row r="412" spans="16:17">
      <c r="P412" t="s">
        <v>2906</v>
      </c>
      <c r="Q412" s="569">
        <v>11</v>
      </c>
    </row>
    <row r="413" spans="16:17">
      <c r="P413" t="s">
        <v>2907</v>
      </c>
      <c r="Q413" s="569">
        <v>11</v>
      </c>
    </row>
    <row r="414" spans="16:17">
      <c r="P414" t="s">
        <v>2908</v>
      </c>
      <c r="Q414" s="569">
        <v>11</v>
      </c>
    </row>
    <row r="415" spans="16:17">
      <c r="P415" t="s">
        <v>2909</v>
      </c>
      <c r="Q415" s="569">
        <v>11</v>
      </c>
    </row>
    <row r="416" spans="16:17">
      <c r="P416" t="s">
        <v>2910</v>
      </c>
      <c r="Q416" s="569">
        <v>11</v>
      </c>
    </row>
    <row r="417" spans="16:17">
      <c r="P417" t="s">
        <v>2911</v>
      </c>
      <c r="Q417" s="569">
        <v>11</v>
      </c>
    </row>
    <row r="418" spans="16:17">
      <c r="P418" t="s">
        <v>2912</v>
      </c>
      <c r="Q418" s="569">
        <v>11</v>
      </c>
    </row>
    <row r="419" spans="16:17">
      <c r="P419" t="s">
        <v>2913</v>
      </c>
      <c r="Q419" s="569">
        <v>11</v>
      </c>
    </row>
    <row r="420" spans="16:17">
      <c r="P420" t="s">
        <v>2914</v>
      </c>
      <c r="Q420" s="569">
        <v>11</v>
      </c>
    </row>
    <row r="421" spans="16:17">
      <c r="P421" t="s">
        <v>2915</v>
      </c>
      <c r="Q421" s="569">
        <v>11</v>
      </c>
    </row>
    <row r="422" spans="16:17">
      <c r="P422" t="s">
        <v>2916</v>
      </c>
      <c r="Q422" s="569">
        <v>11</v>
      </c>
    </row>
    <row r="423" spans="16:17">
      <c r="P423" t="s">
        <v>2917</v>
      </c>
      <c r="Q423" s="569">
        <v>11</v>
      </c>
    </row>
    <row r="424" spans="16:17">
      <c r="P424" t="s">
        <v>2919</v>
      </c>
      <c r="Q424" s="569">
        <v>11</v>
      </c>
    </row>
    <row r="425" spans="16:17">
      <c r="P425" t="s">
        <v>2962</v>
      </c>
      <c r="Q425" s="569">
        <v>11</v>
      </c>
    </row>
    <row r="426" spans="16:17">
      <c r="P426" t="s">
        <v>2963</v>
      </c>
      <c r="Q426" s="569">
        <v>11</v>
      </c>
    </row>
    <row r="427" spans="16:17">
      <c r="P427" t="s">
        <v>2966</v>
      </c>
      <c r="Q427" s="569">
        <v>11</v>
      </c>
    </row>
    <row r="428" spans="16:17">
      <c r="P428" t="s">
        <v>3032</v>
      </c>
      <c r="Q428" s="569">
        <v>11</v>
      </c>
    </row>
    <row r="429" spans="16:17">
      <c r="P429" t="s">
        <v>3033</v>
      </c>
      <c r="Q429" s="569">
        <v>11</v>
      </c>
    </row>
    <row r="430" spans="16:17">
      <c r="P430" t="s">
        <v>3034</v>
      </c>
      <c r="Q430" s="569">
        <v>11</v>
      </c>
    </row>
    <row r="431" spans="16:17">
      <c r="P431" t="s">
        <v>3051</v>
      </c>
      <c r="Q431" s="569">
        <v>11</v>
      </c>
    </row>
    <row r="432" spans="16:17">
      <c r="P432" t="s">
        <v>3052</v>
      </c>
      <c r="Q432" s="569">
        <v>11</v>
      </c>
    </row>
    <row r="433" spans="16:17">
      <c r="P433" t="s">
        <v>3053</v>
      </c>
      <c r="Q433" s="569">
        <v>11</v>
      </c>
    </row>
    <row r="434" spans="16:17">
      <c r="P434" t="s">
        <v>3054</v>
      </c>
      <c r="Q434" s="569">
        <v>11</v>
      </c>
    </row>
    <row r="435" spans="16:17">
      <c r="P435" t="s">
        <v>3055</v>
      </c>
      <c r="Q435" s="569">
        <v>11</v>
      </c>
    </row>
    <row r="436" spans="16:17">
      <c r="P436" t="s">
        <v>3056</v>
      </c>
      <c r="Q436" s="569">
        <v>11</v>
      </c>
    </row>
    <row r="437" spans="16:17">
      <c r="P437" t="s">
        <v>3057</v>
      </c>
      <c r="Q437" s="569">
        <v>11</v>
      </c>
    </row>
    <row r="438" spans="16:17">
      <c r="P438" t="s">
        <v>3058</v>
      </c>
      <c r="Q438" s="569">
        <v>11</v>
      </c>
    </row>
    <row r="439" spans="16:17">
      <c r="P439" t="s">
        <v>3059</v>
      </c>
      <c r="Q439" s="569">
        <v>11</v>
      </c>
    </row>
    <row r="440" spans="16:17">
      <c r="P440" t="s">
        <v>3060</v>
      </c>
      <c r="Q440" s="569">
        <v>11</v>
      </c>
    </row>
    <row r="441" spans="16:17">
      <c r="P441" t="s">
        <v>3061</v>
      </c>
      <c r="Q441" s="569">
        <v>11</v>
      </c>
    </row>
    <row r="442" spans="16:17">
      <c r="P442" t="s">
        <v>3062</v>
      </c>
      <c r="Q442" s="569">
        <v>11</v>
      </c>
    </row>
    <row r="443" spans="16:17">
      <c r="P443" t="s">
        <v>3063</v>
      </c>
      <c r="Q443" s="569">
        <v>11</v>
      </c>
    </row>
    <row r="444" spans="16:17">
      <c r="P444" t="s">
        <v>3064</v>
      </c>
      <c r="Q444" s="569">
        <v>11</v>
      </c>
    </row>
    <row r="445" spans="16:17">
      <c r="P445" t="s">
        <v>3065</v>
      </c>
      <c r="Q445" s="569">
        <v>11</v>
      </c>
    </row>
    <row r="446" spans="16:17">
      <c r="P446" t="s">
        <v>3086</v>
      </c>
      <c r="Q446" s="569">
        <v>12</v>
      </c>
    </row>
    <row r="447" spans="16:17">
      <c r="P447" t="s">
        <v>2702</v>
      </c>
      <c r="Q447" s="569">
        <v>12</v>
      </c>
    </row>
    <row r="448" spans="16:17">
      <c r="P448" t="s">
        <v>2703</v>
      </c>
      <c r="Q448" s="569">
        <v>12</v>
      </c>
    </row>
    <row r="449" spans="16:17">
      <c r="P449" t="s">
        <v>2704</v>
      </c>
      <c r="Q449" s="569">
        <v>12</v>
      </c>
    </row>
    <row r="450" spans="16:17">
      <c r="P450" t="s">
        <v>2705</v>
      </c>
      <c r="Q450" s="569">
        <v>12</v>
      </c>
    </row>
    <row r="451" spans="16:17">
      <c r="P451" t="s">
        <v>2706</v>
      </c>
      <c r="Q451" s="569">
        <v>12</v>
      </c>
    </row>
    <row r="452" spans="16:17">
      <c r="P452" t="s">
        <v>2708</v>
      </c>
      <c r="Q452" s="569">
        <v>12</v>
      </c>
    </row>
    <row r="453" spans="16:17">
      <c r="P453" t="s">
        <v>2709</v>
      </c>
      <c r="Q453" s="569">
        <v>12</v>
      </c>
    </row>
    <row r="454" spans="16:17">
      <c r="P454" t="s">
        <v>2710</v>
      </c>
      <c r="Q454" s="569">
        <v>12</v>
      </c>
    </row>
    <row r="455" spans="16:17">
      <c r="P455" t="s">
        <v>2711</v>
      </c>
      <c r="Q455" s="569">
        <v>12</v>
      </c>
    </row>
    <row r="456" spans="16:17">
      <c r="P456" t="s">
        <v>2712</v>
      </c>
      <c r="Q456" s="569">
        <v>12</v>
      </c>
    </row>
    <row r="457" spans="16:17">
      <c r="P457" t="s">
        <v>2714</v>
      </c>
      <c r="Q457" s="569">
        <v>12</v>
      </c>
    </row>
    <row r="458" spans="16:17">
      <c r="P458" t="s">
        <v>2715</v>
      </c>
      <c r="Q458" s="569">
        <v>12</v>
      </c>
    </row>
    <row r="459" spans="16:17">
      <c r="P459" t="s">
        <v>2716</v>
      </c>
      <c r="Q459" s="569">
        <v>12</v>
      </c>
    </row>
    <row r="460" spans="16:17">
      <c r="P460" t="s">
        <v>2717</v>
      </c>
      <c r="Q460" s="569">
        <v>12</v>
      </c>
    </row>
    <row r="461" spans="16:17">
      <c r="P461" t="s">
        <v>2718</v>
      </c>
      <c r="Q461" s="569">
        <v>12</v>
      </c>
    </row>
    <row r="462" spans="16:17">
      <c r="P462" t="s">
        <v>2719</v>
      </c>
      <c r="Q462" s="569">
        <v>12</v>
      </c>
    </row>
    <row r="463" spans="16:17">
      <c r="P463" t="s">
        <v>2720</v>
      </c>
      <c r="Q463" s="569">
        <v>12</v>
      </c>
    </row>
    <row r="464" spans="16:17">
      <c r="P464" t="s">
        <v>2721</v>
      </c>
      <c r="Q464" s="569">
        <v>12</v>
      </c>
    </row>
    <row r="465" spans="16:17">
      <c r="P465" t="s">
        <v>2722</v>
      </c>
      <c r="Q465" s="569">
        <v>12</v>
      </c>
    </row>
    <row r="466" spans="16:17">
      <c r="P466" t="s">
        <v>2723</v>
      </c>
      <c r="Q466" s="569">
        <v>12</v>
      </c>
    </row>
    <row r="467" spans="16:17">
      <c r="P467" t="s">
        <v>2724</v>
      </c>
      <c r="Q467" s="569">
        <v>12</v>
      </c>
    </row>
    <row r="468" spans="16:17">
      <c r="P468" t="s">
        <v>2725</v>
      </c>
      <c r="Q468" s="569">
        <v>12</v>
      </c>
    </row>
    <row r="469" spans="16:17">
      <c r="P469" t="s">
        <v>2726</v>
      </c>
      <c r="Q469" s="569">
        <v>12</v>
      </c>
    </row>
    <row r="470" spans="16:17">
      <c r="P470" t="s">
        <v>2727</v>
      </c>
      <c r="Q470" s="569">
        <v>12</v>
      </c>
    </row>
    <row r="471" spans="16:17">
      <c r="P471" t="s">
        <v>2728</v>
      </c>
      <c r="Q471" s="569">
        <v>12</v>
      </c>
    </row>
    <row r="472" spans="16:17">
      <c r="P472" t="s">
        <v>2729</v>
      </c>
      <c r="Q472" s="569">
        <v>12</v>
      </c>
    </row>
    <row r="473" spans="16:17">
      <c r="P473" t="s">
        <v>2730</v>
      </c>
      <c r="Q473" s="569">
        <v>12</v>
      </c>
    </row>
    <row r="474" spans="16:17">
      <c r="P474" t="s">
        <v>2731</v>
      </c>
      <c r="Q474" s="569">
        <v>12</v>
      </c>
    </row>
    <row r="475" spans="16:17">
      <c r="P475" t="s">
        <v>2733</v>
      </c>
      <c r="Q475" s="569">
        <v>12</v>
      </c>
    </row>
    <row r="476" spans="16:17">
      <c r="P476" t="s">
        <v>2734</v>
      </c>
      <c r="Q476" s="569">
        <v>12</v>
      </c>
    </row>
    <row r="477" spans="16:17">
      <c r="P477" t="s">
        <v>2735</v>
      </c>
      <c r="Q477" s="569">
        <v>12</v>
      </c>
    </row>
    <row r="478" spans="16:17">
      <c r="P478" t="s">
        <v>2736</v>
      </c>
      <c r="Q478" s="569">
        <v>12</v>
      </c>
    </row>
    <row r="479" spans="16:17">
      <c r="P479" t="s">
        <v>2737</v>
      </c>
      <c r="Q479" s="569">
        <v>12</v>
      </c>
    </row>
    <row r="480" spans="16:17">
      <c r="P480" t="s">
        <v>2738</v>
      </c>
      <c r="Q480" s="569">
        <v>12</v>
      </c>
    </row>
    <row r="481" spans="16:17">
      <c r="P481" t="s">
        <v>2739</v>
      </c>
      <c r="Q481" s="569">
        <v>12</v>
      </c>
    </row>
    <row r="482" spans="16:17">
      <c r="P482" t="s">
        <v>2740</v>
      </c>
      <c r="Q482" s="569">
        <v>12</v>
      </c>
    </row>
    <row r="483" spans="16:17">
      <c r="P483" t="s">
        <v>2741</v>
      </c>
      <c r="Q483" s="569">
        <v>12</v>
      </c>
    </row>
    <row r="484" spans="16:17">
      <c r="P484" t="s">
        <v>2742</v>
      </c>
      <c r="Q484" s="569">
        <v>12</v>
      </c>
    </row>
    <row r="485" spans="16:17">
      <c r="P485" t="s">
        <v>2743</v>
      </c>
      <c r="Q485" s="569">
        <v>12</v>
      </c>
    </row>
    <row r="486" spans="16:17">
      <c r="P486" t="s">
        <v>2744</v>
      </c>
      <c r="Q486" s="569">
        <v>12</v>
      </c>
    </row>
    <row r="487" spans="16:17">
      <c r="P487" t="s">
        <v>2745</v>
      </c>
      <c r="Q487" s="569">
        <v>12</v>
      </c>
    </row>
    <row r="488" spans="16:17">
      <c r="P488" t="s">
        <v>2746</v>
      </c>
      <c r="Q488" s="569">
        <v>12</v>
      </c>
    </row>
    <row r="489" spans="16:17">
      <c r="P489" t="s">
        <v>2747</v>
      </c>
      <c r="Q489" s="569">
        <v>12</v>
      </c>
    </row>
    <row r="490" spans="16:17">
      <c r="P490" t="s">
        <v>2748</v>
      </c>
      <c r="Q490" s="569">
        <v>12</v>
      </c>
    </row>
    <row r="491" spans="16:17">
      <c r="P491" t="s">
        <v>2749</v>
      </c>
      <c r="Q491" s="569">
        <v>12</v>
      </c>
    </row>
    <row r="492" spans="16:17">
      <c r="P492" t="s">
        <v>2750</v>
      </c>
      <c r="Q492" s="569">
        <v>12</v>
      </c>
    </row>
    <row r="493" spans="16:17">
      <c r="P493" t="s">
        <v>2751</v>
      </c>
      <c r="Q493" s="569">
        <v>12</v>
      </c>
    </row>
    <row r="494" spans="16:17">
      <c r="P494" t="s">
        <v>2752</v>
      </c>
      <c r="Q494" s="569">
        <v>12</v>
      </c>
    </row>
    <row r="495" spans="16:17">
      <c r="P495" t="s">
        <v>2753</v>
      </c>
      <c r="Q495" s="569">
        <v>12</v>
      </c>
    </row>
    <row r="496" spans="16:17">
      <c r="P496" t="s">
        <v>2754</v>
      </c>
      <c r="Q496" s="569">
        <v>12</v>
      </c>
    </row>
    <row r="497" spans="16:17">
      <c r="P497" t="s">
        <v>2755</v>
      </c>
      <c r="Q497" s="569">
        <v>12</v>
      </c>
    </row>
    <row r="498" spans="16:17">
      <c r="P498" t="s">
        <v>2756</v>
      </c>
      <c r="Q498" s="569">
        <v>12</v>
      </c>
    </row>
    <row r="499" spans="16:17">
      <c r="P499" t="s">
        <v>2757</v>
      </c>
      <c r="Q499" s="569">
        <v>12</v>
      </c>
    </row>
    <row r="500" spans="16:17">
      <c r="P500" t="s">
        <v>2758</v>
      </c>
      <c r="Q500" s="569">
        <v>12</v>
      </c>
    </row>
    <row r="501" spans="16:17">
      <c r="P501" t="s">
        <v>2759</v>
      </c>
      <c r="Q501" s="569">
        <v>12</v>
      </c>
    </row>
    <row r="502" spans="16:17">
      <c r="P502" t="s">
        <v>2760</v>
      </c>
      <c r="Q502" s="569">
        <v>12</v>
      </c>
    </row>
    <row r="503" spans="16:17">
      <c r="P503" t="s">
        <v>2761</v>
      </c>
      <c r="Q503" s="569">
        <v>12</v>
      </c>
    </row>
    <row r="504" spans="16:17">
      <c r="P504" t="s">
        <v>2762</v>
      </c>
      <c r="Q504" s="569">
        <v>12</v>
      </c>
    </row>
    <row r="505" spans="16:17">
      <c r="P505" t="s">
        <v>2763</v>
      </c>
      <c r="Q505" s="569">
        <v>12</v>
      </c>
    </row>
    <row r="506" spans="16:17">
      <c r="P506" t="s">
        <v>2764</v>
      </c>
      <c r="Q506" s="569">
        <v>12</v>
      </c>
    </row>
    <row r="507" spans="16:17">
      <c r="P507" t="s">
        <v>2765</v>
      </c>
      <c r="Q507" s="569">
        <v>12</v>
      </c>
    </row>
    <row r="508" spans="16:17">
      <c r="P508" t="s">
        <v>2767</v>
      </c>
      <c r="Q508" s="569">
        <v>12</v>
      </c>
    </row>
    <row r="509" spans="16:17">
      <c r="P509" t="s">
        <v>2768</v>
      </c>
      <c r="Q509" s="569">
        <v>12</v>
      </c>
    </row>
    <row r="510" spans="16:17">
      <c r="P510" t="s">
        <v>2769</v>
      </c>
      <c r="Q510" s="569">
        <v>12</v>
      </c>
    </row>
    <row r="511" spans="16:17">
      <c r="P511" t="s">
        <v>2770</v>
      </c>
      <c r="Q511" s="569">
        <v>12</v>
      </c>
    </row>
    <row r="512" spans="16:17">
      <c r="P512" t="s">
        <v>2771</v>
      </c>
      <c r="Q512" s="569">
        <v>12</v>
      </c>
    </row>
    <row r="513" spans="16:17">
      <c r="P513" t="s">
        <v>2772</v>
      </c>
      <c r="Q513" s="569">
        <v>12</v>
      </c>
    </row>
    <row r="514" spans="16:17">
      <c r="P514" t="s">
        <v>2773</v>
      </c>
      <c r="Q514" s="569">
        <v>12</v>
      </c>
    </row>
    <row r="515" spans="16:17">
      <c r="P515" t="s">
        <v>2774</v>
      </c>
      <c r="Q515" s="569">
        <v>12</v>
      </c>
    </row>
    <row r="516" spans="16:17">
      <c r="P516" t="s">
        <v>2775</v>
      </c>
      <c r="Q516" s="569">
        <v>12</v>
      </c>
    </row>
    <row r="517" spans="16:17">
      <c r="P517" t="s">
        <v>2776</v>
      </c>
      <c r="Q517" s="569">
        <v>12</v>
      </c>
    </row>
    <row r="518" spans="16:17">
      <c r="P518" t="s">
        <v>2777</v>
      </c>
      <c r="Q518" s="569">
        <v>12</v>
      </c>
    </row>
    <row r="519" spans="16:17">
      <c r="P519" t="s">
        <v>2778</v>
      </c>
      <c r="Q519" s="569">
        <v>12</v>
      </c>
    </row>
    <row r="520" spans="16:17">
      <c r="P520" t="s">
        <v>2779</v>
      </c>
      <c r="Q520" s="569">
        <v>12</v>
      </c>
    </row>
    <row r="521" spans="16:17">
      <c r="P521" t="s">
        <v>2780</v>
      </c>
      <c r="Q521" s="569">
        <v>12</v>
      </c>
    </row>
    <row r="522" spans="16:17">
      <c r="P522" t="s">
        <v>2781</v>
      </c>
      <c r="Q522" s="569">
        <v>12</v>
      </c>
    </row>
    <row r="523" spans="16:17">
      <c r="P523" t="s">
        <v>2782</v>
      </c>
      <c r="Q523" s="569">
        <v>12</v>
      </c>
    </row>
    <row r="524" spans="16:17">
      <c r="P524" t="s">
        <v>2783</v>
      </c>
      <c r="Q524" s="569">
        <v>12</v>
      </c>
    </row>
    <row r="525" spans="16:17">
      <c r="P525" t="s">
        <v>2784</v>
      </c>
      <c r="Q525" s="569">
        <v>12</v>
      </c>
    </row>
    <row r="526" spans="16:17">
      <c r="P526" t="s">
        <v>2785</v>
      </c>
      <c r="Q526" s="569">
        <v>12</v>
      </c>
    </row>
    <row r="527" spans="16:17">
      <c r="P527" t="s">
        <v>2786</v>
      </c>
      <c r="Q527" s="569">
        <v>12</v>
      </c>
    </row>
    <row r="528" spans="16:17">
      <c r="P528" t="s">
        <v>2787</v>
      </c>
      <c r="Q528" s="569">
        <v>12</v>
      </c>
    </row>
    <row r="529" spans="16:17">
      <c r="P529" t="s">
        <v>2788</v>
      </c>
      <c r="Q529" s="569">
        <v>12</v>
      </c>
    </row>
    <row r="530" spans="16:17">
      <c r="P530" t="s">
        <v>2789</v>
      </c>
      <c r="Q530" s="569">
        <v>12</v>
      </c>
    </row>
    <row r="531" spans="16:17">
      <c r="P531" t="s">
        <v>2790</v>
      </c>
      <c r="Q531" s="569">
        <v>12</v>
      </c>
    </row>
    <row r="532" spans="16:17">
      <c r="P532" t="s">
        <v>2791</v>
      </c>
      <c r="Q532" s="569">
        <v>12</v>
      </c>
    </row>
    <row r="533" spans="16:17">
      <c r="P533" t="s">
        <v>2792</v>
      </c>
      <c r="Q533" s="569">
        <v>12</v>
      </c>
    </row>
    <row r="534" spans="16:17">
      <c r="P534" t="s">
        <v>2793</v>
      </c>
      <c r="Q534" s="569">
        <v>12</v>
      </c>
    </row>
    <row r="535" spans="16:17">
      <c r="P535" t="s">
        <v>2794</v>
      </c>
      <c r="Q535" s="569">
        <v>12</v>
      </c>
    </row>
    <row r="536" spans="16:17">
      <c r="P536" t="s">
        <v>2795</v>
      </c>
      <c r="Q536" s="569">
        <v>12</v>
      </c>
    </row>
    <row r="537" spans="16:17">
      <c r="P537" t="s">
        <v>2796</v>
      </c>
      <c r="Q537" s="569">
        <v>12</v>
      </c>
    </row>
    <row r="538" spans="16:17">
      <c r="P538" t="s">
        <v>2797</v>
      </c>
      <c r="Q538" s="569">
        <v>12</v>
      </c>
    </row>
    <row r="539" spans="16:17">
      <c r="P539" t="s">
        <v>2798</v>
      </c>
      <c r="Q539" s="569">
        <v>12</v>
      </c>
    </row>
    <row r="540" spans="16:17">
      <c r="P540" t="s">
        <v>2799</v>
      </c>
      <c r="Q540" s="569">
        <v>12</v>
      </c>
    </row>
    <row r="541" spans="16:17">
      <c r="P541" t="s">
        <v>2800</v>
      </c>
      <c r="Q541" s="569">
        <v>12</v>
      </c>
    </row>
    <row r="542" spans="16:17">
      <c r="P542" t="s">
        <v>2801</v>
      </c>
      <c r="Q542" s="569">
        <v>12</v>
      </c>
    </row>
    <row r="543" spans="16:17">
      <c r="P543" t="s">
        <v>2802</v>
      </c>
      <c r="Q543" s="569">
        <v>12</v>
      </c>
    </row>
    <row r="544" spans="16:17">
      <c r="P544" t="s">
        <v>2803</v>
      </c>
      <c r="Q544" s="569">
        <v>12</v>
      </c>
    </row>
    <row r="545" spans="16:17">
      <c r="P545" t="s">
        <v>2804</v>
      </c>
      <c r="Q545" s="569">
        <v>12</v>
      </c>
    </row>
    <row r="546" spans="16:17">
      <c r="P546" t="s">
        <v>2805</v>
      </c>
      <c r="Q546" s="569">
        <v>12</v>
      </c>
    </row>
    <row r="547" spans="16:17">
      <c r="P547" t="s">
        <v>2806</v>
      </c>
      <c r="Q547" s="569">
        <v>12</v>
      </c>
    </row>
    <row r="548" spans="16:17">
      <c r="P548" t="s">
        <v>2807</v>
      </c>
      <c r="Q548" s="569">
        <v>12</v>
      </c>
    </row>
    <row r="549" spans="16:17">
      <c r="P549" t="s">
        <v>2808</v>
      </c>
      <c r="Q549" s="569">
        <v>12</v>
      </c>
    </row>
    <row r="550" spans="16:17">
      <c r="P550" t="s">
        <v>2809</v>
      </c>
      <c r="Q550" s="569">
        <v>12</v>
      </c>
    </row>
    <row r="551" spans="16:17">
      <c r="P551" t="s">
        <v>2810</v>
      </c>
      <c r="Q551" s="569">
        <v>12</v>
      </c>
    </row>
    <row r="552" spans="16:17">
      <c r="P552" t="s">
        <v>2811</v>
      </c>
      <c r="Q552" s="569">
        <v>12</v>
      </c>
    </row>
    <row r="553" spans="16:17">
      <c r="P553" t="s">
        <v>2812</v>
      </c>
      <c r="Q553" s="569">
        <v>12</v>
      </c>
    </row>
    <row r="554" spans="16:17">
      <c r="P554" t="s">
        <v>2813</v>
      </c>
      <c r="Q554" s="569">
        <v>12</v>
      </c>
    </row>
    <row r="555" spans="16:17">
      <c r="P555" t="s">
        <v>2814</v>
      </c>
      <c r="Q555" s="569">
        <v>12</v>
      </c>
    </row>
    <row r="556" spans="16:17">
      <c r="P556" t="s">
        <v>2815</v>
      </c>
      <c r="Q556" s="569">
        <v>12</v>
      </c>
    </row>
    <row r="557" spans="16:17">
      <c r="P557" t="s">
        <v>2816</v>
      </c>
      <c r="Q557" s="569">
        <v>12</v>
      </c>
    </row>
    <row r="558" spans="16:17">
      <c r="P558" t="s">
        <v>2817</v>
      </c>
      <c r="Q558" s="569">
        <v>12</v>
      </c>
    </row>
    <row r="559" spans="16:17">
      <c r="P559" t="s">
        <v>2818</v>
      </c>
      <c r="Q559" s="569">
        <v>12</v>
      </c>
    </row>
    <row r="560" spans="16:17">
      <c r="P560" t="s">
        <v>2819</v>
      </c>
      <c r="Q560" s="569">
        <v>12</v>
      </c>
    </row>
    <row r="561" spans="16:17">
      <c r="P561" t="s">
        <v>2820</v>
      </c>
      <c r="Q561" s="569">
        <v>12</v>
      </c>
    </row>
    <row r="562" spans="16:17">
      <c r="P562" t="s">
        <v>2821</v>
      </c>
      <c r="Q562" s="569">
        <v>12</v>
      </c>
    </row>
    <row r="563" spans="16:17">
      <c r="P563" t="s">
        <v>2822</v>
      </c>
      <c r="Q563" s="569">
        <v>12</v>
      </c>
    </row>
    <row r="564" spans="16:17">
      <c r="P564" t="s">
        <v>2823</v>
      </c>
      <c r="Q564" s="569">
        <v>12</v>
      </c>
    </row>
    <row r="565" spans="16:17">
      <c r="P565" t="s">
        <v>2824</v>
      </c>
      <c r="Q565" s="569">
        <v>12</v>
      </c>
    </row>
    <row r="566" spans="16:17">
      <c r="P566" t="s">
        <v>2825</v>
      </c>
      <c r="Q566" s="569">
        <v>12</v>
      </c>
    </row>
    <row r="567" spans="16:17">
      <c r="P567" t="s">
        <v>2826</v>
      </c>
      <c r="Q567" s="569">
        <v>12</v>
      </c>
    </row>
    <row r="568" spans="16:17">
      <c r="P568" t="s">
        <v>2827</v>
      </c>
      <c r="Q568" s="569">
        <v>12</v>
      </c>
    </row>
    <row r="569" spans="16:17">
      <c r="P569" t="s">
        <v>2828</v>
      </c>
      <c r="Q569" s="569">
        <v>12</v>
      </c>
    </row>
    <row r="570" spans="16:17">
      <c r="P570" t="s">
        <v>2829</v>
      </c>
      <c r="Q570" s="569">
        <v>12</v>
      </c>
    </row>
    <row r="571" spans="16:17">
      <c r="P571" t="s">
        <v>2830</v>
      </c>
      <c r="Q571" s="569">
        <v>12</v>
      </c>
    </row>
    <row r="572" spans="16:17">
      <c r="P572" t="s">
        <v>2831</v>
      </c>
      <c r="Q572" s="569">
        <v>12</v>
      </c>
    </row>
    <row r="573" spans="16:17">
      <c r="P573" t="s">
        <v>2832</v>
      </c>
      <c r="Q573" s="569">
        <v>12</v>
      </c>
    </row>
    <row r="574" spans="16:17">
      <c r="P574" t="s">
        <v>2833</v>
      </c>
      <c r="Q574" s="569">
        <v>12</v>
      </c>
    </row>
    <row r="575" spans="16:17">
      <c r="P575" t="s">
        <v>2834</v>
      </c>
      <c r="Q575" s="569">
        <v>12</v>
      </c>
    </row>
    <row r="576" spans="16:17">
      <c r="P576" t="s">
        <v>2835</v>
      </c>
      <c r="Q576" s="569">
        <v>12</v>
      </c>
    </row>
    <row r="577" spans="16:17">
      <c r="P577" t="s">
        <v>2836</v>
      </c>
      <c r="Q577" s="569">
        <v>12</v>
      </c>
    </row>
    <row r="578" spans="16:17">
      <c r="P578" t="s">
        <v>2837</v>
      </c>
      <c r="Q578" s="569">
        <v>12</v>
      </c>
    </row>
    <row r="579" spans="16:17">
      <c r="P579" t="s">
        <v>2838</v>
      </c>
      <c r="Q579" s="569">
        <v>12</v>
      </c>
    </row>
    <row r="580" spans="16:17">
      <c r="P580" t="s">
        <v>2839</v>
      </c>
      <c r="Q580" s="569">
        <v>12</v>
      </c>
    </row>
    <row r="581" spans="16:17">
      <c r="P581" t="s">
        <v>2841</v>
      </c>
      <c r="Q581" s="569">
        <v>12</v>
      </c>
    </row>
    <row r="582" spans="16:17">
      <c r="P582" t="s">
        <v>2842</v>
      </c>
      <c r="Q582" s="569">
        <v>12</v>
      </c>
    </row>
    <row r="583" spans="16:17">
      <c r="P583" t="s">
        <v>2843</v>
      </c>
      <c r="Q583" s="569">
        <v>12</v>
      </c>
    </row>
    <row r="584" spans="16:17">
      <c r="P584" t="s">
        <v>2844</v>
      </c>
      <c r="Q584" s="569">
        <v>12</v>
      </c>
    </row>
    <row r="585" spans="16:17">
      <c r="P585" t="s">
        <v>2845</v>
      </c>
      <c r="Q585" s="569">
        <v>12</v>
      </c>
    </row>
    <row r="586" spans="16:17">
      <c r="P586" t="s">
        <v>2846</v>
      </c>
      <c r="Q586" s="569">
        <v>12</v>
      </c>
    </row>
    <row r="587" spans="16:17">
      <c r="P587" t="s">
        <v>2847</v>
      </c>
      <c r="Q587" s="569">
        <v>12</v>
      </c>
    </row>
    <row r="588" spans="16:17">
      <c r="P588" t="s">
        <v>2848</v>
      </c>
      <c r="Q588" s="569">
        <v>12</v>
      </c>
    </row>
    <row r="589" spans="16:17">
      <c r="P589" t="s">
        <v>2849</v>
      </c>
      <c r="Q589" s="569">
        <v>12</v>
      </c>
    </row>
    <row r="590" spans="16:17">
      <c r="P590" t="s">
        <v>2850</v>
      </c>
      <c r="Q590" s="569">
        <v>12</v>
      </c>
    </row>
    <row r="591" spans="16:17">
      <c r="P591" t="s">
        <v>2851</v>
      </c>
      <c r="Q591" s="569">
        <v>12</v>
      </c>
    </row>
    <row r="592" spans="16:17">
      <c r="P592" t="s">
        <v>2852</v>
      </c>
      <c r="Q592" s="569">
        <v>12</v>
      </c>
    </row>
    <row r="593" spans="16:17">
      <c r="P593" t="s">
        <v>2853</v>
      </c>
      <c r="Q593" s="569">
        <v>12</v>
      </c>
    </row>
    <row r="594" spans="16:17">
      <c r="P594" t="s">
        <v>2854</v>
      </c>
      <c r="Q594" s="569">
        <v>12</v>
      </c>
    </row>
    <row r="595" spans="16:17">
      <c r="P595" t="s">
        <v>2855</v>
      </c>
      <c r="Q595" s="569">
        <v>12</v>
      </c>
    </row>
    <row r="596" spans="16:17">
      <c r="P596" t="s">
        <v>2856</v>
      </c>
      <c r="Q596" s="569">
        <v>12</v>
      </c>
    </row>
    <row r="597" spans="16:17">
      <c r="P597" t="s">
        <v>2651</v>
      </c>
      <c r="Q597" s="569">
        <v>13</v>
      </c>
    </row>
    <row r="598" spans="16:17">
      <c r="P598" t="s">
        <v>2652</v>
      </c>
      <c r="Q598" s="569">
        <v>13</v>
      </c>
    </row>
    <row r="599" spans="16:17">
      <c r="P599" t="s">
        <v>2654</v>
      </c>
      <c r="Q599" s="569">
        <v>13</v>
      </c>
    </row>
    <row r="600" spans="16:17">
      <c r="P600" t="s">
        <v>2655</v>
      </c>
      <c r="Q600" s="569">
        <v>13</v>
      </c>
    </row>
    <row r="601" spans="16:17">
      <c r="P601" t="s">
        <v>2656</v>
      </c>
      <c r="Q601" s="569">
        <v>13</v>
      </c>
    </row>
    <row r="602" spans="16:17">
      <c r="P602" t="s">
        <v>2657</v>
      </c>
      <c r="Q602" s="569">
        <v>13</v>
      </c>
    </row>
    <row r="603" spans="16:17">
      <c r="P603" t="s">
        <v>2658</v>
      </c>
      <c r="Q603" s="569">
        <v>13</v>
      </c>
    </row>
    <row r="604" spans="16:17">
      <c r="P604" t="s">
        <v>2659</v>
      </c>
      <c r="Q604" s="569">
        <v>13</v>
      </c>
    </row>
    <row r="605" spans="16:17">
      <c r="P605" t="s">
        <v>2660</v>
      </c>
      <c r="Q605" s="569">
        <v>13</v>
      </c>
    </row>
    <row r="606" spans="16:17">
      <c r="P606" t="s">
        <v>2661</v>
      </c>
      <c r="Q606" s="569">
        <v>13</v>
      </c>
    </row>
    <row r="607" spans="16:17">
      <c r="P607" t="s">
        <v>2662</v>
      </c>
      <c r="Q607" s="569">
        <v>13</v>
      </c>
    </row>
    <row r="608" spans="16:17">
      <c r="P608" t="s">
        <v>2663</v>
      </c>
      <c r="Q608" s="569">
        <v>13</v>
      </c>
    </row>
    <row r="609" spans="16:17">
      <c r="P609" t="s">
        <v>2664</v>
      </c>
      <c r="Q609" s="569">
        <v>13</v>
      </c>
    </row>
    <row r="610" spans="16:17">
      <c r="P610" t="s">
        <v>2665</v>
      </c>
      <c r="Q610" s="569">
        <v>13</v>
      </c>
    </row>
    <row r="611" spans="16:17">
      <c r="P611" t="s">
        <v>2666</v>
      </c>
      <c r="Q611" s="569">
        <v>13</v>
      </c>
    </row>
    <row r="612" spans="16:17">
      <c r="P612" t="s">
        <v>2668</v>
      </c>
      <c r="Q612" s="569">
        <v>13</v>
      </c>
    </row>
    <row r="613" spans="16:17">
      <c r="P613" t="s">
        <v>2670</v>
      </c>
      <c r="Q613" s="569">
        <v>13</v>
      </c>
    </row>
    <row r="614" spans="16:17">
      <c r="P614" t="s">
        <v>2671</v>
      </c>
      <c r="Q614" s="569">
        <v>13</v>
      </c>
    </row>
    <row r="615" spans="16:17">
      <c r="P615" t="s">
        <v>2672</v>
      </c>
      <c r="Q615" s="569">
        <v>13</v>
      </c>
    </row>
    <row r="616" spans="16:17">
      <c r="P616" t="s">
        <v>2673</v>
      </c>
      <c r="Q616" s="569">
        <v>13</v>
      </c>
    </row>
    <row r="617" spans="16:17">
      <c r="P617" t="s">
        <v>2674</v>
      </c>
      <c r="Q617" s="569">
        <v>13</v>
      </c>
    </row>
    <row r="618" spans="16:17">
      <c r="P618" t="s">
        <v>2675</v>
      </c>
      <c r="Q618" s="569">
        <v>13</v>
      </c>
    </row>
    <row r="619" spans="16:17">
      <c r="P619" t="s">
        <v>2676</v>
      </c>
      <c r="Q619" s="569">
        <v>13</v>
      </c>
    </row>
    <row r="620" spans="16:17">
      <c r="P620" t="s">
        <v>2677</v>
      </c>
      <c r="Q620" s="569">
        <v>13</v>
      </c>
    </row>
    <row r="621" spans="16:17">
      <c r="P621" t="s">
        <v>2678</v>
      </c>
      <c r="Q621" s="569">
        <v>13</v>
      </c>
    </row>
    <row r="622" spans="16:17">
      <c r="P622" t="s">
        <v>2679</v>
      </c>
      <c r="Q622" s="569">
        <v>13</v>
      </c>
    </row>
    <row r="623" spans="16:17">
      <c r="P623" t="s">
        <v>2680</v>
      </c>
      <c r="Q623" s="569">
        <v>13</v>
      </c>
    </row>
    <row r="624" spans="16:17">
      <c r="P624" t="s">
        <v>2681</v>
      </c>
      <c r="Q624" s="569">
        <v>13</v>
      </c>
    </row>
    <row r="625" spans="16:17">
      <c r="P625" t="s">
        <v>2682</v>
      </c>
      <c r="Q625" s="569">
        <v>13</v>
      </c>
    </row>
    <row r="626" spans="16:17">
      <c r="P626" t="s">
        <v>2683</v>
      </c>
      <c r="Q626" s="569">
        <v>13</v>
      </c>
    </row>
    <row r="627" spans="16:17">
      <c r="P627" t="s">
        <v>2684</v>
      </c>
      <c r="Q627" s="569">
        <v>13</v>
      </c>
    </row>
    <row r="628" spans="16:17">
      <c r="P628" t="s">
        <v>2685</v>
      </c>
      <c r="Q628" s="569">
        <v>13</v>
      </c>
    </row>
    <row r="629" spans="16:17">
      <c r="P629" t="s">
        <v>2686</v>
      </c>
      <c r="Q629" s="569">
        <v>13</v>
      </c>
    </row>
    <row r="630" spans="16:17">
      <c r="P630" t="s">
        <v>2687</v>
      </c>
      <c r="Q630" s="569">
        <v>13</v>
      </c>
    </row>
    <row r="631" spans="16:17">
      <c r="P631" t="s">
        <v>2688</v>
      </c>
      <c r="Q631" s="569">
        <v>13</v>
      </c>
    </row>
    <row r="632" spans="16:17">
      <c r="P632" t="s">
        <v>2689</v>
      </c>
      <c r="Q632" s="569">
        <v>13</v>
      </c>
    </row>
    <row r="633" spans="16:17">
      <c r="P633" t="s">
        <v>2690</v>
      </c>
      <c r="Q633" s="569">
        <v>13</v>
      </c>
    </row>
    <row r="634" spans="16:17">
      <c r="P634" t="s">
        <v>2691</v>
      </c>
      <c r="Q634" s="569">
        <v>13</v>
      </c>
    </row>
    <row r="635" spans="16:17">
      <c r="P635" t="s">
        <v>2692</v>
      </c>
      <c r="Q635" s="569">
        <v>13</v>
      </c>
    </row>
    <row r="636" spans="16:17">
      <c r="P636" t="s">
        <v>2693</v>
      </c>
      <c r="Q636" s="569">
        <v>13</v>
      </c>
    </row>
    <row r="637" spans="16:17">
      <c r="P637" t="s">
        <v>2694</v>
      </c>
      <c r="Q637" s="569">
        <v>13</v>
      </c>
    </row>
    <row r="638" spans="16:17">
      <c r="P638" t="s">
        <v>2695</v>
      </c>
      <c r="Q638" s="569">
        <v>13</v>
      </c>
    </row>
    <row r="639" spans="16:17">
      <c r="P639" t="s">
        <v>2696</v>
      </c>
      <c r="Q639" s="569">
        <v>13</v>
      </c>
    </row>
    <row r="640" spans="16:17">
      <c r="P640" t="s">
        <v>2697</v>
      </c>
      <c r="Q640" s="569">
        <v>13</v>
      </c>
    </row>
    <row r="641" spans="16:17">
      <c r="P641" t="s">
        <v>2698</v>
      </c>
      <c r="Q641" s="569">
        <v>13</v>
      </c>
    </row>
    <row r="642" spans="16:17">
      <c r="P642" t="s">
        <v>2699</v>
      </c>
      <c r="Q642" s="569">
        <v>13</v>
      </c>
    </row>
    <row r="643" spans="16:17">
      <c r="P643" t="s">
        <v>2700</v>
      </c>
      <c r="Q643" s="569">
        <v>13</v>
      </c>
    </row>
    <row r="644" spans="16:17">
      <c r="P644" t="s">
        <v>2701</v>
      </c>
      <c r="Q644" s="569">
        <v>13</v>
      </c>
    </row>
    <row r="645" spans="16:17">
      <c r="P645" t="s">
        <v>2580</v>
      </c>
      <c r="Q645" s="569">
        <v>14</v>
      </c>
    </row>
    <row r="646" spans="16:17">
      <c r="P646" t="s">
        <v>2584</v>
      </c>
      <c r="Q646" s="569">
        <v>14</v>
      </c>
    </row>
    <row r="647" spans="16:17">
      <c r="P647" t="s">
        <v>2586</v>
      </c>
      <c r="Q647" s="569">
        <v>14</v>
      </c>
    </row>
    <row r="648" spans="16:17">
      <c r="P648" t="s">
        <v>2588</v>
      </c>
      <c r="Q648" s="569">
        <v>14</v>
      </c>
    </row>
    <row r="649" spans="16:17">
      <c r="P649" t="s">
        <v>2589</v>
      </c>
      <c r="Q649" s="569">
        <v>14</v>
      </c>
    </row>
    <row r="650" spans="16:17">
      <c r="P650" t="s">
        <v>2590</v>
      </c>
      <c r="Q650" s="569">
        <v>14</v>
      </c>
    </row>
    <row r="651" spans="16:17">
      <c r="P651" t="s">
        <v>2592</v>
      </c>
      <c r="Q651" s="569">
        <v>14</v>
      </c>
    </row>
    <row r="652" spans="16:17">
      <c r="P652" t="s">
        <v>2593</v>
      </c>
      <c r="Q652" s="569">
        <v>14</v>
      </c>
    </row>
    <row r="653" spans="16:17">
      <c r="P653" t="s">
        <v>2594</v>
      </c>
      <c r="Q653" s="569">
        <v>14</v>
      </c>
    </row>
    <row r="654" spans="16:17">
      <c r="P654" t="s">
        <v>2595</v>
      </c>
      <c r="Q654" s="569">
        <v>14</v>
      </c>
    </row>
    <row r="655" spans="16:17">
      <c r="P655" t="s">
        <v>2596</v>
      </c>
      <c r="Q655" s="569">
        <v>14</v>
      </c>
    </row>
    <row r="656" spans="16:17">
      <c r="P656" t="s">
        <v>2597</v>
      </c>
      <c r="Q656" s="569">
        <v>14</v>
      </c>
    </row>
    <row r="657" spans="16:17">
      <c r="P657" t="s">
        <v>2599</v>
      </c>
      <c r="Q657" s="569">
        <v>14</v>
      </c>
    </row>
    <row r="658" spans="16:17">
      <c r="P658" t="s">
        <v>2600</v>
      </c>
      <c r="Q658" s="569">
        <v>14</v>
      </c>
    </row>
    <row r="659" spans="16:17">
      <c r="P659" t="s">
        <v>2601</v>
      </c>
      <c r="Q659" s="569">
        <v>14</v>
      </c>
    </row>
    <row r="660" spans="16:17">
      <c r="P660" t="s">
        <v>2602</v>
      </c>
      <c r="Q660" s="569">
        <v>14</v>
      </c>
    </row>
    <row r="661" spans="16:17">
      <c r="P661" t="s">
        <v>2603</v>
      </c>
      <c r="Q661" s="569">
        <v>14</v>
      </c>
    </row>
    <row r="662" spans="16:17">
      <c r="P662" t="s">
        <v>2604</v>
      </c>
      <c r="Q662" s="569">
        <v>14</v>
      </c>
    </row>
    <row r="663" spans="16:17">
      <c r="P663" t="s">
        <v>2605</v>
      </c>
      <c r="Q663" s="569">
        <v>14</v>
      </c>
    </row>
    <row r="664" spans="16:17">
      <c r="P664" t="s">
        <v>2606</v>
      </c>
      <c r="Q664" s="569">
        <v>14</v>
      </c>
    </row>
    <row r="665" spans="16:17">
      <c r="P665" t="s">
        <v>2607</v>
      </c>
      <c r="Q665" s="569">
        <v>14</v>
      </c>
    </row>
    <row r="666" spans="16:17">
      <c r="P666" t="s">
        <v>2608</v>
      </c>
      <c r="Q666" s="569">
        <v>14</v>
      </c>
    </row>
    <row r="667" spans="16:17">
      <c r="P667" t="s">
        <v>2609</v>
      </c>
      <c r="Q667" s="569">
        <v>14</v>
      </c>
    </row>
    <row r="668" spans="16:17">
      <c r="P668" t="s">
        <v>2610</v>
      </c>
      <c r="Q668" s="569">
        <v>14</v>
      </c>
    </row>
    <row r="669" spans="16:17">
      <c r="P669" t="s">
        <v>2611</v>
      </c>
      <c r="Q669" s="569">
        <v>14</v>
      </c>
    </row>
    <row r="670" spans="16:17">
      <c r="P670" t="s">
        <v>2612</v>
      </c>
      <c r="Q670" s="569">
        <v>14</v>
      </c>
    </row>
    <row r="671" spans="16:17">
      <c r="P671" t="s">
        <v>2613</v>
      </c>
      <c r="Q671" s="569">
        <v>14</v>
      </c>
    </row>
    <row r="672" spans="16:17">
      <c r="P672" t="s">
        <v>2614</v>
      </c>
      <c r="Q672" s="569">
        <v>14</v>
      </c>
    </row>
    <row r="673" spans="16:17">
      <c r="P673" t="s">
        <v>2615</v>
      </c>
      <c r="Q673" s="569">
        <v>14</v>
      </c>
    </row>
    <row r="674" spans="16:17">
      <c r="P674" t="s">
        <v>2616</v>
      </c>
      <c r="Q674" s="569">
        <v>14</v>
      </c>
    </row>
    <row r="675" spans="16:17">
      <c r="P675" t="s">
        <v>2617</v>
      </c>
      <c r="Q675" s="569">
        <v>14</v>
      </c>
    </row>
    <row r="676" spans="16:17">
      <c r="P676" t="s">
        <v>2618</v>
      </c>
      <c r="Q676" s="569">
        <v>14</v>
      </c>
    </row>
    <row r="677" spans="16:17">
      <c r="P677" t="s">
        <v>2619</v>
      </c>
      <c r="Q677" s="569">
        <v>14</v>
      </c>
    </row>
    <row r="678" spans="16:17">
      <c r="P678" t="s">
        <v>2620</v>
      </c>
      <c r="Q678" s="569">
        <v>14</v>
      </c>
    </row>
    <row r="679" spans="16:17">
      <c r="P679" t="s">
        <v>2621</v>
      </c>
      <c r="Q679" s="569">
        <v>14</v>
      </c>
    </row>
    <row r="680" spans="16:17">
      <c r="P680" t="s">
        <v>2622</v>
      </c>
      <c r="Q680" s="569">
        <v>14</v>
      </c>
    </row>
    <row r="681" spans="16:17">
      <c r="P681" t="s">
        <v>2623</v>
      </c>
      <c r="Q681" s="569">
        <v>14</v>
      </c>
    </row>
    <row r="682" spans="16:17">
      <c r="P682" t="s">
        <v>2624</v>
      </c>
      <c r="Q682" s="569">
        <v>14</v>
      </c>
    </row>
    <row r="683" spans="16:17">
      <c r="P683" t="s">
        <v>2625</v>
      </c>
      <c r="Q683" s="569">
        <v>14</v>
      </c>
    </row>
    <row r="684" spans="16:17">
      <c r="P684" t="s">
        <v>2626</v>
      </c>
      <c r="Q684" s="569">
        <v>14</v>
      </c>
    </row>
    <row r="685" spans="16:17">
      <c r="P685" t="s">
        <v>2627</v>
      </c>
      <c r="Q685" s="569">
        <v>14</v>
      </c>
    </row>
    <row r="686" spans="16:17">
      <c r="P686" t="s">
        <v>2628</v>
      </c>
      <c r="Q686" s="569">
        <v>14</v>
      </c>
    </row>
    <row r="687" spans="16:17">
      <c r="P687" t="s">
        <v>2629</v>
      </c>
      <c r="Q687" s="569">
        <v>14</v>
      </c>
    </row>
    <row r="688" spans="16:17">
      <c r="P688" t="s">
        <v>2630</v>
      </c>
      <c r="Q688" s="569">
        <v>14</v>
      </c>
    </row>
    <row r="689" spans="16:17">
      <c r="P689" t="s">
        <v>2631</v>
      </c>
      <c r="Q689" s="569">
        <v>14</v>
      </c>
    </row>
    <row r="690" spans="16:17">
      <c r="P690" t="s">
        <v>2632</v>
      </c>
      <c r="Q690" s="569">
        <v>14</v>
      </c>
    </row>
    <row r="691" spans="16:17">
      <c r="P691" t="s">
        <v>2633</v>
      </c>
      <c r="Q691" s="569">
        <v>14</v>
      </c>
    </row>
    <row r="692" spans="16:17">
      <c r="P692" t="s">
        <v>2634</v>
      </c>
      <c r="Q692" s="569">
        <v>14</v>
      </c>
    </row>
    <row r="693" spans="16:17">
      <c r="P693" t="s">
        <v>2635</v>
      </c>
      <c r="Q693" s="569">
        <v>14</v>
      </c>
    </row>
    <row r="694" spans="16:17">
      <c r="P694" t="s">
        <v>2636</v>
      </c>
      <c r="Q694" s="569">
        <v>14</v>
      </c>
    </row>
    <row r="695" spans="16:17">
      <c r="P695" t="s">
        <v>2637</v>
      </c>
      <c r="Q695" s="569">
        <v>14</v>
      </c>
    </row>
    <row r="696" spans="16:17">
      <c r="P696" t="s">
        <v>2638</v>
      </c>
      <c r="Q696" s="569">
        <v>14</v>
      </c>
    </row>
    <row r="697" spans="16:17">
      <c r="P697" t="s">
        <v>2639</v>
      </c>
      <c r="Q697" s="569">
        <v>14</v>
      </c>
    </row>
    <row r="698" spans="16:17">
      <c r="P698" t="s">
        <v>2640</v>
      </c>
      <c r="Q698" s="569">
        <v>14</v>
      </c>
    </row>
    <row r="699" spans="16:17">
      <c r="P699" t="s">
        <v>2641</v>
      </c>
      <c r="Q699" s="569">
        <v>14</v>
      </c>
    </row>
    <row r="700" spans="16:17">
      <c r="P700" t="s">
        <v>2642</v>
      </c>
      <c r="Q700" s="569">
        <v>14</v>
      </c>
    </row>
    <row r="701" spans="16:17">
      <c r="P701" t="s">
        <v>2643</v>
      </c>
      <c r="Q701" s="569">
        <v>14</v>
      </c>
    </row>
    <row r="702" spans="16:17">
      <c r="P702" t="s">
        <v>2644</v>
      </c>
      <c r="Q702" s="569">
        <v>14</v>
      </c>
    </row>
    <row r="703" spans="16:17">
      <c r="P703" t="s">
        <v>2645</v>
      </c>
      <c r="Q703" s="569">
        <v>14</v>
      </c>
    </row>
    <row r="704" spans="16:17">
      <c r="P704" t="s">
        <v>2646</v>
      </c>
      <c r="Q704" s="569">
        <v>14</v>
      </c>
    </row>
    <row r="705" spans="16:17">
      <c r="P705" t="s">
        <v>2647</v>
      </c>
      <c r="Q705" s="569">
        <v>14</v>
      </c>
    </row>
    <row r="706" spans="16:17">
      <c r="P706" t="s">
        <v>2648</v>
      </c>
      <c r="Q706" s="569">
        <v>14</v>
      </c>
    </row>
    <row r="707" spans="16:17">
      <c r="P707" t="s">
        <v>2649</v>
      </c>
      <c r="Q707" s="569">
        <v>14</v>
      </c>
    </row>
    <row r="708" spans="16:17">
      <c r="P708" t="s">
        <v>2650</v>
      </c>
      <c r="Q708" s="569">
        <v>14</v>
      </c>
    </row>
    <row r="709" spans="16:17">
      <c r="P709" t="s">
        <v>2044</v>
      </c>
      <c r="Q709" s="569">
        <v>15</v>
      </c>
    </row>
    <row r="710" spans="16:17">
      <c r="P710" t="s">
        <v>2049</v>
      </c>
      <c r="Q710" s="569">
        <v>15</v>
      </c>
    </row>
    <row r="711" spans="16:17">
      <c r="P711" t="s">
        <v>2051</v>
      </c>
      <c r="Q711" s="569">
        <v>15</v>
      </c>
    </row>
    <row r="712" spans="16:17">
      <c r="P712" t="s">
        <v>2052</v>
      </c>
      <c r="Q712" s="569">
        <v>15</v>
      </c>
    </row>
    <row r="713" spans="16:17">
      <c r="P713" t="s">
        <v>2054</v>
      </c>
      <c r="Q713" s="569">
        <v>15</v>
      </c>
    </row>
    <row r="714" spans="16:17">
      <c r="P714" t="s">
        <v>2056</v>
      </c>
      <c r="Q714" s="569">
        <v>15</v>
      </c>
    </row>
    <row r="715" spans="16:17">
      <c r="P715" t="s">
        <v>2058</v>
      </c>
      <c r="Q715" s="569">
        <v>15</v>
      </c>
    </row>
    <row r="716" spans="16:17">
      <c r="P716" t="s">
        <v>2060</v>
      </c>
      <c r="Q716" s="569">
        <v>15</v>
      </c>
    </row>
    <row r="717" spans="16:17">
      <c r="P717" t="s">
        <v>2061</v>
      </c>
      <c r="Q717" s="569">
        <v>15</v>
      </c>
    </row>
    <row r="718" spans="16:17">
      <c r="P718" t="s">
        <v>2062</v>
      </c>
      <c r="Q718" s="569">
        <v>15</v>
      </c>
    </row>
    <row r="719" spans="16:17">
      <c r="P719" t="s">
        <v>2064</v>
      </c>
      <c r="Q719" s="569">
        <v>15</v>
      </c>
    </row>
    <row r="720" spans="16:17">
      <c r="P720" t="s">
        <v>2065</v>
      </c>
      <c r="Q720" s="569">
        <v>15</v>
      </c>
    </row>
    <row r="721" spans="16:17">
      <c r="P721" t="s">
        <v>2066</v>
      </c>
      <c r="Q721" s="569">
        <v>15</v>
      </c>
    </row>
    <row r="722" spans="16:17">
      <c r="P722" t="s">
        <v>2067</v>
      </c>
      <c r="Q722" s="569">
        <v>15</v>
      </c>
    </row>
    <row r="723" spans="16:17">
      <c r="P723" t="s">
        <v>2068</v>
      </c>
      <c r="Q723" s="569">
        <v>15</v>
      </c>
    </row>
    <row r="724" spans="16:17">
      <c r="P724" t="s">
        <v>2069</v>
      </c>
      <c r="Q724" s="569">
        <v>15</v>
      </c>
    </row>
    <row r="725" spans="16:17">
      <c r="P725" t="s">
        <v>2070</v>
      </c>
      <c r="Q725" s="569">
        <v>15</v>
      </c>
    </row>
    <row r="726" spans="16:17">
      <c r="P726" t="s">
        <v>2071</v>
      </c>
      <c r="Q726" s="569">
        <v>15</v>
      </c>
    </row>
    <row r="727" spans="16:17">
      <c r="P727" t="s">
        <v>2072</v>
      </c>
      <c r="Q727" s="569">
        <v>15</v>
      </c>
    </row>
    <row r="728" spans="16:17">
      <c r="P728" t="s">
        <v>2073</v>
      </c>
      <c r="Q728" s="569">
        <v>15</v>
      </c>
    </row>
    <row r="729" spans="16:17">
      <c r="P729" t="s">
        <v>2074</v>
      </c>
      <c r="Q729" s="569">
        <v>15</v>
      </c>
    </row>
    <row r="730" spans="16:17">
      <c r="P730" t="s">
        <v>2075</v>
      </c>
      <c r="Q730" s="569">
        <v>15</v>
      </c>
    </row>
    <row r="731" spans="16:17">
      <c r="P731" t="s">
        <v>2076</v>
      </c>
      <c r="Q731" s="569">
        <v>15</v>
      </c>
    </row>
    <row r="732" spans="16:17">
      <c r="P732" t="s">
        <v>2077</v>
      </c>
      <c r="Q732" s="569">
        <v>15</v>
      </c>
    </row>
    <row r="733" spans="16:17">
      <c r="P733" t="s">
        <v>2078</v>
      </c>
      <c r="Q733" s="569">
        <v>15</v>
      </c>
    </row>
    <row r="734" spans="16:17">
      <c r="P734" t="s">
        <v>2079</v>
      </c>
      <c r="Q734" s="569">
        <v>15</v>
      </c>
    </row>
    <row r="735" spans="16:17">
      <c r="P735" t="s">
        <v>2080</v>
      </c>
      <c r="Q735" s="569">
        <v>15</v>
      </c>
    </row>
    <row r="736" spans="16:17">
      <c r="P736" t="s">
        <v>2081</v>
      </c>
      <c r="Q736" s="569">
        <v>15</v>
      </c>
    </row>
    <row r="737" spans="16:17">
      <c r="P737" t="s">
        <v>2082</v>
      </c>
      <c r="Q737" s="569">
        <v>15</v>
      </c>
    </row>
    <row r="738" spans="16:17">
      <c r="P738" t="s">
        <v>2083</v>
      </c>
      <c r="Q738" s="569">
        <v>15</v>
      </c>
    </row>
    <row r="739" spans="16:17">
      <c r="P739" t="s">
        <v>2084</v>
      </c>
      <c r="Q739" s="569">
        <v>15</v>
      </c>
    </row>
    <row r="740" spans="16:17">
      <c r="P740" t="s">
        <v>2085</v>
      </c>
      <c r="Q740" s="569">
        <v>15</v>
      </c>
    </row>
    <row r="741" spans="16:17">
      <c r="P741" t="s">
        <v>2086</v>
      </c>
      <c r="Q741" s="569">
        <v>15</v>
      </c>
    </row>
    <row r="742" spans="16:17">
      <c r="P742" t="s">
        <v>2087</v>
      </c>
      <c r="Q742" s="569">
        <v>15</v>
      </c>
    </row>
    <row r="743" spans="16:17">
      <c r="P743" t="s">
        <v>2088</v>
      </c>
      <c r="Q743" s="569">
        <v>15</v>
      </c>
    </row>
    <row r="744" spans="16:17">
      <c r="P744" t="s">
        <v>2089</v>
      </c>
      <c r="Q744" s="569">
        <v>15</v>
      </c>
    </row>
    <row r="745" spans="16:17">
      <c r="P745" t="s">
        <v>2090</v>
      </c>
      <c r="Q745" s="569">
        <v>15</v>
      </c>
    </row>
    <row r="746" spans="16:17">
      <c r="P746" t="s">
        <v>2091</v>
      </c>
      <c r="Q746" s="569">
        <v>15</v>
      </c>
    </row>
    <row r="747" spans="16:17">
      <c r="P747" t="s">
        <v>2092</v>
      </c>
      <c r="Q747" s="569">
        <v>15</v>
      </c>
    </row>
    <row r="748" spans="16:17">
      <c r="P748" t="s">
        <v>2093</v>
      </c>
      <c r="Q748" s="569">
        <v>15</v>
      </c>
    </row>
    <row r="749" spans="16:17">
      <c r="P749" t="s">
        <v>2094</v>
      </c>
      <c r="Q749" s="569">
        <v>15</v>
      </c>
    </row>
    <row r="750" spans="16:17">
      <c r="P750" t="s">
        <v>2095</v>
      </c>
      <c r="Q750" s="569">
        <v>15</v>
      </c>
    </row>
    <row r="751" spans="16:17">
      <c r="P751" t="s">
        <v>2096</v>
      </c>
      <c r="Q751" s="569">
        <v>15</v>
      </c>
    </row>
    <row r="752" spans="16:17">
      <c r="P752" t="s">
        <v>2097</v>
      </c>
      <c r="Q752" s="569">
        <v>15</v>
      </c>
    </row>
    <row r="753" spans="16:17">
      <c r="P753" t="s">
        <v>2098</v>
      </c>
      <c r="Q753" s="569">
        <v>15</v>
      </c>
    </row>
    <row r="754" spans="16:17">
      <c r="P754" t="s">
        <v>2099</v>
      </c>
      <c r="Q754" s="569">
        <v>15</v>
      </c>
    </row>
    <row r="755" spans="16:17">
      <c r="P755" t="s">
        <v>2100</v>
      </c>
      <c r="Q755" s="569">
        <v>15</v>
      </c>
    </row>
    <row r="756" spans="16:17">
      <c r="P756" t="s">
        <v>2101</v>
      </c>
      <c r="Q756" s="569">
        <v>15</v>
      </c>
    </row>
    <row r="757" spans="16:17">
      <c r="P757" t="s">
        <v>2102</v>
      </c>
      <c r="Q757" s="569">
        <v>15</v>
      </c>
    </row>
    <row r="758" spans="16:17">
      <c r="P758" t="s">
        <v>2103</v>
      </c>
      <c r="Q758" s="569">
        <v>15</v>
      </c>
    </row>
    <row r="759" spans="16:17">
      <c r="P759" t="s">
        <v>2104</v>
      </c>
      <c r="Q759" s="569">
        <v>15</v>
      </c>
    </row>
    <row r="760" spans="16:17">
      <c r="P760" t="s">
        <v>2105</v>
      </c>
      <c r="Q760" s="569">
        <v>15</v>
      </c>
    </row>
    <row r="761" spans="16:17">
      <c r="P761" t="s">
        <v>2106</v>
      </c>
      <c r="Q761" s="569">
        <v>15</v>
      </c>
    </row>
    <row r="762" spans="16:17">
      <c r="P762" t="s">
        <v>2107</v>
      </c>
      <c r="Q762" s="569">
        <v>15</v>
      </c>
    </row>
    <row r="763" spans="16:17">
      <c r="P763" t="s">
        <v>2108</v>
      </c>
      <c r="Q763" s="569">
        <v>15</v>
      </c>
    </row>
    <row r="764" spans="16:17">
      <c r="P764" t="s">
        <v>2109</v>
      </c>
      <c r="Q764" s="569">
        <v>15</v>
      </c>
    </row>
    <row r="765" spans="16:17">
      <c r="P765" t="s">
        <v>2110</v>
      </c>
      <c r="Q765" s="569">
        <v>15</v>
      </c>
    </row>
    <row r="766" spans="16:17">
      <c r="P766" t="s">
        <v>2111</v>
      </c>
      <c r="Q766" s="569">
        <v>15</v>
      </c>
    </row>
    <row r="767" spans="16:17">
      <c r="P767" t="s">
        <v>2112</v>
      </c>
      <c r="Q767" s="569">
        <v>15</v>
      </c>
    </row>
    <row r="768" spans="16:17">
      <c r="P768" t="s">
        <v>2113</v>
      </c>
      <c r="Q768" s="569">
        <v>15</v>
      </c>
    </row>
    <row r="769" spans="16:17">
      <c r="P769" t="s">
        <v>2114</v>
      </c>
      <c r="Q769" s="569">
        <v>15</v>
      </c>
    </row>
    <row r="770" spans="16:17">
      <c r="P770" t="s">
        <v>2116</v>
      </c>
      <c r="Q770" s="569">
        <v>15</v>
      </c>
    </row>
    <row r="771" spans="16:17">
      <c r="P771" t="s">
        <v>2117</v>
      </c>
      <c r="Q771" s="569">
        <v>15</v>
      </c>
    </row>
    <row r="772" spans="16:17">
      <c r="P772" t="s">
        <v>2118</v>
      </c>
      <c r="Q772" s="569">
        <v>15</v>
      </c>
    </row>
    <row r="773" spans="16:17">
      <c r="P773" t="s">
        <v>2120</v>
      </c>
      <c r="Q773" s="569">
        <v>15</v>
      </c>
    </row>
    <row r="774" spans="16:17">
      <c r="P774" t="s">
        <v>2121</v>
      </c>
      <c r="Q774" s="569">
        <v>15</v>
      </c>
    </row>
    <row r="775" spans="16:17">
      <c r="P775" t="s">
        <v>2123</v>
      </c>
      <c r="Q775" s="569">
        <v>15</v>
      </c>
    </row>
    <row r="776" spans="16:17">
      <c r="P776" t="s">
        <v>2124</v>
      </c>
      <c r="Q776" s="569">
        <v>15</v>
      </c>
    </row>
    <row r="777" spans="16:17">
      <c r="P777" t="s">
        <v>2125</v>
      </c>
      <c r="Q777" s="569">
        <v>15</v>
      </c>
    </row>
    <row r="778" spans="16:17">
      <c r="P778" t="s">
        <v>2126</v>
      </c>
      <c r="Q778" s="569">
        <v>15</v>
      </c>
    </row>
    <row r="779" spans="16:17">
      <c r="P779" t="s">
        <v>2127</v>
      </c>
      <c r="Q779" s="569">
        <v>15</v>
      </c>
    </row>
    <row r="780" spans="16:17">
      <c r="P780" t="s">
        <v>2128</v>
      </c>
      <c r="Q780" s="569">
        <v>15</v>
      </c>
    </row>
    <row r="781" spans="16:17">
      <c r="P781" t="s">
        <v>2129</v>
      </c>
      <c r="Q781" s="569">
        <v>15</v>
      </c>
    </row>
    <row r="782" spans="16:17">
      <c r="P782" t="s">
        <v>2130</v>
      </c>
      <c r="Q782" s="569">
        <v>15</v>
      </c>
    </row>
    <row r="783" spans="16:17">
      <c r="P783" t="s">
        <v>2131</v>
      </c>
      <c r="Q783" s="569">
        <v>15</v>
      </c>
    </row>
    <row r="784" spans="16:17">
      <c r="P784" t="s">
        <v>2132</v>
      </c>
      <c r="Q784" s="569">
        <v>15</v>
      </c>
    </row>
    <row r="785" spans="16:17">
      <c r="P785" t="s">
        <v>2133</v>
      </c>
      <c r="Q785" s="569">
        <v>15</v>
      </c>
    </row>
    <row r="786" spans="16:17">
      <c r="P786" t="s">
        <v>2134</v>
      </c>
      <c r="Q786" s="569">
        <v>15</v>
      </c>
    </row>
    <row r="787" spans="16:17">
      <c r="P787" t="s">
        <v>2135</v>
      </c>
      <c r="Q787" s="569">
        <v>15</v>
      </c>
    </row>
    <row r="788" spans="16:17">
      <c r="P788" t="s">
        <v>2136</v>
      </c>
      <c r="Q788" s="569">
        <v>15</v>
      </c>
    </row>
    <row r="789" spans="16:17">
      <c r="P789" t="s">
        <v>2137</v>
      </c>
      <c r="Q789" s="569">
        <v>15</v>
      </c>
    </row>
    <row r="790" spans="16:17">
      <c r="P790" t="s">
        <v>2138</v>
      </c>
      <c r="Q790" s="569">
        <v>15</v>
      </c>
    </row>
    <row r="791" spans="16:17">
      <c r="P791" t="s">
        <v>2139</v>
      </c>
      <c r="Q791" s="569">
        <v>15</v>
      </c>
    </row>
    <row r="792" spans="16:17">
      <c r="P792" t="s">
        <v>2140</v>
      </c>
      <c r="Q792" s="569">
        <v>15</v>
      </c>
    </row>
    <row r="793" spans="16:17">
      <c r="P793" t="s">
        <v>2141</v>
      </c>
      <c r="Q793" s="569">
        <v>15</v>
      </c>
    </row>
    <row r="794" spans="16:17">
      <c r="P794" t="s">
        <v>2142</v>
      </c>
      <c r="Q794" s="569">
        <v>15</v>
      </c>
    </row>
    <row r="795" spans="16:17">
      <c r="P795" t="s">
        <v>2143</v>
      </c>
      <c r="Q795" s="569">
        <v>15</v>
      </c>
    </row>
    <row r="796" spans="16:17">
      <c r="P796" t="s">
        <v>2144</v>
      </c>
      <c r="Q796" s="569">
        <v>15</v>
      </c>
    </row>
    <row r="797" spans="16:17">
      <c r="P797" t="s">
        <v>2145</v>
      </c>
      <c r="Q797" s="569">
        <v>15</v>
      </c>
    </row>
    <row r="798" spans="16:17">
      <c r="P798" t="s">
        <v>2146</v>
      </c>
      <c r="Q798" s="569">
        <v>15</v>
      </c>
    </row>
    <row r="799" spans="16:17">
      <c r="P799" t="s">
        <v>2147</v>
      </c>
      <c r="Q799" s="569">
        <v>15</v>
      </c>
    </row>
    <row r="800" spans="16:17">
      <c r="P800" t="s">
        <v>2148</v>
      </c>
      <c r="Q800" s="569">
        <v>15</v>
      </c>
    </row>
    <row r="801" spans="16:17">
      <c r="P801" t="s">
        <v>2149</v>
      </c>
      <c r="Q801" s="569">
        <v>15</v>
      </c>
    </row>
    <row r="802" spans="16:17">
      <c r="P802" t="s">
        <v>2150</v>
      </c>
      <c r="Q802" s="569">
        <v>15</v>
      </c>
    </row>
    <row r="803" spans="16:17">
      <c r="P803" t="s">
        <v>2151</v>
      </c>
      <c r="Q803" s="569">
        <v>15</v>
      </c>
    </row>
    <row r="804" spans="16:17">
      <c r="P804" t="s">
        <v>2152</v>
      </c>
      <c r="Q804" s="569">
        <v>15</v>
      </c>
    </row>
    <row r="805" spans="16:17">
      <c r="P805" t="s">
        <v>2153</v>
      </c>
      <c r="Q805" s="569">
        <v>15</v>
      </c>
    </row>
    <row r="806" spans="16:17">
      <c r="P806" t="s">
        <v>2154</v>
      </c>
      <c r="Q806" s="569">
        <v>15</v>
      </c>
    </row>
    <row r="807" spans="16:17">
      <c r="P807" t="s">
        <v>25</v>
      </c>
      <c r="Q807" s="569">
        <v>15</v>
      </c>
    </row>
    <row r="808" spans="16:17">
      <c r="P808" t="s">
        <v>2155</v>
      </c>
      <c r="Q808" s="569">
        <v>15</v>
      </c>
    </row>
    <row r="809" spans="16:17">
      <c r="P809" t="s">
        <v>2156</v>
      </c>
      <c r="Q809" s="569">
        <v>15</v>
      </c>
    </row>
    <row r="810" spans="16:17">
      <c r="P810" t="s">
        <v>2157</v>
      </c>
      <c r="Q810" s="569">
        <v>15</v>
      </c>
    </row>
    <row r="811" spans="16:17">
      <c r="P811" t="s">
        <v>2158</v>
      </c>
      <c r="Q811" s="569">
        <v>15</v>
      </c>
    </row>
    <row r="812" spans="16:17">
      <c r="P812" t="s">
        <v>2159</v>
      </c>
      <c r="Q812" s="569">
        <v>15</v>
      </c>
    </row>
    <row r="813" spans="16:17">
      <c r="P813" t="s">
        <v>2160</v>
      </c>
      <c r="Q813" s="569">
        <v>15</v>
      </c>
    </row>
    <row r="814" spans="16:17">
      <c r="P814" t="s">
        <v>2161</v>
      </c>
      <c r="Q814" s="569">
        <v>15</v>
      </c>
    </row>
    <row r="815" spans="16:17">
      <c r="P815" t="s">
        <v>2162</v>
      </c>
      <c r="Q815" s="569">
        <v>15</v>
      </c>
    </row>
    <row r="816" spans="16:17">
      <c r="P816" t="s">
        <v>2163</v>
      </c>
      <c r="Q816" s="569">
        <v>15</v>
      </c>
    </row>
    <row r="817" spans="16:17">
      <c r="P817" t="s">
        <v>2164</v>
      </c>
      <c r="Q817" s="569">
        <v>15</v>
      </c>
    </row>
    <row r="818" spans="16:17">
      <c r="P818" t="s">
        <v>2165</v>
      </c>
      <c r="Q818" s="569">
        <v>15</v>
      </c>
    </row>
    <row r="819" spans="16:17">
      <c r="P819" t="s">
        <v>2166</v>
      </c>
      <c r="Q819" s="569">
        <v>15</v>
      </c>
    </row>
    <row r="820" spans="16:17">
      <c r="P820" t="s">
        <v>2167</v>
      </c>
      <c r="Q820" s="569">
        <v>15</v>
      </c>
    </row>
    <row r="821" spans="16:17">
      <c r="P821" t="s">
        <v>2168</v>
      </c>
      <c r="Q821" s="569">
        <v>15</v>
      </c>
    </row>
    <row r="822" spans="16:17">
      <c r="P822" t="s">
        <v>2169</v>
      </c>
      <c r="Q822" s="569">
        <v>15</v>
      </c>
    </row>
    <row r="823" spans="16:17">
      <c r="P823" t="s">
        <v>2170</v>
      </c>
      <c r="Q823" s="569">
        <v>15</v>
      </c>
    </row>
    <row r="824" spans="16:17">
      <c r="P824" t="s">
        <v>2171</v>
      </c>
      <c r="Q824" s="569">
        <v>15</v>
      </c>
    </row>
    <row r="825" spans="16:17">
      <c r="P825" t="s">
        <v>2172</v>
      </c>
      <c r="Q825" s="569">
        <v>15</v>
      </c>
    </row>
    <row r="826" spans="16:17">
      <c r="P826" t="s">
        <v>2173</v>
      </c>
      <c r="Q826" s="569">
        <v>15</v>
      </c>
    </row>
    <row r="827" spans="16:17">
      <c r="P827" t="s">
        <v>2174</v>
      </c>
      <c r="Q827" s="569">
        <v>15</v>
      </c>
    </row>
    <row r="828" spans="16:17">
      <c r="P828" t="s">
        <v>2175</v>
      </c>
      <c r="Q828" s="569">
        <v>15</v>
      </c>
    </row>
    <row r="829" spans="16:17">
      <c r="P829" t="s">
        <v>2176</v>
      </c>
      <c r="Q829" s="569">
        <v>15</v>
      </c>
    </row>
    <row r="830" spans="16:17">
      <c r="P830" t="s">
        <v>2177</v>
      </c>
      <c r="Q830" s="569">
        <v>15</v>
      </c>
    </row>
    <row r="831" spans="16:17">
      <c r="P831" t="s">
        <v>2178</v>
      </c>
      <c r="Q831" s="569">
        <v>15</v>
      </c>
    </row>
    <row r="832" spans="16:17">
      <c r="P832" t="s">
        <v>2179</v>
      </c>
      <c r="Q832" s="569">
        <v>15</v>
      </c>
    </row>
    <row r="833" spans="16:17">
      <c r="P833" t="s">
        <v>2180</v>
      </c>
      <c r="Q833" s="569">
        <v>15</v>
      </c>
    </row>
    <row r="834" spans="16:17">
      <c r="P834" t="s">
        <v>2181</v>
      </c>
      <c r="Q834" s="569">
        <v>15</v>
      </c>
    </row>
    <row r="835" spans="16:17">
      <c r="P835" t="s">
        <v>2182</v>
      </c>
      <c r="Q835" s="569">
        <v>15</v>
      </c>
    </row>
    <row r="836" spans="16:17">
      <c r="P836" t="s">
        <v>2183</v>
      </c>
      <c r="Q836" s="569">
        <v>15</v>
      </c>
    </row>
    <row r="837" spans="16:17">
      <c r="P837" t="s">
        <v>2184</v>
      </c>
      <c r="Q837" s="569">
        <v>15</v>
      </c>
    </row>
    <row r="838" spans="16:17">
      <c r="P838" t="s">
        <v>2185</v>
      </c>
      <c r="Q838" s="569">
        <v>15</v>
      </c>
    </row>
    <row r="839" spans="16:17">
      <c r="P839" t="s">
        <v>2186</v>
      </c>
      <c r="Q839" s="569">
        <v>15</v>
      </c>
    </row>
    <row r="840" spans="16:17">
      <c r="P840" t="s">
        <v>2187</v>
      </c>
      <c r="Q840" s="569">
        <v>15</v>
      </c>
    </row>
    <row r="841" spans="16:17">
      <c r="P841" t="s">
        <v>2188</v>
      </c>
      <c r="Q841" s="569">
        <v>15</v>
      </c>
    </row>
    <row r="842" spans="16:17">
      <c r="P842" t="s">
        <v>2189</v>
      </c>
      <c r="Q842" s="569">
        <v>15</v>
      </c>
    </row>
    <row r="843" spans="16:17">
      <c r="P843" t="s">
        <v>2190</v>
      </c>
      <c r="Q843" s="569">
        <v>15</v>
      </c>
    </row>
    <row r="844" spans="16:17">
      <c r="P844" t="s">
        <v>2191</v>
      </c>
      <c r="Q844" s="569">
        <v>15</v>
      </c>
    </row>
    <row r="845" spans="16:17">
      <c r="P845" t="s">
        <v>2192</v>
      </c>
      <c r="Q845" s="569">
        <v>15</v>
      </c>
    </row>
    <row r="846" spans="16:17">
      <c r="P846" t="s">
        <v>2193</v>
      </c>
      <c r="Q846" s="569">
        <v>15</v>
      </c>
    </row>
    <row r="847" spans="16:17">
      <c r="P847" t="s">
        <v>2194</v>
      </c>
      <c r="Q847" s="569">
        <v>15</v>
      </c>
    </row>
    <row r="848" spans="16:17">
      <c r="P848" t="s">
        <v>2195</v>
      </c>
      <c r="Q848" s="569">
        <v>15</v>
      </c>
    </row>
    <row r="849" spans="16:17">
      <c r="P849" t="s">
        <v>2196</v>
      </c>
      <c r="Q849" s="569">
        <v>15</v>
      </c>
    </row>
    <row r="850" spans="16:17">
      <c r="P850" t="s">
        <v>2197</v>
      </c>
      <c r="Q850" s="569">
        <v>15</v>
      </c>
    </row>
    <row r="851" spans="16:17">
      <c r="P851" t="s">
        <v>2198</v>
      </c>
      <c r="Q851" s="569">
        <v>15</v>
      </c>
    </row>
    <row r="852" spans="16:17">
      <c r="P852" t="s">
        <v>2199</v>
      </c>
      <c r="Q852" s="569">
        <v>15</v>
      </c>
    </row>
    <row r="853" spans="16:17">
      <c r="P853" t="s">
        <v>2200</v>
      </c>
      <c r="Q853" s="569">
        <v>15</v>
      </c>
    </row>
    <row r="854" spans="16:17">
      <c r="P854" t="s">
        <v>2201</v>
      </c>
      <c r="Q854" s="569">
        <v>15</v>
      </c>
    </row>
    <row r="855" spans="16:17">
      <c r="P855" t="s">
        <v>2202</v>
      </c>
      <c r="Q855" s="569">
        <v>15</v>
      </c>
    </row>
    <row r="856" spans="16:17">
      <c r="P856" t="s">
        <v>2203</v>
      </c>
      <c r="Q856" s="569">
        <v>15</v>
      </c>
    </row>
    <row r="857" spans="16:17">
      <c r="P857" t="s">
        <v>2204</v>
      </c>
      <c r="Q857" s="569">
        <v>15</v>
      </c>
    </row>
    <row r="858" spans="16:17">
      <c r="P858" t="s">
        <v>2205</v>
      </c>
      <c r="Q858" s="569">
        <v>15</v>
      </c>
    </row>
    <row r="859" spans="16:17">
      <c r="P859" t="s">
        <v>2206</v>
      </c>
      <c r="Q859" s="569">
        <v>15</v>
      </c>
    </row>
    <row r="860" spans="16:17">
      <c r="P860" t="s">
        <v>2207</v>
      </c>
      <c r="Q860" s="569">
        <v>15</v>
      </c>
    </row>
    <row r="861" spans="16:17">
      <c r="P861" t="s">
        <v>2208</v>
      </c>
      <c r="Q861" s="569">
        <v>15</v>
      </c>
    </row>
    <row r="862" spans="16:17">
      <c r="P862" t="s">
        <v>2209</v>
      </c>
      <c r="Q862" s="569">
        <v>15</v>
      </c>
    </row>
    <row r="863" spans="16:17">
      <c r="P863" t="s">
        <v>2210</v>
      </c>
      <c r="Q863" s="569">
        <v>15</v>
      </c>
    </row>
    <row r="864" spans="16:17">
      <c r="P864" t="s">
        <v>2211</v>
      </c>
      <c r="Q864" s="569">
        <v>15</v>
      </c>
    </row>
    <row r="865" spans="16:17">
      <c r="P865" t="s">
        <v>2212</v>
      </c>
      <c r="Q865" s="569">
        <v>15</v>
      </c>
    </row>
    <row r="866" spans="16:17">
      <c r="P866" t="s">
        <v>2213</v>
      </c>
      <c r="Q866" s="569">
        <v>15</v>
      </c>
    </row>
    <row r="867" spans="16:17">
      <c r="P867" t="s">
        <v>2214</v>
      </c>
      <c r="Q867" s="569">
        <v>15</v>
      </c>
    </row>
    <row r="868" spans="16:17">
      <c r="P868" t="s">
        <v>2215</v>
      </c>
      <c r="Q868" s="569">
        <v>15</v>
      </c>
    </row>
    <row r="869" spans="16:17">
      <c r="P869" t="s">
        <v>2216</v>
      </c>
      <c r="Q869" s="569">
        <v>15</v>
      </c>
    </row>
    <row r="870" spans="16:17">
      <c r="P870" t="s">
        <v>2217</v>
      </c>
      <c r="Q870" s="569">
        <v>15</v>
      </c>
    </row>
    <row r="871" spans="16:17">
      <c r="P871" t="s">
        <v>2218</v>
      </c>
      <c r="Q871" s="569">
        <v>15</v>
      </c>
    </row>
    <row r="872" spans="16:17">
      <c r="P872" t="s">
        <v>2219</v>
      </c>
      <c r="Q872" s="569">
        <v>15</v>
      </c>
    </row>
    <row r="873" spans="16:17">
      <c r="P873" t="s">
        <v>2220</v>
      </c>
      <c r="Q873" s="569">
        <v>15</v>
      </c>
    </row>
    <row r="874" spans="16:17">
      <c r="P874" t="s">
        <v>2221</v>
      </c>
      <c r="Q874" s="569">
        <v>15</v>
      </c>
    </row>
    <row r="875" spans="16:17">
      <c r="P875" t="s">
        <v>2222</v>
      </c>
      <c r="Q875" s="569">
        <v>15</v>
      </c>
    </row>
    <row r="876" spans="16:17">
      <c r="P876" t="s">
        <v>2223</v>
      </c>
      <c r="Q876" s="569">
        <v>15</v>
      </c>
    </row>
    <row r="877" spans="16:17">
      <c r="P877" t="s">
        <v>2224</v>
      </c>
      <c r="Q877" s="569">
        <v>15</v>
      </c>
    </row>
    <row r="878" spans="16:17">
      <c r="P878" t="s">
        <v>2225</v>
      </c>
      <c r="Q878" s="569">
        <v>15</v>
      </c>
    </row>
    <row r="879" spans="16:17">
      <c r="P879" t="s">
        <v>2226</v>
      </c>
      <c r="Q879" s="569">
        <v>15</v>
      </c>
    </row>
    <row r="880" spans="16:17">
      <c r="P880" t="s">
        <v>2227</v>
      </c>
      <c r="Q880" s="569">
        <v>15</v>
      </c>
    </row>
    <row r="881" spans="16:17">
      <c r="P881" t="s">
        <v>2228</v>
      </c>
      <c r="Q881" s="569">
        <v>15</v>
      </c>
    </row>
    <row r="882" spans="16:17">
      <c r="P882" t="s">
        <v>2229</v>
      </c>
      <c r="Q882" s="569">
        <v>15</v>
      </c>
    </row>
    <row r="883" spans="16:17">
      <c r="P883" t="s">
        <v>2230</v>
      </c>
      <c r="Q883" s="569">
        <v>15</v>
      </c>
    </row>
    <row r="884" spans="16:17">
      <c r="P884" t="s">
        <v>2231</v>
      </c>
      <c r="Q884" s="569">
        <v>15</v>
      </c>
    </row>
    <row r="885" spans="16:17">
      <c r="P885" t="s">
        <v>2232</v>
      </c>
      <c r="Q885" s="569">
        <v>15</v>
      </c>
    </row>
    <row r="886" spans="16:17">
      <c r="P886" t="s">
        <v>2233</v>
      </c>
      <c r="Q886" s="569">
        <v>15</v>
      </c>
    </row>
    <row r="887" spans="16:17">
      <c r="P887" t="s">
        <v>2234</v>
      </c>
      <c r="Q887" s="569">
        <v>15</v>
      </c>
    </row>
    <row r="888" spans="16:17">
      <c r="P888" t="s">
        <v>2235</v>
      </c>
      <c r="Q888" s="569">
        <v>15</v>
      </c>
    </row>
    <row r="889" spans="16:17">
      <c r="P889" t="s">
        <v>2236</v>
      </c>
      <c r="Q889" s="569">
        <v>15</v>
      </c>
    </row>
    <row r="890" spans="16:17">
      <c r="P890" t="s">
        <v>2237</v>
      </c>
      <c r="Q890" s="569">
        <v>15</v>
      </c>
    </row>
    <row r="891" spans="16:17">
      <c r="P891" t="s">
        <v>2238</v>
      </c>
      <c r="Q891" s="569">
        <v>15</v>
      </c>
    </row>
    <row r="892" spans="16:17">
      <c r="P892" t="s">
        <v>2239</v>
      </c>
      <c r="Q892" s="569">
        <v>15</v>
      </c>
    </row>
    <row r="893" spans="16:17">
      <c r="P893" t="s">
        <v>2240</v>
      </c>
      <c r="Q893" s="569">
        <v>15</v>
      </c>
    </row>
    <row r="894" spans="16:17">
      <c r="P894" t="s">
        <v>2241</v>
      </c>
      <c r="Q894" s="569">
        <v>15</v>
      </c>
    </row>
    <row r="895" spans="16:17">
      <c r="P895" t="s">
        <v>2242</v>
      </c>
      <c r="Q895" s="569">
        <v>15</v>
      </c>
    </row>
    <row r="896" spans="16:17">
      <c r="P896" t="s">
        <v>2243</v>
      </c>
      <c r="Q896" s="569">
        <v>15</v>
      </c>
    </row>
    <row r="897" spans="16:17">
      <c r="P897" t="s">
        <v>2244</v>
      </c>
      <c r="Q897" s="569">
        <v>15</v>
      </c>
    </row>
    <row r="898" spans="16:17">
      <c r="P898" t="s">
        <v>2245</v>
      </c>
      <c r="Q898" s="569">
        <v>15</v>
      </c>
    </row>
    <row r="899" spans="16:17">
      <c r="P899" t="s">
        <v>2246</v>
      </c>
      <c r="Q899" s="569">
        <v>15</v>
      </c>
    </row>
    <row r="900" spans="16:17">
      <c r="P900" t="s">
        <v>2247</v>
      </c>
      <c r="Q900" s="569">
        <v>15</v>
      </c>
    </row>
    <row r="901" spans="16:17">
      <c r="P901" t="s">
        <v>2248</v>
      </c>
      <c r="Q901" s="569">
        <v>15</v>
      </c>
    </row>
    <row r="902" spans="16:17">
      <c r="P902" t="s">
        <v>2249</v>
      </c>
      <c r="Q902" s="569">
        <v>15</v>
      </c>
    </row>
    <row r="903" spans="16:17">
      <c r="P903" t="s">
        <v>2250</v>
      </c>
      <c r="Q903" s="569">
        <v>15</v>
      </c>
    </row>
    <row r="904" spans="16:17">
      <c r="P904" t="s">
        <v>2251</v>
      </c>
      <c r="Q904" s="569">
        <v>15</v>
      </c>
    </row>
    <row r="905" spans="16:17">
      <c r="P905" t="s">
        <v>2252</v>
      </c>
      <c r="Q905" s="569">
        <v>15</v>
      </c>
    </row>
    <row r="906" spans="16:17">
      <c r="P906" t="s">
        <v>2253</v>
      </c>
      <c r="Q906" s="569">
        <v>15</v>
      </c>
    </row>
    <row r="907" spans="16:17">
      <c r="P907" t="s">
        <v>2254</v>
      </c>
      <c r="Q907" s="569">
        <v>15</v>
      </c>
    </row>
    <row r="908" spans="16:17">
      <c r="P908" t="s">
        <v>2255</v>
      </c>
      <c r="Q908" s="569">
        <v>15</v>
      </c>
    </row>
    <row r="909" spans="16:17">
      <c r="P909" t="s">
        <v>2256</v>
      </c>
      <c r="Q909" s="569">
        <v>15</v>
      </c>
    </row>
    <row r="910" spans="16:17">
      <c r="P910" t="s">
        <v>2257</v>
      </c>
      <c r="Q910" s="569">
        <v>15</v>
      </c>
    </row>
    <row r="911" spans="16:17">
      <c r="P911" t="s">
        <v>2258</v>
      </c>
      <c r="Q911" s="569">
        <v>15</v>
      </c>
    </row>
    <row r="912" spans="16:17">
      <c r="P912" t="s">
        <v>2259</v>
      </c>
      <c r="Q912" s="569">
        <v>15</v>
      </c>
    </row>
    <row r="913" spans="16:17">
      <c r="P913" t="s">
        <v>2260</v>
      </c>
      <c r="Q913" s="569">
        <v>15</v>
      </c>
    </row>
    <row r="914" spans="16:17">
      <c r="P914" t="s">
        <v>2262</v>
      </c>
      <c r="Q914" s="569">
        <v>15</v>
      </c>
    </row>
    <row r="915" spans="16:17">
      <c r="P915" t="s">
        <v>2263</v>
      </c>
      <c r="Q915" s="569">
        <v>15</v>
      </c>
    </row>
    <row r="916" spans="16:17">
      <c r="P916" t="s">
        <v>2264</v>
      </c>
      <c r="Q916" s="569">
        <v>15</v>
      </c>
    </row>
    <row r="917" spans="16:17">
      <c r="P917" t="s">
        <v>2265</v>
      </c>
      <c r="Q917" s="569">
        <v>15</v>
      </c>
    </row>
    <row r="918" spans="16:17">
      <c r="P918" t="s">
        <v>2266</v>
      </c>
      <c r="Q918" s="569">
        <v>15</v>
      </c>
    </row>
    <row r="919" spans="16:17">
      <c r="P919" t="s">
        <v>2267</v>
      </c>
      <c r="Q919" s="569">
        <v>15</v>
      </c>
    </row>
    <row r="920" spans="16:17">
      <c r="P920" t="s">
        <v>2268</v>
      </c>
      <c r="Q920" s="569">
        <v>15</v>
      </c>
    </row>
    <row r="921" spans="16:17">
      <c r="P921" t="s">
        <v>2269</v>
      </c>
      <c r="Q921" s="569">
        <v>15</v>
      </c>
    </row>
    <row r="922" spans="16:17">
      <c r="P922" t="s">
        <v>2270</v>
      </c>
      <c r="Q922" s="569">
        <v>15</v>
      </c>
    </row>
    <row r="923" spans="16:17">
      <c r="P923" t="s">
        <v>2271</v>
      </c>
      <c r="Q923" s="569">
        <v>15</v>
      </c>
    </row>
    <row r="924" spans="16:17">
      <c r="P924" t="s">
        <v>2272</v>
      </c>
      <c r="Q924" s="569">
        <v>15</v>
      </c>
    </row>
    <row r="925" spans="16:17">
      <c r="P925" t="s">
        <v>2273</v>
      </c>
      <c r="Q925" s="569">
        <v>15</v>
      </c>
    </row>
    <row r="926" spans="16:17">
      <c r="P926" t="s">
        <v>2274</v>
      </c>
      <c r="Q926" s="569">
        <v>15</v>
      </c>
    </row>
    <row r="927" spans="16:17">
      <c r="P927" t="s">
        <v>2275</v>
      </c>
      <c r="Q927" s="569">
        <v>15</v>
      </c>
    </row>
    <row r="928" spans="16:17">
      <c r="P928" t="s">
        <v>2276</v>
      </c>
      <c r="Q928" s="569">
        <v>15</v>
      </c>
    </row>
    <row r="929" spans="16:17">
      <c r="P929" t="s">
        <v>2277</v>
      </c>
      <c r="Q929" s="569">
        <v>15</v>
      </c>
    </row>
    <row r="930" spans="16:17">
      <c r="P930" t="s">
        <v>2278</v>
      </c>
      <c r="Q930" s="569">
        <v>15</v>
      </c>
    </row>
    <row r="931" spans="16:17">
      <c r="P931" t="s">
        <v>2279</v>
      </c>
      <c r="Q931" s="569">
        <v>15</v>
      </c>
    </row>
    <row r="932" spans="16:17">
      <c r="P932" t="s">
        <v>2280</v>
      </c>
      <c r="Q932" s="569">
        <v>15</v>
      </c>
    </row>
    <row r="933" spans="16:17">
      <c r="P933" t="s">
        <v>2281</v>
      </c>
      <c r="Q933" s="569">
        <v>15</v>
      </c>
    </row>
    <row r="934" spans="16:17">
      <c r="P934" t="s">
        <v>2282</v>
      </c>
      <c r="Q934" s="569">
        <v>15</v>
      </c>
    </row>
    <row r="935" spans="16:17">
      <c r="P935" t="s">
        <v>2283</v>
      </c>
      <c r="Q935" s="569">
        <v>15</v>
      </c>
    </row>
    <row r="936" spans="16:17">
      <c r="P936" t="s">
        <v>2284</v>
      </c>
      <c r="Q936" s="569">
        <v>15</v>
      </c>
    </row>
    <row r="937" spans="16:17">
      <c r="P937" t="s">
        <v>2285</v>
      </c>
      <c r="Q937" s="569">
        <v>15</v>
      </c>
    </row>
    <row r="938" spans="16:17">
      <c r="P938" t="s">
        <v>2286</v>
      </c>
      <c r="Q938" s="569">
        <v>15</v>
      </c>
    </row>
    <row r="939" spans="16:17">
      <c r="P939" t="s">
        <v>2287</v>
      </c>
      <c r="Q939" s="569">
        <v>15</v>
      </c>
    </row>
    <row r="940" spans="16:17">
      <c r="P940" t="s">
        <v>2289</v>
      </c>
      <c r="Q940" s="569">
        <v>15</v>
      </c>
    </row>
    <row r="941" spans="16:17">
      <c r="P941" t="s">
        <v>2290</v>
      </c>
      <c r="Q941" s="569">
        <v>15</v>
      </c>
    </row>
    <row r="942" spans="16:17">
      <c r="P942" t="s">
        <v>2291</v>
      </c>
      <c r="Q942" s="569">
        <v>15</v>
      </c>
    </row>
    <row r="943" spans="16:17">
      <c r="P943" t="s">
        <v>2292</v>
      </c>
      <c r="Q943" s="569">
        <v>15</v>
      </c>
    </row>
    <row r="944" spans="16:17">
      <c r="P944" t="s">
        <v>2293</v>
      </c>
      <c r="Q944" s="569">
        <v>15</v>
      </c>
    </row>
    <row r="945" spans="16:17">
      <c r="P945" t="s">
        <v>2294</v>
      </c>
      <c r="Q945" s="569">
        <v>15</v>
      </c>
    </row>
    <row r="946" spans="16:17">
      <c r="P946" t="s">
        <v>2295</v>
      </c>
      <c r="Q946" s="569">
        <v>15</v>
      </c>
    </row>
    <row r="947" spans="16:17">
      <c r="P947" t="s">
        <v>2296</v>
      </c>
      <c r="Q947" s="569">
        <v>15</v>
      </c>
    </row>
    <row r="948" spans="16:17">
      <c r="P948" t="s">
        <v>2297</v>
      </c>
      <c r="Q948" s="569">
        <v>15</v>
      </c>
    </row>
    <row r="949" spans="16:17">
      <c r="P949" t="s">
        <v>2298</v>
      </c>
      <c r="Q949" s="569">
        <v>15</v>
      </c>
    </row>
    <row r="950" spans="16:17">
      <c r="P950" t="s">
        <v>2299</v>
      </c>
      <c r="Q950" s="569">
        <v>15</v>
      </c>
    </row>
    <row r="951" spans="16:17">
      <c r="P951" t="s">
        <v>2300</v>
      </c>
      <c r="Q951" s="569">
        <v>15</v>
      </c>
    </row>
    <row r="952" spans="16:17">
      <c r="P952" t="s">
        <v>2301</v>
      </c>
      <c r="Q952" s="569">
        <v>15</v>
      </c>
    </row>
    <row r="953" spans="16:17">
      <c r="P953" t="s">
        <v>2302</v>
      </c>
      <c r="Q953" s="569">
        <v>15</v>
      </c>
    </row>
    <row r="954" spans="16:17">
      <c r="P954" t="s">
        <v>2303</v>
      </c>
      <c r="Q954" s="569">
        <v>15</v>
      </c>
    </row>
    <row r="955" spans="16:17">
      <c r="P955" t="s">
        <v>2304</v>
      </c>
      <c r="Q955" s="569">
        <v>15</v>
      </c>
    </row>
    <row r="956" spans="16:17">
      <c r="P956" t="s">
        <v>2305</v>
      </c>
      <c r="Q956" s="569">
        <v>15</v>
      </c>
    </row>
    <row r="957" spans="16:17">
      <c r="P957" t="s">
        <v>2306</v>
      </c>
      <c r="Q957" s="569">
        <v>15</v>
      </c>
    </row>
    <row r="958" spans="16:17">
      <c r="P958" t="s">
        <v>2307</v>
      </c>
      <c r="Q958" s="569">
        <v>15</v>
      </c>
    </row>
    <row r="959" spans="16:17">
      <c r="P959" t="s">
        <v>2308</v>
      </c>
      <c r="Q959" s="569">
        <v>15</v>
      </c>
    </row>
    <row r="960" spans="16:17">
      <c r="P960" t="s">
        <v>2309</v>
      </c>
      <c r="Q960" s="569">
        <v>15</v>
      </c>
    </row>
    <row r="961" spans="16:17">
      <c r="P961" t="s">
        <v>2310</v>
      </c>
      <c r="Q961" s="569">
        <v>15</v>
      </c>
    </row>
    <row r="962" spans="16:17">
      <c r="P962" t="s">
        <v>2311</v>
      </c>
      <c r="Q962" s="569">
        <v>15</v>
      </c>
    </row>
    <row r="963" spans="16:17">
      <c r="P963" t="s">
        <v>2312</v>
      </c>
      <c r="Q963" s="569">
        <v>15</v>
      </c>
    </row>
    <row r="964" spans="16:17">
      <c r="P964" t="s">
        <v>2313</v>
      </c>
      <c r="Q964" s="569">
        <v>15</v>
      </c>
    </row>
    <row r="965" spans="16:17">
      <c r="P965" t="s">
        <v>2314</v>
      </c>
      <c r="Q965" s="569">
        <v>15</v>
      </c>
    </row>
    <row r="966" spans="16:17">
      <c r="P966" t="s">
        <v>2315</v>
      </c>
      <c r="Q966" s="569">
        <v>15</v>
      </c>
    </row>
    <row r="967" spans="16:17">
      <c r="P967" t="s">
        <v>2316</v>
      </c>
      <c r="Q967" s="569">
        <v>15</v>
      </c>
    </row>
    <row r="968" spans="16:17">
      <c r="P968" t="s">
        <v>2317</v>
      </c>
      <c r="Q968" s="569">
        <v>15</v>
      </c>
    </row>
    <row r="969" spans="16:17">
      <c r="P969" t="s">
        <v>2318</v>
      </c>
      <c r="Q969" s="569">
        <v>15</v>
      </c>
    </row>
    <row r="970" spans="16:17">
      <c r="P970" t="s">
        <v>2319</v>
      </c>
      <c r="Q970" s="569">
        <v>15</v>
      </c>
    </row>
    <row r="971" spans="16:17">
      <c r="P971" t="s">
        <v>2320</v>
      </c>
      <c r="Q971" s="569">
        <v>15</v>
      </c>
    </row>
    <row r="972" spans="16:17">
      <c r="P972" t="s">
        <v>2321</v>
      </c>
      <c r="Q972" s="569">
        <v>15</v>
      </c>
    </row>
    <row r="973" spans="16:17">
      <c r="P973" t="s">
        <v>2322</v>
      </c>
      <c r="Q973" s="569">
        <v>15</v>
      </c>
    </row>
    <row r="974" spans="16:17">
      <c r="P974" t="s">
        <v>2323</v>
      </c>
      <c r="Q974" s="569">
        <v>15</v>
      </c>
    </row>
    <row r="975" spans="16:17">
      <c r="P975" t="s">
        <v>2324</v>
      </c>
      <c r="Q975" s="569">
        <v>15</v>
      </c>
    </row>
    <row r="976" spans="16:17">
      <c r="P976" t="s">
        <v>2325</v>
      </c>
      <c r="Q976" s="569">
        <v>15</v>
      </c>
    </row>
    <row r="977" spans="16:17">
      <c r="P977" t="s">
        <v>2326</v>
      </c>
      <c r="Q977" s="569">
        <v>15</v>
      </c>
    </row>
    <row r="978" spans="16:17">
      <c r="P978" t="s">
        <v>2327</v>
      </c>
      <c r="Q978" s="569">
        <v>15</v>
      </c>
    </row>
    <row r="979" spans="16:17">
      <c r="P979" t="s">
        <v>2328</v>
      </c>
      <c r="Q979" s="569">
        <v>15</v>
      </c>
    </row>
    <row r="980" spans="16:17">
      <c r="P980" t="s">
        <v>2329</v>
      </c>
      <c r="Q980" s="569">
        <v>15</v>
      </c>
    </row>
    <row r="981" spans="16:17">
      <c r="P981" t="s">
        <v>2330</v>
      </c>
      <c r="Q981" s="569">
        <v>15</v>
      </c>
    </row>
    <row r="982" spans="16:17">
      <c r="P982" t="s">
        <v>2331</v>
      </c>
      <c r="Q982" s="569">
        <v>15</v>
      </c>
    </row>
    <row r="983" spans="16:17">
      <c r="P983" t="s">
        <v>2332</v>
      </c>
      <c r="Q983" s="569">
        <v>15</v>
      </c>
    </row>
    <row r="984" spans="16:17">
      <c r="P984" t="s">
        <v>2333</v>
      </c>
      <c r="Q984" s="569">
        <v>15</v>
      </c>
    </row>
    <row r="985" spans="16:17">
      <c r="P985" t="s">
        <v>2334</v>
      </c>
      <c r="Q985" s="569">
        <v>15</v>
      </c>
    </row>
    <row r="986" spans="16:17">
      <c r="P986" t="s">
        <v>2335</v>
      </c>
      <c r="Q986" s="569">
        <v>15</v>
      </c>
    </row>
    <row r="987" spans="16:17">
      <c r="P987" t="s">
        <v>2336</v>
      </c>
      <c r="Q987" s="569">
        <v>15</v>
      </c>
    </row>
    <row r="988" spans="16:17">
      <c r="P988" t="s">
        <v>2337</v>
      </c>
      <c r="Q988" s="569">
        <v>15</v>
      </c>
    </row>
    <row r="989" spans="16:17">
      <c r="P989" t="s">
        <v>2338</v>
      </c>
      <c r="Q989" s="569">
        <v>15</v>
      </c>
    </row>
    <row r="990" spans="16:17">
      <c r="P990" t="s">
        <v>2339</v>
      </c>
      <c r="Q990" s="569">
        <v>15</v>
      </c>
    </row>
    <row r="991" spans="16:17">
      <c r="P991" t="s">
        <v>2340</v>
      </c>
      <c r="Q991" s="569">
        <v>15</v>
      </c>
    </row>
    <row r="992" spans="16:17">
      <c r="P992" t="s">
        <v>2341</v>
      </c>
      <c r="Q992" s="569">
        <v>15</v>
      </c>
    </row>
    <row r="993" spans="16:17">
      <c r="P993" t="s">
        <v>2342</v>
      </c>
      <c r="Q993" s="569">
        <v>15</v>
      </c>
    </row>
    <row r="994" spans="16:17">
      <c r="P994" t="s">
        <v>2343</v>
      </c>
      <c r="Q994" s="569">
        <v>15</v>
      </c>
    </row>
    <row r="995" spans="16:17">
      <c r="P995" t="s">
        <v>2344</v>
      </c>
      <c r="Q995" s="569">
        <v>15</v>
      </c>
    </row>
    <row r="996" spans="16:17">
      <c r="P996" t="s">
        <v>2345</v>
      </c>
      <c r="Q996" s="569">
        <v>15</v>
      </c>
    </row>
    <row r="997" spans="16:17">
      <c r="P997" t="s">
        <v>2346</v>
      </c>
      <c r="Q997" s="569">
        <v>15</v>
      </c>
    </row>
    <row r="998" spans="16:17">
      <c r="P998" t="s">
        <v>2347</v>
      </c>
      <c r="Q998" s="569">
        <v>15</v>
      </c>
    </row>
    <row r="999" spans="16:17">
      <c r="P999" t="s">
        <v>2348</v>
      </c>
      <c r="Q999" s="569">
        <v>15</v>
      </c>
    </row>
    <row r="1000" spans="16:17">
      <c r="P1000" t="s">
        <v>2349</v>
      </c>
      <c r="Q1000" s="569">
        <v>15</v>
      </c>
    </row>
    <row r="1001" spans="16:17">
      <c r="P1001" t="s">
        <v>2350</v>
      </c>
      <c r="Q1001" s="569">
        <v>15</v>
      </c>
    </row>
    <row r="1002" spans="16:17">
      <c r="P1002" t="s">
        <v>2351</v>
      </c>
      <c r="Q1002" s="569">
        <v>15</v>
      </c>
    </row>
    <row r="1003" spans="16:17">
      <c r="P1003" t="s">
        <v>2352</v>
      </c>
      <c r="Q1003" s="569">
        <v>15</v>
      </c>
    </row>
    <row r="1004" spans="16:17">
      <c r="P1004" t="s">
        <v>2353</v>
      </c>
      <c r="Q1004" s="569">
        <v>15</v>
      </c>
    </row>
    <row r="1005" spans="16:17">
      <c r="P1005" t="s">
        <v>2354</v>
      </c>
      <c r="Q1005" s="569">
        <v>15</v>
      </c>
    </row>
    <row r="1006" spans="16:17">
      <c r="P1006" t="s">
        <v>2355</v>
      </c>
      <c r="Q1006" s="569">
        <v>15</v>
      </c>
    </row>
    <row r="1007" spans="16:17">
      <c r="P1007" t="s">
        <v>2356</v>
      </c>
      <c r="Q1007" s="569">
        <v>15</v>
      </c>
    </row>
    <row r="1008" spans="16:17">
      <c r="P1008" t="s">
        <v>2357</v>
      </c>
      <c r="Q1008" s="569">
        <v>15</v>
      </c>
    </row>
    <row r="1009" spans="16:17">
      <c r="P1009" t="s">
        <v>2358</v>
      </c>
      <c r="Q1009" s="569">
        <v>15</v>
      </c>
    </row>
    <row r="1010" spans="16:17">
      <c r="P1010" t="s">
        <v>2359</v>
      </c>
      <c r="Q1010" s="569">
        <v>15</v>
      </c>
    </row>
    <row r="1011" spans="16:17">
      <c r="P1011" t="s">
        <v>2360</v>
      </c>
      <c r="Q1011" s="569">
        <v>15</v>
      </c>
    </row>
    <row r="1012" spans="16:17">
      <c r="P1012" t="s">
        <v>2361</v>
      </c>
      <c r="Q1012" s="569">
        <v>15</v>
      </c>
    </row>
    <row r="1013" spans="16:17">
      <c r="P1013" t="s">
        <v>2362</v>
      </c>
      <c r="Q1013" s="569">
        <v>15</v>
      </c>
    </row>
    <row r="1014" spans="16:17">
      <c r="P1014" t="s">
        <v>2363</v>
      </c>
      <c r="Q1014" s="569">
        <v>15</v>
      </c>
    </row>
    <row r="1015" spans="16:17">
      <c r="P1015" t="s">
        <v>2364</v>
      </c>
      <c r="Q1015" s="569">
        <v>15</v>
      </c>
    </row>
    <row r="1016" spans="16:17">
      <c r="P1016" t="s">
        <v>2365</v>
      </c>
      <c r="Q1016" s="569">
        <v>15</v>
      </c>
    </row>
    <row r="1017" spans="16:17">
      <c r="P1017" t="s">
        <v>2366</v>
      </c>
      <c r="Q1017" s="569">
        <v>15</v>
      </c>
    </row>
    <row r="1018" spans="16:17">
      <c r="P1018" t="s">
        <v>2367</v>
      </c>
      <c r="Q1018" s="569">
        <v>15</v>
      </c>
    </row>
    <row r="1019" spans="16:17">
      <c r="P1019" t="s">
        <v>2368</v>
      </c>
      <c r="Q1019" s="569">
        <v>15</v>
      </c>
    </row>
    <row r="1020" spans="16:17">
      <c r="P1020" t="s">
        <v>2369</v>
      </c>
      <c r="Q1020" s="569">
        <v>15</v>
      </c>
    </row>
    <row r="1021" spans="16:17">
      <c r="P1021" t="s">
        <v>2370</v>
      </c>
      <c r="Q1021" s="569">
        <v>15</v>
      </c>
    </row>
    <row r="1022" spans="16:17">
      <c r="P1022" t="s">
        <v>2371</v>
      </c>
      <c r="Q1022" s="569">
        <v>15</v>
      </c>
    </row>
    <row r="1023" spans="16:17">
      <c r="P1023" t="s">
        <v>2372</v>
      </c>
      <c r="Q1023" s="569">
        <v>15</v>
      </c>
    </row>
    <row r="1024" spans="16:17">
      <c r="P1024" t="s">
        <v>2373</v>
      </c>
      <c r="Q1024" s="569">
        <v>15</v>
      </c>
    </row>
    <row r="1025" spans="16:17">
      <c r="P1025" t="s">
        <v>2374</v>
      </c>
      <c r="Q1025" s="569">
        <v>15</v>
      </c>
    </row>
    <row r="1026" spans="16:17">
      <c r="P1026" t="s">
        <v>2375</v>
      </c>
      <c r="Q1026" s="569">
        <v>15</v>
      </c>
    </row>
    <row r="1027" spans="16:17">
      <c r="P1027" t="s">
        <v>2376</v>
      </c>
      <c r="Q1027" s="569">
        <v>15</v>
      </c>
    </row>
    <row r="1028" spans="16:17">
      <c r="P1028" t="s">
        <v>2377</v>
      </c>
      <c r="Q1028" s="569">
        <v>15</v>
      </c>
    </row>
    <row r="1029" spans="16:17">
      <c r="P1029" t="s">
        <v>2378</v>
      </c>
      <c r="Q1029" s="569">
        <v>15</v>
      </c>
    </row>
    <row r="1030" spans="16:17">
      <c r="P1030" t="s">
        <v>2379</v>
      </c>
      <c r="Q1030" s="569">
        <v>15</v>
      </c>
    </row>
    <row r="1031" spans="16:17">
      <c r="P1031" t="s">
        <v>2380</v>
      </c>
      <c r="Q1031" s="569">
        <v>15</v>
      </c>
    </row>
    <row r="1032" spans="16:17">
      <c r="P1032" t="s">
        <v>2381</v>
      </c>
      <c r="Q1032" s="569">
        <v>15</v>
      </c>
    </row>
    <row r="1033" spans="16:17">
      <c r="P1033" t="s">
        <v>2382</v>
      </c>
      <c r="Q1033" s="569">
        <v>15</v>
      </c>
    </row>
    <row r="1034" spans="16:17">
      <c r="P1034" t="s">
        <v>2383</v>
      </c>
      <c r="Q1034" s="569">
        <v>15</v>
      </c>
    </row>
    <row r="1035" spans="16:17">
      <c r="P1035" t="s">
        <v>2384</v>
      </c>
      <c r="Q1035" s="569">
        <v>15</v>
      </c>
    </row>
    <row r="1036" spans="16:17">
      <c r="P1036" t="s">
        <v>2385</v>
      </c>
      <c r="Q1036" s="569">
        <v>15</v>
      </c>
    </row>
    <row r="1037" spans="16:17">
      <c r="P1037" t="s">
        <v>2386</v>
      </c>
      <c r="Q1037" s="569">
        <v>15</v>
      </c>
    </row>
    <row r="1038" spans="16:17">
      <c r="P1038" t="s">
        <v>2387</v>
      </c>
      <c r="Q1038" s="569">
        <v>15</v>
      </c>
    </row>
    <row r="1039" spans="16:17">
      <c r="P1039" t="s">
        <v>2388</v>
      </c>
      <c r="Q1039" s="569">
        <v>15</v>
      </c>
    </row>
    <row r="1040" spans="16:17">
      <c r="P1040" t="s">
        <v>2389</v>
      </c>
      <c r="Q1040" s="569">
        <v>15</v>
      </c>
    </row>
    <row r="1041" spans="16:17">
      <c r="P1041" t="s">
        <v>2390</v>
      </c>
      <c r="Q1041" s="569">
        <v>15</v>
      </c>
    </row>
    <row r="1042" spans="16:17">
      <c r="P1042" t="s">
        <v>2391</v>
      </c>
      <c r="Q1042" s="569">
        <v>15</v>
      </c>
    </row>
    <row r="1043" spans="16:17">
      <c r="P1043" t="s">
        <v>2392</v>
      </c>
      <c r="Q1043" s="569">
        <v>15</v>
      </c>
    </row>
    <row r="1044" spans="16:17">
      <c r="P1044" t="s">
        <v>2393</v>
      </c>
      <c r="Q1044" s="569">
        <v>15</v>
      </c>
    </row>
    <row r="1045" spans="16:17">
      <c r="P1045" t="s">
        <v>2394</v>
      </c>
      <c r="Q1045" s="569">
        <v>15</v>
      </c>
    </row>
    <row r="1046" spans="16:17">
      <c r="P1046" t="s">
        <v>2395</v>
      </c>
      <c r="Q1046" s="569">
        <v>15</v>
      </c>
    </row>
    <row r="1047" spans="16:17">
      <c r="P1047" t="s">
        <v>2396</v>
      </c>
      <c r="Q1047" s="569">
        <v>15</v>
      </c>
    </row>
    <row r="1048" spans="16:17">
      <c r="P1048" t="s">
        <v>2397</v>
      </c>
      <c r="Q1048" s="569">
        <v>15</v>
      </c>
    </row>
    <row r="1049" spans="16:17">
      <c r="P1049" t="s">
        <v>2398</v>
      </c>
      <c r="Q1049" s="569">
        <v>15</v>
      </c>
    </row>
    <row r="1050" spans="16:17">
      <c r="P1050" t="s">
        <v>2399</v>
      </c>
      <c r="Q1050" s="569">
        <v>15</v>
      </c>
    </row>
    <row r="1051" spans="16:17">
      <c r="P1051" t="s">
        <v>2400</v>
      </c>
      <c r="Q1051" s="569">
        <v>15</v>
      </c>
    </row>
    <row r="1052" spans="16:17">
      <c r="P1052" t="s">
        <v>2401</v>
      </c>
      <c r="Q1052" s="569">
        <v>15</v>
      </c>
    </row>
    <row r="1053" spans="16:17">
      <c r="P1053" t="s">
        <v>2402</v>
      </c>
      <c r="Q1053" s="569">
        <v>15</v>
      </c>
    </row>
    <row r="1054" spans="16:17">
      <c r="P1054" t="s">
        <v>2403</v>
      </c>
      <c r="Q1054" s="569">
        <v>15</v>
      </c>
    </row>
    <row r="1055" spans="16:17">
      <c r="P1055" t="s">
        <v>2404</v>
      </c>
      <c r="Q1055" s="569">
        <v>15</v>
      </c>
    </row>
    <row r="1056" spans="16:17">
      <c r="P1056" t="s">
        <v>2405</v>
      </c>
      <c r="Q1056" s="569">
        <v>15</v>
      </c>
    </row>
    <row r="1057" spans="16:17">
      <c r="P1057" t="s">
        <v>2406</v>
      </c>
      <c r="Q1057" s="569">
        <v>15</v>
      </c>
    </row>
    <row r="1058" spans="16:17">
      <c r="P1058" t="s">
        <v>2407</v>
      </c>
      <c r="Q1058" s="569">
        <v>15</v>
      </c>
    </row>
    <row r="1059" spans="16:17">
      <c r="P1059" t="s">
        <v>2408</v>
      </c>
      <c r="Q1059" s="569">
        <v>15</v>
      </c>
    </row>
    <row r="1060" spans="16:17">
      <c r="P1060" t="s">
        <v>2409</v>
      </c>
      <c r="Q1060" s="569">
        <v>15</v>
      </c>
    </row>
    <row r="1061" spans="16:17">
      <c r="P1061" t="s">
        <v>2410</v>
      </c>
      <c r="Q1061" s="569">
        <v>15</v>
      </c>
    </row>
    <row r="1062" spans="16:17">
      <c r="P1062" t="s">
        <v>2411</v>
      </c>
      <c r="Q1062" s="569">
        <v>15</v>
      </c>
    </row>
    <row r="1063" spans="16:17">
      <c r="P1063" t="s">
        <v>2412</v>
      </c>
      <c r="Q1063" s="569">
        <v>15</v>
      </c>
    </row>
    <row r="1064" spans="16:17">
      <c r="P1064" t="s">
        <v>2413</v>
      </c>
      <c r="Q1064" s="569">
        <v>15</v>
      </c>
    </row>
    <row r="1065" spans="16:17">
      <c r="P1065" t="s">
        <v>2414</v>
      </c>
      <c r="Q1065" s="569">
        <v>15</v>
      </c>
    </row>
    <row r="1066" spans="16:17">
      <c r="P1066" t="s">
        <v>2415</v>
      </c>
      <c r="Q1066" s="569">
        <v>15</v>
      </c>
    </row>
    <row r="1067" spans="16:17">
      <c r="P1067" t="s">
        <v>2416</v>
      </c>
      <c r="Q1067" s="569">
        <v>15</v>
      </c>
    </row>
    <row r="1068" spans="16:17">
      <c r="P1068" t="s">
        <v>2417</v>
      </c>
      <c r="Q1068" s="569">
        <v>15</v>
      </c>
    </row>
    <row r="1069" spans="16:17">
      <c r="P1069" t="s">
        <v>2418</v>
      </c>
      <c r="Q1069" s="569">
        <v>15</v>
      </c>
    </row>
    <row r="1070" spans="16:17">
      <c r="P1070" t="s">
        <v>2419</v>
      </c>
      <c r="Q1070" s="569">
        <v>15</v>
      </c>
    </row>
    <row r="1071" spans="16:17">
      <c r="P1071" t="s">
        <v>2420</v>
      </c>
      <c r="Q1071" s="569">
        <v>15</v>
      </c>
    </row>
    <row r="1072" spans="16:17">
      <c r="P1072" t="s">
        <v>2421</v>
      </c>
      <c r="Q1072" s="569">
        <v>15</v>
      </c>
    </row>
    <row r="1073" spans="16:17">
      <c r="P1073" t="s">
        <v>2422</v>
      </c>
      <c r="Q1073" s="569">
        <v>15</v>
      </c>
    </row>
    <row r="1074" spans="16:17">
      <c r="P1074" t="s">
        <v>2423</v>
      </c>
      <c r="Q1074" s="569">
        <v>15</v>
      </c>
    </row>
    <row r="1075" spans="16:17">
      <c r="P1075" t="s">
        <v>2424</v>
      </c>
      <c r="Q1075" s="569">
        <v>15</v>
      </c>
    </row>
    <row r="1076" spans="16:17">
      <c r="P1076" t="s">
        <v>2425</v>
      </c>
      <c r="Q1076" s="569">
        <v>15</v>
      </c>
    </row>
    <row r="1077" spans="16:17">
      <c r="P1077" t="s">
        <v>2426</v>
      </c>
      <c r="Q1077" s="569">
        <v>15</v>
      </c>
    </row>
    <row r="1078" spans="16:17">
      <c r="P1078" t="s">
        <v>2427</v>
      </c>
      <c r="Q1078" s="569">
        <v>15</v>
      </c>
    </row>
    <row r="1079" spans="16:17">
      <c r="P1079" t="s">
        <v>2428</v>
      </c>
      <c r="Q1079" s="569">
        <v>15</v>
      </c>
    </row>
    <row r="1080" spans="16:17">
      <c r="P1080" t="s">
        <v>2429</v>
      </c>
      <c r="Q1080" s="569">
        <v>15</v>
      </c>
    </row>
    <row r="1081" spans="16:17">
      <c r="P1081" t="s">
        <v>2430</v>
      </c>
      <c r="Q1081" s="569">
        <v>15</v>
      </c>
    </row>
    <row r="1082" spans="16:17">
      <c r="P1082" t="s">
        <v>2431</v>
      </c>
      <c r="Q1082" s="569">
        <v>15</v>
      </c>
    </row>
    <row r="1083" spans="16:17">
      <c r="P1083" t="s">
        <v>2432</v>
      </c>
      <c r="Q1083" s="569">
        <v>15</v>
      </c>
    </row>
    <row r="1084" spans="16:17">
      <c r="P1084" t="s">
        <v>2433</v>
      </c>
      <c r="Q1084" s="569">
        <v>15</v>
      </c>
    </row>
    <row r="1085" spans="16:17">
      <c r="P1085" t="s">
        <v>2434</v>
      </c>
      <c r="Q1085" s="569">
        <v>15</v>
      </c>
    </row>
    <row r="1086" spans="16:17">
      <c r="P1086" t="s">
        <v>2435</v>
      </c>
      <c r="Q1086" s="569">
        <v>15</v>
      </c>
    </row>
    <row r="1087" spans="16:17">
      <c r="P1087" t="s">
        <v>2436</v>
      </c>
      <c r="Q1087" s="569">
        <v>15</v>
      </c>
    </row>
    <row r="1088" spans="16:17">
      <c r="P1088" t="s">
        <v>2437</v>
      </c>
      <c r="Q1088" s="569">
        <v>15</v>
      </c>
    </row>
    <row r="1089" spans="16:17">
      <c r="P1089" t="s">
        <v>2438</v>
      </c>
      <c r="Q1089" s="569">
        <v>15</v>
      </c>
    </row>
    <row r="1090" spans="16:17">
      <c r="P1090" t="s">
        <v>2439</v>
      </c>
      <c r="Q1090" s="569">
        <v>15</v>
      </c>
    </row>
    <row r="1091" spans="16:17">
      <c r="P1091" t="s">
        <v>2440</v>
      </c>
      <c r="Q1091" s="569">
        <v>15</v>
      </c>
    </row>
    <row r="1092" spans="16:17">
      <c r="P1092" t="s">
        <v>2441</v>
      </c>
      <c r="Q1092" s="569">
        <v>15</v>
      </c>
    </row>
    <row r="1093" spans="16:17">
      <c r="P1093" t="s">
        <v>2442</v>
      </c>
      <c r="Q1093" s="569">
        <v>15</v>
      </c>
    </row>
    <row r="1094" spans="16:17">
      <c r="P1094" t="s">
        <v>2443</v>
      </c>
      <c r="Q1094" s="569">
        <v>15</v>
      </c>
    </row>
    <row r="1095" spans="16:17">
      <c r="P1095" t="s">
        <v>2444</v>
      </c>
      <c r="Q1095" s="569">
        <v>15</v>
      </c>
    </row>
    <row r="1096" spans="16:17">
      <c r="P1096" t="s">
        <v>2445</v>
      </c>
      <c r="Q1096" s="569">
        <v>15</v>
      </c>
    </row>
    <row r="1097" spans="16:17">
      <c r="P1097" t="s">
        <v>2446</v>
      </c>
      <c r="Q1097" s="569">
        <v>15</v>
      </c>
    </row>
    <row r="1098" spans="16:17">
      <c r="P1098" t="s">
        <v>2447</v>
      </c>
      <c r="Q1098" s="569">
        <v>15</v>
      </c>
    </row>
    <row r="1099" spans="16:17">
      <c r="P1099" t="s">
        <v>2448</v>
      </c>
      <c r="Q1099" s="569">
        <v>15</v>
      </c>
    </row>
    <row r="1100" spans="16:17">
      <c r="P1100" t="s">
        <v>2449</v>
      </c>
      <c r="Q1100" s="569">
        <v>15</v>
      </c>
    </row>
    <row r="1101" spans="16:17">
      <c r="P1101" t="s">
        <v>2450</v>
      </c>
      <c r="Q1101" s="569">
        <v>15</v>
      </c>
    </row>
    <row r="1102" spans="16:17">
      <c r="P1102" t="s">
        <v>2451</v>
      </c>
      <c r="Q1102" s="569">
        <v>15</v>
      </c>
    </row>
    <row r="1103" spans="16:17">
      <c r="P1103" t="s">
        <v>2452</v>
      </c>
      <c r="Q1103" s="569">
        <v>15</v>
      </c>
    </row>
    <row r="1104" spans="16:17">
      <c r="P1104" t="s">
        <v>2453</v>
      </c>
      <c r="Q1104" s="569">
        <v>15</v>
      </c>
    </row>
    <row r="1105" spans="16:17">
      <c r="P1105" t="s">
        <v>2454</v>
      </c>
      <c r="Q1105" s="569">
        <v>15</v>
      </c>
    </row>
    <row r="1106" spans="16:17">
      <c r="P1106" t="s">
        <v>2455</v>
      </c>
      <c r="Q1106" s="569">
        <v>15</v>
      </c>
    </row>
    <row r="1107" spans="16:17">
      <c r="P1107" t="s">
        <v>2456</v>
      </c>
      <c r="Q1107" s="569">
        <v>15</v>
      </c>
    </row>
    <row r="1108" spans="16:17">
      <c r="P1108" t="s">
        <v>2457</v>
      </c>
      <c r="Q1108" s="569">
        <v>15</v>
      </c>
    </row>
    <row r="1109" spans="16:17">
      <c r="P1109" t="s">
        <v>2458</v>
      </c>
      <c r="Q1109" s="569">
        <v>15</v>
      </c>
    </row>
    <row r="1110" spans="16:17">
      <c r="P1110" t="s">
        <v>2459</v>
      </c>
      <c r="Q1110" s="569">
        <v>15</v>
      </c>
    </row>
    <row r="1111" spans="16:17">
      <c r="P1111" t="s">
        <v>2460</v>
      </c>
      <c r="Q1111" s="569">
        <v>15</v>
      </c>
    </row>
    <row r="1112" spans="16:17">
      <c r="P1112" t="s">
        <v>2461</v>
      </c>
      <c r="Q1112" s="569">
        <v>15</v>
      </c>
    </row>
    <row r="1113" spans="16:17">
      <c r="P1113" t="s">
        <v>2462</v>
      </c>
      <c r="Q1113" s="569">
        <v>15</v>
      </c>
    </row>
    <row r="1114" spans="16:17">
      <c r="P1114" t="s">
        <v>2463</v>
      </c>
      <c r="Q1114" s="569">
        <v>15</v>
      </c>
    </row>
    <row r="1115" spans="16:17">
      <c r="P1115" t="s">
        <v>2464</v>
      </c>
      <c r="Q1115" s="569">
        <v>15</v>
      </c>
    </row>
    <row r="1116" spans="16:17">
      <c r="P1116" t="s">
        <v>2465</v>
      </c>
      <c r="Q1116" s="569">
        <v>15</v>
      </c>
    </row>
    <row r="1117" spans="16:17">
      <c r="P1117" t="s">
        <v>2466</v>
      </c>
      <c r="Q1117" s="569">
        <v>15</v>
      </c>
    </row>
    <row r="1118" spans="16:17">
      <c r="P1118" t="s">
        <v>2467</v>
      </c>
      <c r="Q1118" s="569">
        <v>15</v>
      </c>
    </row>
    <row r="1119" spans="16:17">
      <c r="P1119" t="s">
        <v>2468</v>
      </c>
      <c r="Q1119" s="569">
        <v>15</v>
      </c>
    </row>
    <row r="1120" spans="16:17">
      <c r="P1120" t="s">
        <v>2469</v>
      </c>
      <c r="Q1120" s="569">
        <v>15</v>
      </c>
    </row>
    <row r="1121" spans="16:17">
      <c r="P1121" t="s">
        <v>2470</v>
      </c>
      <c r="Q1121" s="569">
        <v>15</v>
      </c>
    </row>
    <row r="1122" spans="16:17">
      <c r="P1122" t="s">
        <v>2471</v>
      </c>
      <c r="Q1122" s="569">
        <v>15</v>
      </c>
    </row>
    <row r="1123" spans="16:17">
      <c r="P1123" t="s">
        <v>2472</v>
      </c>
      <c r="Q1123" s="569">
        <v>15</v>
      </c>
    </row>
    <row r="1124" spans="16:17">
      <c r="P1124" t="s">
        <v>2473</v>
      </c>
      <c r="Q1124" s="569">
        <v>15</v>
      </c>
    </row>
    <row r="1125" spans="16:17">
      <c r="P1125" t="s">
        <v>2474</v>
      </c>
      <c r="Q1125" s="569">
        <v>15</v>
      </c>
    </row>
    <row r="1126" spans="16:17">
      <c r="P1126" t="s">
        <v>2475</v>
      </c>
      <c r="Q1126" s="569">
        <v>15</v>
      </c>
    </row>
    <row r="1127" spans="16:17">
      <c r="P1127" t="s">
        <v>2476</v>
      </c>
      <c r="Q1127" s="569">
        <v>15</v>
      </c>
    </row>
    <row r="1128" spans="16:17">
      <c r="P1128" t="s">
        <v>2477</v>
      </c>
      <c r="Q1128" s="569">
        <v>15</v>
      </c>
    </row>
    <row r="1129" spans="16:17">
      <c r="P1129" t="s">
        <v>2478</v>
      </c>
      <c r="Q1129" s="569">
        <v>15</v>
      </c>
    </row>
    <row r="1130" spans="16:17">
      <c r="P1130" t="s">
        <v>2479</v>
      </c>
      <c r="Q1130" s="569">
        <v>15</v>
      </c>
    </row>
    <row r="1131" spans="16:17">
      <c r="P1131" t="s">
        <v>2480</v>
      </c>
      <c r="Q1131" s="569">
        <v>15</v>
      </c>
    </row>
    <row r="1132" spans="16:17">
      <c r="P1132" t="s">
        <v>2481</v>
      </c>
      <c r="Q1132" s="569">
        <v>15</v>
      </c>
    </row>
    <row r="1133" spans="16:17">
      <c r="P1133" t="s">
        <v>2482</v>
      </c>
      <c r="Q1133" s="569">
        <v>15</v>
      </c>
    </row>
    <row r="1134" spans="16:17">
      <c r="P1134" t="s">
        <v>2483</v>
      </c>
      <c r="Q1134" s="569">
        <v>15</v>
      </c>
    </row>
    <row r="1135" spans="16:17">
      <c r="P1135" t="s">
        <v>2484</v>
      </c>
      <c r="Q1135" s="569">
        <v>15</v>
      </c>
    </row>
    <row r="1136" spans="16:17">
      <c r="P1136" t="s">
        <v>2485</v>
      </c>
      <c r="Q1136" s="569">
        <v>15</v>
      </c>
    </row>
    <row r="1137" spans="16:17">
      <c r="P1137" t="s">
        <v>2486</v>
      </c>
      <c r="Q1137" s="569">
        <v>15</v>
      </c>
    </row>
    <row r="1138" spans="16:17">
      <c r="P1138" t="s">
        <v>2487</v>
      </c>
      <c r="Q1138" s="569">
        <v>15</v>
      </c>
    </row>
    <row r="1139" spans="16:17">
      <c r="P1139" t="s">
        <v>2488</v>
      </c>
      <c r="Q1139" s="569">
        <v>15</v>
      </c>
    </row>
    <row r="1140" spans="16:17">
      <c r="P1140" t="s">
        <v>2489</v>
      </c>
      <c r="Q1140" s="569">
        <v>15</v>
      </c>
    </row>
    <row r="1141" spans="16:17">
      <c r="P1141" t="s">
        <v>2490</v>
      </c>
      <c r="Q1141" s="569">
        <v>15</v>
      </c>
    </row>
    <row r="1142" spans="16:17">
      <c r="P1142" t="s">
        <v>2491</v>
      </c>
      <c r="Q1142" s="569">
        <v>15</v>
      </c>
    </row>
    <row r="1143" spans="16:17">
      <c r="P1143" t="s">
        <v>2492</v>
      </c>
      <c r="Q1143" s="569">
        <v>15</v>
      </c>
    </row>
    <row r="1144" spans="16:17">
      <c r="P1144" t="s">
        <v>2493</v>
      </c>
      <c r="Q1144" s="569">
        <v>15</v>
      </c>
    </row>
    <row r="1145" spans="16:17">
      <c r="P1145" t="s">
        <v>2494</v>
      </c>
      <c r="Q1145" s="569">
        <v>15</v>
      </c>
    </row>
    <row r="1146" spans="16:17">
      <c r="P1146" t="s">
        <v>2495</v>
      </c>
      <c r="Q1146" s="569">
        <v>15</v>
      </c>
    </row>
    <row r="1147" spans="16:17">
      <c r="P1147" t="s">
        <v>2496</v>
      </c>
      <c r="Q1147" s="569">
        <v>15</v>
      </c>
    </row>
    <row r="1148" spans="16:17">
      <c r="P1148" t="s">
        <v>2497</v>
      </c>
      <c r="Q1148" s="569">
        <v>15</v>
      </c>
    </row>
    <row r="1149" spans="16:17">
      <c r="P1149" t="s">
        <v>2498</v>
      </c>
      <c r="Q1149" s="569">
        <v>15</v>
      </c>
    </row>
    <row r="1150" spans="16:17">
      <c r="P1150" t="s">
        <v>2499</v>
      </c>
      <c r="Q1150" s="569">
        <v>15</v>
      </c>
    </row>
    <row r="1151" spans="16:17">
      <c r="P1151" t="s">
        <v>2500</v>
      </c>
      <c r="Q1151" s="569">
        <v>15</v>
      </c>
    </row>
    <row r="1152" spans="16:17">
      <c r="P1152" t="s">
        <v>2501</v>
      </c>
      <c r="Q1152" s="569">
        <v>15</v>
      </c>
    </row>
    <row r="1153" spans="16:17">
      <c r="P1153" t="s">
        <v>2502</v>
      </c>
      <c r="Q1153" s="569">
        <v>15</v>
      </c>
    </row>
    <row r="1154" spans="16:17">
      <c r="P1154" t="s">
        <v>2503</v>
      </c>
      <c r="Q1154" s="569">
        <v>15</v>
      </c>
    </row>
    <row r="1155" spans="16:17">
      <c r="P1155" t="s">
        <v>2504</v>
      </c>
      <c r="Q1155" s="569">
        <v>15</v>
      </c>
    </row>
    <row r="1156" spans="16:17">
      <c r="P1156" t="s">
        <v>2505</v>
      </c>
      <c r="Q1156" s="569">
        <v>15</v>
      </c>
    </row>
    <row r="1157" spans="16:17">
      <c r="P1157" t="s">
        <v>2506</v>
      </c>
      <c r="Q1157" s="569">
        <v>15</v>
      </c>
    </row>
    <row r="1158" spans="16:17">
      <c r="P1158" t="s">
        <v>2507</v>
      </c>
      <c r="Q1158" s="569">
        <v>15</v>
      </c>
    </row>
    <row r="1159" spans="16:17">
      <c r="P1159" t="s">
        <v>2508</v>
      </c>
      <c r="Q1159" s="569">
        <v>15</v>
      </c>
    </row>
    <row r="1160" spans="16:17">
      <c r="P1160" t="s">
        <v>2509</v>
      </c>
      <c r="Q1160" s="569">
        <v>15</v>
      </c>
    </row>
    <row r="1161" spans="16:17">
      <c r="P1161" t="s">
        <v>2510</v>
      </c>
      <c r="Q1161" s="569">
        <v>15</v>
      </c>
    </row>
    <row r="1162" spans="16:17">
      <c r="P1162" t="s">
        <v>2511</v>
      </c>
      <c r="Q1162" s="569">
        <v>15</v>
      </c>
    </row>
    <row r="1163" spans="16:17">
      <c r="P1163" t="s">
        <v>2512</v>
      </c>
      <c r="Q1163" s="569">
        <v>15</v>
      </c>
    </row>
    <row r="1164" spans="16:17">
      <c r="P1164" t="s">
        <v>2513</v>
      </c>
      <c r="Q1164" s="569">
        <v>15</v>
      </c>
    </row>
    <row r="1165" spans="16:17">
      <c r="P1165" t="s">
        <v>2514</v>
      </c>
      <c r="Q1165" s="569">
        <v>15</v>
      </c>
    </row>
    <row r="1166" spans="16:17">
      <c r="P1166" t="s">
        <v>2515</v>
      </c>
      <c r="Q1166" s="569">
        <v>15</v>
      </c>
    </row>
    <row r="1167" spans="16:17">
      <c r="P1167" t="s">
        <v>2516</v>
      </c>
      <c r="Q1167" s="569">
        <v>15</v>
      </c>
    </row>
    <row r="1168" spans="16:17">
      <c r="P1168" t="s">
        <v>2517</v>
      </c>
      <c r="Q1168" s="569">
        <v>15</v>
      </c>
    </row>
    <row r="1169" spans="16:17">
      <c r="P1169" t="s">
        <v>2518</v>
      </c>
      <c r="Q1169" s="569">
        <v>15</v>
      </c>
    </row>
    <row r="1170" spans="16:17">
      <c r="P1170" t="s">
        <v>2519</v>
      </c>
      <c r="Q1170" s="569">
        <v>15</v>
      </c>
    </row>
    <row r="1171" spans="16:17">
      <c r="P1171" t="s">
        <v>2520</v>
      </c>
      <c r="Q1171" s="569">
        <v>15</v>
      </c>
    </row>
    <row r="1172" spans="16:17">
      <c r="P1172" t="s">
        <v>2521</v>
      </c>
      <c r="Q1172" s="569">
        <v>15</v>
      </c>
    </row>
    <row r="1173" spans="16:17">
      <c r="P1173" t="s">
        <v>2522</v>
      </c>
      <c r="Q1173" s="569">
        <v>15</v>
      </c>
    </row>
    <row r="1174" spans="16:17">
      <c r="P1174" t="s">
        <v>2523</v>
      </c>
      <c r="Q1174" s="569">
        <v>15</v>
      </c>
    </row>
    <row r="1175" spans="16:17">
      <c r="P1175" t="s">
        <v>2524</v>
      </c>
      <c r="Q1175" s="569">
        <v>15</v>
      </c>
    </row>
    <row r="1176" spans="16:17">
      <c r="P1176" t="s">
        <v>2525</v>
      </c>
      <c r="Q1176" s="569">
        <v>15</v>
      </c>
    </row>
    <row r="1177" spans="16:17">
      <c r="P1177" t="s">
        <v>2526</v>
      </c>
      <c r="Q1177" s="569">
        <v>15</v>
      </c>
    </row>
    <row r="1178" spans="16:17">
      <c r="P1178" t="s">
        <v>2527</v>
      </c>
      <c r="Q1178" s="569">
        <v>15</v>
      </c>
    </row>
    <row r="1179" spans="16:17">
      <c r="P1179" t="s">
        <v>2528</v>
      </c>
      <c r="Q1179" s="569">
        <v>15</v>
      </c>
    </row>
    <row r="1180" spans="16:17">
      <c r="P1180" t="s">
        <v>2529</v>
      </c>
      <c r="Q1180" s="569">
        <v>15</v>
      </c>
    </row>
    <row r="1181" spans="16:17">
      <c r="P1181" t="s">
        <v>2530</v>
      </c>
      <c r="Q1181" s="569">
        <v>15</v>
      </c>
    </row>
    <row r="1182" spans="16:17">
      <c r="P1182" t="s">
        <v>2531</v>
      </c>
      <c r="Q1182" s="569">
        <v>15</v>
      </c>
    </row>
    <row r="1183" spans="16:17">
      <c r="P1183" t="s">
        <v>2532</v>
      </c>
      <c r="Q1183" s="569">
        <v>15</v>
      </c>
    </row>
    <row r="1184" spans="16:17">
      <c r="P1184" t="s">
        <v>2533</v>
      </c>
      <c r="Q1184" s="569">
        <v>15</v>
      </c>
    </row>
    <row r="1185" spans="16:17">
      <c r="P1185" t="s">
        <v>2534</v>
      </c>
      <c r="Q1185" s="569">
        <v>15</v>
      </c>
    </row>
    <row r="1186" spans="16:17">
      <c r="P1186" t="s">
        <v>2535</v>
      </c>
      <c r="Q1186" s="569">
        <v>15</v>
      </c>
    </row>
    <row r="1187" spans="16:17">
      <c r="P1187" t="s">
        <v>2536</v>
      </c>
      <c r="Q1187" s="569">
        <v>15</v>
      </c>
    </row>
    <row r="1188" spans="16:17">
      <c r="P1188" t="s">
        <v>2537</v>
      </c>
      <c r="Q1188" s="569">
        <v>15</v>
      </c>
    </row>
    <row r="1189" spans="16:17">
      <c r="P1189" t="s">
        <v>2538</v>
      </c>
      <c r="Q1189" s="569">
        <v>15</v>
      </c>
    </row>
    <row r="1190" spans="16:17">
      <c r="P1190" t="s">
        <v>2539</v>
      </c>
      <c r="Q1190" s="569">
        <v>15</v>
      </c>
    </row>
    <row r="1191" spans="16:17">
      <c r="P1191" t="s">
        <v>2540</v>
      </c>
      <c r="Q1191" s="569">
        <v>15</v>
      </c>
    </row>
    <row r="1192" spans="16:17">
      <c r="P1192" t="s">
        <v>2541</v>
      </c>
      <c r="Q1192" s="569">
        <v>15</v>
      </c>
    </row>
    <row r="1193" spans="16:17">
      <c r="P1193" t="s">
        <v>2542</v>
      </c>
      <c r="Q1193" s="569">
        <v>15</v>
      </c>
    </row>
    <row r="1194" spans="16:17">
      <c r="P1194" t="s">
        <v>2543</v>
      </c>
      <c r="Q1194" s="569">
        <v>15</v>
      </c>
    </row>
    <row r="1195" spans="16:17">
      <c r="P1195" t="s">
        <v>2544</v>
      </c>
      <c r="Q1195" s="569">
        <v>15</v>
      </c>
    </row>
    <row r="1196" spans="16:17">
      <c r="P1196" t="s">
        <v>2545</v>
      </c>
      <c r="Q1196" s="569">
        <v>15</v>
      </c>
    </row>
    <row r="1197" spans="16:17">
      <c r="P1197" t="s">
        <v>2546</v>
      </c>
      <c r="Q1197" s="569">
        <v>15</v>
      </c>
    </row>
    <row r="1198" spans="16:17">
      <c r="P1198" t="s">
        <v>2547</v>
      </c>
      <c r="Q1198" s="569">
        <v>15</v>
      </c>
    </row>
    <row r="1199" spans="16:17">
      <c r="P1199" t="s">
        <v>2548</v>
      </c>
      <c r="Q1199" s="569">
        <v>15</v>
      </c>
    </row>
    <row r="1200" spans="16:17">
      <c r="P1200" t="s">
        <v>2549</v>
      </c>
      <c r="Q1200" s="569">
        <v>15</v>
      </c>
    </row>
    <row r="1201" spans="16:17">
      <c r="P1201" t="s">
        <v>2550</v>
      </c>
      <c r="Q1201" s="569">
        <v>15</v>
      </c>
    </row>
    <row r="1202" spans="16:17">
      <c r="P1202" t="s">
        <v>2551</v>
      </c>
      <c r="Q1202" s="569">
        <v>15</v>
      </c>
    </row>
    <row r="1203" spans="16:17">
      <c r="P1203" t="s">
        <v>2552</v>
      </c>
      <c r="Q1203" s="569">
        <v>15</v>
      </c>
    </row>
    <row r="1204" spans="16:17">
      <c r="P1204" t="s">
        <v>2553</v>
      </c>
      <c r="Q1204" s="569">
        <v>15</v>
      </c>
    </row>
    <row r="1205" spans="16:17">
      <c r="P1205" t="s">
        <v>2554</v>
      </c>
      <c r="Q1205" s="569">
        <v>15</v>
      </c>
    </row>
    <row r="1206" spans="16:17">
      <c r="P1206" t="s">
        <v>2555</v>
      </c>
      <c r="Q1206" s="569">
        <v>15</v>
      </c>
    </row>
    <row r="1207" spans="16:17">
      <c r="P1207" t="s">
        <v>2556</v>
      </c>
      <c r="Q1207" s="569">
        <v>15</v>
      </c>
    </row>
    <row r="1208" spans="16:17">
      <c r="P1208" t="s">
        <v>2557</v>
      </c>
      <c r="Q1208" s="569">
        <v>15</v>
      </c>
    </row>
    <row r="1209" spans="16:17">
      <c r="P1209" t="s">
        <v>2558</v>
      </c>
      <c r="Q1209" s="569">
        <v>15</v>
      </c>
    </row>
    <row r="1210" spans="16:17">
      <c r="P1210" t="s">
        <v>2559</v>
      </c>
      <c r="Q1210" s="569">
        <v>15</v>
      </c>
    </row>
    <row r="1211" spans="16:17">
      <c r="P1211" t="s">
        <v>2560</v>
      </c>
      <c r="Q1211" s="569">
        <v>15</v>
      </c>
    </row>
    <row r="1212" spans="16:17">
      <c r="P1212" t="s">
        <v>2561</v>
      </c>
      <c r="Q1212" s="569">
        <v>15</v>
      </c>
    </row>
    <row r="1213" spans="16:17">
      <c r="P1213" t="s">
        <v>2562</v>
      </c>
      <c r="Q1213" s="569">
        <v>15</v>
      </c>
    </row>
    <row r="1214" spans="16:17">
      <c r="P1214" t="s">
        <v>2563</v>
      </c>
      <c r="Q1214" s="569">
        <v>15</v>
      </c>
    </row>
    <row r="1215" spans="16:17">
      <c r="P1215" t="s">
        <v>2564</v>
      </c>
      <c r="Q1215" s="569">
        <v>15</v>
      </c>
    </row>
    <row r="1216" spans="16:17">
      <c r="P1216" t="s">
        <v>2565</v>
      </c>
      <c r="Q1216" s="569">
        <v>15</v>
      </c>
    </row>
    <row r="1217" spans="16:17">
      <c r="P1217" t="s">
        <v>2566</v>
      </c>
      <c r="Q1217" s="569">
        <v>15</v>
      </c>
    </row>
    <row r="1218" spans="16:17">
      <c r="P1218" t="s">
        <v>2567</v>
      </c>
      <c r="Q1218" s="569">
        <v>15</v>
      </c>
    </row>
    <row r="1219" spans="16:17">
      <c r="P1219" t="s">
        <v>2568</v>
      </c>
      <c r="Q1219" s="569">
        <v>15</v>
      </c>
    </row>
    <row r="1220" spans="16:17">
      <c r="P1220" t="s">
        <v>2569</v>
      </c>
      <c r="Q1220" s="569">
        <v>15</v>
      </c>
    </row>
    <row r="1221" spans="16:17">
      <c r="P1221" t="s">
        <v>2570</v>
      </c>
      <c r="Q1221" s="569">
        <v>15</v>
      </c>
    </row>
    <row r="1222" spans="16:17">
      <c r="P1222" t="s">
        <v>2571</v>
      </c>
      <c r="Q1222" s="569">
        <v>15</v>
      </c>
    </row>
    <row r="1223" spans="16:17">
      <c r="P1223" t="s">
        <v>2572</v>
      </c>
      <c r="Q1223" s="569">
        <v>15</v>
      </c>
    </row>
    <row r="1224" spans="16:17">
      <c r="P1224" t="s">
        <v>2573</v>
      </c>
      <c r="Q1224" s="569">
        <v>15</v>
      </c>
    </row>
    <row r="1225" spans="16:17">
      <c r="P1225" t="s">
        <v>2574</v>
      </c>
      <c r="Q1225" s="569">
        <v>15</v>
      </c>
    </row>
    <row r="1226" spans="16:17">
      <c r="P1226" t="s">
        <v>2576</v>
      </c>
      <c r="Q1226" s="569">
        <v>15</v>
      </c>
    </row>
    <row r="1227" spans="16:17">
      <c r="P1227" t="s">
        <v>2577</v>
      </c>
      <c r="Q1227" s="569">
        <v>15</v>
      </c>
    </row>
    <row r="1228" spans="16:17">
      <c r="P1228" t="s">
        <v>2578</v>
      </c>
      <c r="Q1228" s="569">
        <v>15</v>
      </c>
    </row>
    <row r="1229" spans="16:17">
      <c r="P1229" t="s">
        <v>2579</v>
      </c>
      <c r="Q1229" s="569">
        <v>15</v>
      </c>
    </row>
    <row r="1230" spans="16:17">
      <c r="P1230" t="s">
        <v>1886</v>
      </c>
      <c r="Q1230" s="569">
        <v>16</v>
      </c>
    </row>
    <row r="1231" spans="16:17">
      <c r="P1231" t="s">
        <v>1887</v>
      </c>
      <c r="Q1231" s="569">
        <v>16</v>
      </c>
    </row>
    <row r="1232" spans="16:17">
      <c r="P1232" t="s">
        <v>1888</v>
      </c>
      <c r="Q1232" s="569">
        <v>16</v>
      </c>
    </row>
    <row r="1233" spans="16:17">
      <c r="P1233" t="s">
        <v>1889</v>
      </c>
      <c r="Q1233" s="569">
        <v>16</v>
      </c>
    </row>
    <row r="1234" spans="16:17">
      <c r="P1234" t="s">
        <v>1890</v>
      </c>
      <c r="Q1234" s="569">
        <v>16</v>
      </c>
    </row>
    <row r="1235" spans="16:17">
      <c r="P1235" t="s">
        <v>1891</v>
      </c>
      <c r="Q1235" s="569">
        <v>16</v>
      </c>
    </row>
    <row r="1236" spans="16:17">
      <c r="P1236" t="s">
        <v>1892</v>
      </c>
      <c r="Q1236" s="569">
        <v>16</v>
      </c>
    </row>
    <row r="1237" spans="16:17">
      <c r="P1237" t="s">
        <v>1893</v>
      </c>
      <c r="Q1237" s="569">
        <v>16</v>
      </c>
    </row>
    <row r="1238" spans="16:17">
      <c r="P1238" t="s">
        <v>1894</v>
      </c>
      <c r="Q1238" s="569">
        <v>16</v>
      </c>
    </row>
    <row r="1239" spans="16:17">
      <c r="P1239" t="s">
        <v>1895</v>
      </c>
      <c r="Q1239" s="569">
        <v>16</v>
      </c>
    </row>
    <row r="1240" spans="16:17">
      <c r="P1240" t="s">
        <v>1896</v>
      </c>
      <c r="Q1240" s="569">
        <v>16</v>
      </c>
    </row>
    <row r="1241" spans="16:17">
      <c r="P1241" t="s">
        <v>1897</v>
      </c>
      <c r="Q1241" s="569">
        <v>16</v>
      </c>
    </row>
    <row r="1242" spans="16:17">
      <c r="P1242" t="s">
        <v>1898</v>
      </c>
      <c r="Q1242" s="569">
        <v>16</v>
      </c>
    </row>
    <row r="1243" spans="16:17">
      <c r="P1243" t="s">
        <v>1899</v>
      </c>
      <c r="Q1243" s="569">
        <v>16</v>
      </c>
    </row>
    <row r="1244" spans="16:17">
      <c r="P1244" t="s">
        <v>1900</v>
      </c>
      <c r="Q1244" s="569">
        <v>16</v>
      </c>
    </row>
    <row r="1245" spans="16:17">
      <c r="P1245" t="s">
        <v>1901</v>
      </c>
      <c r="Q1245" s="569">
        <v>16</v>
      </c>
    </row>
    <row r="1246" spans="16:17">
      <c r="P1246" t="s">
        <v>1902</v>
      </c>
      <c r="Q1246" s="569">
        <v>16</v>
      </c>
    </row>
    <row r="1247" spans="16:17">
      <c r="P1247" t="s">
        <v>1903</v>
      </c>
      <c r="Q1247" s="569">
        <v>16</v>
      </c>
    </row>
    <row r="1248" spans="16:17">
      <c r="P1248" t="s">
        <v>1904</v>
      </c>
      <c r="Q1248" s="569">
        <v>16</v>
      </c>
    </row>
    <row r="1249" spans="16:17">
      <c r="P1249" t="s">
        <v>1905</v>
      </c>
      <c r="Q1249" s="569">
        <v>16</v>
      </c>
    </row>
    <row r="1250" spans="16:17">
      <c r="P1250" t="s">
        <v>1906</v>
      </c>
      <c r="Q1250" s="569">
        <v>16</v>
      </c>
    </row>
    <row r="1251" spans="16:17">
      <c r="P1251" t="s">
        <v>1908</v>
      </c>
      <c r="Q1251" s="569">
        <v>16</v>
      </c>
    </row>
    <row r="1252" spans="16:17">
      <c r="P1252" t="s">
        <v>1909</v>
      </c>
      <c r="Q1252" s="569">
        <v>16</v>
      </c>
    </row>
    <row r="1253" spans="16:17">
      <c r="P1253" t="s">
        <v>1910</v>
      </c>
      <c r="Q1253" s="569">
        <v>16</v>
      </c>
    </row>
    <row r="1254" spans="16:17">
      <c r="P1254" t="s">
        <v>1911</v>
      </c>
      <c r="Q1254" s="569">
        <v>16</v>
      </c>
    </row>
    <row r="1255" spans="16:17">
      <c r="P1255" t="s">
        <v>1912</v>
      </c>
      <c r="Q1255" s="569">
        <v>16</v>
      </c>
    </row>
    <row r="1256" spans="16:17">
      <c r="P1256" t="s">
        <v>1913</v>
      </c>
      <c r="Q1256" s="569">
        <v>16</v>
      </c>
    </row>
    <row r="1257" spans="16:17">
      <c r="P1257" t="s">
        <v>1914</v>
      </c>
      <c r="Q1257" s="569">
        <v>16</v>
      </c>
    </row>
    <row r="1258" spans="16:17">
      <c r="P1258" t="s">
        <v>1915</v>
      </c>
      <c r="Q1258" s="569">
        <v>16</v>
      </c>
    </row>
    <row r="1259" spans="16:17">
      <c r="P1259" t="s">
        <v>1917</v>
      </c>
      <c r="Q1259" s="569">
        <v>16</v>
      </c>
    </row>
    <row r="1260" spans="16:17">
      <c r="P1260" t="s">
        <v>1918</v>
      </c>
      <c r="Q1260" s="569">
        <v>16</v>
      </c>
    </row>
    <row r="1261" spans="16:17">
      <c r="P1261" t="s">
        <v>1919</v>
      </c>
      <c r="Q1261" s="569">
        <v>16</v>
      </c>
    </row>
    <row r="1262" spans="16:17">
      <c r="P1262" t="s">
        <v>1920</v>
      </c>
      <c r="Q1262" s="569">
        <v>16</v>
      </c>
    </row>
    <row r="1263" spans="16:17">
      <c r="P1263" t="s">
        <v>1921</v>
      </c>
      <c r="Q1263" s="569">
        <v>16</v>
      </c>
    </row>
    <row r="1264" spans="16:17">
      <c r="P1264" t="s">
        <v>1922</v>
      </c>
      <c r="Q1264" s="569">
        <v>16</v>
      </c>
    </row>
    <row r="1265" spans="16:17">
      <c r="P1265" t="s">
        <v>1923</v>
      </c>
      <c r="Q1265" s="569">
        <v>16</v>
      </c>
    </row>
    <row r="1266" spans="16:17">
      <c r="P1266" t="s">
        <v>1924</v>
      </c>
      <c r="Q1266" s="569">
        <v>16</v>
      </c>
    </row>
    <row r="1267" spans="16:17">
      <c r="P1267" t="s">
        <v>1925</v>
      </c>
      <c r="Q1267" s="569">
        <v>16</v>
      </c>
    </row>
    <row r="1268" spans="16:17">
      <c r="P1268" t="s">
        <v>1926</v>
      </c>
      <c r="Q1268" s="569">
        <v>16</v>
      </c>
    </row>
    <row r="1269" spans="16:17">
      <c r="P1269" t="s">
        <v>1927</v>
      </c>
      <c r="Q1269" s="569">
        <v>16</v>
      </c>
    </row>
    <row r="1270" spans="16:17">
      <c r="P1270" t="s">
        <v>1928</v>
      </c>
      <c r="Q1270" s="569">
        <v>16</v>
      </c>
    </row>
    <row r="1271" spans="16:17">
      <c r="P1271" t="s">
        <v>1929</v>
      </c>
      <c r="Q1271" s="569">
        <v>16</v>
      </c>
    </row>
    <row r="1272" spans="16:17">
      <c r="P1272" t="s">
        <v>1930</v>
      </c>
      <c r="Q1272" s="569">
        <v>16</v>
      </c>
    </row>
    <row r="1273" spans="16:17">
      <c r="P1273" t="s">
        <v>1931</v>
      </c>
      <c r="Q1273" s="569">
        <v>16</v>
      </c>
    </row>
    <row r="1274" spans="16:17">
      <c r="P1274" t="s">
        <v>1932</v>
      </c>
      <c r="Q1274" s="569">
        <v>16</v>
      </c>
    </row>
    <row r="1275" spans="16:17">
      <c r="P1275" t="s">
        <v>1933</v>
      </c>
      <c r="Q1275" s="569">
        <v>16</v>
      </c>
    </row>
    <row r="1276" spans="16:17">
      <c r="P1276" t="s">
        <v>1934</v>
      </c>
      <c r="Q1276" s="569">
        <v>16</v>
      </c>
    </row>
    <row r="1277" spans="16:17">
      <c r="P1277" t="s">
        <v>1935</v>
      </c>
      <c r="Q1277" s="569">
        <v>16</v>
      </c>
    </row>
    <row r="1278" spans="16:17">
      <c r="P1278" t="s">
        <v>1936</v>
      </c>
      <c r="Q1278" s="569">
        <v>16</v>
      </c>
    </row>
    <row r="1279" spans="16:17">
      <c r="P1279" t="s">
        <v>1937</v>
      </c>
      <c r="Q1279" s="569">
        <v>16</v>
      </c>
    </row>
    <row r="1280" spans="16:17">
      <c r="P1280" t="s">
        <v>1938</v>
      </c>
      <c r="Q1280" s="569">
        <v>16</v>
      </c>
    </row>
    <row r="1281" spans="16:17">
      <c r="P1281" t="s">
        <v>1939</v>
      </c>
      <c r="Q1281" s="569">
        <v>16</v>
      </c>
    </row>
    <row r="1282" spans="16:17">
      <c r="P1282" t="s">
        <v>1940</v>
      </c>
      <c r="Q1282" s="569">
        <v>16</v>
      </c>
    </row>
    <row r="1283" spans="16:17">
      <c r="P1283" t="s">
        <v>1941</v>
      </c>
      <c r="Q1283" s="569">
        <v>16</v>
      </c>
    </row>
    <row r="1284" spans="16:17">
      <c r="P1284" t="s">
        <v>1942</v>
      </c>
      <c r="Q1284" s="569">
        <v>16</v>
      </c>
    </row>
    <row r="1285" spans="16:17">
      <c r="P1285" t="s">
        <v>1943</v>
      </c>
      <c r="Q1285" s="569">
        <v>16</v>
      </c>
    </row>
    <row r="1286" spans="16:17">
      <c r="P1286" t="s">
        <v>1944</v>
      </c>
      <c r="Q1286" s="569">
        <v>16</v>
      </c>
    </row>
    <row r="1287" spans="16:17">
      <c r="P1287" t="s">
        <v>1945</v>
      </c>
      <c r="Q1287" s="569">
        <v>16</v>
      </c>
    </row>
    <row r="1288" spans="16:17">
      <c r="P1288" t="s">
        <v>1946</v>
      </c>
      <c r="Q1288" s="569">
        <v>16</v>
      </c>
    </row>
    <row r="1289" spans="16:17">
      <c r="P1289" t="s">
        <v>1947</v>
      </c>
      <c r="Q1289" s="569">
        <v>16</v>
      </c>
    </row>
    <row r="1290" spans="16:17">
      <c r="P1290" t="s">
        <v>1948</v>
      </c>
      <c r="Q1290" s="569">
        <v>16</v>
      </c>
    </row>
    <row r="1291" spans="16:17">
      <c r="P1291" t="s">
        <v>1949</v>
      </c>
      <c r="Q1291" s="569">
        <v>16</v>
      </c>
    </row>
    <row r="1292" spans="16:17">
      <c r="P1292" t="s">
        <v>1950</v>
      </c>
      <c r="Q1292" s="569">
        <v>16</v>
      </c>
    </row>
    <row r="1293" spans="16:17">
      <c r="P1293" t="s">
        <v>1951</v>
      </c>
      <c r="Q1293" s="569">
        <v>16</v>
      </c>
    </row>
    <row r="1294" spans="16:17">
      <c r="P1294" t="s">
        <v>1952</v>
      </c>
      <c r="Q1294" s="569">
        <v>16</v>
      </c>
    </row>
    <row r="1295" spans="16:17">
      <c r="P1295" t="s">
        <v>1953</v>
      </c>
      <c r="Q1295" s="569">
        <v>16</v>
      </c>
    </row>
    <row r="1296" spans="16:17">
      <c r="P1296" t="s">
        <v>1954</v>
      </c>
      <c r="Q1296" s="569">
        <v>16</v>
      </c>
    </row>
    <row r="1297" spans="16:17">
      <c r="P1297" t="s">
        <v>1955</v>
      </c>
      <c r="Q1297" s="569">
        <v>16</v>
      </c>
    </row>
    <row r="1298" spans="16:17">
      <c r="P1298" t="s">
        <v>1956</v>
      </c>
      <c r="Q1298" s="569">
        <v>16</v>
      </c>
    </row>
    <row r="1299" spans="16:17">
      <c r="P1299" t="s">
        <v>1957</v>
      </c>
      <c r="Q1299" s="569">
        <v>16</v>
      </c>
    </row>
    <row r="1300" spans="16:17">
      <c r="P1300" t="s">
        <v>1958</v>
      </c>
      <c r="Q1300" s="569">
        <v>16</v>
      </c>
    </row>
    <row r="1301" spans="16:17">
      <c r="P1301" t="s">
        <v>1959</v>
      </c>
      <c r="Q1301" s="569">
        <v>16</v>
      </c>
    </row>
    <row r="1302" spans="16:17">
      <c r="P1302" t="s">
        <v>1960</v>
      </c>
      <c r="Q1302" s="569">
        <v>16</v>
      </c>
    </row>
    <row r="1303" spans="16:17">
      <c r="P1303" t="s">
        <v>1961</v>
      </c>
      <c r="Q1303" s="569">
        <v>16</v>
      </c>
    </row>
    <row r="1304" spans="16:17">
      <c r="P1304" t="s">
        <v>1962</v>
      </c>
      <c r="Q1304" s="569">
        <v>16</v>
      </c>
    </row>
    <row r="1305" spans="16:17">
      <c r="P1305" t="s">
        <v>1963</v>
      </c>
      <c r="Q1305" s="569">
        <v>16</v>
      </c>
    </row>
    <row r="1306" spans="16:17">
      <c r="P1306" t="s">
        <v>1964</v>
      </c>
      <c r="Q1306" s="569">
        <v>16</v>
      </c>
    </row>
    <row r="1307" spans="16:17">
      <c r="P1307" t="s">
        <v>1965</v>
      </c>
      <c r="Q1307" s="569">
        <v>16</v>
      </c>
    </row>
    <row r="1308" spans="16:17">
      <c r="P1308" t="s">
        <v>1966</v>
      </c>
      <c r="Q1308" s="569">
        <v>16</v>
      </c>
    </row>
    <row r="1309" spans="16:17">
      <c r="P1309" t="s">
        <v>1967</v>
      </c>
      <c r="Q1309" s="569">
        <v>16</v>
      </c>
    </row>
    <row r="1310" spans="16:17">
      <c r="P1310" t="s">
        <v>1968</v>
      </c>
      <c r="Q1310" s="569">
        <v>16</v>
      </c>
    </row>
    <row r="1311" spans="16:17">
      <c r="P1311" t="s">
        <v>1969</v>
      </c>
      <c r="Q1311" s="569">
        <v>16</v>
      </c>
    </row>
    <row r="1312" spans="16:17">
      <c r="P1312" t="s">
        <v>1970</v>
      </c>
      <c r="Q1312" s="569">
        <v>16</v>
      </c>
    </row>
    <row r="1313" spans="16:17">
      <c r="P1313" t="s">
        <v>1971</v>
      </c>
      <c r="Q1313" s="569">
        <v>16</v>
      </c>
    </row>
    <row r="1314" spans="16:17">
      <c r="P1314" t="s">
        <v>1972</v>
      </c>
      <c r="Q1314" s="569">
        <v>16</v>
      </c>
    </row>
    <row r="1315" spans="16:17">
      <c r="P1315" t="s">
        <v>1973</v>
      </c>
      <c r="Q1315" s="569">
        <v>16</v>
      </c>
    </row>
    <row r="1316" spans="16:17">
      <c r="P1316" t="s">
        <v>1974</v>
      </c>
      <c r="Q1316" s="569">
        <v>16</v>
      </c>
    </row>
    <row r="1317" spans="16:17">
      <c r="P1317" t="s">
        <v>1975</v>
      </c>
      <c r="Q1317" s="569">
        <v>16</v>
      </c>
    </row>
    <row r="1318" spans="16:17">
      <c r="P1318" t="s">
        <v>1976</v>
      </c>
      <c r="Q1318" s="569">
        <v>16</v>
      </c>
    </row>
    <row r="1319" spans="16:17">
      <c r="P1319" t="s">
        <v>1977</v>
      </c>
      <c r="Q1319" s="569">
        <v>16</v>
      </c>
    </row>
    <row r="1320" spans="16:17">
      <c r="P1320" t="s">
        <v>1978</v>
      </c>
      <c r="Q1320" s="569">
        <v>16</v>
      </c>
    </row>
    <row r="1321" spans="16:17">
      <c r="P1321" t="s">
        <v>1979</v>
      </c>
      <c r="Q1321" s="569">
        <v>16</v>
      </c>
    </row>
    <row r="1322" spans="16:17">
      <c r="P1322" t="s">
        <v>1980</v>
      </c>
      <c r="Q1322" s="569">
        <v>16</v>
      </c>
    </row>
    <row r="1323" spans="16:17">
      <c r="P1323" t="s">
        <v>1981</v>
      </c>
      <c r="Q1323" s="569">
        <v>16</v>
      </c>
    </row>
    <row r="1324" spans="16:17">
      <c r="P1324" t="s">
        <v>1982</v>
      </c>
      <c r="Q1324" s="569">
        <v>16</v>
      </c>
    </row>
    <row r="1325" spans="16:17">
      <c r="P1325" t="s">
        <v>1983</v>
      </c>
      <c r="Q1325" s="569">
        <v>16</v>
      </c>
    </row>
    <row r="1326" spans="16:17">
      <c r="P1326" t="s">
        <v>1984</v>
      </c>
      <c r="Q1326" s="569">
        <v>16</v>
      </c>
    </row>
    <row r="1327" spans="16:17">
      <c r="P1327" t="s">
        <v>1985</v>
      </c>
      <c r="Q1327" s="569">
        <v>16</v>
      </c>
    </row>
    <row r="1328" spans="16:17">
      <c r="P1328" t="s">
        <v>1986</v>
      </c>
      <c r="Q1328" s="569">
        <v>16</v>
      </c>
    </row>
    <row r="1329" spans="16:17">
      <c r="P1329" t="s">
        <v>1987</v>
      </c>
      <c r="Q1329" s="569">
        <v>16</v>
      </c>
    </row>
    <row r="1330" spans="16:17">
      <c r="P1330" t="s">
        <v>1988</v>
      </c>
      <c r="Q1330" s="569">
        <v>16</v>
      </c>
    </row>
    <row r="1331" spans="16:17">
      <c r="P1331" t="s">
        <v>1989</v>
      </c>
      <c r="Q1331" s="569">
        <v>16</v>
      </c>
    </row>
    <row r="1332" spans="16:17">
      <c r="P1332" t="s">
        <v>1990</v>
      </c>
      <c r="Q1332" s="569">
        <v>16</v>
      </c>
    </row>
    <row r="1333" spans="16:17">
      <c r="P1333" t="s">
        <v>1991</v>
      </c>
      <c r="Q1333" s="569">
        <v>16</v>
      </c>
    </row>
    <row r="1334" spans="16:17">
      <c r="P1334" t="s">
        <v>1992</v>
      </c>
      <c r="Q1334" s="569">
        <v>16</v>
      </c>
    </row>
    <row r="1335" spans="16:17">
      <c r="P1335" t="s">
        <v>1993</v>
      </c>
      <c r="Q1335" s="569">
        <v>16</v>
      </c>
    </row>
    <row r="1336" spans="16:17">
      <c r="P1336" t="s">
        <v>1994</v>
      </c>
      <c r="Q1336" s="569">
        <v>16</v>
      </c>
    </row>
    <row r="1337" spans="16:17">
      <c r="P1337" t="s">
        <v>1995</v>
      </c>
      <c r="Q1337" s="569">
        <v>16</v>
      </c>
    </row>
    <row r="1338" spans="16:17">
      <c r="P1338" t="s">
        <v>1996</v>
      </c>
      <c r="Q1338" s="569">
        <v>16</v>
      </c>
    </row>
    <row r="1339" spans="16:17">
      <c r="P1339" t="s">
        <v>1997</v>
      </c>
      <c r="Q1339" s="569">
        <v>16</v>
      </c>
    </row>
    <row r="1340" spans="16:17">
      <c r="P1340" t="s">
        <v>1998</v>
      </c>
      <c r="Q1340" s="569">
        <v>16</v>
      </c>
    </row>
    <row r="1341" spans="16:17">
      <c r="P1341" t="s">
        <v>1999</v>
      </c>
      <c r="Q1341" s="569">
        <v>16</v>
      </c>
    </row>
    <row r="1342" spans="16:17">
      <c r="P1342" t="s">
        <v>2000</v>
      </c>
      <c r="Q1342" s="569">
        <v>16</v>
      </c>
    </row>
    <row r="1343" spans="16:17">
      <c r="P1343" t="s">
        <v>2001</v>
      </c>
      <c r="Q1343" s="569">
        <v>16</v>
      </c>
    </row>
    <row r="1344" spans="16:17">
      <c r="P1344" t="s">
        <v>2002</v>
      </c>
      <c r="Q1344" s="569">
        <v>16</v>
      </c>
    </row>
    <row r="1345" spans="16:17">
      <c r="P1345" t="s">
        <v>2003</v>
      </c>
      <c r="Q1345" s="569">
        <v>16</v>
      </c>
    </row>
    <row r="1346" spans="16:17">
      <c r="P1346" t="s">
        <v>2004</v>
      </c>
      <c r="Q1346" s="569">
        <v>16</v>
      </c>
    </row>
    <row r="1347" spans="16:17">
      <c r="P1347" t="s">
        <v>2005</v>
      </c>
      <c r="Q1347" s="569">
        <v>16</v>
      </c>
    </row>
    <row r="1348" spans="16:17">
      <c r="P1348" t="s">
        <v>2006</v>
      </c>
      <c r="Q1348" s="569">
        <v>16</v>
      </c>
    </row>
    <row r="1349" spans="16:17">
      <c r="P1349" t="s">
        <v>2007</v>
      </c>
      <c r="Q1349" s="569">
        <v>16</v>
      </c>
    </row>
    <row r="1350" spans="16:17">
      <c r="P1350" t="s">
        <v>2008</v>
      </c>
      <c r="Q1350" s="569">
        <v>16</v>
      </c>
    </row>
    <row r="1351" spans="16:17">
      <c r="P1351" t="s">
        <v>2009</v>
      </c>
      <c r="Q1351" s="569">
        <v>16</v>
      </c>
    </row>
    <row r="1352" spans="16:17">
      <c r="P1352" t="s">
        <v>2010</v>
      </c>
      <c r="Q1352" s="569">
        <v>16</v>
      </c>
    </row>
    <row r="1353" spans="16:17">
      <c r="P1353" t="s">
        <v>2011</v>
      </c>
      <c r="Q1353" s="569">
        <v>16</v>
      </c>
    </row>
    <row r="1354" spans="16:17">
      <c r="P1354" t="s">
        <v>2013</v>
      </c>
      <c r="Q1354" s="569">
        <v>16</v>
      </c>
    </row>
    <row r="1355" spans="16:17">
      <c r="P1355" t="s">
        <v>2014</v>
      </c>
      <c r="Q1355" s="569">
        <v>16</v>
      </c>
    </row>
    <row r="1356" spans="16:17">
      <c r="P1356" t="s">
        <v>2015</v>
      </c>
      <c r="Q1356" s="569">
        <v>16</v>
      </c>
    </row>
    <row r="1357" spans="16:17">
      <c r="P1357" t="s">
        <v>2016</v>
      </c>
      <c r="Q1357" s="569">
        <v>16</v>
      </c>
    </row>
    <row r="1358" spans="16:17">
      <c r="P1358" t="s">
        <v>2017</v>
      </c>
      <c r="Q1358" s="569">
        <v>16</v>
      </c>
    </row>
    <row r="1359" spans="16:17">
      <c r="P1359" t="s">
        <v>2018</v>
      </c>
      <c r="Q1359" s="569">
        <v>16</v>
      </c>
    </row>
    <row r="1360" spans="16:17">
      <c r="P1360" t="s">
        <v>2019</v>
      </c>
      <c r="Q1360" s="569">
        <v>16</v>
      </c>
    </row>
    <row r="1361" spans="16:17">
      <c r="P1361" t="s">
        <v>2020</v>
      </c>
      <c r="Q1361" s="569">
        <v>16</v>
      </c>
    </row>
    <row r="1362" spans="16:17">
      <c r="P1362" t="s">
        <v>2021</v>
      </c>
      <c r="Q1362" s="569">
        <v>16</v>
      </c>
    </row>
    <row r="1363" spans="16:17">
      <c r="P1363" t="s">
        <v>2022</v>
      </c>
      <c r="Q1363" s="569">
        <v>16</v>
      </c>
    </row>
    <row r="1364" spans="16:17">
      <c r="P1364" t="s">
        <v>2023</v>
      </c>
      <c r="Q1364" s="569">
        <v>16</v>
      </c>
    </row>
    <row r="1365" spans="16:17">
      <c r="P1365" t="s">
        <v>2024</v>
      </c>
      <c r="Q1365" s="569">
        <v>16</v>
      </c>
    </row>
    <row r="1366" spans="16:17">
      <c r="P1366" t="s">
        <v>2025</v>
      </c>
      <c r="Q1366" s="569">
        <v>16</v>
      </c>
    </row>
    <row r="1367" spans="16:17">
      <c r="P1367" t="s">
        <v>2026</v>
      </c>
      <c r="Q1367" s="569">
        <v>16</v>
      </c>
    </row>
    <row r="1368" spans="16:17">
      <c r="P1368" t="s">
        <v>2027</v>
      </c>
      <c r="Q1368" s="569">
        <v>16</v>
      </c>
    </row>
    <row r="1369" spans="16:17">
      <c r="P1369" t="s">
        <v>2028</v>
      </c>
      <c r="Q1369" s="569">
        <v>16</v>
      </c>
    </row>
    <row r="1370" spans="16:17">
      <c r="P1370" t="s">
        <v>2029</v>
      </c>
      <c r="Q1370" s="569">
        <v>16</v>
      </c>
    </row>
    <row r="1371" spans="16:17">
      <c r="P1371" t="s">
        <v>2030</v>
      </c>
      <c r="Q1371" s="569">
        <v>16</v>
      </c>
    </row>
    <row r="1372" spans="16:17">
      <c r="P1372" t="s">
        <v>2031</v>
      </c>
      <c r="Q1372" s="569">
        <v>16</v>
      </c>
    </row>
    <row r="1373" spans="16:17">
      <c r="P1373" t="s">
        <v>2032</v>
      </c>
      <c r="Q1373" s="569">
        <v>16</v>
      </c>
    </row>
    <row r="1374" spans="16:17">
      <c r="P1374" t="s">
        <v>2033</v>
      </c>
      <c r="Q1374" s="569">
        <v>16</v>
      </c>
    </row>
    <row r="1375" spans="16:17">
      <c r="P1375" t="s">
        <v>2034</v>
      </c>
      <c r="Q1375" s="569">
        <v>16</v>
      </c>
    </row>
    <row r="1376" spans="16:17">
      <c r="P1376" t="s">
        <v>2035</v>
      </c>
      <c r="Q1376" s="569">
        <v>16</v>
      </c>
    </row>
    <row r="1377" spans="16:17">
      <c r="P1377" t="s">
        <v>2036</v>
      </c>
      <c r="Q1377" s="569">
        <v>16</v>
      </c>
    </row>
    <row r="1378" spans="16:17">
      <c r="P1378" t="s">
        <v>2037</v>
      </c>
      <c r="Q1378" s="569">
        <v>16</v>
      </c>
    </row>
    <row r="1379" spans="16:17">
      <c r="P1379" t="s">
        <v>2038</v>
      </c>
      <c r="Q1379" s="569">
        <v>16</v>
      </c>
    </row>
    <row r="1380" spans="16:17">
      <c r="P1380" t="s">
        <v>2039</v>
      </c>
      <c r="Q1380" s="569">
        <v>16</v>
      </c>
    </row>
    <row r="1381" spans="16:17">
      <c r="P1381" t="s">
        <v>2040</v>
      </c>
      <c r="Q1381" s="569">
        <v>16</v>
      </c>
    </row>
    <row r="1382" spans="16:17">
      <c r="P1382" t="s">
        <v>2041</v>
      </c>
      <c r="Q1382" s="569">
        <v>16</v>
      </c>
    </row>
    <row r="1383" spans="16:17">
      <c r="P1383" t="s">
        <v>2042</v>
      </c>
      <c r="Q1383" s="569">
        <v>16</v>
      </c>
    </row>
    <row r="1384" spans="16:17">
      <c r="P1384" t="s">
        <v>2043</v>
      </c>
      <c r="Q1384" s="569">
        <v>16</v>
      </c>
    </row>
    <row r="1385" spans="16:17">
      <c r="P1385" t="s">
        <v>1401</v>
      </c>
      <c r="Q1385" s="569">
        <v>17</v>
      </c>
    </row>
    <row r="1386" spans="16:17">
      <c r="P1386" t="s">
        <v>1402</v>
      </c>
      <c r="Q1386" s="569">
        <v>17</v>
      </c>
    </row>
    <row r="1387" spans="16:17">
      <c r="P1387" t="s">
        <v>1403</v>
      </c>
      <c r="Q1387" s="569">
        <v>17</v>
      </c>
    </row>
    <row r="1388" spans="16:17">
      <c r="P1388" t="s">
        <v>1405</v>
      </c>
      <c r="Q1388" s="569">
        <v>17</v>
      </c>
    </row>
    <row r="1389" spans="16:17">
      <c r="P1389" t="s">
        <v>1406</v>
      </c>
      <c r="Q1389" s="569">
        <v>17</v>
      </c>
    </row>
    <row r="1390" spans="16:17">
      <c r="P1390" t="s">
        <v>1407</v>
      </c>
      <c r="Q1390" s="569">
        <v>17</v>
      </c>
    </row>
    <row r="1391" spans="16:17">
      <c r="P1391" t="s">
        <v>1409</v>
      </c>
      <c r="Q1391" s="569">
        <v>17</v>
      </c>
    </row>
    <row r="1392" spans="16:17">
      <c r="P1392" t="s">
        <v>1410</v>
      </c>
      <c r="Q1392" s="569">
        <v>17</v>
      </c>
    </row>
    <row r="1393" spans="16:17">
      <c r="P1393" t="s">
        <v>1411</v>
      </c>
      <c r="Q1393" s="569">
        <v>17</v>
      </c>
    </row>
    <row r="1394" spans="16:17">
      <c r="P1394" t="s">
        <v>1412</v>
      </c>
      <c r="Q1394" s="569">
        <v>17</v>
      </c>
    </row>
    <row r="1395" spans="16:17">
      <c r="P1395" t="s">
        <v>1413</v>
      </c>
      <c r="Q1395" s="569">
        <v>17</v>
      </c>
    </row>
    <row r="1396" spans="16:17">
      <c r="P1396" t="s">
        <v>1414</v>
      </c>
      <c r="Q1396" s="569">
        <v>17</v>
      </c>
    </row>
    <row r="1397" spans="16:17">
      <c r="P1397" t="s">
        <v>1415</v>
      </c>
      <c r="Q1397" s="569">
        <v>17</v>
      </c>
    </row>
    <row r="1398" spans="16:17">
      <c r="P1398" t="s">
        <v>1416</v>
      </c>
      <c r="Q1398" s="569">
        <v>17</v>
      </c>
    </row>
    <row r="1399" spans="16:17">
      <c r="P1399" t="s">
        <v>1417</v>
      </c>
      <c r="Q1399" s="569">
        <v>17</v>
      </c>
    </row>
    <row r="1400" spans="16:17">
      <c r="P1400" t="s">
        <v>1418</v>
      </c>
      <c r="Q1400" s="569">
        <v>17</v>
      </c>
    </row>
    <row r="1401" spans="16:17">
      <c r="P1401" t="s">
        <v>1419</v>
      </c>
      <c r="Q1401" s="569">
        <v>17</v>
      </c>
    </row>
    <row r="1402" spans="16:17">
      <c r="P1402" t="s">
        <v>1420</v>
      </c>
      <c r="Q1402" s="569">
        <v>17</v>
      </c>
    </row>
    <row r="1403" spans="16:17">
      <c r="P1403" t="s">
        <v>1421</v>
      </c>
      <c r="Q1403" s="569">
        <v>17</v>
      </c>
    </row>
    <row r="1404" spans="16:17">
      <c r="P1404" t="s">
        <v>1422</v>
      </c>
      <c r="Q1404" s="569">
        <v>17</v>
      </c>
    </row>
    <row r="1405" spans="16:17">
      <c r="P1405" t="s">
        <v>1423</v>
      </c>
      <c r="Q1405" s="569">
        <v>17</v>
      </c>
    </row>
    <row r="1406" spans="16:17">
      <c r="P1406" t="s">
        <v>1424</v>
      </c>
      <c r="Q1406" s="569">
        <v>17</v>
      </c>
    </row>
    <row r="1407" spans="16:17">
      <c r="P1407" t="s">
        <v>1425</v>
      </c>
      <c r="Q1407" s="569">
        <v>17</v>
      </c>
    </row>
    <row r="1408" spans="16:17">
      <c r="P1408" t="s">
        <v>1426</v>
      </c>
      <c r="Q1408" s="569">
        <v>17</v>
      </c>
    </row>
    <row r="1409" spans="16:17">
      <c r="P1409" t="s">
        <v>1427</v>
      </c>
      <c r="Q1409" s="569">
        <v>17</v>
      </c>
    </row>
    <row r="1410" spans="16:17">
      <c r="P1410" t="s">
        <v>1428</v>
      </c>
      <c r="Q1410" s="569">
        <v>17</v>
      </c>
    </row>
    <row r="1411" spans="16:17">
      <c r="P1411" t="s">
        <v>1429</v>
      </c>
      <c r="Q1411" s="569">
        <v>17</v>
      </c>
    </row>
    <row r="1412" spans="16:17">
      <c r="P1412" t="s">
        <v>1430</v>
      </c>
      <c r="Q1412" s="569">
        <v>17</v>
      </c>
    </row>
    <row r="1413" spans="16:17">
      <c r="P1413" t="s">
        <v>1431</v>
      </c>
      <c r="Q1413" s="569">
        <v>17</v>
      </c>
    </row>
    <row r="1414" spans="16:17">
      <c r="P1414" t="s">
        <v>1432</v>
      </c>
      <c r="Q1414" s="569">
        <v>17</v>
      </c>
    </row>
    <row r="1415" spans="16:17">
      <c r="P1415" t="s">
        <v>1433</v>
      </c>
      <c r="Q1415" s="569">
        <v>17</v>
      </c>
    </row>
    <row r="1416" spans="16:17">
      <c r="P1416" t="s">
        <v>1434</v>
      </c>
      <c r="Q1416" s="569">
        <v>17</v>
      </c>
    </row>
    <row r="1417" spans="16:17">
      <c r="P1417" t="s">
        <v>1435</v>
      </c>
      <c r="Q1417" s="569">
        <v>17</v>
      </c>
    </row>
    <row r="1418" spans="16:17">
      <c r="P1418" t="s">
        <v>1436</v>
      </c>
      <c r="Q1418" s="569">
        <v>17</v>
      </c>
    </row>
    <row r="1419" spans="16:17">
      <c r="P1419" t="s">
        <v>1437</v>
      </c>
      <c r="Q1419" s="569">
        <v>17</v>
      </c>
    </row>
    <row r="1420" spans="16:17">
      <c r="P1420" t="s">
        <v>1438</v>
      </c>
      <c r="Q1420" s="569">
        <v>17</v>
      </c>
    </row>
    <row r="1421" spans="16:17">
      <c r="P1421" t="s">
        <v>1439</v>
      </c>
      <c r="Q1421" s="569">
        <v>17</v>
      </c>
    </row>
    <row r="1422" spans="16:17">
      <c r="P1422" t="s">
        <v>1440</v>
      </c>
      <c r="Q1422" s="569">
        <v>17</v>
      </c>
    </row>
    <row r="1423" spans="16:17">
      <c r="P1423" t="s">
        <v>1441</v>
      </c>
      <c r="Q1423" s="569">
        <v>17</v>
      </c>
    </row>
    <row r="1424" spans="16:17">
      <c r="P1424" t="s">
        <v>1442</v>
      </c>
      <c r="Q1424" s="569">
        <v>17</v>
      </c>
    </row>
    <row r="1425" spans="16:17">
      <c r="P1425" t="s">
        <v>1443</v>
      </c>
      <c r="Q1425" s="569">
        <v>17</v>
      </c>
    </row>
    <row r="1426" spans="16:17">
      <c r="P1426" t="s">
        <v>1444</v>
      </c>
      <c r="Q1426" s="569">
        <v>17</v>
      </c>
    </row>
    <row r="1427" spans="16:17">
      <c r="P1427" t="s">
        <v>1445</v>
      </c>
      <c r="Q1427" s="569">
        <v>17</v>
      </c>
    </row>
    <row r="1428" spans="16:17">
      <c r="P1428" t="s">
        <v>1446</v>
      </c>
      <c r="Q1428" s="569">
        <v>17</v>
      </c>
    </row>
    <row r="1429" spans="16:17">
      <c r="P1429" t="s">
        <v>1447</v>
      </c>
      <c r="Q1429" s="569">
        <v>17</v>
      </c>
    </row>
    <row r="1430" spans="16:17">
      <c r="P1430" t="s">
        <v>1448</v>
      </c>
      <c r="Q1430" s="569">
        <v>17</v>
      </c>
    </row>
    <row r="1431" spans="16:17">
      <c r="P1431" t="s">
        <v>1449</v>
      </c>
      <c r="Q1431" s="569">
        <v>17</v>
      </c>
    </row>
    <row r="1432" spans="16:17">
      <c r="P1432" t="s">
        <v>1450</v>
      </c>
      <c r="Q1432" s="569">
        <v>17</v>
      </c>
    </row>
    <row r="1433" spans="16:17">
      <c r="P1433" t="s">
        <v>1451</v>
      </c>
      <c r="Q1433" s="569">
        <v>17</v>
      </c>
    </row>
    <row r="1434" spans="16:17">
      <c r="P1434" t="s">
        <v>1452</v>
      </c>
      <c r="Q1434" s="569">
        <v>17</v>
      </c>
    </row>
    <row r="1435" spans="16:17">
      <c r="P1435" t="s">
        <v>1453</v>
      </c>
      <c r="Q1435" s="569">
        <v>17</v>
      </c>
    </row>
    <row r="1436" spans="16:17">
      <c r="P1436" t="s">
        <v>1454</v>
      </c>
      <c r="Q1436" s="569">
        <v>17</v>
      </c>
    </row>
    <row r="1437" spans="16:17">
      <c r="P1437" t="s">
        <v>1455</v>
      </c>
      <c r="Q1437" s="569">
        <v>17</v>
      </c>
    </row>
    <row r="1438" spans="16:17">
      <c r="P1438" t="s">
        <v>1456</v>
      </c>
      <c r="Q1438" s="569">
        <v>17</v>
      </c>
    </row>
    <row r="1439" spans="16:17">
      <c r="P1439" t="s">
        <v>1457</v>
      </c>
      <c r="Q1439" s="569">
        <v>17</v>
      </c>
    </row>
    <row r="1440" spans="16:17">
      <c r="P1440" t="s">
        <v>1458</v>
      </c>
      <c r="Q1440" s="569">
        <v>17</v>
      </c>
    </row>
    <row r="1441" spans="16:17">
      <c r="P1441" t="s">
        <v>1459</v>
      </c>
      <c r="Q1441" s="569">
        <v>17</v>
      </c>
    </row>
    <row r="1442" spans="16:17">
      <c r="P1442" t="s">
        <v>1460</v>
      </c>
      <c r="Q1442" s="569">
        <v>17</v>
      </c>
    </row>
    <row r="1443" spans="16:17">
      <c r="P1443" t="s">
        <v>1461</v>
      </c>
      <c r="Q1443" s="569">
        <v>17</v>
      </c>
    </row>
    <row r="1444" spans="16:17">
      <c r="P1444" t="s">
        <v>1462</v>
      </c>
      <c r="Q1444" s="569">
        <v>17</v>
      </c>
    </row>
    <row r="1445" spans="16:17">
      <c r="P1445" t="s">
        <v>1463</v>
      </c>
      <c r="Q1445" s="569">
        <v>17</v>
      </c>
    </row>
    <row r="1446" spans="16:17">
      <c r="P1446" t="s">
        <v>1464</v>
      </c>
      <c r="Q1446" s="569">
        <v>17</v>
      </c>
    </row>
    <row r="1447" spans="16:17">
      <c r="P1447" t="s">
        <v>1465</v>
      </c>
      <c r="Q1447" s="569">
        <v>17</v>
      </c>
    </row>
    <row r="1448" spans="16:17">
      <c r="P1448" t="s">
        <v>1466</v>
      </c>
      <c r="Q1448" s="569">
        <v>17</v>
      </c>
    </row>
    <row r="1449" spans="16:17">
      <c r="P1449" t="s">
        <v>1467</v>
      </c>
      <c r="Q1449" s="569">
        <v>17</v>
      </c>
    </row>
    <row r="1450" spans="16:17">
      <c r="P1450" t="s">
        <v>1468</v>
      </c>
      <c r="Q1450" s="569">
        <v>17</v>
      </c>
    </row>
    <row r="1451" spans="16:17">
      <c r="P1451" t="s">
        <v>1469</v>
      </c>
      <c r="Q1451" s="569">
        <v>17</v>
      </c>
    </row>
    <row r="1452" spans="16:17">
      <c r="P1452" t="s">
        <v>1470</v>
      </c>
      <c r="Q1452" s="569">
        <v>17</v>
      </c>
    </row>
    <row r="1453" spans="16:17">
      <c r="P1453" t="s">
        <v>1471</v>
      </c>
      <c r="Q1453" s="569">
        <v>17</v>
      </c>
    </row>
    <row r="1454" spans="16:17">
      <c r="P1454" t="s">
        <v>1472</v>
      </c>
      <c r="Q1454" s="569">
        <v>17</v>
      </c>
    </row>
    <row r="1455" spans="16:17">
      <c r="P1455" t="s">
        <v>1474</v>
      </c>
      <c r="Q1455" s="569">
        <v>17</v>
      </c>
    </row>
    <row r="1456" spans="16:17">
      <c r="P1456" t="s">
        <v>1475</v>
      </c>
      <c r="Q1456" s="569">
        <v>17</v>
      </c>
    </row>
    <row r="1457" spans="16:17">
      <c r="P1457" t="s">
        <v>1476</v>
      </c>
      <c r="Q1457" s="569">
        <v>17</v>
      </c>
    </row>
    <row r="1458" spans="16:17">
      <c r="P1458" t="s">
        <v>1477</v>
      </c>
      <c r="Q1458" s="569">
        <v>17</v>
      </c>
    </row>
    <row r="1459" spans="16:17">
      <c r="P1459" t="s">
        <v>1478</v>
      </c>
      <c r="Q1459" s="569">
        <v>17</v>
      </c>
    </row>
    <row r="1460" spans="16:17">
      <c r="P1460" t="s">
        <v>1480</v>
      </c>
      <c r="Q1460" s="569">
        <v>17</v>
      </c>
    </row>
    <row r="1461" spans="16:17">
      <c r="P1461" t="s">
        <v>1481</v>
      </c>
      <c r="Q1461" s="569">
        <v>17</v>
      </c>
    </row>
    <row r="1462" spans="16:17">
      <c r="P1462" t="s">
        <v>1482</v>
      </c>
      <c r="Q1462" s="569">
        <v>17</v>
      </c>
    </row>
    <row r="1463" spans="16:17">
      <c r="P1463" t="s">
        <v>1483</v>
      </c>
      <c r="Q1463" s="569">
        <v>17</v>
      </c>
    </row>
    <row r="1464" spans="16:17">
      <c r="P1464" t="s">
        <v>1484</v>
      </c>
      <c r="Q1464" s="569">
        <v>17</v>
      </c>
    </row>
    <row r="1465" spans="16:17">
      <c r="P1465" t="s">
        <v>1485</v>
      </c>
      <c r="Q1465" s="569">
        <v>17</v>
      </c>
    </row>
    <row r="1466" spans="16:17">
      <c r="P1466" t="s">
        <v>3087</v>
      </c>
      <c r="Q1466" s="569">
        <v>17</v>
      </c>
    </row>
    <row r="1467" spans="16:17">
      <c r="P1467" t="s">
        <v>1486</v>
      </c>
      <c r="Q1467" s="569">
        <v>17</v>
      </c>
    </row>
    <row r="1468" spans="16:17">
      <c r="P1468" t="s">
        <v>1487</v>
      </c>
      <c r="Q1468" s="569">
        <v>17</v>
      </c>
    </row>
    <row r="1469" spans="16:17">
      <c r="P1469" t="s">
        <v>3088</v>
      </c>
      <c r="Q1469" s="569">
        <v>17</v>
      </c>
    </row>
    <row r="1470" spans="16:17">
      <c r="P1470" t="s">
        <v>3089</v>
      </c>
      <c r="Q1470" s="569">
        <v>17</v>
      </c>
    </row>
    <row r="1471" spans="16:17">
      <c r="P1471" t="s">
        <v>3090</v>
      </c>
      <c r="Q1471" s="569">
        <v>17</v>
      </c>
    </row>
    <row r="1472" spans="16:17">
      <c r="P1472" t="s">
        <v>1488</v>
      </c>
      <c r="Q1472" s="569">
        <v>17</v>
      </c>
    </row>
    <row r="1473" spans="16:17">
      <c r="P1473" t="s">
        <v>1489</v>
      </c>
      <c r="Q1473" s="569">
        <v>17</v>
      </c>
    </row>
    <row r="1474" spans="16:17">
      <c r="P1474" t="s">
        <v>1490</v>
      </c>
      <c r="Q1474" s="569">
        <v>17</v>
      </c>
    </row>
    <row r="1475" spans="16:17">
      <c r="P1475" t="s">
        <v>1491</v>
      </c>
      <c r="Q1475" s="569">
        <v>17</v>
      </c>
    </row>
    <row r="1476" spans="16:17">
      <c r="P1476" t="s">
        <v>1492</v>
      </c>
      <c r="Q1476" s="569">
        <v>17</v>
      </c>
    </row>
    <row r="1477" spans="16:17">
      <c r="P1477" t="s">
        <v>1493</v>
      </c>
      <c r="Q1477" s="569">
        <v>17</v>
      </c>
    </row>
    <row r="1478" spans="16:17">
      <c r="P1478" t="s">
        <v>1494</v>
      </c>
      <c r="Q1478" s="569">
        <v>17</v>
      </c>
    </row>
    <row r="1479" spans="16:17">
      <c r="P1479" t="s">
        <v>1495</v>
      </c>
      <c r="Q1479" s="569">
        <v>17</v>
      </c>
    </row>
    <row r="1480" spans="16:17">
      <c r="P1480" t="s">
        <v>1497</v>
      </c>
      <c r="Q1480" s="569">
        <v>17</v>
      </c>
    </row>
    <row r="1481" spans="16:17">
      <c r="P1481" t="s">
        <v>1498</v>
      </c>
      <c r="Q1481" s="569">
        <v>17</v>
      </c>
    </row>
    <row r="1482" spans="16:17">
      <c r="P1482" t="s">
        <v>1499</v>
      </c>
      <c r="Q1482" s="569">
        <v>17</v>
      </c>
    </row>
    <row r="1483" spans="16:17">
      <c r="P1483" t="s">
        <v>1500</v>
      </c>
      <c r="Q1483" s="569">
        <v>17</v>
      </c>
    </row>
    <row r="1484" spans="16:17">
      <c r="P1484" t="s">
        <v>1502</v>
      </c>
      <c r="Q1484" s="569">
        <v>17</v>
      </c>
    </row>
    <row r="1485" spans="16:17">
      <c r="P1485" t="s">
        <v>1503</v>
      </c>
      <c r="Q1485" s="569">
        <v>17</v>
      </c>
    </row>
    <row r="1486" spans="16:17">
      <c r="P1486" t="s">
        <v>1504</v>
      </c>
      <c r="Q1486" s="569">
        <v>17</v>
      </c>
    </row>
    <row r="1487" spans="16:17">
      <c r="P1487" t="s">
        <v>1505</v>
      </c>
      <c r="Q1487" s="569">
        <v>17</v>
      </c>
    </row>
    <row r="1488" spans="16:17">
      <c r="P1488" t="s">
        <v>1506</v>
      </c>
      <c r="Q1488" s="569">
        <v>17</v>
      </c>
    </row>
    <row r="1489" spans="16:17">
      <c r="P1489" t="s">
        <v>1507</v>
      </c>
      <c r="Q1489" s="569">
        <v>17</v>
      </c>
    </row>
    <row r="1490" spans="16:17">
      <c r="P1490" t="s">
        <v>1508</v>
      </c>
      <c r="Q1490" s="569">
        <v>17</v>
      </c>
    </row>
    <row r="1491" spans="16:17">
      <c r="P1491" t="s">
        <v>1509</v>
      </c>
      <c r="Q1491" s="569">
        <v>17</v>
      </c>
    </row>
    <row r="1492" spans="16:17">
      <c r="P1492" t="s">
        <v>1510</v>
      </c>
      <c r="Q1492" s="569">
        <v>17</v>
      </c>
    </row>
    <row r="1493" spans="16:17">
      <c r="P1493" t="s">
        <v>1511</v>
      </c>
      <c r="Q1493" s="569">
        <v>17</v>
      </c>
    </row>
    <row r="1494" spans="16:17">
      <c r="P1494" t="s">
        <v>1512</v>
      </c>
      <c r="Q1494" s="569">
        <v>17</v>
      </c>
    </row>
    <row r="1495" spans="16:17">
      <c r="P1495" t="s">
        <v>1513</v>
      </c>
      <c r="Q1495" s="569">
        <v>17</v>
      </c>
    </row>
    <row r="1496" spans="16:17">
      <c r="P1496" t="s">
        <v>1514</v>
      </c>
      <c r="Q1496" s="569">
        <v>17</v>
      </c>
    </row>
    <row r="1497" spans="16:17">
      <c r="P1497" t="s">
        <v>1515</v>
      </c>
      <c r="Q1497" s="569">
        <v>17</v>
      </c>
    </row>
    <row r="1498" spans="16:17">
      <c r="P1498" t="s">
        <v>1516</v>
      </c>
      <c r="Q1498" s="569">
        <v>17</v>
      </c>
    </row>
    <row r="1499" spans="16:17">
      <c r="P1499" t="s">
        <v>1517</v>
      </c>
      <c r="Q1499" s="569">
        <v>17</v>
      </c>
    </row>
    <row r="1500" spans="16:17">
      <c r="P1500" t="s">
        <v>1519</v>
      </c>
      <c r="Q1500" s="569">
        <v>17</v>
      </c>
    </row>
    <row r="1501" spans="16:17">
      <c r="P1501" t="s">
        <v>1520</v>
      </c>
      <c r="Q1501" s="569">
        <v>17</v>
      </c>
    </row>
    <row r="1502" spans="16:17">
      <c r="P1502" t="s">
        <v>1521</v>
      </c>
      <c r="Q1502" s="569">
        <v>17</v>
      </c>
    </row>
    <row r="1503" spans="16:17">
      <c r="P1503" t="s">
        <v>1522</v>
      </c>
      <c r="Q1503" s="569">
        <v>17</v>
      </c>
    </row>
    <row r="1504" spans="16:17">
      <c r="P1504" t="s">
        <v>1523</v>
      </c>
      <c r="Q1504" s="569">
        <v>17</v>
      </c>
    </row>
    <row r="1505" spans="16:17">
      <c r="P1505" t="s">
        <v>1524</v>
      </c>
      <c r="Q1505" s="569">
        <v>17</v>
      </c>
    </row>
    <row r="1506" spans="16:17">
      <c r="P1506" t="s">
        <v>1525</v>
      </c>
      <c r="Q1506" s="569">
        <v>17</v>
      </c>
    </row>
    <row r="1507" spans="16:17">
      <c r="P1507" t="s">
        <v>1526</v>
      </c>
      <c r="Q1507" s="569">
        <v>17</v>
      </c>
    </row>
    <row r="1508" spans="16:17">
      <c r="P1508" t="s">
        <v>1527</v>
      </c>
      <c r="Q1508" s="569">
        <v>17</v>
      </c>
    </row>
    <row r="1509" spans="16:17">
      <c r="P1509" t="s">
        <v>1528</v>
      </c>
      <c r="Q1509" s="569">
        <v>17</v>
      </c>
    </row>
    <row r="1510" spans="16:17">
      <c r="P1510" t="s">
        <v>1529</v>
      </c>
      <c r="Q1510" s="569">
        <v>17</v>
      </c>
    </row>
    <row r="1511" spans="16:17">
      <c r="P1511" t="s">
        <v>1530</v>
      </c>
      <c r="Q1511" s="569">
        <v>17</v>
      </c>
    </row>
    <row r="1512" spans="16:17">
      <c r="P1512" t="s">
        <v>1531</v>
      </c>
      <c r="Q1512" s="569">
        <v>17</v>
      </c>
    </row>
    <row r="1513" spans="16:17">
      <c r="P1513" t="s">
        <v>1532</v>
      </c>
      <c r="Q1513" s="569">
        <v>17</v>
      </c>
    </row>
    <row r="1514" spans="16:17">
      <c r="P1514" t="s">
        <v>1533</v>
      </c>
      <c r="Q1514" s="569">
        <v>17</v>
      </c>
    </row>
    <row r="1515" spans="16:17">
      <c r="P1515" t="s">
        <v>1534</v>
      </c>
      <c r="Q1515" s="569">
        <v>17</v>
      </c>
    </row>
    <row r="1516" spans="16:17">
      <c r="P1516" t="s">
        <v>1535</v>
      </c>
      <c r="Q1516" s="569">
        <v>17</v>
      </c>
    </row>
    <row r="1517" spans="16:17">
      <c r="P1517" t="s">
        <v>1536</v>
      </c>
      <c r="Q1517" s="569">
        <v>17</v>
      </c>
    </row>
    <row r="1518" spans="16:17">
      <c r="P1518" t="s">
        <v>1537</v>
      </c>
      <c r="Q1518" s="569">
        <v>17</v>
      </c>
    </row>
    <row r="1519" spans="16:17">
      <c r="P1519" t="s">
        <v>1538</v>
      </c>
      <c r="Q1519" s="569">
        <v>17</v>
      </c>
    </row>
    <row r="1520" spans="16:17">
      <c r="P1520" t="s">
        <v>1539</v>
      </c>
      <c r="Q1520" s="569">
        <v>17</v>
      </c>
    </row>
    <row r="1521" spans="16:17">
      <c r="P1521" t="s">
        <v>1540</v>
      </c>
      <c r="Q1521" s="569">
        <v>17</v>
      </c>
    </row>
    <row r="1522" spans="16:17">
      <c r="P1522" t="s">
        <v>1541</v>
      </c>
      <c r="Q1522" s="569">
        <v>17</v>
      </c>
    </row>
    <row r="1523" spans="16:17">
      <c r="P1523" t="s">
        <v>1542</v>
      </c>
      <c r="Q1523" s="569">
        <v>17</v>
      </c>
    </row>
    <row r="1524" spans="16:17">
      <c r="P1524" t="s">
        <v>1543</v>
      </c>
      <c r="Q1524" s="569">
        <v>17</v>
      </c>
    </row>
    <row r="1525" spans="16:17">
      <c r="P1525" t="s">
        <v>1544</v>
      </c>
      <c r="Q1525" s="569">
        <v>17</v>
      </c>
    </row>
    <row r="1526" spans="16:17">
      <c r="P1526" t="s">
        <v>1545</v>
      </c>
      <c r="Q1526" s="569">
        <v>17</v>
      </c>
    </row>
    <row r="1527" spans="16:17">
      <c r="P1527" t="s">
        <v>1546</v>
      </c>
      <c r="Q1527" s="569">
        <v>17</v>
      </c>
    </row>
    <row r="1528" spans="16:17">
      <c r="P1528" t="s">
        <v>1547</v>
      </c>
      <c r="Q1528" s="569">
        <v>17</v>
      </c>
    </row>
    <row r="1529" spans="16:17">
      <c r="P1529" t="s">
        <v>1548</v>
      </c>
      <c r="Q1529" s="569">
        <v>17</v>
      </c>
    </row>
    <row r="1530" spans="16:17">
      <c r="P1530" t="s">
        <v>1549</v>
      </c>
      <c r="Q1530" s="569">
        <v>17</v>
      </c>
    </row>
    <row r="1531" spans="16:17">
      <c r="P1531" t="s">
        <v>1550</v>
      </c>
      <c r="Q1531" s="569">
        <v>17</v>
      </c>
    </row>
    <row r="1532" spans="16:17">
      <c r="P1532" t="s">
        <v>1551</v>
      </c>
      <c r="Q1532" s="569">
        <v>17</v>
      </c>
    </row>
    <row r="1533" spans="16:17">
      <c r="P1533" t="s">
        <v>1552</v>
      </c>
      <c r="Q1533" s="569">
        <v>17</v>
      </c>
    </row>
    <row r="1534" spans="16:17">
      <c r="P1534" t="s">
        <v>1553</v>
      </c>
      <c r="Q1534" s="569">
        <v>17</v>
      </c>
    </row>
    <row r="1535" spans="16:17">
      <c r="P1535" t="s">
        <v>1554</v>
      </c>
      <c r="Q1535" s="569">
        <v>17</v>
      </c>
    </row>
    <row r="1536" spans="16:17">
      <c r="P1536" t="s">
        <v>1555</v>
      </c>
      <c r="Q1536" s="569">
        <v>17</v>
      </c>
    </row>
    <row r="1537" spans="16:17">
      <c r="P1537" t="s">
        <v>1556</v>
      </c>
      <c r="Q1537" s="569">
        <v>17</v>
      </c>
    </row>
    <row r="1538" spans="16:17">
      <c r="P1538" t="s">
        <v>1557</v>
      </c>
      <c r="Q1538" s="569">
        <v>17</v>
      </c>
    </row>
    <row r="1539" spans="16:17">
      <c r="P1539" t="s">
        <v>1558</v>
      </c>
      <c r="Q1539" s="569">
        <v>17</v>
      </c>
    </row>
    <row r="1540" spans="16:17">
      <c r="P1540" t="s">
        <v>1559</v>
      </c>
      <c r="Q1540" s="569">
        <v>17</v>
      </c>
    </row>
    <row r="1541" spans="16:17">
      <c r="P1541" t="s">
        <v>1560</v>
      </c>
      <c r="Q1541" s="569">
        <v>17</v>
      </c>
    </row>
    <row r="1542" spans="16:17">
      <c r="P1542" t="s">
        <v>1561</v>
      </c>
      <c r="Q1542" s="569">
        <v>17</v>
      </c>
    </row>
    <row r="1543" spans="16:17">
      <c r="P1543" t="s">
        <v>1562</v>
      </c>
      <c r="Q1543" s="569">
        <v>17</v>
      </c>
    </row>
    <row r="1544" spans="16:17">
      <c r="P1544" t="s">
        <v>1563</v>
      </c>
      <c r="Q1544" s="569">
        <v>17</v>
      </c>
    </row>
    <row r="1545" spans="16:17">
      <c r="P1545" t="s">
        <v>1564</v>
      </c>
      <c r="Q1545" s="569">
        <v>17</v>
      </c>
    </row>
    <row r="1546" spans="16:17">
      <c r="P1546" t="s">
        <v>1565</v>
      </c>
      <c r="Q1546" s="569">
        <v>17</v>
      </c>
    </row>
    <row r="1547" spans="16:17">
      <c r="P1547" t="s">
        <v>1566</v>
      </c>
      <c r="Q1547" s="569">
        <v>17</v>
      </c>
    </row>
    <row r="1548" spans="16:17">
      <c r="P1548" t="s">
        <v>1567</v>
      </c>
      <c r="Q1548" s="569">
        <v>17</v>
      </c>
    </row>
    <row r="1549" spans="16:17">
      <c r="P1549" t="s">
        <v>1568</v>
      </c>
      <c r="Q1549" s="569">
        <v>17</v>
      </c>
    </row>
    <row r="1550" spans="16:17">
      <c r="P1550" t="s">
        <v>1569</v>
      </c>
      <c r="Q1550" s="569">
        <v>17</v>
      </c>
    </row>
    <row r="1551" spans="16:17">
      <c r="P1551" t="s">
        <v>1570</v>
      </c>
      <c r="Q1551" s="569">
        <v>17</v>
      </c>
    </row>
    <row r="1552" spans="16:17">
      <c r="P1552" t="s">
        <v>1571</v>
      </c>
      <c r="Q1552" s="569">
        <v>17</v>
      </c>
    </row>
    <row r="1553" spans="16:17">
      <c r="P1553" t="s">
        <v>1572</v>
      </c>
      <c r="Q1553" s="569">
        <v>17</v>
      </c>
    </row>
    <row r="1554" spans="16:17">
      <c r="P1554" t="s">
        <v>1573</v>
      </c>
      <c r="Q1554" s="569">
        <v>17</v>
      </c>
    </row>
    <row r="1555" spans="16:17">
      <c r="P1555" t="s">
        <v>1574</v>
      </c>
      <c r="Q1555" s="569">
        <v>17</v>
      </c>
    </row>
    <row r="1556" spans="16:17">
      <c r="P1556" t="s">
        <v>1575</v>
      </c>
      <c r="Q1556" s="569">
        <v>17</v>
      </c>
    </row>
    <row r="1557" spans="16:17">
      <c r="P1557" t="s">
        <v>1576</v>
      </c>
      <c r="Q1557" s="569">
        <v>17</v>
      </c>
    </row>
    <row r="1558" spans="16:17">
      <c r="P1558" t="s">
        <v>1577</v>
      </c>
      <c r="Q1558" s="569">
        <v>17</v>
      </c>
    </row>
    <row r="1559" spans="16:17">
      <c r="P1559" t="s">
        <v>1578</v>
      </c>
      <c r="Q1559" s="569">
        <v>17</v>
      </c>
    </row>
    <row r="1560" spans="16:17">
      <c r="P1560" t="s">
        <v>1579</v>
      </c>
      <c r="Q1560" s="569">
        <v>17</v>
      </c>
    </row>
    <row r="1561" spans="16:17">
      <c r="P1561" t="s">
        <v>1580</v>
      </c>
      <c r="Q1561" s="569">
        <v>17</v>
      </c>
    </row>
    <row r="1562" spans="16:17">
      <c r="P1562" t="s">
        <v>1581</v>
      </c>
      <c r="Q1562" s="569">
        <v>17</v>
      </c>
    </row>
    <row r="1563" spans="16:17">
      <c r="P1563" t="s">
        <v>1582</v>
      </c>
      <c r="Q1563" s="569">
        <v>17</v>
      </c>
    </row>
    <row r="1564" spans="16:17">
      <c r="P1564" t="s">
        <v>1583</v>
      </c>
      <c r="Q1564" s="569">
        <v>17</v>
      </c>
    </row>
    <row r="1565" spans="16:17">
      <c r="P1565" t="s">
        <v>1584</v>
      </c>
      <c r="Q1565" s="569">
        <v>17</v>
      </c>
    </row>
    <row r="1566" spans="16:17">
      <c r="P1566" t="s">
        <v>1585</v>
      </c>
      <c r="Q1566" s="569">
        <v>17</v>
      </c>
    </row>
    <row r="1567" spans="16:17">
      <c r="P1567" t="s">
        <v>1586</v>
      </c>
      <c r="Q1567" s="569">
        <v>17</v>
      </c>
    </row>
    <row r="1568" spans="16:17">
      <c r="P1568" t="s">
        <v>1587</v>
      </c>
      <c r="Q1568" s="569">
        <v>17</v>
      </c>
    </row>
    <row r="1569" spans="16:17">
      <c r="P1569" t="s">
        <v>1588</v>
      </c>
      <c r="Q1569" s="569">
        <v>17</v>
      </c>
    </row>
    <row r="1570" spans="16:17">
      <c r="P1570" t="s">
        <v>1589</v>
      </c>
      <c r="Q1570" s="569">
        <v>17</v>
      </c>
    </row>
    <row r="1571" spans="16:17">
      <c r="P1571" t="s">
        <v>1590</v>
      </c>
      <c r="Q1571" s="569">
        <v>17</v>
      </c>
    </row>
    <row r="1572" spans="16:17">
      <c r="P1572" t="s">
        <v>1591</v>
      </c>
      <c r="Q1572" s="569">
        <v>17</v>
      </c>
    </row>
    <row r="1573" spans="16:17">
      <c r="P1573" t="s">
        <v>1592</v>
      </c>
      <c r="Q1573" s="569">
        <v>17</v>
      </c>
    </row>
    <row r="1574" spans="16:17">
      <c r="P1574" t="s">
        <v>1593</v>
      </c>
      <c r="Q1574" s="569">
        <v>17</v>
      </c>
    </row>
    <row r="1575" spans="16:17">
      <c r="P1575" t="s">
        <v>1594</v>
      </c>
      <c r="Q1575" s="569">
        <v>17</v>
      </c>
    </row>
    <row r="1576" spans="16:17">
      <c r="P1576" t="s">
        <v>1595</v>
      </c>
      <c r="Q1576" s="569">
        <v>17</v>
      </c>
    </row>
    <row r="1577" spans="16:17">
      <c r="P1577" t="s">
        <v>1596</v>
      </c>
      <c r="Q1577" s="569">
        <v>17</v>
      </c>
    </row>
    <row r="1578" spans="16:17">
      <c r="P1578" t="s">
        <v>1597</v>
      </c>
      <c r="Q1578" s="569">
        <v>17</v>
      </c>
    </row>
    <row r="1579" spans="16:17">
      <c r="P1579" t="s">
        <v>1598</v>
      </c>
      <c r="Q1579" s="569">
        <v>17</v>
      </c>
    </row>
    <row r="1580" spans="16:17">
      <c r="P1580" t="s">
        <v>1599</v>
      </c>
      <c r="Q1580" s="569">
        <v>17</v>
      </c>
    </row>
    <row r="1581" spans="16:17">
      <c r="P1581" t="s">
        <v>1600</v>
      </c>
      <c r="Q1581" s="569">
        <v>17</v>
      </c>
    </row>
    <row r="1582" spans="16:17">
      <c r="P1582" t="s">
        <v>1346</v>
      </c>
      <c r="Q1582" s="569">
        <v>18</v>
      </c>
    </row>
    <row r="1583" spans="16:17">
      <c r="P1583" t="s">
        <v>1351</v>
      </c>
      <c r="Q1583" s="569">
        <v>18</v>
      </c>
    </row>
    <row r="1584" spans="16:17">
      <c r="P1584" t="s">
        <v>1353</v>
      </c>
      <c r="Q1584" s="569">
        <v>18</v>
      </c>
    </row>
    <row r="1585" spans="16:17">
      <c r="P1585" t="s">
        <v>1355</v>
      </c>
      <c r="Q1585" s="569">
        <v>18</v>
      </c>
    </row>
    <row r="1586" spans="16:17">
      <c r="P1586" t="s">
        <v>1357</v>
      </c>
      <c r="Q1586" s="569">
        <v>18</v>
      </c>
    </row>
    <row r="1587" spans="16:17">
      <c r="P1587" t="s">
        <v>1359</v>
      </c>
      <c r="Q1587" s="569">
        <v>18</v>
      </c>
    </row>
    <row r="1588" spans="16:17">
      <c r="P1588" t="s">
        <v>1361</v>
      </c>
      <c r="Q1588" s="569">
        <v>18</v>
      </c>
    </row>
    <row r="1589" spans="16:17">
      <c r="P1589" t="s">
        <v>1363</v>
      </c>
      <c r="Q1589" s="569">
        <v>18</v>
      </c>
    </row>
    <row r="1590" spans="16:17">
      <c r="P1590" t="s">
        <v>1364</v>
      </c>
      <c r="Q1590" s="569">
        <v>18</v>
      </c>
    </row>
    <row r="1591" spans="16:17">
      <c r="P1591" t="s">
        <v>1366</v>
      </c>
      <c r="Q1591" s="569">
        <v>18</v>
      </c>
    </row>
    <row r="1592" spans="16:17">
      <c r="P1592" t="s">
        <v>1368</v>
      </c>
      <c r="Q1592" s="569">
        <v>18</v>
      </c>
    </row>
    <row r="1593" spans="16:17">
      <c r="P1593" t="s">
        <v>1370</v>
      </c>
      <c r="Q1593" s="569">
        <v>18</v>
      </c>
    </row>
    <row r="1594" spans="16:17">
      <c r="P1594" t="s">
        <v>1373</v>
      </c>
      <c r="Q1594" s="569">
        <v>18</v>
      </c>
    </row>
    <row r="1595" spans="16:17">
      <c r="P1595" t="s">
        <v>1375</v>
      </c>
      <c r="Q1595" s="569">
        <v>18</v>
      </c>
    </row>
    <row r="1596" spans="16:17">
      <c r="P1596" t="s">
        <v>1377</v>
      </c>
      <c r="Q1596" s="569">
        <v>18</v>
      </c>
    </row>
    <row r="1597" spans="16:17">
      <c r="P1597" t="s">
        <v>1379</v>
      </c>
      <c r="Q1597" s="569">
        <v>18</v>
      </c>
    </row>
    <row r="1598" spans="16:17">
      <c r="P1598" t="s">
        <v>1381</v>
      </c>
      <c r="Q1598" s="569">
        <v>18</v>
      </c>
    </row>
    <row r="1599" spans="16:17">
      <c r="P1599" t="s">
        <v>1382</v>
      </c>
      <c r="Q1599" s="569">
        <v>18</v>
      </c>
    </row>
    <row r="1600" spans="16:17">
      <c r="P1600" t="s">
        <v>1383</v>
      </c>
      <c r="Q1600" s="569">
        <v>18</v>
      </c>
    </row>
    <row r="1601" spans="16:17">
      <c r="P1601" t="s">
        <v>1384</v>
      </c>
      <c r="Q1601" s="569">
        <v>18</v>
      </c>
    </row>
    <row r="1602" spans="16:17">
      <c r="P1602" t="s">
        <v>1385</v>
      </c>
      <c r="Q1602" s="569">
        <v>18</v>
      </c>
    </row>
    <row r="1603" spans="16:17">
      <c r="P1603" t="s">
        <v>1386</v>
      </c>
      <c r="Q1603" s="569">
        <v>18</v>
      </c>
    </row>
    <row r="1604" spans="16:17">
      <c r="P1604" t="s">
        <v>1387</v>
      </c>
      <c r="Q1604" s="569">
        <v>18</v>
      </c>
    </row>
    <row r="1605" spans="16:17">
      <c r="P1605" t="s">
        <v>1388</v>
      </c>
      <c r="Q1605" s="569">
        <v>18</v>
      </c>
    </row>
    <row r="1606" spans="16:17">
      <c r="P1606" t="s">
        <v>1389</v>
      </c>
      <c r="Q1606" s="569">
        <v>18</v>
      </c>
    </row>
    <row r="1607" spans="16:17">
      <c r="P1607" t="s">
        <v>1390</v>
      </c>
      <c r="Q1607" s="569">
        <v>18</v>
      </c>
    </row>
    <row r="1608" spans="16:17">
      <c r="P1608" t="s">
        <v>1391</v>
      </c>
      <c r="Q1608" s="569">
        <v>18</v>
      </c>
    </row>
    <row r="1609" spans="16:17">
      <c r="P1609" t="s">
        <v>1393</v>
      </c>
      <c r="Q1609" s="569">
        <v>18</v>
      </c>
    </row>
    <row r="1610" spans="16:17">
      <c r="P1610" t="s">
        <v>1394</v>
      </c>
      <c r="Q1610" s="569">
        <v>18</v>
      </c>
    </row>
    <row r="1611" spans="16:17">
      <c r="P1611" t="s">
        <v>1395</v>
      </c>
      <c r="Q1611" s="569">
        <v>18</v>
      </c>
    </row>
    <row r="1612" spans="16:17">
      <c r="P1612" t="s">
        <v>1396</v>
      </c>
      <c r="Q1612" s="569">
        <v>18</v>
      </c>
    </row>
    <row r="1613" spans="16:17">
      <c r="P1613" t="s">
        <v>1397</v>
      </c>
      <c r="Q1613" s="569">
        <v>18</v>
      </c>
    </row>
    <row r="1614" spans="16:17">
      <c r="P1614" t="s">
        <v>1398</v>
      </c>
      <c r="Q1614" s="569">
        <v>18</v>
      </c>
    </row>
    <row r="1615" spans="16:17">
      <c r="P1615" t="s">
        <v>1399</v>
      </c>
      <c r="Q1615" s="569">
        <v>18</v>
      </c>
    </row>
    <row r="1616" spans="16:17">
      <c r="P1616" t="s">
        <v>1400</v>
      </c>
      <c r="Q1616" s="569">
        <v>18</v>
      </c>
    </row>
    <row r="1617" spans="16:17">
      <c r="P1617" t="s">
        <v>3074</v>
      </c>
      <c r="Q1617" s="569">
        <v>19</v>
      </c>
    </row>
    <row r="1618" spans="16:17">
      <c r="P1618" t="s">
        <v>3075</v>
      </c>
      <c r="Q1618" s="569">
        <v>19</v>
      </c>
    </row>
    <row r="1619" spans="16:17">
      <c r="P1619" t="s">
        <v>3076</v>
      </c>
      <c r="Q1619" s="569">
        <v>19</v>
      </c>
    </row>
    <row r="1620" spans="16:17">
      <c r="P1620" t="s">
        <v>3070</v>
      </c>
      <c r="Q1620" s="569">
        <v>20</v>
      </c>
    </row>
    <row r="1621" spans="16:17">
      <c r="P1621" t="s">
        <v>3071</v>
      </c>
      <c r="Q1621" s="569">
        <v>20</v>
      </c>
    </row>
    <row r="1622" spans="16:17">
      <c r="P1622" t="s">
        <v>3073</v>
      </c>
      <c r="Q1622" s="569">
        <v>20</v>
      </c>
    </row>
    <row r="1623" spans="16:17">
      <c r="P1623" s="596" t="s">
        <v>1479</v>
      </c>
      <c r="Q1623" s="597">
        <v>17</v>
      </c>
    </row>
    <row r="1624" spans="16:17">
      <c r="P1624" s="596" t="s">
        <v>1518</v>
      </c>
      <c r="Q1624" s="597">
        <v>17</v>
      </c>
    </row>
    <row r="1625" spans="16:17">
      <c r="P1625" s="596" t="s">
        <v>1670</v>
      </c>
      <c r="Q1625" s="597">
        <v>16</v>
      </c>
    </row>
    <row r="1626" spans="16:17">
      <c r="P1626" s="596" t="s">
        <v>1678</v>
      </c>
      <c r="Q1626" s="597">
        <v>16</v>
      </c>
    </row>
    <row r="1627" spans="16:17">
      <c r="P1627" s="596" t="s">
        <v>1844</v>
      </c>
      <c r="Q1627" s="597">
        <v>5</v>
      </c>
    </row>
    <row r="1628" spans="16:17">
      <c r="P1628" s="596" t="s">
        <v>1845</v>
      </c>
      <c r="Q1628" s="597">
        <v>7</v>
      </c>
    </row>
    <row r="1629" spans="16:17">
      <c r="P1629" s="596" t="s">
        <v>1846</v>
      </c>
      <c r="Q1629" s="597">
        <v>7</v>
      </c>
    </row>
    <row r="1630" spans="16:17">
      <c r="P1630" s="596" t="s">
        <v>1907</v>
      </c>
      <c r="Q1630" s="597">
        <v>16</v>
      </c>
    </row>
    <row r="1631" spans="16:17">
      <c r="P1631" s="596" t="s">
        <v>1916</v>
      </c>
      <c r="Q1631" s="597">
        <v>16</v>
      </c>
    </row>
    <row r="1632" spans="16:17">
      <c r="P1632" s="596" t="s">
        <v>2012</v>
      </c>
      <c r="Q1632" s="597">
        <v>9</v>
      </c>
    </row>
    <row r="1633" spans="16:17">
      <c r="P1633" s="596" t="s">
        <v>2261</v>
      </c>
      <c r="Q1633" s="597">
        <v>15</v>
      </c>
    </row>
    <row r="1634" spans="16:17">
      <c r="P1634" s="596" t="s">
        <v>2288</v>
      </c>
      <c r="Q1634" s="597">
        <v>15</v>
      </c>
    </row>
    <row r="1635" spans="16:17">
      <c r="P1635" s="596" t="s">
        <v>2575</v>
      </c>
      <c r="Q1635" s="597">
        <v>15</v>
      </c>
    </row>
    <row r="1636" spans="16:17">
      <c r="P1636" s="596" t="s">
        <v>2598</v>
      </c>
      <c r="Q1636" s="597">
        <v>14</v>
      </c>
    </row>
    <row r="1637" spans="16:17">
      <c r="P1637" s="596" t="s">
        <v>2669</v>
      </c>
      <c r="Q1637" s="597">
        <v>13</v>
      </c>
    </row>
    <row r="1638" spans="16:17">
      <c r="P1638" s="596" t="s">
        <v>2713</v>
      </c>
      <c r="Q1638" s="597">
        <v>12</v>
      </c>
    </row>
    <row r="1639" spans="16:17">
      <c r="P1639" s="596" t="s">
        <v>2732</v>
      </c>
      <c r="Q1639" s="597">
        <v>12</v>
      </c>
    </row>
    <row r="1640" spans="16:17">
      <c r="P1640" s="596" t="s">
        <v>2766</v>
      </c>
      <c r="Q1640" s="597">
        <v>12</v>
      </c>
    </row>
    <row r="1641" spans="16:17">
      <c r="P1641" s="596" t="s">
        <v>2840</v>
      </c>
      <c r="Q1641" s="597">
        <v>12</v>
      </c>
    </row>
    <row r="1642" spans="16:17">
      <c r="P1642" s="596" t="s">
        <v>3027</v>
      </c>
      <c r="Q1642" s="597">
        <v>4</v>
      </c>
    </row>
    <row r="1643" spans="16:17">
      <c r="P1643" s="596" t="s">
        <v>3066</v>
      </c>
      <c r="Q1643" s="597">
        <v>1</v>
      </c>
    </row>
    <row r="1644" spans="16:17">
      <c r="P1644" s="596" t="s">
        <v>3067</v>
      </c>
      <c r="Q1644" s="597">
        <v>20</v>
      </c>
    </row>
    <row r="1645" spans="16:17">
      <c r="P1645" s="596" t="s">
        <v>3068</v>
      </c>
      <c r="Q1645" s="597">
        <v>20</v>
      </c>
    </row>
    <row r="1646" spans="16:17">
      <c r="P1646" s="596" t="s">
        <v>3069</v>
      </c>
      <c r="Q1646" s="597">
        <v>20</v>
      </c>
    </row>
    <row r="1647" spans="16:17">
      <c r="P1647" s="596" t="s">
        <v>3072</v>
      </c>
      <c r="Q1647" s="597">
        <v>20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2">
    <tabColor theme="1" tint="0.34998626667073579"/>
  </sheetPr>
  <dimension ref="A1:N40"/>
  <sheetViews>
    <sheetView showGridLines="0" zoomScaleNormal="100" zoomScaleSheetLayoutView="85" workbookViewId="0">
      <selection activeCell="L13" sqref="L13"/>
    </sheetView>
  </sheetViews>
  <sheetFormatPr defaultColWidth="9.140625" defaultRowHeight="15" outlineLevelCol="1"/>
  <cols>
    <col min="1" max="1" width="9.140625" style="598"/>
    <col min="2" max="2" width="19.42578125" hidden="1" customWidth="1" outlineLevel="1"/>
    <col min="3" max="3" width="14.5703125" customWidth="1" collapsed="1"/>
    <col min="4" max="4" width="12.5703125" customWidth="1"/>
    <col min="5" max="5" width="16.140625" customWidth="1"/>
    <col min="6" max="6" width="20.5703125" customWidth="1"/>
    <col min="7" max="7" width="21" customWidth="1"/>
    <col min="8" max="8" width="9.85546875" customWidth="1"/>
    <col min="9" max="9" width="21.5703125" style="586" customWidth="1"/>
    <col min="10" max="10" width="37.42578125" style="590" customWidth="1"/>
    <col min="11" max="11" width="9.5703125" style="588" customWidth="1" outlineLevel="1"/>
    <col min="12" max="14" width="19.28515625" style="588" customWidth="1" outlineLevel="1"/>
    <col min="15" max="15" width="16.5703125" customWidth="1"/>
    <col min="16" max="16" width="15" customWidth="1"/>
    <col min="259" max="259" width="14.5703125" customWidth="1"/>
    <col min="260" max="260" width="12.5703125" customWidth="1"/>
    <col min="261" max="261" width="16.140625" customWidth="1"/>
    <col min="262" max="262" width="20.5703125" customWidth="1"/>
    <col min="263" max="263" width="21" customWidth="1"/>
    <col min="264" max="270" width="19.28515625" customWidth="1"/>
    <col min="515" max="515" width="14.5703125" customWidth="1"/>
    <col min="516" max="516" width="12.5703125" customWidth="1"/>
    <col min="517" max="517" width="16.140625" customWidth="1"/>
    <col min="518" max="518" width="20.5703125" customWidth="1"/>
    <col min="519" max="519" width="21" customWidth="1"/>
    <col min="520" max="526" width="19.28515625" customWidth="1"/>
    <col min="771" max="771" width="14.5703125" customWidth="1"/>
    <col min="772" max="772" width="12.5703125" customWidth="1"/>
    <col min="773" max="773" width="16.140625" customWidth="1"/>
    <col min="774" max="774" width="20.5703125" customWidth="1"/>
    <col min="775" max="775" width="21" customWidth="1"/>
    <col min="776" max="782" width="19.28515625" customWidth="1"/>
    <col min="1027" max="1027" width="14.5703125" customWidth="1"/>
    <col min="1028" max="1028" width="12.5703125" customWidth="1"/>
    <col min="1029" max="1029" width="16.140625" customWidth="1"/>
    <col min="1030" max="1030" width="20.5703125" customWidth="1"/>
    <col min="1031" max="1031" width="21" customWidth="1"/>
    <col min="1032" max="1038" width="19.28515625" customWidth="1"/>
    <col min="1283" max="1283" width="14.5703125" customWidth="1"/>
    <col min="1284" max="1284" width="12.5703125" customWidth="1"/>
    <col min="1285" max="1285" width="16.140625" customWidth="1"/>
    <col min="1286" max="1286" width="20.5703125" customWidth="1"/>
    <col min="1287" max="1287" width="21" customWidth="1"/>
    <col min="1288" max="1294" width="19.28515625" customWidth="1"/>
    <col min="1539" max="1539" width="14.5703125" customWidth="1"/>
    <col min="1540" max="1540" width="12.5703125" customWidth="1"/>
    <col min="1541" max="1541" width="16.140625" customWidth="1"/>
    <col min="1542" max="1542" width="20.5703125" customWidth="1"/>
    <col min="1543" max="1543" width="21" customWidth="1"/>
    <col min="1544" max="1550" width="19.28515625" customWidth="1"/>
    <col min="1795" max="1795" width="14.5703125" customWidth="1"/>
    <col min="1796" max="1796" width="12.5703125" customWidth="1"/>
    <col min="1797" max="1797" width="16.140625" customWidth="1"/>
    <col min="1798" max="1798" width="20.5703125" customWidth="1"/>
    <col min="1799" max="1799" width="21" customWidth="1"/>
    <col min="1800" max="1806" width="19.28515625" customWidth="1"/>
    <col min="2051" max="2051" width="14.5703125" customWidth="1"/>
    <col min="2052" max="2052" width="12.5703125" customWidth="1"/>
    <col min="2053" max="2053" width="16.140625" customWidth="1"/>
    <col min="2054" max="2054" width="20.5703125" customWidth="1"/>
    <col min="2055" max="2055" width="21" customWidth="1"/>
    <col min="2056" max="2062" width="19.28515625" customWidth="1"/>
    <col min="2307" max="2307" width="14.5703125" customWidth="1"/>
    <col min="2308" max="2308" width="12.5703125" customWidth="1"/>
    <col min="2309" max="2309" width="16.140625" customWidth="1"/>
    <col min="2310" max="2310" width="20.5703125" customWidth="1"/>
    <col min="2311" max="2311" width="21" customWidth="1"/>
    <col min="2312" max="2318" width="19.28515625" customWidth="1"/>
    <col min="2563" max="2563" width="14.5703125" customWidth="1"/>
    <col min="2564" max="2564" width="12.5703125" customWidth="1"/>
    <col min="2565" max="2565" width="16.140625" customWidth="1"/>
    <col min="2566" max="2566" width="20.5703125" customWidth="1"/>
    <col min="2567" max="2567" width="21" customWidth="1"/>
    <col min="2568" max="2574" width="19.28515625" customWidth="1"/>
    <col min="2819" max="2819" width="14.5703125" customWidth="1"/>
    <col min="2820" max="2820" width="12.5703125" customWidth="1"/>
    <col min="2821" max="2821" width="16.140625" customWidth="1"/>
    <col min="2822" max="2822" width="20.5703125" customWidth="1"/>
    <col min="2823" max="2823" width="21" customWidth="1"/>
    <col min="2824" max="2830" width="19.28515625" customWidth="1"/>
    <col min="3075" max="3075" width="14.5703125" customWidth="1"/>
    <col min="3076" max="3076" width="12.5703125" customWidth="1"/>
    <col min="3077" max="3077" width="16.140625" customWidth="1"/>
    <col min="3078" max="3078" width="20.5703125" customWidth="1"/>
    <col min="3079" max="3079" width="21" customWidth="1"/>
    <col min="3080" max="3086" width="19.28515625" customWidth="1"/>
    <col min="3331" max="3331" width="14.5703125" customWidth="1"/>
    <col min="3332" max="3332" width="12.5703125" customWidth="1"/>
    <col min="3333" max="3333" width="16.140625" customWidth="1"/>
    <col min="3334" max="3334" width="20.5703125" customWidth="1"/>
    <col min="3335" max="3335" width="21" customWidth="1"/>
    <col min="3336" max="3342" width="19.28515625" customWidth="1"/>
    <col min="3587" max="3587" width="14.5703125" customWidth="1"/>
    <col min="3588" max="3588" width="12.5703125" customWidth="1"/>
    <col min="3589" max="3589" width="16.140625" customWidth="1"/>
    <col min="3590" max="3590" width="20.5703125" customWidth="1"/>
    <col min="3591" max="3591" width="21" customWidth="1"/>
    <col min="3592" max="3598" width="19.28515625" customWidth="1"/>
    <col min="3843" max="3843" width="14.5703125" customWidth="1"/>
    <col min="3844" max="3844" width="12.5703125" customWidth="1"/>
    <col min="3845" max="3845" width="16.140625" customWidth="1"/>
    <col min="3846" max="3846" width="20.5703125" customWidth="1"/>
    <col min="3847" max="3847" width="21" customWidth="1"/>
    <col min="3848" max="3854" width="19.28515625" customWidth="1"/>
    <col min="4099" max="4099" width="14.5703125" customWidth="1"/>
    <col min="4100" max="4100" width="12.5703125" customWidth="1"/>
    <col min="4101" max="4101" width="16.140625" customWidth="1"/>
    <col min="4102" max="4102" width="20.5703125" customWidth="1"/>
    <col min="4103" max="4103" width="21" customWidth="1"/>
    <col min="4104" max="4110" width="19.28515625" customWidth="1"/>
    <col min="4355" max="4355" width="14.5703125" customWidth="1"/>
    <col min="4356" max="4356" width="12.5703125" customWidth="1"/>
    <col min="4357" max="4357" width="16.140625" customWidth="1"/>
    <col min="4358" max="4358" width="20.5703125" customWidth="1"/>
    <col min="4359" max="4359" width="21" customWidth="1"/>
    <col min="4360" max="4366" width="19.28515625" customWidth="1"/>
    <col min="4611" max="4611" width="14.5703125" customWidth="1"/>
    <col min="4612" max="4612" width="12.5703125" customWidth="1"/>
    <col min="4613" max="4613" width="16.140625" customWidth="1"/>
    <col min="4614" max="4614" width="20.5703125" customWidth="1"/>
    <col min="4615" max="4615" width="21" customWidth="1"/>
    <col min="4616" max="4622" width="19.28515625" customWidth="1"/>
    <col min="4867" max="4867" width="14.5703125" customWidth="1"/>
    <col min="4868" max="4868" width="12.5703125" customWidth="1"/>
    <col min="4869" max="4869" width="16.140625" customWidth="1"/>
    <col min="4870" max="4870" width="20.5703125" customWidth="1"/>
    <col min="4871" max="4871" width="21" customWidth="1"/>
    <col min="4872" max="4878" width="19.28515625" customWidth="1"/>
    <col min="5123" max="5123" width="14.5703125" customWidth="1"/>
    <col min="5124" max="5124" width="12.5703125" customWidth="1"/>
    <col min="5125" max="5125" width="16.140625" customWidth="1"/>
    <col min="5126" max="5126" width="20.5703125" customWidth="1"/>
    <col min="5127" max="5127" width="21" customWidth="1"/>
    <col min="5128" max="5134" width="19.28515625" customWidth="1"/>
    <col min="5379" max="5379" width="14.5703125" customWidth="1"/>
    <col min="5380" max="5380" width="12.5703125" customWidth="1"/>
    <col min="5381" max="5381" width="16.140625" customWidth="1"/>
    <col min="5382" max="5382" width="20.5703125" customWidth="1"/>
    <col min="5383" max="5383" width="21" customWidth="1"/>
    <col min="5384" max="5390" width="19.28515625" customWidth="1"/>
    <col min="5635" max="5635" width="14.5703125" customWidth="1"/>
    <col min="5636" max="5636" width="12.5703125" customWidth="1"/>
    <col min="5637" max="5637" width="16.140625" customWidth="1"/>
    <col min="5638" max="5638" width="20.5703125" customWidth="1"/>
    <col min="5639" max="5639" width="21" customWidth="1"/>
    <col min="5640" max="5646" width="19.28515625" customWidth="1"/>
    <col min="5891" max="5891" width="14.5703125" customWidth="1"/>
    <col min="5892" max="5892" width="12.5703125" customWidth="1"/>
    <col min="5893" max="5893" width="16.140625" customWidth="1"/>
    <col min="5894" max="5894" width="20.5703125" customWidth="1"/>
    <col min="5895" max="5895" width="21" customWidth="1"/>
    <col min="5896" max="5902" width="19.28515625" customWidth="1"/>
    <col min="6147" max="6147" width="14.5703125" customWidth="1"/>
    <col min="6148" max="6148" width="12.5703125" customWidth="1"/>
    <col min="6149" max="6149" width="16.140625" customWidth="1"/>
    <col min="6150" max="6150" width="20.5703125" customWidth="1"/>
    <col min="6151" max="6151" width="21" customWidth="1"/>
    <col min="6152" max="6158" width="19.28515625" customWidth="1"/>
    <col min="6403" max="6403" width="14.5703125" customWidth="1"/>
    <col min="6404" max="6404" width="12.5703125" customWidth="1"/>
    <col min="6405" max="6405" width="16.140625" customWidth="1"/>
    <col min="6406" max="6406" width="20.5703125" customWidth="1"/>
    <col min="6407" max="6407" width="21" customWidth="1"/>
    <col min="6408" max="6414" width="19.28515625" customWidth="1"/>
    <col min="6659" max="6659" width="14.5703125" customWidth="1"/>
    <col min="6660" max="6660" width="12.5703125" customWidth="1"/>
    <col min="6661" max="6661" width="16.140625" customWidth="1"/>
    <col min="6662" max="6662" width="20.5703125" customWidth="1"/>
    <col min="6663" max="6663" width="21" customWidth="1"/>
    <col min="6664" max="6670" width="19.28515625" customWidth="1"/>
    <col min="6915" max="6915" width="14.5703125" customWidth="1"/>
    <col min="6916" max="6916" width="12.5703125" customWidth="1"/>
    <col min="6917" max="6917" width="16.140625" customWidth="1"/>
    <col min="6918" max="6918" width="20.5703125" customWidth="1"/>
    <col min="6919" max="6919" width="21" customWidth="1"/>
    <col min="6920" max="6926" width="19.28515625" customWidth="1"/>
    <col min="7171" max="7171" width="14.5703125" customWidth="1"/>
    <col min="7172" max="7172" width="12.5703125" customWidth="1"/>
    <col min="7173" max="7173" width="16.140625" customWidth="1"/>
    <col min="7174" max="7174" width="20.5703125" customWidth="1"/>
    <col min="7175" max="7175" width="21" customWidth="1"/>
    <col min="7176" max="7182" width="19.28515625" customWidth="1"/>
    <col min="7427" max="7427" width="14.5703125" customWidth="1"/>
    <col min="7428" max="7428" width="12.5703125" customWidth="1"/>
    <col min="7429" max="7429" width="16.140625" customWidth="1"/>
    <col min="7430" max="7430" width="20.5703125" customWidth="1"/>
    <col min="7431" max="7431" width="21" customWidth="1"/>
    <col min="7432" max="7438" width="19.28515625" customWidth="1"/>
    <col min="7683" max="7683" width="14.5703125" customWidth="1"/>
    <col min="7684" max="7684" width="12.5703125" customWidth="1"/>
    <col min="7685" max="7685" width="16.140625" customWidth="1"/>
    <col min="7686" max="7686" width="20.5703125" customWidth="1"/>
    <col min="7687" max="7687" width="21" customWidth="1"/>
    <col min="7688" max="7694" width="19.28515625" customWidth="1"/>
    <col min="7939" max="7939" width="14.5703125" customWidth="1"/>
    <col min="7940" max="7940" width="12.5703125" customWidth="1"/>
    <col min="7941" max="7941" width="16.140625" customWidth="1"/>
    <col min="7942" max="7942" width="20.5703125" customWidth="1"/>
    <col min="7943" max="7943" width="21" customWidth="1"/>
    <col min="7944" max="7950" width="19.28515625" customWidth="1"/>
    <col min="8195" max="8195" width="14.5703125" customWidth="1"/>
    <col min="8196" max="8196" width="12.5703125" customWidth="1"/>
    <col min="8197" max="8197" width="16.140625" customWidth="1"/>
    <col min="8198" max="8198" width="20.5703125" customWidth="1"/>
    <col min="8199" max="8199" width="21" customWidth="1"/>
    <col min="8200" max="8206" width="19.28515625" customWidth="1"/>
    <col min="8451" max="8451" width="14.5703125" customWidth="1"/>
    <col min="8452" max="8452" width="12.5703125" customWidth="1"/>
    <col min="8453" max="8453" width="16.140625" customWidth="1"/>
    <col min="8454" max="8454" width="20.5703125" customWidth="1"/>
    <col min="8455" max="8455" width="21" customWidth="1"/>
    <col min="8456" max="8462" width="19.28515625" customWidth="1"/>
    <col min="8707" max="8707" width="14.5703125" customWidth="1"/>
    <col min="8708" max="8708" width="12.5703125" customWidth="1"/>
    <col min="8709" max="8709" width="16.140625" customWidth="1"/>
    <col min="8710" max="8710" width="20.5703125" customWidth="1"/>
    <col min="8711" max="8711" width="21" customWidth="1"/>
    <col min="8712" max="8718" width="19.28515625" customWidth="1"/>
    <col min="8963" max="8963" width="14.5703125" customWidth="1"/>
    <col min="8964" max="8964" width="12.5703125" customWidth="1"/>
    <col min="8965" max="8965" width="16.140625" customWidth="1"/>
    <col min="8966" max="8966" width="20.5703125" customWidth="1"/>
    <col min="8967" max="8967" width="21" customWidth="1"/>
    <col min="8968" max="8974" width="19.28515625" customWidth="1"/>
    <col min="9219" max="9219" width="14.5703125" customWidth="1"/>
    <col min="9220" max="9220" width="12.5703125" customWidth="1"/>
    <col min="9221" max="9221" width="16.140625" customWidth="1"/>
    <col min="9222" max="9222" width="20.5703125" customWidth="1"/>
    <col min="9223" max="9223" width="21" customWidth="1"/>
    <col min="9224" max="9230" width="19.28515625" customWidth="1"/>
    <col min="9475" max="9475" width="14.5703125" customWidth="1"/>
    <col min="9476" max="9476" width="12.5703125" customWidth="1"/>
    <col min="9477" max="9477" width="16.140625" customWidth="1"/>
    <col min="9478" max="9478" width="20.5703125" customWidth="1"/>
    <col min="9479" max="9479" width="21" customWidth="1"/>
    <col min="9480" max="9486" width="19.28515625" customWidth="1"/>
    <col min="9731" max="9731" width="14.5703125" customWidth="1"/>
    <col min="9732" max="9732" width="12.5703125" customWidth="1"/>
    <col min="9733" max="9733" width="16.140625" customWidth="1"/>
    <col min="9734" max="9734" width="20.5703125" customWidth="1"/>
    <col min="9735" max="9735" width="21" customWidth="1"/>
    <col min="9736" max="9742" width="19.28515625" customWidth="1"/>
    <col min="9987" max="9987" width="14.5703125" customWidth="1"/>
    <col min="9988" max="9988" width="12.5703125" customWidth="1"/>
    <col min="9989" max="9989" width="16.140625" customWidth="1"/>
    <col min="9990" max="9990" width="20.5703125" customWidth="1"/>
    <col min="9991" max="9991" width="21" customWidth="1"/>
    <col min="9992" max="9998" width="19.28515625" customWidth="1"/>
    <col min="10243" max="10243" width="14.5703125" customWidth="1"/>
    <col min="10244" max="10244" width="12.5703125" customWidth="1"/>
    <col min="10245" max="10245" width="16.140625" customWidth="1"/>
    <col min="10246" max="10246" width="20.5703125" customWidth="1"/>
    <col min="10247" max="10247" width="21" customWidth="1"/>
    <col min="10248" max="10254" width="19.28515625" customWidth="1"/>
    <col min="10499" max="10499" width="14.5703125" customWidth="1"/>
    <col min="10500" max="10500" width="12.5703125" customWidth="1"/>
    <col min="10501" max="10501" width="16.140625" customWidth="1"/>
    <col min="10502" max="10502" width="20.5703125" customWidth="1"/>
    <col min="10503" max="10503" width="21" customWidth="1"/>
    <col min="10504" max="10510" width="19.28515625" customWidth="1"/>
    <col min="10755" max="10755" width="14.5703125" customWidth="1"/>
    <col min="10756" max="10756" width="12.5703125" customWidth="1"/>
    <col min="10757" max="10757" width="16.140625" customWidth="1"/>
    <col min="10758" max="10758" width="20.5703125" customWidth="1"/>
    <col min="10759" max="10759" width="21" customWidth="1"/>
    <col min="10760" max="10766" width="19.28515625" customWidth="1"/>
    <col min="11011" max="11011" width="14.5703125" customWidth="1"/>
    <col min="11012" max="11012" width="12.5703125" customWidth="1"/>
    <col min="11013" max="11013" width="16.140625" customWidth="1"/>
    <col min="11014" max="11014" width="20.5703125" customWidth="1"/>
    <col min="11015" max="11015" width="21" customWidth="1"/>
    <col min="11016" max="11022" width="19.28515625" customWidth="1"/>
    <col min="11267" max="11267" width="14.5703125" customWidth="1"/>
    <col min="11268" max="11268" width="12.5703125" customWidth="1"/>
    <col min="11269" max="11269" width="16.140625" customWidth="1"/>
    <col min="11270" max="11270" width="20.5703125" customWidth="1"/>
    <col min="11271" max="11271" width="21" customWidth="1"/>
    <col min="11272" max="11278" width="19.28515625" customWidth="1"/>
    <col min="11523" max="11523" width="14.5703125" customWidth="1"/>
    <col min="11524" max="11524" width="12.5703125" customWidth="1"/>
    <col min="11525" max="11525" width="16.140625" customWidth="1"/>
    <col min="11526" max="11526" width="20.5703125" customWidth="1"/>
    <col min="11527" max="11527" width="21" customWidth="1"/>
    <col min="11528" max="11534" width="19.28515625" customWidth="1"/>
    <col min="11779" max="11779" width="14.5703125" customWidth="1"/>
    <col min="11780" max="11780" width="12.5703125" customWidth="1"/>
    <col min="11781" max="11781" width="16.140625" customWidth="1"/>
    <col min="11782" max="11782" width="20.5703125" customWidth="1"/>
    <col min="11783" max="11783" width="21" customWidth="1"/>
    <col min="11784" max="11790" width="19.28515625" customWidth="1"/>
    <col min="12035" max="12035" width="14.5703125" customWidth="1"/>
    <col min="12036" max="12036" width="12.5703125" customWidth="1"/>
    <col min="12037" max="12037" width="16.140625" customWidth="1"/>
    <col min="12038" max="12038" width="20.5703125" customWidth="1"/>
    <col min="12039" max="12039" width="21" customWidth="1"/>
    <col min="12040" max="12046" width="19.28515625" customWidth="1"/>
    <col min="12291" max="12291" width="14.5703125" customWidth="1"/>
    <col min="12292" max="12292" width="12.5703125" customWidth="1"/>
    <col min="12293" max="12293" width="16.140625" customWidth="1"/>
    <col min="12294" max="12294" width="20.5703125" customWidth="1"/>
    <col min="12295" max="12295" width="21" customWidth="1"/>
    <col min="12296" max="12302" width="19.28515625" customWidth="1"/>
    <col min="12547" max="12547" width="14.5703125" customWidth="1"/>
    <col min="12548" max="12548" width="12.5703125" customWidth="1"/>
    <col min="12549" max="12549" width="16.140625" customWidth="1"/>
    <col min="12550" max="12550" width="20.5703125" customWidth="1"/>
    <col min="12551" max="12551" width="21" customWidth="1"/>
    <col min="12552" max="12558" width="19.28515625" customWidth="1"/>
    <col min="12803" max="12803" width="14.5703125" customWidth="1"/>
    <col min="12804" max="12804" width="12.5703125" customWidth="1"/>
    <col min="12805" max="12805" width="16.140625" customWidth="1"/>
    <col min="12806" max="12806" width="20.5703125" customWidth="1"/>
    <col min="12807" max="12807" width="21" customWidth="1"/>
    <col min="12808" max="12814" width="19.28515625" customWidth="1"/>
    <col min="13059" max="13059" width="14.5703125" customWidth="1"/>
    <col min="13060" max="13060" width="12.5703125" customWidth="1"/>
    <col min="13061" max="13061" width="16.140625" customWidth="1"/>
    <col min="13062" max="13062" width="20.5703125" customWidth="1"/>
    <col min="13063" max="13063" width="21" customWidth="1"/>
    <col min="13064" max="13070" width="19.28515625" customWidth="1"/>
    <col min="13315" max="13315" width="14.5703125" customWidth="1"/>
    <col min="13316" max="13316" width="12.5703125" customWidth="1"/>
    <col min="13317" max="13317" width="16.140625" customWidth="1"/>
    <col min="13318" max="13318" width="20.5703125" customWidth="1"/>
    <col min="13319" max="13319" width="21" customWidth="1"/>
    <col min="13320" max="13326" width="19.28515625" customWidth="1"/>
    <col min="13571" max="13571" width="14.5703125" customWidth="1"/>
    <col min="13572" max="13572" width="12.5703125" customWidth="1"/>
    <col min="13573" max="13573" width="16.140625" customWidth="1"/>
    <col min="13574" max="13574" width="20.5703125" customWidth="1"/>
    <col min="13575" max="13575" width="21" customWidth="1"/>
    <col min="13576" max="13582" width="19.28515625" customWidth="1"/>
    <col min="13827" max="13827" width="14.5703125" customWidth="1"/>
    <col min="13828" max="13828" width="12.5703125" customWidth="1"/>
    <col min="13829" max="13829" width="16.140625" customWidth="1"/>
    <col min="13830" max="13830" width="20.5703125" customWidth="1"/>
    <col min="13831" max="13831" width="21" customWidth="1"/>
    <col min="13832" max="13838" width="19.28515625" customWidth="1"/>
    <col min="14083" max="14083" width="14.5703125" customWidth="1"/>
    <col min="14084" max="14084" width="12.5703125" customWidth="1"/>
    <col min="14085" max="14085" width="16.140625" customWidth="1"/>
    <col min="14086" max="14086" width="20.5703125" customWidth="1"/>
    <col min="14087" max="14087" width="21" customWidth="1"/>
    <col min="14088" max="14094" width="19.28515625" customWidth="1"/>
    <col min="14339" max="14339" width="14.5703125" customWidth="1"/>
    <col min="14340" max="14340" width="12.5703125" customWidth="1"/>
    <col min="14341" max="14341" width="16.140625" customWidth="1"/>
    <col min="14342" max="14342" width="20.5703125" customWidth="1"/>
    <col min="14343" max="14343" width="21" customWidth="1"/>
    <col min="14344" max="14350" width="19.28515625" customWidth="1"/>
    <col min="14595" max="14595" width="14.5703125" customWidth="1"/>
    <col min="14596" max="14596" width="12.5703125" customWidth="1"/>
    <col min="14597" max="14597" width="16.140625" customWidth="1"/>
    <col min="14598" max="14598" width="20.5703125" customWidth="1"/>
    <col min="14599" max="14599" width="21" customWidth="1"/>
    <col min="14600" max="14606" width="19.28515625" customWidth="1"/>
    <col min="14851" max="14851" width="14.5703125" customWidth="1"/>
    <col min="14852" max="14852" width="12.5703125" customWidth="1"/>
    <col min="14853" max="14853" width="16.140625" customWidth="1"/>
    <col min="14854" max="14854" width="20.5703125" customWidth="1"/>
    <col min="14855" max="14855" width="21" customWidth="1"/>
    <col min="14856" max="14862" width="19.28515625" customWidth="1"/>
    <col min="15107" max="15107" width="14.5703125" customWidth="1"/>
    <col min="15108" max="15108" width="12.5703125" customWidth="1"/>
    <col min="15109" max="15109" width="16.140625" customWidth="1"/>
    <col min="15110" max="15110" width="20.5703125" customWidth="1"/>
    <col min="15111" max="15111" width="21" customWidth="1"/>
    <col min="15112" max="15118" width="19.28515625" customWidth="1"/>
    <col min="15363" max="15363" width="14.5703125" customWidth="1"/>
    <col min="15364" max="15364" width="12.5703125" customWidth="1"/>
    <col min="15365" max="15365" width="16.140625" customWidth="1"/>
    <col min="15366" max="15366" width="20.5703125" customWidth="1"/>
    <col min="15367" max="15367" width="21" customWidth="1"/>
    <col min="15368" max="15374" width="19.28515625" customWidth="1"/>
    <col min="15619" max="15619" width="14.5703125" customWidth="1"/>
    <col min="15620" max="15620" width="12.5703125" customWidth="1"/>
    <col min="15621" max="15621" width="16.140625" customWidth="1"/>
    <col min="15622" max="15622" width="20.5703125" customWidth="1"/>
    <col min="15623" max="15623" width="21" customWidth="1"/>
    <col min="15624" max="15630" width="19.28515625" customWidth="1"/>
    <col min="15875" max="15875" width="14.5703125" customWidth="1"/>
    <col min="15876" max="15876" width="12.5703125" customWidth="1"/>
    <col min="15877" max="15877" width="16.140625" customWidth="1"/>
    <col min="15878" max="15878" width="20.5703125" customWidth="1"/>
    <col min="15879" max="15879" width="21" customWidth="1"/>
    <col min="15880" max="15886" width="19.28515625" customWidth="1"/>
    <col min="16131" max="16131" width="14.5703125" customWidth="1"/>
    <col min="16132" max="16132" width="12.5703125" customWidth="1"/>
    <col min="16133" max="16133" width="16.140625" customWidth="1"/>
    <col min="16134" max="16134" width="20.5703125" customWidth="1"/>
    <col min="16135" max="16135" width="21" customWidth="1"/>
    <col min="16136" max="16142" width="19.28515625" customWidth="1"/>
  </cols>
  <sheetData>
    <row r="1" spans="1:14">
      <c r="C1" s="580" t="s">
        <v>3091</v>
      </c>
      <c r="E1" s="395" t="s">
        <v>3078</v>
      </c>
    </row>
    <row r="2" spans="1:14" ht="15.75" thickBot="1">
      <c r="C2" s="395" t="s">
        <v>246</v>
      </c>
      <c r="E2" s="599" t="s">
        <v>3079</v>
      </c>
      <c r="F2" s="600" t="e">
        <f>INDEX($F$13:$G$20,$J$19,$J$18)</f>
        <v>#N/A</v>
      </c>
    </row>
    <row r="3" spans="1:14" ht="15.75" thickBot="1">
      <c r="C3" s="395"/>
      <c r="E3" s="599"/>
      <c r="F3" s="601"/>
      <c r="J3" s="602" t="s">
        <v>3092</v>
      </c>
      <c r="K3" s="603"/>
      <c r="L3" s="603"/>
      <c r="M3" s="603"/>
      <c r="N3" s="604"/>
    </row>
    <row r="4" spans="1:14">
      <c r="C4" s="395"/>
      <c r="E4" s="599" t="s">
        <v>3080</v>
      </c>
      <c r="F4" s="605">
        <f>IF(J11&gt;1941,10%,15%)</f>
        <v>0.15</v>
      </c>
    </row>
    <row r="5" spans="1:14">
      <c r="C5" s="395"/>
      <c r="E5" s="599" t="s">
        <v>3081</v>
      </c>
      <c r="F5" s="606">
        <f>IF(J11&gt;1941,100000,250000)</f>
        <v>250000</v>
      </c>
    </row>
    <row r="6" spans="1:14">
      <c r="C6" s="395"/>
      <c r="E6" s="599" t="s">
        <v>1321</v>
      </c>
      <c r="F6" s="607">
        <f>VLOOKUP(F4,$C$33:$D$40,2,FALSE)</f>
        <v>0.56589999999999996</v>
      </c>
    </row>
    <row r="7" spans="1:14">
      <c r="B7" s="395"/>
      <c r="D7" s="608"/>
      <c r="N7" s="588" t="s">
        <v>3093</v>
      </c>
    </row>
    <row r="8" spans="1:14">
      <c r="B8" s="395"/>
      <c r="D8" s="608"/>
      <c r="I8" s="586" t="s">
        <v>3082</v>
      </c>
      <c r="J8" s="587" t="e">
        <f>IF('EQ rate no1'!$D$4="QC",PostalCode,"Postal code is outside of QC")</f>
        <v>#N/A</v>
      </c>
      <c r="M8" s="609" t="s">
        <v>3094</v>
      </c>
      <c r="N8" s="588">
        <v>1</v>
      </c>
    </row>
    <row r="9" spans="1:14" ht="15.75" thickBot="1">
      <c r="A9" s="610" t="s">
        <v>3095</v>
      </c>
      <c r="B9" s="611"/>
      <c r="C9" s="612"/>
      <c r="D9" s="612"/>
      <c r="E9" s="612"/>
      <c r="F9" s="613">
        <v>1</v>
      </c>
      <c r="G9" s="613">
        <v>2</v>
      </c>
      <c r="M9" s="609" t="s">
        <v>3096</v>
      </c>
      <c r="N9" s="588">
        <v>1</v>
      </c>
    </row>
    <row r="10" spans="1:14">
      <c r="C10" s="614"/>
      <c r="D10" s="615"/>
      <c r="E10" s="616"/>
      <c r="F10" s="617" t="s">
        <v>3097</v>
      </c>
      <c r="G10" s="618"/>
      <c r="M10" s="609" t="s">
        <v>3098</v>
      </c>
      <c r="N10" s="588">
        <v>1</v>
      </c>
    </row>
    <row r="11" spans="1:14">
      <c r="C11" s="619"/>
      <c r="D11" s="166"/>
      <c r="E11" s="59"/>
      <c r="F11" s="620" t="s">
        <v>3099</v>
      </c>
      <c r="G11" s="621"/>
      <c r="I11" s="586" t="s">
        <v>1300</v>
      </c>
      <c r="J11" s="591">
        <f>Yrbuilt</f>
        <v>0</v>
      </c>
      <c r="L11" s="588" t="e">
        <f>VLOOKUP(J11,D24:E25,2,TRUE)</f>
        <v>#N/A</v>
      </c>
      <c r="M11" s="609" t="s">
        <v>3100</v>
      </c>
      <c r="N11" s="588">
        <v>1</v>
      </c>
    </row>
    <row r="12" spans="1:14" ht="45.75" thickBot="1">
      <c r="A12" s="610" t="s">
        <v>3101</v>
      </c>
      <c r="B12" s="622" t="s">
        <v>3102</v>
      </c>
      <c r="C12" s="623" t="s">
        <v>1152</v>
      </c>
      <c r="D12" s="624" t="s">
        <v>3103</v>
      </c>
      <c r="E12" s="625" t="s">
        <v>3104</v>
      </c>
      <c r="F12" s="626" t="s">
        <v>3105</v>
      </c>
      <c r="G12" s="627" t="s">
        <v>3106</v>
      </c>
      <c r="I12" s="586" t="s">
        <v>1301</v>
      </c>
      <c r="J12" s="591" t="str">
        <f>'EQ rate no1'!$D$8</f>
        <v>Fire Resistive</v>
      </c>
      <c r="K12" s="592"/>
      <c r="L12" s="1017">
        <f>VLOOKUP(J12,Settings!$A$135:$B$140,2,FALSE)</f>
        <v>1</v>
      </c>
      <c r="M12" s="609" t="s">
        <v>3107</v>
      </c>
      <c r="N12" s="588">
        <v>1</v>
      </c>
    </row>
    <row r="13" spans="1:14">
      <c r="A13" s="628">
        <v>1</v>
      </c>
      <c r="B13" s="629" t="str">
        <f>CONCATENATE(C13,D13,E13)</f>
        <v>31_31988+</v>
      </c>
      <c r="C13" s="630">
        <v>3</v>
      </c>
      <c r="D13" s="631" t="s">
        <v>3108</v>
      </c>
      <c r="E13" s="632" t="s">
        <v>3109</v>
      </c>
      <c r="F13" s="633">
        <v>2.191567754918106E-2</v>
      </c>
      <c r="G13" s="634">
        <v>2.3964832508767981E-2</v>
      </c>
      <c r="I13" s="586" t="s">
        <v>1302</v>
      </c>
      <c r="J13" s="591">
        <f>Nbofstoreys</f>
        <v>0</v>
      </c>
      <c r="L13" s="588" t="e">
        <f>VLOOKUP(J13,D28:E29,2,TRUE)</f>
        <v>#N/A</v>
      </c>
      <c r="M13" s="609" t="s">
        <v>3110</v>
      </c>
      <c r="N13" s="588">
        <v>1</v>
      </c>
    </row>
    <row r="14" spans="1:14" ht="15.75" thickBot="1">
      <c r="A14" s="628">
        <v>2</v>
      </c>
      <c r="B14" s="629" t="str">
        <f t="shared" ref="B14:B20" si="0">CONCATENATE(C14,D14,E14)</f>
        <v>31_31987-</v>
      </c>
      <c r="C14" s="635">
        <v>3</v>
      </c>
      <c r="D14" s="636" t="s">
        <v>3108</v>
      </c>
      <c r="E14" s="637" t="s">
        <v>3111</v>
      </c>
      <c r="F14" s="638">
        <v>2.4621304273749794E-2</v>
      </c>
      <c r="G14" s="639">
        <v>2.6796985713223347E-2</v>
      </c>
      <c r="I14" s="586" t="s">
        <v>3084</v>
      </c>
      <c r="J14" s="591">
        <f>Totalinsuredvalue</f>
        <v>0</v>
      </c>
      <c r="M14" s="609" t="s">
        <v>3112</v>
      </c>
      <c r="N14" s="588">
        <v>1</v>
      </c>
    </row>
    <row r="15" spans="1:14">
      <c r="A15" s="628">
        <v>3</v>
      </c>
      <c r="B15" s="629" t="str">
        <f t="shared" si="0"/>
        <v>34+1988+</v>
      </c>
      <c r="C15" s="630">
        <v>3</v>
      </c>
      <c r="D15" s="631" t="s">
        <v>3113</v>
      </c>
      <c r="E15" s="632" t="s">
        <v>3109</v>
      </c>
      <c r="F15" s="640">
        <v>2.7109078766974288E-2</v>
      </c>
      <c r="G15" s="641">
        <v>2.9643826008099568E-2</v>
      </c>
      <c r="M15" s="609" t="s">
        <v>3114</v>
      </c>
      <c r="N15" s="588">
        <v>1</v>
      </c>
    </row>
    <row r="16" spans="1:14" ht="15.75" thickBot="1">
      <c r="A16" s="628">
        <v>4</v>
      </c>
      <c r="B16" s="629" t="str">
        <f t="shared" si="0"/>
        <v>34+1987-</v>
      </c>
      <c r="C16" s="635">
        <v>3</v>
      </c>
      <c r="D16" s="636" t="s">
        <v>3113</v>
      </c>
      <c r="E16" s="637" t="s">
        <v>3111</v>
      </c>
      <c r="F16" s="642">
        <v>4.0037270502242164E-2</v>
      </c>
      <c r="G16" s="643">
        <v>2.751770522735866E-2</v>
      </c>
      <c r="M16" s="609" t="s">
        <v>3115</v>
      </c>
      <c r="N16" s="588">
        <v>1</v>
      </c>
    </row>
    <row r="17" spans="1:14">
      <c r="A17" s="628">
        <v>5</v>
      </c>
      <c r="B17" s="629" t="str">
        <f t="shared" si="0"/>
        <v>Other Than 31_31988+</v>
      </c>
      <c r="C17" s="630" t="s">
        <v>3116</v>
      </c>
      <c r="D17" s="631" t="s">
        <v>3108</v>
      </c>
      <c r="E17" s="632" t="s">
        <v>3109</v>
      </c>
      <c r="F17" s="633">
        <v>2.4100697996459614E-2</v>
      </c>
      <c r="G17" s="634">
        <v>3.8872800904178648E-2</v>
      </c>
      <c r="I17" s="586" t="s">
        <v>3117</v>
      </c>
      <c r="J17" s="591" t="str">
        <f>IF(L12=3,L12,"Other Than 3")</f>
        <v>Other Than 3</v>
      </c>
      <c r="M17" s="609" t="s">
        <v>3118</v>
      </c>
      <c r="N17" s="588">
        <v>1</v>
      </c>
    </row>
    <row r="18" spans="1:14" ht="15.75" thickBot="1">
      <c r="A18" s="628">
        <v>6</v>
      </c>
      <c r="B18" s="629" t="str">
        <f t="shared" si="0"/>
        <v>Other Than 31_31987-</v>
      </c>
      <c r="C18" s="635" t="s">
        <v>3116</v>
      </c>
      <c r="D18" s="636" t="s">
        <v>3108</v>
      </c>
      <c r="E18" s="637" t="s">
        <v>3111</v>
      </c>
      <c r="F18" s="638">
        <v>2.4376866892548893E-2</v>
      </c>
      <c r="G18" s="639">
        <v>4.3319275273402527E-2</v>
      </c>
      <c r="I18" s="586" t="s">
        <v>3095</v>
      </c>
      <c r="J18" s="591" t="e">
        <f>VLOOKUP(LEFT($J$8,2),$M$8:$N$36,2,FALSE)</f>
        <v>#N/A</v>
      </c>
      <c r="K18" s="644"/>
      <c r="L18" s="644"/>
      <c r="M18" s="609" t="s">
        <v>3119</v>
      </c>
      <c r="N18" s="588">
        <v>1</v>
      </c>
    </row>
    <row r="19" spans="1:14">
      <c r="A19" s="628">
        <v>7</v>
      </c>
      <c r="B19" s="629" t="str">
        <f t="shared" si="0"/>
        <v>Other Than 34+1988+</v>
      </c>
      <c r="C19" s="645" t="s">
        <v>3116</v>
      </c>
      <c r="D19" s="646" t="s">
        <v>3113</v>
      </c>
      <c r="E19" s="647" t="s">
        <v>3109</v>
      </c>
      <c r="F19" s="640">
        <v>2.7169612628249601E-2</v>
      </c>
      <c r="G19" s="641">
        <v>4.2511404919884047E-2</v>
      </c>
      <c r="I19" s="586" t="s">
        <v>3120</v>
      </c>
      <c r="J19" s="591" t="e">
        <f>MATCH(CONCATENATE($J$17,$L$13,$L$11),$B$13:$B$20,0)</f>
        <v>#N/A</v>
      </c>
      <c r="M19" s="609" t="s">
        <v>3121</v>
      </c>
      <c r="N19" s="588">
        <v>1</v>
      </c>
    </row>
    <row r="20" spans="1:14" ht="15.75" thickBot="1">
      <c r="A20" s="628">
        <v>8</v>
      </c>
      <c r="B20" s="629" t="str">
        <f t="shared" si="0"/>
        <v>Other Than 34+1987-</v>
      </c>
      <c r="C20" s="635" t="s">
        <v>3116</v>
      </c>
      <c r="D20" s="636" t="s">
        <v>3113</v>
      </c>
      <c r="E20" s="637" t="s">
        <v>3111</v>
      </c>
      <c r="F20" s="642">
        <v>3.6137548905166336E-2</v>
      </c>
      <c r="G20" s="643">
        <v>5.6543241721536894E-2</v>
      </c>
      <c r="I20" s="648"/>
      <c r="M20" s="609" t="s">
        <v>3122</v>
      </c>
      <c r="N20" s="588">
        <v>1</v>
      </c>
    </row>
    <row r="21" spans="1:14">
      <c r="I21" s="648"/>
      <c r="M21" s="609" t="s">
        <v>3123</v>
      </c>
      <c r="N21" s="588">
        <v>2</v>
      </c>
    </row>
    <row r="22" spans="1:14">
      <c r="J22" s="649"/>
      <c r="M22" s="609" t="s">
        <v>3124</v>
      </c>
      <c r="N22" s="588">
        <v>2</v>
      </c>
    </row>
    <row r="23" spans="1:14">
      <c r="C23" s="650" t="s">
        <v>3125</v>
      </c>
      <c r="E23" s="651"/>
      <c r="I23" s="652"/>
      <c r="J23" s="653"/>
      <c r="M23" s="609" t="s">
        <v>3126</v>
      </c>
      <c r="N23" s="588">
        <v>2</v>
      </c>
    </row>
    <row r="24" spans="1:14">
      <c r="C24" t="s">
        <v>3127</v>
      </c>
      <c r="D24">
        <v>1</v>
      </c>
      <c r="E24" s="654" t="s">
        <v>3111</v>
      </c>
      <c r="I24" s="652"/>
      <c r="M24" s="609" t="s">
        <v>3128</v>
      </c>
      <c r="N24" s="588">
        <v>2</v>
      </c>
    </row>
    <row r="25" spans="1:14">
      <c r="C25" s="655" t="s">
        <v>3129</v>
      </c>
      <c r="D25">
        <v>1988</v>
      </c>
      <c r="E25" s="654" t="s">
        <v>3109</v>
      </c>
      <c r="M25" s="609" t="s">
        <v>3130</v>
      </c>
      <c r="N25" s="588">
        <v>2</v>
      </c>
    </row>
    <row r="26" spans="1:14">
      <c r="I26" s="656"/>
      <c r="M26" s="609" t="s">
        <v>3131</v>
      </c>
      <c r="N26" s="588">
        <v>2</v>
      </c>
    </row>
    <row r="27" spans="1:14">
      <c r="C27" s="650" t="s">
        <v>3132</v>
      </c>
      <c r="E27" s="651"/>
      <c r="M27" s="609" t="s">
        <v>3133</v>
      </c>
      <c r="N27" s="588">
        <v>2</v>
      </c>
    </row>
    <row r="28" spans="1:14">
      <c r="C28" t="s">
        <v>3134</v>
      </c>
      <c r="D28">
        <v>1</v>
      </c>
      <c r="E28" s="657" t="s">
        <v>3108</v>
      </c>
      <c r="M28" s="609" t="s">
        <v>3135</v>
      </c>
      <c r="N28" s="588">
        <v>2</v>
      </c>
    </row>
    <row r="29" spans="1:14">
      <c r="C29" s="655" t="s">
        <v>3113</v>
      </c>
      <c r="D29">
        <v>4</v>
      </c>
      <c r="E29" s="647" t="s">
        <v>3113</v>
      </c>
      <c r="M29" s="609" t="s">
        <v>3136</v>
      </c>
      <c r="N29" s="588">
        <v>2</v>
      </c>
    </row>
    <row r="30" spans="1:14">
      <c r="M30" s="609" t="s">
        <v>3137</v>
      </c>
      <c r="N30" s="588">
        <v>2</v>
      </c>
    </row>
    <row r="31" spans="1:14" ht="15.75" thickBot="1">
      <c r="C31" s="658" t="s">
        <v>3138</v>
      </c>
      <c r="M31" s="609" t="s">
        <v>3139</v>
      </c>
      <c r="N31" s="588">
        <v>2</v>
      </c>
    </row>
    <row r="32" spans="1:14" ht="15.75" thickBot="1">
      <c r="C32" s="659" t="s">
        <v>1083</v>
      </c>
      <c r="D32" s="660" t="s">
        <v>3140</v>
      </c>
      <c r="M32" s="609" t="s">
        <v>3141</v>
      </c>
      <c r="N32" s="588">
        <v>2</v>
      </c>
    </row>
    <row r="33" spans="3:14">
      <c r="C33" s="661">
        <v>0.03</v>
      </c>
      <c r="D33" s="662">
        <v>1.1803999999999999</v>
      </c>
      <c r="M33" s="609" t="s">
        <v>3142</v>
      </c>
      <c r="N33" s="588">
        <v>2</v>
      </c>
    </row>
    <row r="34" spans="3:14">
      <c r="C34" s="661">
        <v>0.05</v>
      </c>
      <c r="D34" s="662">
        <v>1</v>
      </c>
      <c r="M34" s="609" t="s">
        <v>3143</v>
      </c>
      <c r="N34" s="588">
        <v>2</v>
      </c>
    </row>
    <row r="35" spans="3:14">
      <c r="C35" s="661">
        <v>0.08</v>
      </c>
      <c r="D35" s="662">
        <v>0.81520000000000004</v>
      </c>
      <c r="M35" s="609" t="s">
        <v>3144</v>
      </c>
      <c r="N35" s="588">
        <v>2</v>
      </c>
    </row>
    <row r="36" spans="3:14">
      <c r="C36" s="661">
        <v>0.1</v>
      </c>
      <c r="D36" s="662">
        <v>0.72699999999999998</v>
      </c>
      <c r="M36" s="609" t="s">
        <v>3145</v>
      </c>
      <c r="N36" s="588">
        <v>2</v>
      </c>
    </row>
    <row r="37" spans="3:14">
      <c r="C37" s="661">
        <v>0.15</v>
      </c>
      <c r="D37" s="662">
        <v>0.56589999999999996</v>
      </c>
    </row>
    <row r="38" spans="3:14">
      <c r="C38" s="661">
        <v>0.2</v>
      </c>
      <c r="D38" s="662">
        <v>0.45319999999999999</v>
      </c>
    </row>
    <row r="39" spans="3:14">
      <c r="C39" s="661">
        <v>0.25</v>
      </c>
      <c r="D39" s="662">
        <v>0.37269999999999998</v>
      </c>
    </row>
    <row r="40" spans="3:14" ht="15.75" thickBot="1">
      <c r="C40" s="663">
        <v>0.3</v>
      </c>
      <c r="D40" s="664">
        <v>0.32050000000000001</v>
      </c>
    </row>
  </sheetData>
  <pageMargins left="0.45" right="0.45" top="0.75" bottom="0.75" header="0.3" footer="0.3"/>
  <pageSetup scale="64" fitToHeight="2" orientation="landscape" verticalDpi="1200" r:id="rId1"/>
  <headerFooter>
    <oddFooter>&amp;RPage &amp;P</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3">
    <tabColor theme="6" tint="-0.249977111117893"/>
  </sheetPr>
  <dimension ref="A1:U53"/>
  <sheetViews>
    <sheetView showGridLines="0" topLeftCell="D1" workbookViewId="0">
      <selection activeCell="L14" sqref="L14"/>
    </sheetView>
  </sheetViews>
  <sheetFormatPr defaultColWidth="9.140625" defaultRowHeight="15" outlineLevelCol="1"/>
  <cols>
    <col min="1" max="1" width="6.85546875" customWidth="1" outlineLevel="1"/>
    <col min="2" max="3" width="27.7109375" style="176" customWidth="1" outlineLevel="1"/>
    <col min="4" max="4" width="21.5703125" customWidth="1"/>
    <col min="5" max="5" width="21" customWidth="1"/>
    <col min="6" max="6" width="21.140625" style="651" customWidth="1"/>
    <col min="7" max="7" width="14.42578125" customWidth="1"/>
    <col min="8" max="8" width="17.85546875" customWidth="1"/>
    <col min="10" max="10" width="1.42578125" customWidth="1"/>
    <col min="11" max="11" width="22.140625" style="586" customWidth="1"/>
    <col min="12" max="12" width="37.85546875" style="665" customWidth="1"/>
    <col min="13" max="21" width="9.140625" style="588" customWidth="1" outlineLevel="1"/>
  </cols>
  <sheetData>
    <row r="1" spans="1:21">
      <c r="D1" s="580" t="s">
        <v>3091</v>
      </c>
      <c r="E1" s="395" t="s">
        <v>3078</v>
      </c>
    </row>
    <row r="2" spans="1:21" ht="15.75" thickBot="1">
      <c r="D2" s="666" t="s">
        <v>244</v>
      </c>
      <c r="E2" s="599" t="s">
        <v>3079</v>
      </c>
      <c r="F2" s="667" t="e">
        <f>INDEX($F$13:$H$20,$L$14,$L$13)</f>
        <v>#N/A</v>
      </c>
    </row>
    <row r="3" spans="1:21" ht="15.75" thickBot="1">
      <c r="C3" s="342"/>
      <c r="D3" s="666"/>
      <c r="E3" s="599"/>
      <c r="F3" s="668"/>
      <c r="K3" s="3608" t="s">
        <v>3092</v>
      </c>
      <c r="L3" s="3609"/>
      <c r="M3" s="3609"/>
      <c r="N3" s="3609"/>
      <c r="O3" s="3609"/>
      <c r="P3" s="3609"/>
      <c r="Q3" s="3609"/>
      <c r="R3" s="3609"/>
      <c r="S3" s="3609"/>
      <c r="T3" s="3609"/>
      <c r="U3" s="3610"/>
    </row>
    <row r="4" spans="1:21">
      <c r="C4" s="342"/>
      <c r="D4" s="666"/>
      <c r="E4" s="599" t="s">
        <v>3080</v>
      </c>
      <c r="F4" s="605">
        <v>0.05</v>
      </c>
    </row>
    <row r="5" spans="1:21">
      <c r="C5" s="342"/>
      <c r="D5" s="666"/>
      <c r="E5" s="599" t="s">
        <v>3081</v>
      </c>
      <c r="F5" s="606">
        <v>100000</v>
      </c>
    </row>
    <row r="6" spans="1:21">
      <c r="C6" s="342"/>
      <c r="D6" s="395"/>
      <c r="E6" s="599" t="s">
        <v>1321</v>
      </c>
      <c r="F6" s="607">
        <f>E32</f>
        <v>1</v>
      </c>
      <c r="H6" s="669"/>
      <c r="K6" s="586" t="s">
        <v>3082</v>
      </c>
      <c r="L6" s="670" t="e">
        <f>IF('EQ rate no1'!$D$4="ON",PostalCode,"Postal code is outside of ON")</f>
        <v>#N/A</v>
      </c>
      <c r="N6" s="588" t="s">
        <v>3146</v>
      </c>
      <c r="Q6" s="588" t="s">
        <v>3147</v>
      </c>
      <c r="R6" s="588" t="s">
        <v>3148</v>
      </c>
      <c r="T6" s="588" t="s">
        <v>3149</v>
      </c>
      <c r="U6" s="588" t="s">
        <v>3148</v>
      </c>
    </row>
    <row r="7" spans="1:21">
      <c r="C7" s="342"/>
      <c r="E7" s="395"/>
      <c r="K7" s="586" t="s">
        <v>1300</v>
      </c>
      <c r="L7" s="671">
        <f>Yrbuilt</f>
        <v>0</v>
      </c>
      <c r="N7" s="588" t="e">
        <f>VLOOKUP(L7,E24:F25,2,TRUE)</f>
        <v>#N/A</v>
      </c>
      <c r="Q7" s="609"/>
    </row>
    <row r="8" spans="1:21" s="255" customFormat="1">
      <c r="B8" s="672"/>
      <c r="C8" s="342"/>
      <c r="D8" s="608"/>
      <c r="E8"/>
      <c r="F8"/>
      <c r="G8"/>
      <c r="H8"/>
      <c r="K8" s="586" t="s">
        <v>1301</v>
      </c>
      <c r="L8" s="671" t="str">
        <f>'EQ rate no1'!$D$8</f>
        <v>Fire Resistive</v>
      </c>
      <c r="M8" s="644"/>
      <c r="N8" s="644"/>
      <c r="O8" s="644"/>
      <c r="P8" s="644"/>
      <c r="Q8" s="609" t="s">
        <v>3150</v>
      </c>
      <c r="R8" s="588">
        <v>1</v>
      </c>
      <c r="S8" s="644"/>
      <c r="T8" s="609" t="s">
        <v>2044</v>
      </c>
      <c r="U8" s="588">
        <v>3</v>
      </c>
    </row>
    <row r="9" spans="1:21" ht="15.75" thickBot="1">
      <c r="D9" s="608"/>
      <c r="F9"/>
      <c r="K9" s="586" t="s">
        <v>1302</v>
      </c>
      <c r="L9" s="671">
        <f>Nbofstoreys</f>
        <v>0</v>
      </c>
      <c r="Q9" s="609" t="s">
        <v>3151</v>
      </c>
      <c r="R9" s="588">
        <v>1</v>
      </c>
      <c r="T9" s="609" t="s">
        <v>2049</v>
      </c>
      <c r="U9" s="588">
        <v>3</v>
      </c>
    </row>
    <row r="10" spans="1:21" ht="15.75" thickBot="1">
      <c r="D10" s="673"/>
      <c r="E10" s="674"/>
      <c r="F10" s="617" t="s">
        <v>3097</v>
      </c>
      <c r="G10" s="615"/>
      <c r="H10" s="675"/>
      <c r="K10" s="586" t="s">
        <v>3084</v>
      </c>
      <c r="L10" s="671">
        <f>Totalinsuredvalue</f>
        <v>0</v>
      </c>
      <c r="Q10" s="609" t="s">
        <v>3152</v>
      </c>
      <c r="R10" s="588">
        <v>1</v>
      </c>
      <c r="T10" s="609" t="s">
        <v>2051</v>
      </c>
      <c r="U10" s="588">
        <v>3</v>
      </c>
    </row>
    <row r="11" spans="1:21">
      <c r="D11" s="676"/>
      <c r="E11" s="96"/>
      <c r="F11" s="677" t="s">
        <v>3153</v>
      </c>
      <c r="G11" s="615"/>
      <c r="H11" s="615"/>
      <c r="Q11" s="609" t="s">
        <v>3154</v>
      </c>
      <c r="R11" s="588">
        <v>1</v>
      </c>
      <c r="T11" s="609" t="s">
        <v>3155</v>
      </c>
      <c r="U11" s="588">
        <v>3</v>
      </c>
    </row>
    <row r="12" spans="1:21" ht="30.75" thickBot="1">
      <c r="A12" s="678" t="s">
        <v>3156</v>
      </c>
      <c r="B12" s="679" t="s">
        <v>3102</v>
      </c>
      <c r="C12" s="678"/>
      <c r="D12" s="680" t="s">
        <v>3157</v>
      </c>
      <c r="E12" s="681" t="s">
        <v>3158</v>
      </c>
      <c r="F12" s="682" t="s">
        <v>3159</v>
      </c>
      <c r="G12" s="683" t="s">
        <v>1365</v>
      </c>
      <c r="H12" s="684" t="s">
        <v>3160</v>
      </c>
      <c r="K12" s="586" t="s">
        <v>3117</v>
      </c>
      <c r="L12" s="671" t="str">
        <f>IF(OR(L8=$C$14,$L$8=C17),"yes","no")</f>
        <v>no</v>
      </c>
      <c r="Q12" s="609" t="s">
        <v>3161</v>
      </c>
      <c r="R12" s="588">
        <v>1</v>
      </c>
      <c r="T12" s="609" t="s">
        <v>2052</v>
      </c>
      <c r="U12" s="588">
        <v>3</v>
      </c>
    </row>
    <row r="13" spans="1:21">
      <c r="A13" s="685">
        <v>1</v>
      </c>
      <c r="B13" s="686" t="str">
        <f t="shared" ref="B13:B20" si="0">CONCATENATE(C13,E13)</f>
        <v>Fire Resistive</v>
      </c>
      <c r="C13" s="687" t="s">
        <v>1155</v>
      </c>
      <c r="D13" s="688">
        <v>1</v>
      </c>
      <c r="E13" s="689"/>
      <c r="F13" s="690">
        <v>2.7652431617500067E-3</v>
      </c>
      <c r="G13" s="691">
        <v>4.2527756554814698E-3</v>
      </c>
      <c r="H13" s="692">
        <v>1.4608525822424594E-2</v>
      </c>
      <c r="K13" s="586" t="s">
        <v>3162</v>
      </c>
      <c r="L13" s="671" t="e">
        <f>IF(LEFT($L$6,2)="K0",VLOOKUP($L$6,$T$8:$U$34,2,FALSE),VLOOKUP(LEFT($L$6,2),$Q$8:$R$53,2,FALSE))</f>
        <v>#N/A</v>
      </c>
      <c r="Q13" s="609" t="s">
        <v>3163</v>
      </c>
      <c r="R13" s="588">
        <v>1</v>
      </c>
      <c r="T13" s="609" t="s">
        <v>3164</v>
      </c>
      <c r="U13" s="588">
        <v>3</v>
      </c>
    </row>
    <row r="14" spans="1:21">
      <c r="A14" s="685">
        <v>2</v>
      </c>
      <c r="B14" s="686" t="str">
        <f t="shared" si="0"/>
        <v>Non-Combustable / Masonry1988+</v>
      </c>
      <c r="C14" s="693" t="s">
        <v>1157</v>
      </c>
      <c r="D14" s="694">
        <v>2</v>
      </c>
      <c r="E14" s="695" t="s">
        <v>3109</v>
      </c>
      <c r="F14" s="696">
        <v>6.8986212201020917E-3</v>
      </c>
      <c r="G14" s="697">
        <v>1.7462565020759744E-2</v>
      </c>
      <c r="H14" s="698">
        <v>3.835255311256483E-2</v>
      </c>
      <c r="K14" s="586" t="s">
        <v>3120</v>
      </c>
      <c r="L14" s="671">
        <f>IF($L$12="yes",MATCH(CONCATENATE($L$8,$N$7),$B$13:$B$20,0),MATCH($L$8,$C$13:$C$20,0))</f>
        <v>1</v>
      </c>
      <c r="Q14" s="609" t="s">
        <v>3165</v>
      </c>
      <c r="R14" s="588">
        <v>1</v>
      </c>
      <c r="T14" s="609" t="s">
        <v>2054</v>
      </c>
      <c r="U14" s="588">
        <v>3</v>
      </c>
    </row>
    <row r="15" spans="1:21">
      <c r="A15" s="685">
        <v>3</v>
      </c>
      <c r="B15" s="686" t="str">
        <f t="shared" si="0"/>
        <v>Non-Combustable / Masonry1987-</v>
      </c>
      <c r="C15" s="699" t="s">
        <v>1157</v>
      </c>
      <c r="D15" s="700">
        <v>2</v>
      </c>
      <c r="E15" s="654" t="s">
        <v>3111</v>
      </c>
      <c r="F15" s="696">
        <v>9.354697360231647E-3</v>
      </c>
      <c r="G15" s="697">
        <v>1.7458836859261348E-2</v>
      </c>
      <c r="H15" s="698">
        <v>5.7093071719640474E-2</v>
      </c>
      <c r="K15" s="648"/>
      <c r="Q15" s="609" t="s">
        <v>3166</v>
      </c>
      <c r="R15" s="588">
        <v>1</v>
      </c>
    </row>
    <row r="16" spans="1:21" s="701" customFormat="1">
      <c r="A16" s="685">
        <v>4</v>
      </c>
      <c r="B16" s="686" t="str">
        <f t="shared" si="0"/>
        <v>Non-Combustable / Non-Masonry</v>
      </c>
      <c r="C16" s="699" t="s">
        <v>1159</v>
      </c>
      <c r="D16" s="700">
        <v>3</v>
      </c>
      <c r="E16" s="654"/>
      <c r="F16" s="696">
        <v>1.0879280694336972E-3</v>
      </c>
      <c r="G16" s="697">
        <v>2.3950807172254396E-3</v>
      </c>
      <c r="H16" s="698">
        <v>1.2559016532023782E-2</v>
      </c>
      <c r="K16" s="648"/>
      <c r="L16" s="665"/>
      <c r="M16" s="702"/>
      <c r="N16" s="702"/>
      <c r="O16" s="702"/>
      <c r="P16" s="702"/>
      <c r="Q16" s="609" t="s">
        <v>3167</v>
      </c>
      <c r="R16" s="588">
        <v>1</v>
      </c>
      <c r="S16" s="702"/>
      <c r="T16" s="609" t="s">
        <v>2056</v>
      </c>
      <c r="U16" s="588">
        <v>1</v>
      </c>
    </row>
    <row r="17" spans="1:21">
      <c r="A17" s="685">
        <v>5</v>
      </c>
      <c r="B17" s="686" t="str">
        <f t="shared" si="0"/>
        <v>Masonry1988+</v>
      </c>
      <c r="C17" s="703" t="s">
        <v>1161</v>
      </c>
      <c r="D17" s="704">
        <v>4</v>
      </c>
      <c r="E17" s="705" t="s">
        <v>3109</v>
      </c>
      <c r="F17" s="696">
        <v>4.6940544390026984E-3</v>
      </c>
      <c r="G17" s="697">
        <v>9.5335349691921603E-3</v>
      </c>
      <c r="H17" s="698">
        <v>3.6141534290021121E-2</v>
      </c>
      <c r="Q17" s="609" t="s">
        <v>3168</v>
      </c>
      <c r="R17" s="588">
        <v>1</v>
      </c>
      <c r="T17" s="609" t="s">
        <v>3169</v>
      </c>
      <c r="U17" s="588">
        <v>1</v>
      </c>
    </row>
    <row r="18" spans="1:21" ht="15.75" thickBot="1">
      <c r="A18" s="685">
        <v>6</v>
      </c>
      <c r="B18" s="686" t="str">
        <f t="shared" si="0"/>
        <v>Masonry1987-</v>
      </c>
      <c r="C18" s="706" t="s">
        <v>1161</v>
      </c>
      <c r="D18" s="707">
        <v>4</v>
      </c>
      <c r="E18" s="708" t="s">
        <v>3111</v>
      </c>
      <c r="F18" s="709">
        <v>6.2095662741858187E-3</v>
      </c>
      <c r="G18" s="710">
        <v>1.6653134033931819E-2</v>
      </c>
      <c r="H18" s="711">
        <v>3.6141534290021121E-2</v>
      </c>
      <c r="K18" s="652"/>
      <c r="Q18" s="609" t="s">
        <v>3170</v>
      </c>
      <c r="R18" s="588">
        <v>1</v>
      </c>
      <c r="T18" s="609" t="s">
        <v>2058</v>
      </c>
      <c r="U18" s="588">
        <v>1</v>
      </c>
    </row>
    <row r="19" spans="1:21" ht="15.75" thickBot="1">
      <c r="A19" s="685">
        <v>7</v>
      </c>
      <c r="B19" s="686" t="str">
        <f t="shared" si="0"/>
        <v>Brick Veneer</v>
      </c>
      <c r="C19" s="712" t="s">
        <v>1162</v>
      </c>
      <c r="D19" s="713">
        <v>5</v>
      </c>
      <c r="E19" s="714"/>
      <c r="F19" s="690">
        <v>2.7652431617500067E-3</v>
      </c>
      <c r="G19" s="691">
        <v>4.2527756554814698E-3</v>
      </c>
      <c r="H19" s="692">
        <v>1.4608525822424594E-2</v>
      </c>
      <c r="K19" s="652"/>
      <c r="Q19" s="609" t="s">
        <v>3171</v>
      </c>
      <c r="R19" s="588">
        <v>1</v>
      </c>
      <c r="T19" s="609" t="s">
        <v>2060</v>
      </c>
      <c r="U19" s="588">
        <v>1</v>
      </c>
    </row>
    <row r="20" spans="1:21">
      <c r="A20" s="685">
        <v>8</v>
      </c>
      <c r="B20" s="686" t="str">
        <f t="shared" si="0"/>
        <v>Frame</v>
      </c>
      <c r="C20" s="712" t="s">
        <v>1150</v>
      </c>
      <c r="D20" s="713">
        <v>6</v>
      </c>
      <c r="E20" s="714"/>
      <c r="F20" s="690">
        <v>2.7652431617500067E-3</v>
      </c>
      <c r="G20" s="691">
        <v>4.2527756554814698E-3</v>
      </c>
      <c r="H20" s="692">
        <v>1.4608525822424594E-2</v>
      </c>
      <c r="Q20" s="609" t="s">
        <v>3172</v>
      </c>
      <c r="R20" s="588">
        <v>1</v>
      </c>
      <c r="T20" s="609" t="s">
        <v>2061</v>
      </c>
      <c r="U20" s="588">
        <v>1</v>
      </c>
    </row>
    <row r="21" spans="1:21">
      <c r="Q21" s="609" t="s">
        <v>3173</v>
      </c>
      <c r="R21" s="588">
        <v>1</v>
      </c>
      <c r="T21" s="609" t="s">
        <v>2062</v>
      </c>
      <c r="U21" s="588">
        <v>1</v>
      </c>
    </row>
    <row r="22" spans="1:21">
      <c r="Q22" s="609" t="s">
        <v>3174</v>
      </c>
      <c r="R22" s="588">
        <v>1</v>
      </c>
      <c r="T22" s="609" t="s">
        <v>3175</v>
      </c>
      <c r="U22" s="588">
        <v>1</v>
      </c>
    </row>
    <row r="23" spans="1:21">
      <c r="D23" s="650" t="s">
        <v>3125</v>
      </c>
      <c r="Q23" s="609" t="s">
        <v>3176</v>
      </c>
      <c r="R23" s="588">
        <v>1</v>
      </c>
      <c r="T23" s="609" t="s">
        <v>3177</v>
      </c>
      <c r="U23" s="588">
        <v>1</v>
      </c>
    </row>
    <row r="24" spans="1:21">
      <c r="D24" t="s">
        <v>3178</v>
      </c>
      <c r="E24">
        <v>1</v>
      </c>
      <c r="F24" s="654" t="s">
        <v>3111</v>
      </c>
      <c r="Q24" s="609" t="s">
        <v>3179</v>
      </c>
      <c r="R24" s="588">
        <v>1</v>
      </c>
      <c r="T24" s="609" t="s">
        <v>3180</v>
      </c>
      <c r="U24" s="588">
        <v>1</v>
      </c>
    </row>
    <row r="25" spans="1:21">
      <c r="D25" s="655" t="s">
        <v>3109</v>
      </c>
      <c r="E25">
        <v>1988</v>
      </c>
      <c r="F25" s="695" t="s">
        <v>3109</v>
      </c>
      <c r="Q25" s="609" t="s">
        <v>3181</v>
      </c>
      <c r="R25" s="588">
        <v>1</v>
      </c>
      <c r="T25" s="609" t="s">
        <v>3182</v>
      </c>
      <c r="U25" s="588">
        <v>1</v>
      </c>
    </row>
    <row r="26" spans="1:21">
      <c r="Q26" s="609" t="s">
        <v>3183</v>
      </c>
      <c r="R26" s="588">
        <v>1</v>
      </c>
      <c r="T26" s="609" t="s">
        <v>3184</v>
      </c>
      <c r="U26" s="588">
        <v>1</v>
      </c>
    </row>
    <row r="27" spans="1:21">
      <c r="D27" s="666"/>
      <c r="E27" s="395"/>
      <c r="Q27" s="609" t="s">
        <v>3185</v>
      </c>
      <c r="R27" s="588">
        <v>1</v>
      </c>
      <c r="T27" s="609" t="s">
        <v>3186</v>
      </c>
      <c r="U27" s="588">
        <v>1</v>
      </c>
    </row>
    <row r="28" spans="1:21">
      <c r="Q28" s="609" t="s">
        <v>3187</v>
      </c>
      <c r="R28" s="588">
        <v>1</v>
      </c>
      <c r="T28" s="609" t="s">
        <v>3188</v>
      </c>
      <c r="U28" s="588">
        <v>1</v>
      </c>
    </row>
    <row r="29" spans="1:21" ht="15.75" thickBot="1">
      <c r="D29" s="658" t="s">
        <v>3189</v>
      </c>
      <c r="Q29" s="609" t="s">
        <v>3190</v>
      </c>
      <c r="R29" s="588">
        <v>1</v>
      </c>
      <c r="T29" s="609" t="s">
        <v>3191</v>
      </c>
      <c r="U29" s="588">
        <v>1</v>
      </c>
    </row>
    <row r="30" spans="1:21" ht="15.75" thickBot="1">
      <c r="D30" s="659" t="s">
        <v>1083</v>
      </c>
      <c r="E30" s="660" t="s">
        <v>3140</v>
      </c>
      <c r="Q30" s="609" t="s">
        <v>3192</v>
      </c>
      <c r="R30" s="588">
        <v>1</v>
      </c>
      <c r="T30" s="609" t="s">
        <v>3193</v>
      </c>
      <c r="U30" s="588">
        <v>1</v>
      </c>
    </row>
    <row r="31" spans="1:21">
      <c r="D31" s="715">
        <v>0.03</v>
      </c>
      <c r="E31" s="716">
        <v>1.1307369867535193</v>
      </c>
      <c r="Q31" s="609" t="s">
        <v>3194</v>
      </c>
      <c r="R31" s="588">
        <v>1</v>
      </c>
      <c r="T31" s="609" t="s">
        <v>3195</v>
      </c>
      <c r="U31" s="588">
        <v>1</v>
      </c>
    </row>
    <row r="32" spans="1:21">
      <c r="D32" s="661">
        <v>0.05</v>
      </c>
      <c r="E32" s="662">
        <v>1</v>
      </c>
      <c r="Q32" s="609" t="s">
        <v>3196</v>
      </c>
      <c r="R32" s="588">
        <v>1</v>
      </c>
      <c r="T32" s="609" t="s">
        <v>3197</v>
      </c>
      <c r="U32" s="588">
        <v>1</v>
      </c>
    </row>
    <row r="33" spans="4:21">
      <c r="D33" s="661">
        <v>0.08</v>
      </c>
      <c r="E33" s="662">
        <v>0.88426519080218746</v>
      </c>
      <c r="Q33" s="609" t="s">
        <v>3198</v>
      </c>
      <c r="R33" s="588">
        <v>1</v>
      </c>
      <c r="T33" s="609" t="s">
        <v>3199</v>
      </c>
      <c r="U33" s="588">
        <v>1</v>
      </c>
    </row>
    <row r="34" spans="4:21" ht="15.75" thickBot="1">
      <c r="D34" s="717" t="s">
        <v>3200</v>
      </c>
      <c r="E34" s="664">
        <v>0.82188148416551376</v>
      </c>
      <c r="Q34" s="609" t="s">
        <v>3201</v>
      </c>
      <c r="R34" s="588">
        <v>1</v>
      </c>
      <c r="T34" s="609" t="s">
        <v>3202</v>
      </c>
      <c r="U34" s="588">
        <v>1</v>
      </c>
    </row>
    <row r="35" spans="4:21">
      <c r="Q35" s="609" t="s">
        <v>3203</v>
      </c>
      <c r="R35" s="588">
        <v>1</v>
      </c>
    </row>
    <row r="36" spans="4:21">
      <c r="Q36" s="609" t="s">
        <v>3204</v>
      </c>
      <c r="R36" s="588">
        <v>1</v>
      </c>
    </row>
    <row r="37" spans="4:21">
      <c r="Q37" s="609" t="s">
        <v>3205</v>
      </c>
      <c r="R37" s="588">
        <v>1</v>
      </c>
    </row>
    <row r="38" spans="4:21">
      <c r="Q38" s="609" t="s">
        <v>3206</v>
      </c>
      <c r="R38" s="588">
        <v>1</v>
      </c>
    </row>
    <row r="39" spans="4:21">
      <c r="Q39" s="609" t="s">
        <v>3207</v>
      </c>
      <c r="R39" s="588">
        <v>1</v>
      </c>
    </row>
    <row r="40" spans="4:21">
      <c r="Q40" s="609" t="s">
        <v>3208</v>
      </c>
      <c r="R40" s="588">
        <v>2</v>
      </c>
    </row>
    <row r="41" spans="4:21">
      <c r="Q41" s="609" t="s">
        <v>3209</v>
      </c>
      <c r="R41" s="588">
        <v>2</v>
      </c>
    </row>
    <row r="42" spans="4:21">
      <c r="Q42" s="609" t="s">
        <v>3210</v>
      </c>
      <c r="R42" s="588">
        <v>2</v>
      </c>
    </row>
    <row r="43" spans="4:21">
      <c r="Q43" s="609" t="s">
        <v>3211</v>
      </c>
      <c r="R43" s="588">
        <v>2</v>
      </c>
    </row>
    <row r="44" spans="4:21">
      <c r="Q44" s="609" t="s">
        <v>3212</v>
      </c>
      <c r="R44" s="588">
        <v>2</v>
      </c>
    </row>
    <row r="45" spans="4:21">
      <c r="Q45" s="609" t="s">
        <v>3213</v>
      </c>
      <c r="R45" s="588">
        <v>2</v>
      </c>
    </row>
    <row r="46" spans="4:21">
      <c r="Q46" s="609" t="s">
        <v>3214</v>
      </c>
      <c r="R46" s="588">
        <v>2</v>
      </c>
    </row>
    <row r="47" spans="4:21">
      <c r="Q47" s="609" t="s">
        <v>3215</v>
      </c>
      <c r="R47" s="588">
        <v>2</v>
      </c>
    </row>
    <row r="48" spans="4:21">
      <c r="Q48" s="609" t="s">
        <v>3216</v>
      </c>
      <c r="R48" s="588">
        <v>2</v>
      </c>
    </row>
    <row r="49" spans="17:18">
      <c r="Q49" s="609" t="s">
        <v>3217</v>
      </c>
      <c r="R49" s="588">
        <v>2</v>
      </c>
    </row>
    <row r="50" spans="17:18">
      <c r="Q50" s="609" t="s">
        <v>3218</v>
      </c>
      <c r="R50" s="588">
        <v>3</v>
      </c>
    </row>
    <row r="51" spans="17:18">
      <c r="Q51" s="609" t="s">
        <v>3219</v>
      </c>
      <c r="R51" s="588">
        <v>3</v>
      </c>
    </row>
    <row r="52" spans="17:18">
      <c r="Q52" s="609" t="s">
        <v>3220</v>
      </c>
      <c r="R52" s="588">
        <v>3</v>
      </c>
    </row>
    <row r="53" spans="17:18">
      <c r="Q53" s="609" t="s">
        <v>3221</v>
      </c>
      <c r="R53" s="588">
        <v>3</v>
      </c>
    </row>
  </sheetData>
  <mergeCells count="1">
    <mergeCell ref="K3:U3"/>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tabColor theme="2" tint="-0.499984740745262"/>
  </sheetPr>
  <dimension ref="A1:X118"/>
  <sheetViews>
    <sheetView showGridLines="0" topLeftCell="F1" zoomScale="90" zoomScaleNormal="90" zoomScaleSheetLayoutView="85" workbookViewId="0">
      <selection activeCell="Q18" sqref="Q18"/>
    </sheetView>
  </sheetViews>
  <sheetFormatPr defaultColWidth="9.140625" defaultRowHeight="15" outlineLevelCol="1"/>
  <cols>
    <col min="1" max="1" width="9.140625" customWidth="1"/>
    <col min="2" max="2" width="26.42578125" hidden="1" customWidth="1" outlineLevel="1"/>
    <col min="3" max="3" width="21.85546875" style="423" hidden="1" customWidth="1" outlineLevel="1"/>
    <col min="4" max="4" width="14.5703125" customWidth="1" collapsed="1"/>
    <col min="5" max="5" width="17.85546875" customWidth="1"/>
    <col min="6" max="6" width="16.140625" customWidth="1"/>
    <col min="7" max="7" width="18.7109375" customWidth="1"/>
    <col min="8" max="8" width="16.85546875" customWidth="1"/>
    <col min="9" max="9" width="14.7109375" customWidth="1"/>
    <col min="10" max="10" width="14.140625" customWidth="1"/>
    <col min="11" max="11" width="14.42578125" customWidth="1"/>
    <col min="12" max="12" width="16.28515625" customWidth="1"/>
    <col min="13" max="13" width="14.42578125" customWidth="1"/>
    <col min="14" max="14" width="3" customWidth="1"/>
    <col min="15" max="15" width="19.28515625" hidden="1" customWidth="1"/>
    <col min="16" max="16" width="22.5703125" style="586" customWidth="1"/>
    <col min="17" max="17" width="39.140625" style="665" customWidth="1"/>
    <col min="18" max="19" width="9.140625" style="588" hidden="1" customWidth="1" outlineLevel="1"/>
    <col min="20" max="21" width="3.85546875" style="588" hidden="1" customWidth="1" outlineLevel="1"/>
    <col min="22" max="22" width="11.7109375" style="588" hidden="1" customWidth="1" outlineLevel="1"/>
    <col min="23" max="23" width="9.140625" style="588" hidden="1" customWidth="1" outlineLevel="1"/>
    <col min="24" max="24" width="9.140625" collapsed="1"/>
    <col min="260" max="260" width="14.5703125" customWidth="1"/>
    <col min="261" max="261" width="12.5703125" customWidth="1"/>
    <col min="262" max="262" width="16.140625" customWidth="1"/>
    <col min="263" max="263" width="20.5703125" customWidth="1"/>
    <col min="264" max="264" width="21" customWidth="1"/>
    <col min="265" max="271" width="19.28515625" customWidth="1"/>
    <col min="516" max="516" width="14.5703125" customWidth="1"/>
    <col min="517" max="517" width="12.5703125" customWidth="1"/>
    <col min="518" max="518" width="16.140625" customWidth="1"/>
    <col min="519" max="519" width="20.5703125" customWidth="1"/>
    <col min="520" max="520" width="21" customWidth="1"/>
    <col min="521" max="527" width="19.28515625" customWidth="1"/>
    <col min="772" max="772" width="14.5703125" customWidth="1"/>
    <col min="773" max="773" width="12.5703125" customWidth="1"/>
    <col min="774" max="774" width="16.140625" customWidth="1"/>
    <col min="775" max="775" width="20.5703125" customWidth="1"/>
    <col min="776" max="776" width="21" customWidth="1"/>
    <col min="777" max="783" width="19.28515625" customWidth="1"/>
    <col min="1028" max="1028" width="14.5703125" customWidth="1"/>
    <col min="1029" max="1029" width="12.5703125" customWidth="1"/>
    <col min="1030" max="1030" width="16.140625" customWidth="1"/>
    <col min="1031" max="1031" width="20.5703125" customWidth="1"/>
    <col min="1032" max="1032" width="21" customWidth="1"/>
    <col min="1033" max="1039" width="19.28515625" customWidth="1"/>
    <col min="1284" max="1284" width="14.5703125" customWidth="1"/>
    <col min="1285" max="1285" width="12.5703125" customWidth="1"/>
    <col min="1286" max="1286" width="16.140625" customWidth="1"/>
    <col min="1287" max="1287" width="20.5703125" customWidth="1"/>
    <col min="1288" max="1288" width="21" customWidth="1"/>
    <col min="1289" max="1295" width="19.28515625" customWidth="1"/>
    <col min="1540" max="1540" width="14.5703125" customWidth="1"/>
    <col min="1541" max="1541" width="12.5703125" customWidth="1"/>
    <col min="1542" max="1542" width="16.140625" customWidth="1"/>
    <col min="1543" max="1543" width="20.5703125" customWidth="1"/>
    <col min="1544" max="1544" width="21" customWidth="1"/>
    <col min="1545" max="1551" width="19.28515625" customWidth="1"/>
    <col min="1796" max="1796" width="14.5703125" customWidth="1"/>
    <col min="1797" max="1797" width="12.5703125" customWidth="1"/>
    <col min="1798" max="1798" width="16.140625" customWidth="1"/>
    <col min="1799" max="1799" width="20.5703125" customWidth="1"/>
    <col min="1800" max="1800" width="21" customWidth="1"/>
    <col min="1801" max="1807" width="19.28515625" customWidth="1"/>
    <col min="2052" max="2052" width="14.5703125" customWidth="1"/>
    <col min="2053" max="2053" width="12.5703125" customWidth="1"/>
    <col min="2054" max="2054" width="16.140625" customWidth="1"/>
    <col min="2055" max="2055" width="20.5703125" customWidth="1"/>
    <col min="2056" max="2056" width="21" customWidth="1"/>
    <col min="2057" max="2063" width="19.28515625" customWidth="1"/>
    <col min="2308" max="2308" width="14.5703125" customWidth="1"/>
    <col min="2309" max="2309" width="12.5703125" customWidth="1"/>
    <col min="2310" max="2310" width="16.140625" customWidth="1"/>
    <col min="2311" max="2311" width="20.5703125" customWidth="1"/>
    <col min="2312" max="2312" width="21" customWidth="1"/>
    <col min="2313" max="2319" width="19.28515625" customWidth="1"/>
    <col min="2564" max="2564" width="14.5703125" customWidth="1"/>
    <col min="2565" max="2565" width="12.5703125" customWidth="1"/>
    <col min="2566" max="2566" width="16.140625" customWidth="1"/>
    <col min="2567" max="2567" width="20.5703125" customWidth="1"/>
    <col min="2568" max="2568" width="21" customWidth="1"/>
    <col min="2569" max="2575" width="19.28515625" customWidth="1"/>
    <col min="2820" max="2820" width="14.5703125" customWidth="1"/>
    <col min="2821" max="2821" width="12.5703125" customWidth="1"/>
    <col min="2822" max="2822" width="16.140625" customWidth="1"/>
    <col min="2823" max="2823" width="20.5703125" customWidth="1"/>
    <col min="2824" max="2824" width="21" customWidth="1"/>
    <col min="2825" max="2831" width="19.28515625" customWidth="1"/>
    <col min="3076" max="3076" width="14.5703125" customWidth="1"/>
    <col min="3077" max="3077" width="12.5703125" customWidth="1"/>
    <col min="3078" max="3078" width="16.140625" customWidth="1"/>
    <col min="3079" max="3079" width="20.5703125" customWidth="1"/>
    <col min="3080" max="3080" width="21" customWidth="1"/>
    <col min="3081" max="3087" width="19.28515625" customWidth="1"/>
    <col min="3332" max="3332" width="14.5703125" customWidth="1"/>
    <col min="3333" max="3333" width="12.5703125" customWidth="1"/>
    <col min="3334" max="3334" width="16.140625" customWidth="1"/>
    <col min="3335" max="3335" width="20.5703125" customWidth="1"/>
    <col min="3336" max="3336" width="21" customWidth="1"/>
    <col min="3337" max="3343" width="19.28515625" customWidth="1"/>
    <col min="3588" max="3588" width="14.5703125" customWidth="1"/>
    <col min="3589" max="3589" width="12.5703125" customWidth="1"/>
    <col min="3590" max="3590" width="16.140625" customWidth="1"/>
    <col min="3591" max="3591" width="20.5703125" customWidth="1"/>
    <col min="3592" max="3592" width="21" customWidth="1"/>
    <col min="3593" max="3599" width="19.28515625" customWidth="1"/>
    <col min="3844" max="3844" width="14.5703125" customWidth="1"/>
    <col min="3845" max="3845" width="12.5703125" customWidth="1"/>
    <col min="3846" max="3846" width="16.140625" customWidth="1"/>
    <col min="3847" max="3847" width="20.5703125" customWidth="1"/>
    <col min="3848" max="3848" width="21" customWidth="1"/>
    <col min="3849" max="3855" width="19.28515625" customWidth="1"/>
    <col min="4100" max="4100" width="14.5703125" customWidth="1"/>
    <col min="4101" max="4101" width="12.5703125" customWidth="1"/>
    <col min="4102" max="4102" width="16.140625" customWidth="1"/>
    <col min="4103" max="4103" width="20.5703125" customWidth="1"/>
    <col min="4104" max="4104" width="21" customWidth="1"/>
    <col min="4105" max="4111" width="19.28515625" customWidth="1"/>
    <col min="4356" max="4356" width="14.5703125" customWidth="1"/>
    <col min="4357" max="4357" width="12.5703125" customWidth="1"/>
    <col min="4358" max="4358" width="16.140625" customWidth="1"/>
    <col min="4359" max="4359" width="20.5703125" customWidth="1"/>
    <col min="4360" max="4360" width="21" customWidth="1"/>
    <col min="4361" max="4367" width="19.28515625" customWidth="1"/>
    <col min="4612" max="4612" width="14.5703125" customWidth="1"/>
    <col min="4613" max="4613" width="12.5703125" customWidth="1"/>
    <col min="4614" max="4614" width="16.140625" customWidth="1"/>
    <col min="4615" max="4615" width="20.5703125" customWidth="1"/>
    <col min="4616" max="4616" width="21" customWidth="1"/>
    <col min="4617" max="4623" width="19.28515625" customWidth="1"/>
    <col min="4868" max="4868" width="14.5703125" customWidth="1"/>
    <col min="4869" max="4869" width="12.5703125" customWidth="1"/>
    <col min="4870" max="4870" width="16.140625" customWidth="1"/>
    <col min="4871" max="4871" width="20.5703125" customWidth="1"/>
    <col min="4872" max="4872" width="21" customWidth="1"/>
    <col min="4873" max="4879" width="19.28515625" customWidth="1"/>
    <col min="5124" max="5124" width="14.5703125" customWidth="1"/>
    <col min="5125" max="5125" width="12.5703125" customWidth="1"/>
    <col min="5126" max="5126" width="16.140625" customWidth="1"/>
    <col min="5127" max="5127" width="20.5703125" customWidth="1"/>
    <col min="5128" max="5128" width="21" customWidth="1"/>
    <col min="5129" max="5135" width="19.28515625" customWidth="1"/>
    <col min="5380" max="5380" width="14.5703125" customWidth="1"/>
    <col min="5381" max="5381" width="12.5703125" customWidth="1"/>
    <col min="5382" max="5382" width="16.140625" customWidth="1"/>
    <col min="5383" max="5383" width="20.5703125" customWidth="1"/>
    <col min="5384" max="5384" width="21" customWidth="1"/>
    <col min="5385" max="5391" width="19.28515625" customWidth="1"/>
    <col min="5636" max="5636" width="14.5703125" customWidth="1"/>
    <col min="5637" max="5637" width="12.5703125" customWidth="1"/>
    <col min="5638" max="5638" width="16.140625" customWidth="1"/>
    <col min="5639" max="5639" width="20.5703125" customWidth="1"/>
    <col min="5640" max="5640" width="21" customWidth="1"/>
    <col min="5641" max="5647" width="19.28515625" customWidth="1"/>
    <col min="5892" max="5892" width="14.5703125" customWidth="1"/>
    <col min="5893" max="5893" width="12.5703125" customWidth="1"/>
    <col min="5894" max="5894" width="16.140625" customWidth="1"/>
    <col min="5895" max="5895" width="20.5703125" customWidth="1"/>
    <col min="5896" max="5896" width="21" customWidth="1"/>
    <col min="5897" max="5903" width="19.28515625" customWidth="1"/>
    <col min="6148" max="6148" width="14.5703125" customWidth="1"/>
    <col min="6149" max="6149" width="12.5703125" customWidth="1"/>
    <col min="6150" max="6150" width="16.140625" customWidth="1"/>
    <col min="6151" max="6151" width="20.5703125" customWidth="1"/>
    <col min="6152" max="6152" width="21" customWidth="1"/>
    <col min="6153" max="6159" width="19.28515625" customWidth="1"/>
    <col min="6404" max="6404" width="14.5703125" customWidth="1"/>
    <col min="6405" max="6405" width="12.5703125" customWidth="1"/>
    <col min="6406" max="6406" width="16.140625" customWidth="1"/>
    <col min="6407" max="6407" width="20.5703125" customWidth="1"/>
    <col min="6408" max="6408" width="21" customWidth="1"/>
    <col min="6409" max="6415" width="19.28515625" customWidth="1"/>
    <col min="6660" max="6660" width="14.5703125" customWidth="1"/>
    <col min="6661" max="6661" width="12.5703125" customWidth="1"/>
    <col min="6662" max="6662" width="16.140625" customWidth="1"/>
    <col min="6663" max="6663" width="20.5703125" customWidth="1"/>
    <col min="6664" max="6664" width="21" customWidth="1"/>
    <col min="6665" max="6671" width="19.28515625" customWidth="1"/>
    <col min="6916" max="6916" width="14.5703125" customWidth="1"/>
    <col min="6917" max="6917" width="12.5703125" customWidth="1"/>
    <col min="6918" max="6918" width="16.140625" customWidth="1"/>
    <col min="6919" max="6919" width="20.5703125" customWidth="1"/>
    <col min="6920" max="6920" width="21" customWidth="1"/>
    <col min="6921" max="6927" width="19.28515625" customWidth="1"/>
    <col min="7172" max="7172" width="14.5703125" customWidth="1"/>
    <col min="7173" max="7173" width="12.5703125" customWidth="1"/>
    <col min="7174" max="7174" width="16.140625" customWidth="1"/>
    <col min="7175" max="7175" width="20.5703125" customWidth="1"/>
    <col min="7176" max="7176" width="21" customWidth="1"/>
    <col min="7177" max="7183" width="19.28515625" customWidth="1"/>
    <col min="7428" max="7428" width="14.5703125" customWidth="1"/>
    <col min="7429" max="7429" width="12.5703125" customWidth="1"/>
    <col min="7430" max="7430" width="16.140625" customWidth="1"/>
    <col min="7431" max="7431" width="20.5703125" customWidth="1"/>
    <col min="7432" max="7432" width="21" customWidth="1"/>
    <col min="7433" max="7439" width="19.28515625" customWidth="1"/>
    <col min="7684" max="7684" width="14.5703125" customWidth="1"/>
    <col min="7685" max="7685" width="12.5703125" customWidth="1"/>
    <col min="7686" max="7686" width="16.140625" customWidth="1"/>
    <col min="7687" max="7687" width="20.5703125" customWidth="1"/>
    <col min="7688" max="7688" width="21" customWidth="1"/>
    <col min="7689" max="7695" width="19.28515625" customWidth="1"/>
    <col min="7940" max="7940" width="14.5703125" customWidth="1"/>
    <col min="7941" max="7941" width="12.5703125" customWidth="1"/>
    <col min="7942" max="7942" width="16.140625" customWidth="1"/>
    <col min="7943" max="7943" width="20.5703125" customWidth="1"/>
    <col min="7944" max="7944" width="21" customWidth="1"/>
    <col min="7945" max="7951" width="19.28515625" customWidth="1"/>
    <col min="8196" max="8196" width="14.5703125" customWidth="1"/>
    <col min="8197" max="8197" width="12.5703125" customWidth="1"/>
    <col min="8198" max="8198" width="16.140625" customWidth="1"/>
    <col min="8199" max="8199" width="20.5703125" customWidth="1"/>
    <col min="8200" max="8200" width="21" customWidth="1"/>
    <col min="8201" max="8207" width="19.28515625" customWidth="1"/>
    <col min="8452" max="8452" width="14.5703125" customWidth="1"/>
    <col min="8453" max="8453" width="12.5703125" customWidth="1"/>
    <col min="8454" max="8454" width="16.140625" customWidth="1"/>
    <col min="8455" max="8455" width="20.5703125" customWidth="1"/>
    <col min="8456" max="8456" width="21" customWidth="1"/>
    <col min="8457" max="8463" width="19.28515625" customWidth="1"/>
    <col min="8708" max="8708" width="14.5703125" customWidth="1"/>
    <col min="8709" max="8709" width="12.5703125" customWidth="1"/>
    <col min="8710" max="8710" width="16.140625" customWidth="1"/>
    <col min="8711" max="8711" width="20.5703125" customWidth="1"/>
    <col min="8712" max="8712" width="21" customWidth="1"/>
    <col min="8713" max="8719" width="19.28515625" customWidth="1"/>
    <col min="8964" max="8964" width="14.5703125" customWidth="1"/>
    <col min="8965" max="8965" width="12.5703125" customWidth="1"/>
    <col min="8966" max="8966" width="16.140625" customWidth="1"/>
    <col min="8967" max="8967" width="20.5703125" customWidth="1"/>
    <col min="8968" max="8968" width="21" customWidth="1"/>
    <col min="8969" max="8975" width="19.28515625" customWidth="1"/>
    <col min="9220" max="9220" width="14.5703125" customWidth="1"/>
    <col min="9221" max="9221" width="12.5703125" customWidth="1"/>
    <col min="9222" max="9222" width="16.140625" customWidth="1"/>
    <col min="9223" max="9223" width="20.5703125" customWidth="1"/>
    <col min="9224" max="9224" width="21" customWidth="1"/>
    <col min="9225" max="9231" width="19.28515625" customWidth="1"/>
    <col min="9476" max="9476" width="14.5703125" customWidth="1"/>
    <col min="9477" max="9477" width="12.5703125" customWidth="1"/>
    <col min="9478" max="9478" width="16.140625" customWidth="1"/>
    <col min="9479" max="9479" width="20.5703125" customWidth="1"/>
    <col min="9480" max="9480" width="21" customWidth="1"/>
    <col min="9481" max="9487" width="19.28515625" customWidth="1"/>
    <col min="9732" max="9732" width="14.5703125" customWidth="1"/>
    <col min="9733" max="9733" width="12.5703125" customWidth="1"/>
    <col min="9734" max="9734" width="16.140625" customWidth="1"/>
    <col min="9735" max="9735" width="20.5703125" customWidth="1"/>
    <col min="9736" max="9736" width="21" customWidth="1"/>
    <col min="9737" max="9743" width="19.28515625" customWidth="1"/>
    <col min="9988" max="9988" width="14.5703125" customWidth="1"/>
    <col min="9989" max="9989" width="12.5703125" customWidth="1"/>
    <col min="9990" max="9990" width="16.140625" customWidth="1"/>
    <col min="9991" max="9991" width="20.5703125" customWidth="1"/>
    <col min="9992" max="9992" width="21" customWidth="1"/>
    <col min="9993" max="9999" width="19.28515625" customWidth="1"/>
    <col min="10244" max="10244" width="14.5703125" customWidth="1"/>
    <col min="10245" max="10245" width="12.5703125" customWidth="1"/>
    <col min="10246" max="10246" width="16.140625" customWidth="1"/>
    <col min="10247" max="10247" width="20.5703125" customWidth="1"/>
    <col min="10248" max="10248" width="21" customWidth="1"/>
    <col min="10249" max="10255" width="19.28515625" customWidth="1"/>
    <col min="10500" max="10500" width="14.5703125" customWidth="1"/>
    <col min="10501" max="10501" width="12.5703125" customWidth="1"/>
    <col min="10502" max="10502" width="16.140625" customWidth="1"/>
    <col min="10503" max="10503" width="20.5703125" customWidth="1"/>
    <col min="10504" max="10504" width="21" customWidth="1"/>
    <col min="10505" max="10511" width="19.28515625" customWidth="1"/>
    <col min="10756" max="10756" width="14.5703125" customWidth="1"/>
    <col min="10757" max="10757" width="12.5703125" customWidth="1"/>
    <col min="10758" max="10758" width="16.140625" customWidth="1"/>
    <col min="10759" max="10759" width="20.5703125" customWidth="1"/>
    <col min="10760" max="10760" width="21" customWidth="1"/>
    <col min="10761" max="10767" width="19.28515625" customWidth="1"/>
    <col min="11012" max="11012" width="14.5703125" customWidth="1"/>
    <col min="11013" max="11013" width="12.5703125" customWidth="1"/>
    <col min="11014" max="11014" width="16.140625" customWidth="1"/>
    <col min="11015" max="11015" width="20.5703125" customWidth="1"/>
    <col min="11016" max="11016" width="21" customWidth="1"/>
    <col min="11017" max="11023" width="19.28515625" customWidth="1"/>
    <col min="11268" max="11268" width="14.5703125" customWidth="1"/>
    <col min="11269" max="11269" width="12.5703125" customWidth="1"/>
    <col min="11270" max="11270" width="16.140625" customWidth="1"/>
    <col min="11271" max="11271" width="20.5703125" customWidth="1"/>
    <col min="11272" max="11272" width="21" customWidth="1"/>
    <col min="11273" max="11279" width="19.28515625" customWidth="1"/>
    <col min="11524" max="11524" width="14.5703125" customWidth="1"/>
    <col min="11525" max="11525" width="12.5703125" customWidth="1"/>
    <col min="11526" max="11526" width="16.140625" customWidth="1"/>
    <col min="11527" max="11527" width="20.5703125" customWidth="1"/>
    <col min="11528" max="11528" width="21" customWidth="1"/>
    <col min="11529" max="11535" width="19.28515625" customWidth="1"/>
    <col min="11780" max="11780" width="14.5703125" customWidth="1"/>
    <col min="11781" max="11781" width="12.5703125" customWidth="1"/>
    <col min="11782" max="11782" width="16.140625" customWidth="1"/>
    <col min="11783" max="11783" width="20.5703125" customWidth="1"/>
    <col min="11784" max="11784" width="21" customWidth="1"/>
    <col min="11785" max="11791" width="19.28515625" customWidth="1"/>
    <col min="12036" max="12036" width="14.5703125" customWidth="1"/>
    <col min="12037" max="12037" width="12.5703125" customWidth="1"/>
    <col min="12038" max="12038" width="16.140625" customWidth="1"/>
    <col min="12039" max="12039" width="20.5703125" customWidth="1"/>
    <col min="12040" max="12040" width="21" customWidth="1"/>
    <col min="12041" max="12047" width="19.28515625" customWidth="1"/>
    <col min="12292" max="12292" width="14.5703125" customWidth="1"/>
    <col min="12293" max="12293" width="12.5703125" customWidth="1"/>
    <col min="12294" max="12294" width="16.140625" customWidth="1"/>
    <col min="12295" max="12295" width="20.5703125" customWidth="1"/>
    <col min="12296" max="12296" width="21" customWidth="1"/>
    <col min="12297" max="12303" width="19.28515625" customWidth="1"/>
    <col min="12548" max="12548" width="14.5703125" customWidth="1"/>
    <col min="12549" max="12549" width="12.5703125" customWidth="1"/>
    <col min="12550" max="12550" width="16.140625" customWidth="1"/>
    <col min="12551" max="12551" width="20.5703125" customWidth="1"/>
    <col min="12552" max="12552" width="21" customWidth="1"/>
    <col min="12553" max="12559" width="19.28515625" customWidth="1"/>
    <col min="12804" max="12804" width="14.5703125" customWidth="1"/>
    <col min="12805" max="12805" width="12.5703125" customWidth="1"/>
    <col min="12806" max="12806" width="16.140625" customWidth="1"/>
    <col min="12807" max="12807" width="20.5703125" customWidth="1"/>
    <col min="12808" max="12808" width="21" customWidth="1"/>
    <col min="12809" max="12815" width="19.28515625" customWidth="1"/>
    <col min="13060" max="13060" width="14.5703125" customWidth="1"/>
    <col min="13061" max="13061" width="12.5703125" customWidth="1"/>
    <col min="13062" max="13062" width="16.140625" customWidth="1"/>
    <col min="13063" max="13063" width="20.5703125" customWidth="1"/>
    <col min="13064" max="13064" width="21" customWidth="1"/>
    <col min="13065" max="13071" width="19.28515625" customWidth="1"/>
    <col min="13316" max="13316" width="14.5703125" customWidth="1"/>
    <col min="13317" max="13317" width="12.5703125" customWidth="1"/>
    <col min="13318" max="13318" width="16.140625" customWidth="1"/>
    <col min="13319" max="13319" width="20.5703125" customWidth="1"/>
    <col min="13320" max="13320" width="21" customWidth="1"/>
    <col min="13321" max="13327" width="19.28515625" customWidth="1"/>
    <col min="13572" max="13572" width="14.5703125" customWidth="1"/>
    <col min="13573" max="13573" width="12.5703125" customWidth="1"/>
    <col min="13574" max="13574" width="16.140625" customWidth="1"/>
    <col min="13575" max="13575" width="20.5703125" customWidth="1"/>
    <col min="13576" max="13576" width="21" customWidth="1"/>
    <col min="13577" max="13583" width="19.28515625" customWidth="1"/>
    <col min="13828" max="13828" width="14.5703125" customWidth="1"/>
    <col min="13829" max="13829" width="12.5703125" customWidth="1"/>
    <col min="13830" max="13830" width="16.140625" customWidth="1"/>
    <col min="13831" max="13831" width="20.5703125" customWidth="1"/>
    <col min="13832" max="13832" width="21" customWidth="1"/>
    <col min="13833" max="13839" width="19.28515625" customWidth="1"/>
    <col min="14084" max="14084" width="14.5703125" customWidth="1"/>
    <col min="14085" max="14085" width="12.5703125" customWidth="1"/>
    <col min="14086" max="14086" width="16.140625" customWidth="1"/>
    <col min="14087" max="14087" width="20.5703125" customWidth="1"/>
    <col min="14088" max="14088" width="21" customWidth="1"/>
    <col min="14089" max="14095" width="19.28515625" customWidth="1"/>
    <col min="14340" max="14340" width="14.5703125" customWidth="1"/>
    <col min="14341" max="14341" width="12.5703125" customWidth="1"/>
    <col min="14342" max="14342" width="16.140625" customWidth="1"/>
    <col min="14343" max="14343" width="20.5703125" customWidth="1"/>
    <col min="14344" max="14344" width="21" customWidth="1"/>
    <col min="14345" max="14351" width="19.28515625" customWidth="1"/>
    <col min="14596" max="14596" width="14.5703125" customWidth="1"/>
    <col min="14597" max="14597" width="12.5703125" customWidth="1"/>
    <col min="14598" max="14598" width="16.140625" customWidth="1"/>
    <col min="14599" max="14599" width="20.5703125" customWidth="1"/>
    <col min="14600" max="14600" width="21" customWidth="1"/>
    <col min="14601" max="14607" width="19.28515625" customWidth="1"/>
    <col min="14852" max="14852" width="14.5703125" customWidth="1"/>
    <col min="14853" max="14853" width="12.5703125" customWidth="1"/>
    <col min="14854" max="14854" width="16.140625" customWidth="1"/>
    <col min="14855" max="14855" width="20.5703125" customWidth="1"/>
    <col min="14856" max="14856" width="21" customWidth="1"/>
    <col min="14857" max="14863" width="19.28515625" customWidth="1"/>
    <col min="15108" max="15108" width="14.5703125" customWidth="1"/>
    <col min="15109" max="15109" width="12.5703125" customWidth="1"/>
    <col min="15110" max="15110" width="16.140625" customWidth="1"/>
    <col min="15111" max="15111" width="20.5703125" customWidth="1"/>
    <col min="15112" max="15112" width="21" customWidth="1"/>
    <col min="15113" max="15119" width="19.28515625" customWidth="1"/>
    <col min="15364" max="15364" width="14.5703125" customWidth="1"/>
    <col min="15365" max="15365" width="12.5703125" customWidth="1"/>
    <col min="15366" max="15366" width="16.140625" customWidth="1"/>
    <col min="15367" max="15367" width="20.5703125" customWidth="1"/>
    <col min="15368" max="15368" width="21" customWidth="1"/>
    <col min="15369" max="15375" width="19.28515625" customWidth="1"/>
    <col min="15620" max="15620" width="14.5703125" customWidth="1"/>
    <col min="15621" max="15621" width="12.5703125" customWidth="1"/>
    <col min="15622" max="15622" width="16.140625" customWidth="1"/>
    <col min="15623" max="15623" width="20.5703125" customWidth="1"/>
    <col min="15624" max="15624" width="21" customWidth="1"/>
    <col min="15625" max="15631" width="19.28515625" customWidth="1"/>
    <col min="15876" max="15876" width="14.5703125" customWidth="1"/>
    <col min="15877" max="15877" width="12.5703125" customWidth="1"/>
    <col min="15878" max="15878" width="16.140625" customWidth="1"/>
    <col min="15879" max="15879" width="20.5703125" customWidth="1"/>
    <col min="15880" max="15880" width="21" customWidth="1"/>
    <col min="15881" max="15887" width="19.28515625" customWidth="1"/>
    <col min="16132" max="16132" width="14.5703125" customWidth="1"/>
    <col min="16133" max="16133" width="12.5703125" customWidth="1"/>
    <col min="16134" max="16134" width="16.140625" customWidth="1"/>
    <col min="16135" max="16135" width="20.5703125" customWidth="1"/>
    <col min="16136" max="16136" width="21" customWidth="1"/>
    <col min="16137" max="16143" width="19.28515625" customWidth="1"/>
  </cols>
  <sheetData>
    <row r="1" spans="1:23">
      <c r="D1" s="580" t="s">
        <v>3091</v>
      </c>
      <c r="E1" s="395" t="s">
        <v>3078</v>
      </c>
    </row>
    <row r="2" spans="1:23">
      <c r="B2" s="342" t="s">
        <v>1155</v>
      </c>
      <c r="D2" s="718" t="s">
        <v>239</v>
      </c>
      <c r="E2" s="599" t="s">
        <v>3079</v>
      </c>
      <c r="F2" s="600" t="e">
        <f>INDEX($G$16:$M$33,$Q$19,$Q$18)</f>
        <v>#N/A</v>
      </c>
      <c r="J2" s="166"/>
      <c r="K2" s="166"/>
    </row>
    <row r="3" spans="1:23" ht="15.75" thickBot="1">
      <c r="B3" s="342" t="s">
        <v>1157</v>
      </c>
      <c r="D3" s="718"/>
      <c r="E3" s="599"/>
      <c r="F3" s="601"/>
      <c r="J3" s="166"/>
      <c r="K3" s="166"/>
      <c r="P3" s="719"/>
      <c r="Q3" s="590"/>
      <c r="R3" s="720"/>
      <c r="S3" s="720"/>
      <c r="T3" s="720"/>
      <c r="U3" s="720"/>
      <c r="V3" s="720"/>
      <c r="W3" s="720"/>
    </row>
    <row r="4" spans="1:23" ht="16.5" thickTop="1" thickBot="1">
      <c r="B4" s="342" t="s">
        <v>1159</v>
      </c>
      <c r="D4" s="718"/>
      <c r="E4" s="599" t="s">
        <v>3080</v>
      </c>
      <c r="F4" s="605">
        <f>IF($Q$7&lt;1942,15%,INDEX($G$14:$M$14,1,MATCH($Q$18,$G$8:$M$8,0)))</f>
        <v>0.15</v>
      </c>
      <c r="J4" s="166"/>
      <c r="K4" s="166"/>
      <c r="P4" s="721" t="s">
        <v>3092</v>
      </c>
      <c r="Q4" s="722"/>
      <c r="R4" s="723"/>
      <c r="S4" s="723"/>
      <c r="T4" s="723"/>
      <c r="U4" s="723"/>
      <c r="V4" s="723"/>
      <c r="W4" s="724"/>
    </row>
    <row r="5" spans="1:23" ht="15.75" thickTop="1">
      <c r="B5" s="342" t="s">
        <v>1161</v>
      </c>
      <c r="D5" s="718"/>
      <c r="E5" s="599" t="s">
        <v>3081</v>
      </c>
      <c r="F5" s="606">
        <f>IF($Q$7&gt;1941,100000,250000)</f>
        <v>250000</v>
      </c>
      <c r="J5" s="166"/>
      <c r="K5" s="166"/>
    </row>
    <row r="6" spans="1:23">
      <c r="B6" s="342" t="s">
        <v>1162</v>
      </c>
      <c r="D6" s="725"/>
      <c r="E6" s="599" t="s">
        <v>1321</v>
      </c>
      <c r="F6" s="607">
        <f>VLOOKUP($F$4,$E$47:$F$51,2,FALSE)</f>
        <v>0.92500000000000004</v>
      </c>
      <c r="P6" s="586" t="s">
        <v>3082</v>
      </c>
      <c r="Q6" s="670" t="e">
        <f>IF('EQ rate no1'!$D$4="BC",PostalCode,"Postal code is outside of BC")</f>
        <v>#N/A</v>
      </c>
      <c r="S6" s="588" t="e">
        <f>LEFT(Q6,2)</f>
        <v>#N/A</v>
      </c>
    </row>
    <row r="7" spans="1:23">
      <c r="B7" s="342" t="s">
        <v>1150</v>
      </c>
      <c r="D7" s="725"/>
      <c r="P7" s="586" t="s">
        <v>1300</v>
      </c>
      <c r="Q7" s="671">
        <f>Yrbuilt</f>
        <v>0</v>
      </c>
      <c r="S7" s="588" t="e">
        <f>VLOOKUP(Q7,F37:G38,2,TRUE)</f>
        <v>#N/A</v>
      </c>
    </row>
    <row r="8" spans="1:23" s="729" customFormat="1" ht="15.75" thickBot="1">
      <c r="A8" s="726" t="s">
        <v>3222</v>
      </c>
      <c r="B8" s="726"/>
      <c r="C8" s="727"/>
      <c r="D8" s="726"/>
      <c r="E8" s="726"/>
      <c r="F8" s="726"/>
      <c r="G8" s="728">
        <v>1</v>
      </c>
      <c r="H8" s="728">
        <v>2</v>
      </c>
      <c r="I8" s="728">
        <v>3</v>
      </c>
      <c r="J8" s="728">
        <v>4</v>
      </c>
      <c r="K8" s="728">
        <v>5</v>
      </c>
      <c r="L8" s="728">
        <v>6</v>
      </c>
      <c r="M8" s="728">
        <v>7</v>
      </c>
      <c r="P8" s="586" t="s">
        <v>1301</v>
      </c>
      <c r="Q8" s="671" t="str">
        <f>'EQ rate no1'!D8</f>
        <v>Fire Resistive</v>
      </c>
      <c r="R8" s="592"/>
      <c r="S8" s="592"/>
      <c r="T8" s="592"/>
      <c r="U8" s="592"/>
      <c r="V8" s="592"/>
      <c r="W8" s="592"/>
    </row>
    <row r="9" spans="1:23" ht="15.75" thickBot="1">
      <c r="C9" s="730"/>
      <c r="D9" s="614"/>
      <c r="E9" s="731"/>
      <c r="F9" s="616"/>
      <c r="G9" s="3615" t="s">
        <v>3097</v>
      </c>
      <c r="H9" s="3616">
        <v>0</v>
      </c>
      <c r="I9" s="3616">
        <v>0</v>
      </c>
      <c r="J9" s="3617">
        <v>0</v>
      </c>
      <c r="K9" s="3617">
        <v>0</v>
      </c>
      <c r="L9" s="3617">
        <v>0</v>
      </c>
      <c r="M9" s="3618">
        <v>0</v>
      </c>
      <c r="P9" s="586" t="s">
        <v>1302</v>
      </c>
      <c r="Q9" s="671">
        <f>Nbofstoreys</f>
        <v>0</v>
      </c>
      <c r="S9" s="588" t="e">
        <f>VLOOKUP(Q9,F41:G42,2,TRUE)</f>
        <v>#N/A</v>
      </c>
      <c r="V9" s="732"/>
    </row>
    <row r="10" spans="1:23" ht="15.75" thickBot="1">
      <c r="C10" s="730"/>
      <c r="D10" s="733" t="s">
        <v>1152</v>
      </c>
      <c r="E10" s="734" t="s">
        <v>3103</v>
      </c>
      <c r="F10" s="734" t="s">
        <v>1300</v>
      </c>
      <c r="G10" s="3619" t="s">
        <v>3223</v>
      </c>
      <c r="H10" s="3617">
        <v>0</v>
      </c>
      <c r="I10" s="3617">
        <v>0</v>
      </c>
      <c r="J10" s="3617">
        <v>0</v>
      </c>
      <c r="K10" s="3617">
        <v>0</v>
      </c>
      <c r="L10" s="3617">
        <v>0</v>
      </c>
      <c r="M10" s="3618">
        <v>0</v>
      </c>
      <c r="N10" s="735"/>
      <c r="O10" s="735"/>
      <c r="P10" s="586" t="s">
        <v>3084</v>
      </c>
      <c r="Q10" s="671">
        <f>Totalinsuredvalue</f>
        <v>0</v>
      </c>
      <c r="V10" s="732"/>
    </row>
    <row r="11" spans="1:23" ht="15.75" thickBot="1">
      <c r="C11" s="736"/>
      <c r="D11" s="733"/>
      <c r="E11" s="734"/>
      <c r="F11" s="734"/>
      <c r="G11" s="3620" t="s">
        <v>3224</v>
      </c>
      <c r="H11" s="3621">
        <v>0</v>
      </c>
      <c r="I11" s="3622" t="s">
        <v>3225</v>
      </c>
      <c r="J11" s="3623">
        <v>0</v>
      </c>
      <c r="K11" s="3624" t="s">
        <v>3226</v>
      </c>
      <c r="L11" s="3625">
        <v>0</v>
      </c>
      <c r="M11" s="737" t="s">
        <v>1236</v>
      </c>
      <c r="N11" s="3611"/>
      <c r="O11" s="3611"/>
      <c r="V11" s="732"/>
    </row>
    <row r="12" spans="1:23" ht="63" customHeight="1" thickBot="1">
      <c r="C12" s="736"/>
      <c r="D12" s="733"/>
      <c r="E12" s="734"/>
      <c r="F12" s="734"/>
      <c r="G12" s="738" t="s">
        <v>3227</v>
      </c>
      <c r="H12" s="739" t="s">
        <v>3228</v>
      </c>
      <c r="I12" s="740" t="s">
        <v>3229</v>
      </c>
      <c r="J12" s="741" t="s">
        <v>3230</v>
      </c>
      <c r="K12" s="742" t="s">
        <v>3231</v>
      </c>
      <c r="L12" s="743" t="s">
        <v>3232</v>
      </c>
      <c r="M12" s="744" t="s">
        <v>1236</v>
      </c>
      <c r="V12" s="732" t="s">
        <v>3148</v>
      </c>
      <c r="W12" s="588" t="s">
        <v>3233</v>
      </c>
    </row>
    <row r="13" spans="1:23" ht="14.45" customHeight="1">
      <c r="C13" s="745" t="s">
        <v>3234</v>
      </c>
      <c r="D13" s="746" t="s">
        <v>3235</v>
      </c>
      <c r="E13" s="747"/>
      <c r="F13" s="747"/>
      <c r="G13" s="3612" t="s">
        <v>3236</v>
      </c>
      <c r="H13" s="3613"/>
      <c r="I13" s="3613"/>
      <c r="J13" s="3613"/>
      <c r="K13" s="3613"/>
      <c r="L13" s="3613"/>
      <c r="M13" s="3614"/>
      <c r="N13" s="748"/>
      <c r="O13" s="749"/>
      <c r="Q13" s="750"/>
      <c r="V13" s="732" t="s">
        <v>2857</v>
      </c>
      <c r="W13" s="588">
        <v>1</v>
      </c>
    </row>
    <row r="14" spans="1:23" ht="14.45" customHeight="1" thickBot="1">
      <c r="A14" t="s">
        <v>3237</v>
      </c>
      <c r="B14" t="s">
        <v>251</v>
      </c>
      <c r="C14" s="751"/>
      <c r="D14" s="746"/>
      <c r="E14" s="747"/>
      <c r="F14" s="747"/>
      <c r="G14" s="752">
        <v>0.05</v>
      </c>
      <c r="H14" s="753">
        <v>0.15</v>
      </c>
      <c r="I14" s="754">
        <v>0.05</v>
      </c>
      <c r="J14" s="755">
        <v>0.15</v>
      </c>
      <c r="K14" s="756">
        <v>0.1</v>
      </c>
      <c r="L14" s="757">
        <v>0.15</v>
      </c>
      <c r="M14" s="758">
        <v>0.05</v>
      </c>
      <c r="N14" s="748"/>
      <c r="O14" s="749"/>
      <c r="Q14" s="759"/>
      <c r="R14" s="644"/>
      <c r="S14" s="644"/>
      <c r="V14" s="732" t="s">
        <v>2862</v>
      </c>
      <c r="W14" s="588">
        <v>1</v>
      </c>
    </row>
    <row r="15" spans="1:23" ht="15.75" hidden="1" customHeight="1" thickBot="1">
      <c r="C15" s="760"/>
      <c r="D15" s="761"/>
      <c r="E15" s="762"/>
      <c r="F15" s="763"/>
      <c r="G15" s="764" t="s">
        <v>3238</v>
      </c>
      <c r="H15" s="765" t="s">
        <v>3239</v>
      </c>
      <c r="I15" s="766" t="s">
        <v>3240</v>
      </c>
      <c r="J15" s="767" t="s">
        <v>3241</v>
      </c>
      <c r="K15" s="768" t="s">
        <v>3242</v>
      </c>
      <c r="L15" s="769" t="s">
        <v>3243</v>
      </c>
      <c r="M15" s="770" t="s">
        <v>3244</v>
      </c>
      <c r="N15" s="748"/>
      <c r="O15" s="749"/>
      <c r="V15" s="732" t="s">
        <v>2864</v>
      </c>
      <c r="W15" s="588">
        <v>1</v>
      </c>
    </row>
    <row r="16" spans="1:23">
      <c r="A16" s="685">
        <v>1</v>
      </c>
      <c r="B16" s="686" t="str">
        <f>CONCATENATE(C16,E16,F16)</f>
        <v>Fire Resistive1_71989+</v>
      </c>
      <c r="C16" s="771" t="s">
        <v>1155</v>
      </c>
      <c r="D16" s="772">
        <v>1</v>
      </c>
      <c r="E16" s="632" t="s">
        <v>3245</v>
      </c>
      <c r="F16" s="773" t="s">
        <v>3129</v>
      </c>
      <c r="G16" s="774">
        <v>4.6100316635840988E-3</v>
      </c>
      <c r="H16" s="775">
        <v>3.0916635778892795E-2</v>
      </c>
      <c r="I16" s="776">
        <v>4.2544701018172567E-3</v>
      </c>
      <c r="J16" s="641">
        <v>6.7452629693333391E-2</v>
      </c>
      <c r="K16" s="777">
        <v>4.6587732321126535E-3</v>
      </c>
      <c r="L16" s="778">
        <v>9.8673075518788567E-2</v>
      </c>
      <c r="M16" s="779">
        <v>1.1172536176342642E-2</v>
      </c>
      <c r="N16" s="748"/>
      <c r="O16" s="749"/>
      <c r="V16" s="732" t="s">
        <v>2864</v>
      </c>
      <c r="W16" s="588">
        <v>1</v>
      </c>
    </row>
    <row r="17" spans="1:23" ht="15.75" thickBot="1">
      <c r="A17" s="685">
        <v>2</v>
      </c>
      <c r="B17" s="686" t="str">
        <f t="shared" ref="B17:B33" si="0">CONCATENATE(C17,E17,F17)</f>
        <v>Fire Resistive1_71988-</v>
      </c>
      <c r="C17" s="780" t="s">
        <v>1155</v>
      </c>
      <c r="D17" s="772">
        <v>1</v>
      </c>
      <c r="E17" s="637" t="s">
        <v>3245</v>
      </c>
      <c r="F17" s="781" t="s">
        <v>3246</v>
      </c>
      <c r="G17" s="782">
        <v>5.5499123330474843E-3</v>
      </c>
      <c r="H17" s="783">
        <v>3.0916635778892795E-2</v>
      </c>
      <c r="I17" s="784">
        <v>4.8346949889694008E-3</v>
      </c>
      <c r="J17" s="785">
        <v>8.7879077528336472E-2</v>
      </c>
      <c r="K17" s="786">
        <v>4.6587732321126535E-3</v>
      </c>
      <c r="L17" s="787">
        <v>0.13895561226089054</v>
      </c>
      <c r="M17" s="788">
        <v>1.1172536176342642E-2</v>
      </c>
      <c r="N17" s="748"/>
      <c r="O17" s="749"/>
      <c r="P17" s="586" t="s">
        <v>3117</v>
      </c>
      <c r="Q17" s="789" t="str">
        <f>IF(Q9&gt;7,"yes","no")</f>
        <v>no</v>
      </c>
      <c r="V17" s="732" t="s">
        <v>3247</v>
      </c>
      <c r="W17" s="588">
        <v>1</v>
      </c>
    </row>
    <row r="18" spans="1:23">
      <c r="A18" s="685">
        <v>3</v>
      </c>
      <c r="B18" s="686" t="str">
        <f t="shared" si="0"/>
        <v>Non-Combustable / Masonry1_71989+</v>
      </c>
      <c r="C18" s="790" t="s">
        <v>1157</v>
      </c>
      <c r="D18" s="772">
        <v>2</v>
      </c>
      <c r="E18" s="647" t="s">
        <v>3245</v>
      </c>
      <c r="F18" s="791" t="s">
        <v>3129</v>
      </c>
      <c r="G18" s="792">
        <v>6.2224252486260965E-3</v>
      </c>
      <c r="H18" s="793">
        <v>4.6982413866757583E-2</v>
      </c>
      <c r="I18" s="794">
        <v>5.5811544318672196E-3</v>
      </c>
      <c r="J18" s="634">
        <v>0.10101135511562487</v>
      </c>
      <c r="K18" s="795">
        <v>2.3606806004647464E-2</v>
      </c>
      <c r="L18" s="796">
        <v>0.12407313978241001</v>
      </c>
      <c r="M18" s="797">
        <v>1.0349595650118814E-2</v>
      </c>
      <c r="N18" s="748"/>
      <c r="O18" s="749"/>
      <c r="P18" s="586" t="s">
        <v>3162</v>
      </c>
      <c r="Q18" s="789" t="e">
        <f>IF(OR($S$6="V3",$S$6="V5",$S$6="V6",$S$6="V7"),4,IF($S$6="V9",6,IF($S$6="V1",7,VLOOKUP($Q$6,V:W,2,FALSE))))</f>
        <v>#N/A</v>
      </c>
      <c r="V18" s="732" t="s">
        <v>2865</v>
      </c>
      <c r="W18" s="588">
        <v>1</v>
      </c>
    </row>
    <row r="19" spans="1:23" ht="15.75" thickBot="1">
      <c r="A19" s="685">
        <v>4</v>
      </c>
      <c r="B19" s="686" t="str">
        <f t="shared" si="0"/>
        <v>Non-Combustable / Masonry1_71988-</v>
      </c>
      <c r="C19" s="798" t="s">
        <v>1157</v>
      </c>
      <c r="D19" s="772">
        <v>2</v>
      </c>
      <c r="E19" s="799" t="s">
        <v>3245</v>
      </c>
      <c r="F19" s="800" t="s">
        <v>3246</v>
      </c>
      <c r="G19" s="801">
        <v>7.6113930526062867E-3</v>
      </c>
      <c r="H19" s="802">
        <v>6.206235193405598E-2</v>
      </c>
      <c r="I19" s="803">
        <v>7.1359285286447431E-3</v>
      </c>
      <c r="J19" s="804">
        <v>0.13403441376923275</v>
      </c>
      <c r="K19" s="805">
        <v>1.5619912637126447E-2</v>
      </c>
      <c r="L19" s="806">
        <v>0.17569734960182634</v>
      </c>
      <c r="M19" s="807">
        <v>1.0349595650118814E-2</v>
      </c>
      <c r="N19" s="748"/>
      <c r="O19" s="749"/>
      <c r="P19" s="586" t="s">
        <v>3120</v>
      </c>
      <c r="Q19" s="789" t="e">
        <f>IF($Q$17="yes",MATCH(CONCATENATE($Q$8,$S$9),$B$16:$B$33,0),MATCH(CONCATENATE($Q$8,$S$9,$S$7),$B$16:$B$33,0))</f>
        <v>#N/A</v>
      </c>
      <c r="V19" s="732" t="s">
        <v>3248</v>
      </c>
      <c r="W19" s="588">
        <v>1</v>
      </c>
    </row>
    <row r="20" spans="1:23">
      <c r="A20" s="685">
        <v>5</v>
      </c>
      <c r="B20" s="686" t="str">
        <f t="shared" si="0"/>
        <v>Non-Combustable / Non-Masonry1_71989+</v>
      </c>
      <c r="C20" s="771" t="s">
        <v>1159</v>
      </c>
      <c r="D20" s="772">
        <v>3</v>
      </c>
      <c r="E20" s="632" t="s">
        <v>3245</v>
      </c>
      <c r="F20" s="773" t="s">
        <v>3129</v>
      </c>
      <c r="G20" s="774">
        <v>4.2553788824954289E-3</v>
      </c>
      <c r="H20" s="775">
        <v>4.2389533736740738E-2</v>
      </c>
      <c r="I20" s="776">
        <v>4.1413112241306333E-3</v>
      </c>
      <c r="J20" s="641">
        <v>6.0378278814403032E-2</v>
      </c>
      <c r="K20" s="777">
        <v>1.2753058727157939E-2</v>
      </c>
      <c r="L20" s="778">
        <v>7.6364456512381551E-2</v>
      </c>
      <c r="M20" s="779">
        <v>4.328603911867312E-3</v>
      </c>
      <c r="N20" s="748"/>
      <c r="O20" s="749"/>
      <c r="P20" s="648"/>
      <c r="V20" s="732" t="s">
        <v>2866</v>
      </c>
      <c r="W20" s="588">
        <v>1</v>
      </c>
    </row>
    <row r="21" spans="1:23" ht="15.75" thickBot="1">
      <c r="A21" s="685">
        <v>6</v>
      </c>
      <c r="B21" s="686" t="str">
        <f t="shared" si="0"/>
        <v>Non-Combustable / Non-Masonry1_71988-</v>
      </c>
      <c r="C21" s="780" t="s">
        <v>1159</v>
      </c>
      <c r="D21" s="772">
        <v>3</v>
      </c>
      <c r="E21" s="637" t="s">
        <v>3245</v>
      </c>
      <c r="F21" s="781" t="s">
        <v>3246</v>
      </c>
      <c r="G21" s="782">
        <v>4.2553788824954289E-3</v>
      </c>
      <c r="H21" s="783">
        <v>5.4233015936932034E-2</v>
      </c>
      <c r="I21" s="784">
        <v>5.1113988734191569E-3</v>
      </c>
      <c r="J21" s="785">
        <v>7.4164570709152944E-2</v>
      </c>
      <c r="K21" s="786">
        <v>1.5619912637126447E-2</v>
      </c>
      <c r="L21" s="787">
        <v>0.10447688391387563</v>
      </c>
      <c r="M21" s="788">
        <v>1.1172536176342642E-2</v>
      </c>
      <c r="N21" s="748"/>
      <c r="O21" s="749"/>
      <c r="P21" s="648"/>
      <c r="V21" s="732" t="s">
        <v>2867</v>
      </c>
      <c r="W21" s="588">
        <v>1</v>
      </c>
    </row>
    <row r="22" spans="1:23">
      <c r="A22" s="685">
        <v>7</v>
      </c>
      <c r="B22" s="686" t="str">
        <f t="shared" si="0"/>
        <v>Masonry1_71989+</v>
      </c>
      <c r="C22" s="790" t="s">
        <v>1161</v>
      </c>
      <c r="D22" s="772">
        <v>4</v>
      </c>
      <c r="E22" s="647" t="s">
        <v>3245</v>
      </c>
      <c r="F22" s="791" t="s">
        <v>3129</v>
      </c>
      <c r="G22" s="792">
        <v>7.6955518392229456E-3</v>
      </c>
      <c r="H22" s="793">
        <v>6.509332867203807E-2</v>
      </c>
      <c r="I22" s="794">
        <v>7.2289197704513888E-3</v>
      </c>
      <c r="J22" s="634">
        <v>0.1337099736717168</v>
      </c>
      <c r="K22" s="795">
        <v>2.3606806004647464E-2</v>
      </c>
      <c r="L22" s="796">
        <v>0.16545981396387702</v>
      </c>
      <c r="M22" s="797">
        <v>1.0349595650118814E-2</v>
      </c>
      <c r="N22" s="748"/>
      <c r="O22" s="749"/>
      <c r="V22" s="732" t="s">
        <v>3249</v>
      </c>
      <c r="W22" s="588">
        <v>1</v>
      </c>
    </row>
    <row r="23" spans="1:23" ht="15.75" thickBot="1">
      <c r="A23" s="685">
        <v>8</v>
      </c>
      <c r="B23" s="686" t="str">
        <f t="shared" si="0"/>
        <v>Masonry1_71988-</v>
      </c>
      <c r="C23" s="798" t="s">
        <v>1161</v>
      </c>
      <c r="D23" s="772">
        <v>4</v>
      </c>
      <c r="E23" s="799" t="s">
        <v>3245</v>
      </c>
      <c r="F23" s="800" t="s">
        <v>3246</v>
      </c>
      <c r="G23" s="801">
        <v>9.0157441745364591E-3</v>
      </c>
      <c r="H23" s="802">
        <v>9.4427898557740933E-2</v>
      </c>
      <c r="I23" s="803">
        <v>9.0918188818961982E-3</v>
      </c>
      <c r="J23" s="804">
        <v>0.16775448412533289</v>
      </c>
      <c r="K23" s="805">
        <v>1.5619912637126447E-2</v>
      </c>
      <c r="L23" s="806">
        <v>0.23574309693253553</v>
      </c>
      <c r="M23" s="807">
        <v>1.0349595650118814E-2</v>
      </c>
      <c r="N23" s="748"/>
      <c r="O23" s="749"/>
      <c r="P23" s="652"/>
      <c r="V23" s="732" t="s">
        <v>2868</v>
      </c>
      <c r="W23" s="588">
        <v>1</v>
      </c>
    </row>
    <row r="24" spans="1:23">
      <c r="A24" s="685">
        <v>9</v>
      </c>
      <c r="B24" s="686" t="str">
        <f t="shared" si="0"/>
        <v>Brick Veneer1_71989+</v>
      </c>
      <c r="C24" s="771" t="s">
        <v>1162</v>
      </c>
      <c r="D24" s="772">
        <v>5</v>
      </c>
      <c r="E24" s="632" t="s">
        <v>3245</v>
      </c>
      <c r="F24" s="773" t="s">
        <v>3129</v>
      </c>
      <c r="G24" s="774">
        <v>4.7255407771063674E-3</v>
      </c>
      <c r="H24" s="775">
        <v>4.6982413866757583E-2</v>
      </c>
      <c r="I24" s="776">
        <v>4.6281282972474823E-3</v>
      </c>
      <c r="J24" s="641">
        <v>6.7452629693333391E-2</v>
      </c>
      <c r="K24" s="777">
        <v>1.2753058727157939E-2</v>
      </c>
      <c r="L24" s="778">
        <v>9.8673075518788567E-2</v>
      </c>
      <c r="M24" s="779">
        <v>1.1172536176342642E-2</v>
      </c>
      <c r="N24" s="748"/>
      <c r="O24" s="749"/>
      <c r="P24" s="652"/>
      <c r="V24" s="732" t="s">
        <v>2869</v>
      </c>
      <c r="W24" s="588">
        <v>1</v>
      </c>
    </row>
    <row r="25" spans="1:23" ht="15.75" thickBot="1">
      <c r="A25" s="685">
        <v>10</v>
      </c>
      <c r="B25" s="686" t="str">
        <f t="shared" si="0"/>
        <v>Brick Veneer1_71988-</v>
      </c>
      <c r="C25" s="780" t="s">
        <v>1162</v>
      </c>
      <c r="D25" s="772">
        <v>5</v>
      </c>
      <c r="E25" s="637" t="s">
        <v>3245</v>
      </c>
      <c r="F25" s="808" t="s">
        <v>3246</v>
      </c>
      <c r="G25" s="809">
        <v>5.5499123330474843E-3</v>
      </c>
      <c r="H25" s="810">
        <v>6.206235193405598E-2</v>
      </c>
      <c r="I25" s="811">
        <v>5.617299528391061E-3</v>
      </c>
      <c r="J25" s="643">
        <v>8.7879077528336472E-2</v>
      </c>
      <c r="K25" s="812">
        <v>1.5619912637126447E-2</v>
      </c>
      <c r="L25" s="813">
        <v>0.13895561226089054</v>
      </c>
      <c r="M25" s="814">
        <v>1.1172536176342642E-2</v>
      </c>
      <c r="N25" s="748"/>
      <c r="O25" s="749"/>
      <c r="V25" s="732" t="s">
        <v>2870</v>
      </c>
      <c r="W25" s="588">
        <v>1</v>
      </c>
    </row>
    <row r="26" spans="1:23">
      <c r="A26" s="685">
        <v>11</v>
      </c>
      <c r="B26" s="686" t="str">
        <f t="shared" si="0"/>
        <v>Frame1_71989+</v>
      </c>
      <c r="C26" s="771" t="s">
        <v>1150</v>
      </c>
      <c r="D26" s="772">
        <v>6</v>
      </c>
      <c r="E26" s="632" t="s">
        <v>3245</v>
      </c>
      <c r="F26" s="773" t="s">
        <v>3129</v>
      </c>
      <c r="G26" s="774">
        <v>4.7255407771063674E-3</v>
      </c>
      <c r="H26" s="775">
        <v>4.6982413866757583E-2</v>
      </c>
      <c r="I26" s="776">
        <v>4.6281282972474823E-3</v>
      </c>
      <c r="J26" s="641">
        <v>6.7452629693333391E-2</v>
      </c>
      <c r="K26" s="777">
        <v>1.2753058727157939E-2</v>
      </c>
      <c r="L26" s="778">
        <v>9.8673075518788567E-2</v>
      </c>
      <c r="M26" s="779">
        <v>1.1172536176342642E-2</v>
      </c>
      <c r="N26" s="748"/>
      <c r="O26" s="749"/>
      <c r="P26" s="815"/>
      <c r="Q26" s="816"/>
      <c r="V26" s="732" t="s">
        <v>2881</v>
      </c>
      <c r="W26" s="588">
        <v>1</v>
      </c>
    </row>
    <row r="27" spans="1:23" ht="15.75" thickBot="1">
      <c r="A27" s="685">
        <v>12</v>
      </c>
      <c r="B27" s="686" t="str">
        <f t="shared" si="0"/>
        <v>Frame1_71988-</v>
      </c>
      <c r="C27" s="780" t="s">
        <v>1150</v>
      </c>
      <c r="D27" s="772">
        <v>6</v>
      </c>
      <c r="E27" s="637" t="s">
        <v>3245</v>
      </c>
      <c r="F27" s="808" t="s">
        <v>3246</v>
      </c>
      <c r="G27" s="809">
        <v>5.5499123330474843E-3</v>
      </c>
      <c r="H27" s="810">
        <v>6.206235193405598E-2</v>
      </c>
      <c r="I27" s="811">
        <v>5.617299528391061E-3</v>
      </c>
      <c r="J27" s="643">
        <v>8.7879077528336472E-2</v>
      </c>
      <c r="K27" s="812">
        <v>1.5619912637126447E-2</v>
      </c>
      <c r="L27" s="813">
        <v>0.13895561226089054</v>
      </c>
      <c r="M27" s="814">
        <v>1.1172536176342642E-2</v>
      </c>
      <c r="N27" s="748"/>
      <c r="O27" s="749"/>
      <c r="P27" s="815"/>
      <c r="Q27" s="816"/>
      <c r="V27" s="732" t="s">
        <v>2883</v>
      </c>
      <c r="W27" s="588">
        <v>1</v>
      </c>
    </row>
    <row r="28" spans="1:23" ht="15.75" thickBot="1">
      <c r="A28" s="685">
        <v>13</v>
      </c>
      <c r="B28" s="686" t="str">
        <f t="shared" si="0"/>
        <v>Fire Resistive8+</v>
      </c>
      <c r="C28" s="817" t="s">
        <v>1155</v>
      </c>
      <c r="D28" s="772">
        <v>1</v>
      </c>
      <c r="E28" s="818" t="s">
        <v>3250</v>
      </c>
      <c r="F28" s="819"/>
      <c r="G28" s="820">
        <v>9.8522209943400409E-3</v>
      </c>
      <c r="H28" s="821">
        <v>9.8522209943400409E-3</v>
      </c>
      <c r="I28" s="822">
        <v>8.9594451746378024E-3</v>
      </c>
      <c r="J28" s="823">
        <v>0.12720079177285395</v>
      </c>
      <c r="K28" s="824">
        <v>1.0455835593683755E-2</v>
      </c>
      <c r="L28" s="825">
        <v>0.1715383453421935</v>
      </c>
      <c r="M28" s="826">
        <v>7.5587046918587702E-3</v>
      </c>
      <c r="N28" s="748"/>
      <c r="O28" s="749"/>
      <c r="P28" s="815"/>
      <c r="Q28" s="816"/>
      <c r="V28" s="732" t="s">
        <v>2871</v>
      </c>
      <c r="W28" s="588">
        <v>2</v>
      </c>
    </row>
    <row r="29" spans="1:23" ht="15.75" thickBot="1">
      <c r="A29" s="685">
        <v>14</v>
      </c>
      <c r="B29" s="686" t="str">
        <f t="shared" si="0"/>
        <v>Non-Combustable / Masonry8+</v>
      </c>
      <c r="C29" s="817" t="s">
        <v>1157</v>
      </c>
      <c r="D29" s="772">
        <v>2</v>
      </c>
      <c r="E29" s="818" t="s">
        <v>3250</v>
      </c>
      <c r="F29" s="819"/>
      <c r="G29" s="820">
        <v>9.8522209943400409E-3</v>
      </c>
      <c r="H29" s="821">
        <v>9.8522209943400409E-3</v>
      </c>
      <c r="I29" s="822">
        <v>8.9594451746378024E-3</v>
      </c>
      <c r="J29" s="823">
        <v>0.12720079177285395</v>
      </c>
      <c r="K29" s="824">
        <v>1.0455835593683755E-2</v>
      </c>
      <c r="L29" s="825">
        <v>0.1715383453421935</v>
      </c>
      <c r="M29" s="826">
        <v>7.5587046918587702E-3</v>
      </c>
      <c r="N29" s="748"/>
      <c r="O29" s="749"/>
      <c r="P29" s="815"/>
      <c r="Q29" s="816"/>
      <c r="V29" s="732" t="s">
        <v>2873</v>
      </c>
      <c r="W29" s="588">
        <v>2</v>
      </c>
    </row>
    <row r="30" spans="1:23" ht="15.75" thickBot="1">
      <c r="A30" s="685">
        <v>15</v>
      </c>
      <c r="B30" s="686" t="str">
        <f t="shared" si="0"/>
        <v>Non-Combustable / Non-Masonry8+</v>
      </c>
      <c r="C30" s="817" t="s">
        <v>1159</v>
      </c>
      <c r="D30" s="772">
        <v>3</v>
      </c>
      <c r="E30" s="818" t="s">
        <v>3250</v>
      </c>
      <c r="F30" s="819"/>
      <c r="G30" s="820">
        <v>9.8522209943400409E-3</v>
      </c>
      <c r="H30" s="821">
        <v>9.8522209943400409E-3</v>
      </c>
      <c r="I30" s="822">
        <v>8.9594451746378024E-3</v>
      </c>
      <c r="J30" s="823">
        <v>0.12720079177285395</v>
      </c>
      <c r="K30" s="824">
        <v>1.0455835593683755E-2</v>
      </c>
      <c r="L30" s="825">
        <v>0.1715383453421935</v>
      </c>
      <c r="M30" s="826">
        <v>7.5587046918587702E-3</v>
      </c>
      <c r="N30" s="748"/>
      <c r="O30" s="749"/>
      <c r="P30" s="815"/>
      <c r="Q30" s="816"/>
      <c r="V30" s="732" t="s">
        <v>2875</v>
      </c>
      <c r="W30" s="588">
        <v>2</v>
      </c>
    </row>
    <row r="31" spans="1:23" ht="15.75" thickBot="1">
      <c r="A31" s="685">
        <v>16</v>
      </c>
      <c r="B31" s="686" t="str">
        <f t="shared" si="0"/>
        <v>Masonry8+</v>
      </c>
      <c r="C31" s="817" t="s">
        <v>1161</v>
      </c>
      <c r="D31" s="772">
        <v>4</v>
      </c>
      <c r="E31" s="818" t="s">
        <v>3250</v>
      </c>
      <c r="F31" s="819"/>
      <c r="G31" s="820">
        <v>9.8522209943400409E-3</v>
      </c>
      <c r="H31" s="821">
        <v>9.8522209943400409E-3</v>
      </c>
      <c r="I31" s="822">
        <v>8.9594451746378024E-3</v>
      </c>
      <c r="J31" s="823">
        <v>0.12720079177285395</v>
      </c>
      <c r="K31" s="824">
        <v>1.0455835593683755E-2</v>
      </c>
      <c r="L31" s="825">
        <v>0.1715383453421935</v>
      </c>
      <c r="M31" s="826">
        <v>7.5587046918587702E-3</v>
      </c>
      <c r="N31" s="748"/>
      <c r="O31" s="749"/>
      <c r="P31" s="815"/>
      <c r="Q31" s="816"/>
      <c r="V31" s="732" t="s">
        <v>3251</v>
      </c>
      <c r="W31" s="588">
        <v>2</v>
      </c>
    </row>
    <row r="32" spans="1:23" ht="15.75" thickBot="1">
      <c r="A32" s="685">
        <v>17</v>
      </c>
      <c r="B32" s="686" t="str">
        <f t="shared" si="0"/>
        <v>Brick Veneer8+</v>
      </c>
      <c r="C32" s="817" t="s">
        <v>1162</v>
      </c>
      <c r="D32" s="772">
        <v>5</v>
      </c>
      <c r="E32" s="818" t="s">
        <v>3250</v>
      </c>
      <c r="F32" s="827"/>
      <c r="G32" s="828">
        <v>9.8522209943400409E-3</v>
      </c>
      <c r="H32" s="829">
        <v>9.8522209943400409E-3</v>
      </c>
      <c r="I32" s="830">
        <v>8.9594451746378024E-3</v>
      </c>
      <c r="J32" s="831">
        <v>0.12720079177285395</v>
      </c>
      <c r="K32" s="832">
        <v>1.0455835593683755E-2</v>
      </c>
      <c r="L32" s="833">
        <v>0.1715383453421935</v>
      </c>
      <c r="M32" s="834">
        <v>7.5587046918587702E-3</v>
      </c>
      <c r="N32" s="748"/>
      <c r="O32" s="749"/>
      <c r="P32" s="815"/>
      <c r="Q32" s="816"/>
      <c r="V32" s="732" t="s">
        <v>2877</v>
      </c>
      <c r="W32" s="588">
        <v>2</v>
      </c>
    </row>
    <row r="33" spans="1:23" ht="15.75" thickBot="1">
      <c r="A33" s="685">
        <v>18</v>
      </c>
      <c r="B33" s="686" t="str">
        <f t="shared" si="0"/>
        <v>Frame8+</v>
      </c>
      <c r="C33" s="835" t="s">
        <v>1150</v>
      </c>
      <c r="D33" s="836">
        <v>6</v>
      </c>
      <c r="E33" s="837" t="s">
        <v>3250</v>
      </c>
      <c r="F33" s="819"/>
      <c r="G33" s="820">
        <v>9.8522209943400409E-3</v>
      </c>
      <c r="H33" s="821">
        <v>9.8522209943400409E-3</v>
      </c>
      <c r="I33" s="822">
        <v>8.9594451746378024E-3</v>
      </c>
      <c r="J33" s="823">
        <v>0.12720079177285395</v>
      </c>
      <c r="K33" s="824">
        <v>1.0455835593683755E-2</v>
      </c>
      <c r="L33" s="825">
        <v>0.1715383453421935</v>
      </c>
      <c r="M33" s="826">
        <v>7.5587046918587702E-3</v>
      </c>
      <c r="N33" s="748"/>
      <c r="O33" s="749"/>
      <c r="P33" s="815"/>
      <c r="Q33" s="816"/>
      <c r="V33" s="732" t="s">
        <v>2879</v>
      </c>
      <c r="W33" s="588">
        <v>2</v>
      </c>
    </row>
    <row r="34" spans="1:23">
      <c r="C34" s="342"/>
      <c r="V34" s="732" t="s">
        <v>2880</v>
      </c>
      <c r="W34" s="588">
        <v>2</v>
      </c>
    </row>
    <row r="35" spans="1:23">
      <c r="V35" s="732" t="s">
        <v>3252</v>
      </c>
      <c r="W35" s="588">
        <v>2</v>
      </c>
    </row>
    <row r="36" spans="1:23">
      <c r="E36" s="650" t="s">
        <v>3125</v>
      </c>
      <c r="G36" s="651"/>
      <c r="V36" s="732" t="s">
        <v>2882</v>
      </c>
      <c r="W36" s="588">
        <v>2</v>
      </c>
    </row>
    <row r="37" spans="1:23">
      <c r="E37" t="s">
        <v>3127</v>
      </c>
      <c r="F37">
        <v>1</v>
      </c>
      <c r="G37" s="654" t="s">
        <v>3246</v>
      </c>
      <c r="V37" s="732" t="s">
        <v>3253</v>
      </c>
      <c r="W37" s="588">
        <v>2</v>
      </c>
    </row>
    <row r="38" spans="1:23">
      <c r="E38" s="655" t="s">
        <v>3129</v>
      </c>
      <c r="F38">
        <v>1989</v>
      </c>
      <c r="G38" s="654" t="s">
        <v>3129</v>
      </c>
      <c r="V38" s="732" t="s">
        <v>3254</v>
      </c>
      <c r="W38" s="588">
        <v>2</v>
      </c>
    </row>
    <row r="39" spans="1:23">
      <c r="V39" s="732" t="s">
        <v>2906</v>
      </c>
      <c r="W39" s="588">
        <v>3</v>
      </c>
    </row>
    <row r="40" spans="1:23">
      <c r="E40" s="650" t="s">
        <v>3132</v>
      </c>
      <c r="G40" s="651"/>
      <c r="V40" s="732" t="s">
        <v>2907</v>
      </c>
      <c r="W40" s="588">
        <v>3</v>
      </c>
    </row>
    <row r="41" spans="1:23">
      <c r="E41" t="s">
        <v>3255</v>
      </c>
      <c r="F41">
        <v>1</v>
      </c>
      <c r="G41" s="657" t="s">
        <v>3245</v>
      </c>
      <c r="V41" s="732" t="s">
        <v>2908</v>
      </c>
      <c r="W41" s="588">
        <v>3</v>
      </c>
    </row>
    <row r="42" spans="1:23">
      <c r="E42" s="655" t="s">
        <v>3250</v>
      </c>
      <c r="F42">
        <v>8</v>
      </c>
      <c r="G42" s="657" t="s">
        <v>3250</v>
      </c>
      <c r="V42" s="732" t="s">
        <v>3256</v>
      </c>
      <c r="W42" s="588">
        <v>3</v>
      </c>
    </row>
    <row r="43" spans="1:23">
      <c r="V43" s="732" t="s">
        <v>2909</v>
      </c>
      <c r="W43" s="588">
        <v>3</v>
      </c>
    </row>
    <row r="44" spans="1:23">
      <c r="V44" s="732" t="s">
        <v>3257</v>
      </c>
      <c r="W44" s="588">
        <v>3</v>
      </c>
    </row>
    <row r="45" spans="1:23" ht="15.75" thickBot="1">
      <c r="E45" s="395" t="s">
        <v>3258</v>
      </c>
      <c r="V45" s="732" t="s">
        <v>2910</v>
      </c>
      <c r="W45" s="588">
        <v>3</v>
      </c>
    </row>
    <row r="46" spans="1:23" ht="15.75" thickBot="1">
      <c r="E46" s="838" t="s">
        <v>1083</v>
      </c>
      <c r="F46" s="839" t="s">
        <v>3259</v>
      </c>
      <c r="V46" s="732" t="s">
        <v>2911</v>
      </c>
      <c r="W46" s="588">
        <v>3</v>
      </c>
    </row>
    <row r="47" spans="1:23">
      <c r="E47" s="840">
        <v>0.03</v>
      </c>
      <c r="F47" s="841">
        <v>1.85</v>
      </c>
      <c r="V47" s="732" t="s">
        <v>3260</v>
      </c>
      <c r="W47" s="588">
        <v>3</v>
      </c>
    </row>
    <row r="48" spans="1:23">
      <c r="E48" s="840">
        <v>0.05</v>
      </c>
      <c r="F48" s="841">
        <v>1.85</v>
      </c>
      <c r="V48" s="732" t="s">
        <v>2912</v>
      </c>
      <c r="W48" s="588">
        <v>3</v>
      </c>
    </row>
    <row r="49" spans="5:23">
      <c r="E49" s="842">
        <v>0.08</v>
      </c>
      <c r="F49" s="843">
        <v>1.4</v>
      </c>
      <c r="V49" s="732" t="s">
        <v>2913</v>
      </c>
      <c r="W49" s="588">
        <v>3</v>
      </c>
    </row>
    <row r="50" spans="5:23">
      <c r="E50" s="842">
        <v>0.1</v>
      </c>
      <c r="F50" s="843">
        <v>1</v>
      </c>
      <c r="V50" s="732" t="s">
        <v>2914</v>
      </c>
      <c r="W50" s="588">
        <v>3</v>
      </c>
    </row>
    <row r="51" spans="5:23">
      <c r="E51" s="842">
        <v>0.15</v>
      </c>
      <c r="F51" s="843">
        <v>0.92500000000000004</v>
      </c>
      <c r="V51" s="732" t="s">
        <v>2915</v>
      </c>
      <c r="W51" s="588">
        <v>3</v>
      </c>
    </row>
    <row r="52" spans="5:23" ht="15.75" thickBot="1">
      <c r="E52" s="844" t="s">
        <v>3261</v>
      </c>
      <c r="F52" s="845">
        <v>0.9</v>
      </c>
      <c r="V52" s="732" t="s">
        <v>2916</v>
      </c>
      <c r="W52" s="588">
        <v>3</v>
      </c>
    </row>
    <row r="53" spans="5:23">
      <c r="V53" s="732" t="s">
        <v>2962</v>
      </c>
      <c r="W53" s="588">
        <v>3</v>
      </c>
    </row>
    <row r="54" spans="5:23">
      <c r="V54" s="732" t="s">
        <v>2963</v>
      </c>
      <c r="W54" s="588">
        <v>3</v>
      </c>
    </row>
    <row r="55" spans="5:23">
      <c r="V55" s="732" t="s">
        <v>3262</v>
      </c>
      <c r="W55" s="588">
        <v>4</v>
      </c>
    </row>
    <row r="56" spans="5:23">
      <c r="V56" s="732" t="s">
        <v>2917</v>
      </c>
      <c r="W56" s="588">
        <v>4</v>
      </c>
    </row>
    <row r="57" spans="5:23">
      <c r="V57" s="732" t="s">
        <v>3263</v>
      </c>
      <c r="W57" s="588">
        <v>4</v>
      </c>
    </row>
    <row r="58" spans="5:23">
      <c r="V58" s="732" t="s">
        <v>2919</v>
      </c>
      <c r="W58" s="588">
        <v>4</v>
      </c>
    </row>
    <row r="59" spans="5:23">
      <c r="V59" s="732" t="s">
        <v>2920</v>
      </c>
      <c r="W59" s="588">
        <v>4</v>
      </c>
    </row>
    <row r="60" spans="5:23">
      <c r="V60" s="732" t="s">
        <v>2922</v>
      </c>
      <c r="W60" s="588">
        <v>4</v>
      </c>
    </row>
    <row r="61" spans="5:23">
      <c r="V61" s="732" t="s">
        <v>3264</v>
      </c>
      <c r="W61" s="588">
        <v>4</v>
      </c>
    </row>
    <row r="62" spans="5:23">
      <c r="V62" s="732" t="s">
        <v>2923</v>
      </c>
      <c r="W62" s="588">
        <v>4</v>
      </c>
    </row>
    <row r="63" spans="5:23">
      <c r="V63" s="732" t="s">
        <v>2924</v>
      </c>
      <c r="W63" s="588">
        <v>4</v>
      </c>
    </row>
    <row r="64" spans="5:23">
      <c r="V64" s="732" t="s">
        <v>2926</v>
      </c>
      <c r="W64" s="588">
        <v>4</v>
      </c>
    </row>
    <row r="65" spans="22:23">
      <c r="V65" s="732" t="s">
        <v>2927</v>
      </c>
      <c r="W65" s="588">
        <v>4</v>
      </c>
    </row>
    <row r="66" spans="22:23">
      <c r="V66" s="732" t="s">
        <v>2928</v>
      </c>
      <c r="W66" s="588">
        <v>4</v>
      </c>
    </row>
    <row r="67" spans="22:23">
      <c r="V67" s="732" t="s">
        <v>3026</v>
      </c>
      <c r="W67" s="588">
        <v>5</v>
      </c>
    </row>
    <row r="68" spans="22:23">
      <c r="V68" s="732" t="s">
        <v>3027</v>
      </c>
      <c r="W68" s="588">
        <v>5</v>
      </c>
    </row>
    <row r="69" spans="22:23">
      <c r="V69" s="732" t="s">
        <v>3029</v>
      </c>
      <c r="W69" s="588">
        <v>5</v>
      </c>
    </row>
    <row r="70" spans="22:23">
      <c r="V70" s="732" t="s">
        <v>3265</v>
      </c>
      <c r="W70" s="588">
        <v>5</v>
      </c>
    </row>
    <row r="71" spans="22:23">
      <c r="V71" s="732" t="s">
        <v>3266</v>
      </c>
      <c r="W71" s="588">
        <v>5</v>
      </c>
    </row>
    <row r="72" spans="22:23">
      <c r="V72" s="732" t="s">
        <v>3267</v>
      </c>
      <c r="W72" s="588">
        <v>5</v>
      </c>
    </row>
    <row r="73" spans="22:23">
      <c r="V73" s="732" t="s">
        <v>3030</v>
      </c>
      <c r="W73" s="588">
        <v>5</v>
      </c>
    </row>
    <row r="74" spans="22:23">
      <c r="V74" s="732" t="s">
        <v>3268</v>
      </c>
      <c r="W74" s="588">
        <v>5</v>
      </c>
    </row>
    <row r="75" spans="22:23">
      <c r="V75" s="732" t="s">
        <v>3269</v>
      </c>
      <c r="W75" s="588">
        <v>5</v>
      </c>
    </row>
    <row r="76" spans="22:23">
      <c r="V76" s="732" t="s">
        <v>3031</v>
      </c>
      <c r="W76" s="588">
        <v>5</v>
      </c>
    </row>
    <row r="77" spans="22:23">
      <c r="V77" s="732" t="s">
        <v>3032</v>
      </c>
      <c r="W77" s="588">
        <v>6</v>
      </c>
    </row>
    <row r="78" spans="22:23">
      <c r="V78" s="732" t="s">
        <v>3033</v>
      </c>
      <c r="W78" s="588">
        <v>6</v>
      </c>
    </row>
    <row r="79" spans="22:23">
      <c r="V79" s="732" t="s">
        <v>3034</v>
      </c>
      <c r="W79" s="588">
        <v>6</v>
      </c>
    </row>
    <row r="80" spans="22:23">
      <c r="V80" s="732" t="s">
        <v>3036</v>
      </c>
      <c r="W80" s="588">
        <v>6</v>
      </c>
    </row>
    <row r="81" spans="22:23">
      <c r="V81" s="732" t="s">
        <v>3270</v>
      </c>
      <c r="W81" s="588">
        <v>6</v>
      </c>
    </row>
    <row r="82" spans="22:23">
      <c r="V82" s="732" t="s">
        <v>3038</v>
      </c>
      <c r="W82" s="588">
        <v>6</v>
      </c>
    </row>
    <row r="83" spans="22:23">
      <c r="V83" s="732" t="s">
        <v>3271</v>
      </c>
      <c r="W83" s="588">
        <v>6</v>
      </c>
    </row>
    <row r="84" spans="22:23">
      <c r="V84" s="732" t="s">
        <v>3039</v>
      </c>
      <c r="W84" s="588">
        <v>6</v>
      </c>
    </row>
    <row r="85" spans="22:23">
      <c r="V85" s="732" t="s">
        <v>3040</v>
      </c>
      <c r="W85" s="588">
        <v>6</v>
      </c>
    </row>
    <row r="86" spans="22:23">
      <c r="V86" s="732" t="s">
        <v>3041</v>
      </c>
      <c r="W86" s="588">
        <v>6</v>
      </c>
    </row>
    <row r="87" spans="22:23">
      <c r="V87" s="732" t="s">
        <v>3272</v>
      </c>
      <c r="W87" s="588">
        <v>6</v>
      </c>
    </row>
    <row r="88" spans="22:23">
      <c r="V88" s="732" t="s">
        <v>3042</v>
      </c>
      <c r="W88" s="588">
        <v>6</v>
      </c>
    </row>
    <row r="89" spans="22:23">
      <c r="V89" s="732" t="s">
        <v>3043</v>
      </c>
      <c r="W89" s="588">
        <v>6</v>
      </c>
    </row>
    <row r="90" spans="22:23">
      <c r="V90" s="732" t="s">
        <v>3044</v>
      </c>
      <c r="W90" s="588">
        <v>6</v>
      </c>
    </row>
    <row r="91" spans="22:23">
      <c r="V91" s="732" t="s">
        <v>3045</v>
      </c>
      <c r="W91" s="588">
        <v>6</v>
      </c>
    </row>
    <row r="92" spans="22:23">
      <c r="V92" s="732" t="s">
        <v>3046</v>
      </c>
      <c r="W92" s="588">
        <v>6</v>
      </c>
    </row>
    <row r="93" spans="22:23">
      <c r="V93" s="732" t="s">
        <v>2949</v>
      </c>
      <c r="W93" s="588">
        <v>4</v>
      </c>
    </row>
    <row r="94" spans="22:23">
      <c r="V94" s="732" t="s">
        <v>2950</v>
      </c>
      <c r="W94" s="588">
        <v>4</v>
      </c>
    </row>
    <row r="95" spans="22:23">
      <c r="V95" s="732" t="s">
        <v>2951</v>
      </c>
      <c r="W95" s="588">
        <v>4</v>
      </c>
    </row>
    <row r="96" spans="22:23">
      <c r="V96" s="732" t="s">
        <v>3273</v>
      </c>
      <c r="W96" s="588">
        <v>4</v>
      </c>
    </row>
    <row r="97" spans="22:23">
      <c r="V97" s="732" t="s">
        <v>2952</v>
      </c>
      <c r="W97" s="588">
        <v>4</v>
      </c>
    </row>
    <row r="98" spans="22:23">
      <c r="V98" s="732" t="s">
        <v>3274</v>
      </c>
      <c r="W98" s="588">
        <v>4</v>
      </c>
    </row>
    <row r="99" spans="22:23">
      <c r="V99" s="732" t="s">
        <v>2953</v>
      </c>
      <c r="W99" s="588">
        <v>4</v>
      </c>
    </row>
    <row r="100" spans="22:23">
      <c r="V100" s="732" t="s">
        <v>3275</v>
      </c>
      <c r="W100" s="588">
        <v>4</v>
      </c>
    </row>
    <row r="101" spans="22:23">
      <c r="V101" s="732" t="s">
        <v>3276</v>
      </c>
      <c r="W101" s="588">
        <v>4</v>
      </c>
    </row>
    <row r="102" spans="22:23">
      <c r="V102" s="732" t="s">
        <v>3277</v>
      </c>
      <c r="W102" s="588">
        <v>4</v>
      </c>
    </row>
    <row r="103" spans="22:23">
      <c r="V103" s="732" t="s">
        <v>2954</v>
      </c>
      <c r="W103" s="588">
        <v>4</v>
      </c>
    </row>
    <row r="104" spans="22:23">
      <c r="V104" s="732" t="s">
        <v>2956</v>
      </c>
      <c r="W104" s="588">
        <v>4</v>
      </c>
    </row>
    <row r="105" spans="22:23">
      <c r="V105" s="732" t="s">
        <v>2957</v>
      </c>
      <c r="W105" s="588">
        <v>4</v>
      </c>
    </row>
    <row r="106" spans="22:23">
      <c r="V106" s="732" t="s">
        <v>2958</v>
      </c>
      <c r="W106" s="588">
        <v>4</v>
      </c>
    </row>
    <row r="107" spans="22:23">
      <c r="V107" s="732" t="s">
        <v>3278</v>
      </c>
      <c r="W107" s="588">
        <v>4</v>
      </c>
    </row>
    <row r="108" spans="22:23">
      <c r="V108" s="732" t="s">
        <v>2959</v>
      </c>
      <c r="W108" s="588">
        <v>4</v>
      </c>
    </row>
    <row r="109" spans="22:23">
      <c r="V109" s="732" t="s">
        <v>3279</v>
      </c>
      <c r="W109" s="588">
        <v>4</v>
      </c>
    </row>
    <row r="110" spans="22:23">
      <c r="V110" s="732" t="s">
        <v>2960</v>
      </c>
      <c r="W110" s="588">
        <v>4</v>
      </c>
    </row>
    <row r="111" spans="22:23">
      <c r="V111" s="732" t="s">
        <v>2961</v>
      </c>
      <c r="W111" s="588">
        <v>4</v>
      </c>
    </row>
    <row r="112" spans="22:23">
      <c r="V112" s="732" t="s">
        <v>2962</v>
      </c>
      <c r="W112" s="588">
        <v>4</v>
      </c>
    </row>
    <row r="113" spans="22:23">
      <c r="V113" s="732" t="s">
        <v>3280</v>
      </c>
      <c r="W113" s="588">
        <v>4</v>
      </c>
    </row>
    <row r="114" spans="22:23">
      <c r="V114" s="732" t="s">
        <v>2963</v>
      </c>
      <c r="W114" s="588">
        <v>4</v>
      </c>
    </row>
    <row r="115" spans="22:23">
      <c r="V115" s="732" t="s">
        <v>2964</v>
      </c>
      <c r="W115" s="588">
        <v>4</v>
      </c>
    </row>
    <row r="116" spans="22:23">
      <c r="V116" s="732" t="s">
        <v>2965</v>
      </c>
      <c r="W116" s="588">
        <v>4</v>
      </c>
    </row>
    <row r="117" spans="22:23">
      <c r="V117" s="732" t="s">
        <v>3281</v>
      </c>
      <c r="W117" s="588">
        <v>4</v>
      </c>
    </row>
    <row r="118" spans="22:23">
      <c r="V118" s="732" t="s">
        <v>2966</v>
      </c>
      <c r="W118" s="588">
        <v>4</v>
      </c>
    </row>
  </sheetData>
  <mergeCells count="7">
    <mergeCell ref="N11:O11"/>
    <mergeCell ref="G13:M13"/>
    <mergeCell ref="G9:M9"/>
    <mergeCell ref="G10:M10"/>
    <mergeCell ref="G11:H11"/>
    <mergeCell ref="I11:J11"/>
    <mergeCell ref="K11:L11"/>
  </mergeCells>
  <pageMargins left="0.45" right="0.45" top="0.75" bottom="0.75" header="0.3" footer="0.3"/>
  <pageSetup scale="64" fitToHeight="2" orientation="landscape" verticalDpi="1200" r:id="rId1"/>
  <headerFooter>
    <oddFooter>&amp;RPage &amp;P</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5">
    <tabColor theme="2" tint="-0.499984740745262"/>
  </sheetPr>
  <dimension ref="A1:N31"/>
  <sheetViews>
    <sheetView showGridLines="0" topLeftCell="D1" zoomScaleNormal="100" zoomScaleSheetLayoutView="85" workbookViewId="0">
      <selection activeCell="L9" sqref="L9"/>
    </sheetView>
  </sheetViews>
  <sheetFormatPr defaultColWidth="9.140625" defaultRowHeight="15" outlineLevelCol="1"/>
  <cols>
    <col min="1" max="1" width="13.140625" style="846" customWidth="1"/>
    <col min="2" max="2" width="15.85546875" hidden="1" customWidth="1" outlineLevel="1"/>
    <col min="3" max="3" width="14.5703125" customWidth="1" collapsed="1"/>
    <col min="4" max="4" width="12.5703125" customWidth="1"/>
    <col min="5" max="9" width="16.85546875" customWidth="1"/>
    <col min="10" max="10" width="6.85546875" customWidth="1"/>
    <col min="11" max="11" width="22" style="586" customWidth="1"/>
    <col min="12" max="12" width="41.42578125" style="588" customWidth="1"/>
    <col min="13" max="13" width="5" style="588" customWidth="1" outlineLevel="1"/>
    <col min="14" max="14" width="19.28515625" style="588" customWidth="1" outlineLevel="1"/>
    <col min="15" max="15" width="16.5703125" customWidth="1"/>
    <col min="16" max="16" width="15" customWidth="1"/>
    <col min="259" max="259" width="14.5703125" customWidth="1"/>
    <col min="260" max="260" width="12.5703125" customWidth="1"/>
    <col min="261" max="261" width="16.140625" customWidth="1"/>
    <col min="262" max="262" width="20.5703125" customWidth="1"/>
    <col min="263" max="263" width="21" customWidth="1"/>
    <col min="264" max="270" width="19.28515625" customWidth="1"/>
    <col min="515" max="515" width="14.5703125" customWidth="1"/>
    <col min="516" max="516" width="12.5703125" customWidth="1"/>
    <col min="517" max="517" width="16.140625" customWidth="1"/>
    <col min="518" max="518" width="20.5703125" customWidth="1"/>
    <col min="519" max="519" width="21" customWidth="1"/>
    <col min="520" max="526" width="19.28515625" customWidth="1"/>
    <col min="771" max="771" width="14.5703125" customWidth="1"/>
    <col min="772" max="772" width="12.5703125" customWidth="1"/>
    <col min="773" max="773" width="16.140625" customWidth="1"/>
    <col min="774" max="774" width="20.5703125" customWidth="1"/>
    <col min="775" max="775" width="21" customWidth="1"/>
    <col min="776" max="782" width="19.28515625" customWidth="1"/>
    <col min="1027" max="1027" width="14.5703125" customWidth="1"/>
    <col min="1028" max="1028" width="12.5703125" customWidth="1"/>
    <col min="1029" max="1029" width="16.140625" customWidth="1"/>
    <col min="1030" max="1030" width="20.5703125" customWidth="1"/>
    <col min="1031" max="1031" width="21" customWidth="1"/>
    <col min="1032" max="1038" width="19.28515625" customWidth="1"/>
    <col min="1283" max="1283" width="14.5703125" customWidth="1"/>
    <col min="1284" max="1284" width="12.5703125" customWidth="1"/>
    <col min="1285" max="1285" width="16.140625" customWidth="1"/>
    <col min="1286" max="1286" width="20.5703125" customWidth="1"/>
    <col min="1287" max="1287" width="21" customWidth="1"/>
    <col min="1288" max="1294" width="19.28515625" customWidth="1"/>
    <col min="1539" max="1539" width="14.5703125" customWidth="1"/>
    <col min="1540" max="1540" width="12.5703125" customWidth="1"/>
    <col min="1541" max="1541" width="16.140625" customWidth="1"/>
    <col min="1542" max="1542" width="20.5703125" customWidth="1"/>
    <col min="1543" max="1543" width="21" customWidth="1"/>
    <col min="1544" max="1550" width="19.28515625" customWidth="1"/>
    <col min="1795" max="1795" width="14.5703125" customWidth="1"/>
    <col min="1796" max="1796" width="12.5703125" customWidth="1"/>
    <col min="1797" max="1797" width="16.140625" customWidth="1"/>
    <col min="1798" max="1798" width="20.5703125" customWidth="1"/>
    <col min="1799" max="1799" width="21" customWidth="1"/>
    <col min="1800" max="1806" width="19.28515625" customWidth="1"/>
    <col min="2051" max="2051" width="14.5703125" customWidth="1"/>
    <col min="2052" max="2052" width="12.5703125" customWidth="1"/>
    <col min="2053" max="2053" width="16.140625" customWidth="1"/>
    <col min="2054" max="2054" width="20.5703125" customWidth="1"/>
    <col min="2055" max="2055" width="21" customWidth="1"/>
    <col min="2056" max="2062" width="19.28515625" customWidth="1"/>
    <col min="2307" max="2307" width="14.5703125" customWidth="1"/>
    <col min="2308" max="2308" width="12.5703125" customWidth="1"/>
    <col min="2309" max="2309" width="16.140625" customWidth="1"/>
    <col min="2310" max="2310" width="20.5703125" customWidth="1"/>
    <col min="2311" max="2311" width="21" customWidth="1"/>
    <col min="2312" max="2318" width="19.28515625" customWidth="1"/>
    <col min="2563" max="2563" width="14.5703125" customWidth="1"/>
    <col min="2564" max="2564" width="12.5703125" customWidth="1"/>
    <col min="2565" max="2565" width="16.140625" customWidth="1"/>
    <col min="2566" max="2566" width="20.5703125" customWidth="1"/>
    <col min="2567" max="2567" width="21" customWidth="1"/>
    <col min="2568" max="2574" width="19.28515625" customWidth="1"/>
    <col min="2819" max="2819" width="14.5703125" customWidth="1"/>
    <col min="2820" max="2820" width="12.5703125" customWidth="1"/>
    <col min="2821" max="2821" width="16.140625" customWidth="1"/>
    <col min="2822" max="2822" width="20.5703125" customWidth="1"/>
    <col min="2823" max="2823" width="21" customWidth="1"/>
    <col min="2824" max="2830" width="19.28515625" customWidth="1"/>
    <col min="3075" max="3075" width="14.5703125" customWidth="1"/>
    <col min="3076" max="3076" width="12.5703125" customWidth="1"/>
    <col min="3077" max="3077" width="16.140625" customWidth="1"/>
    <col min="3078" max="3078" width="20.5703125" customWidth="1"/>
    <col min="3079" max="3079" width="21" customWidth="1"/>
    <col min="3080" max="3086" width="19.28515625" customWidth="1"/>
    <col min="3331" max="3331" width="14.5703125" customWidth="1"/>
    <col min="3332" max="3332" width="12.5703125" customWidth="1"/>
    <col min="3333" max="3333" width="16.140625" customWidth="1"/>
    <col min="3334" max="3334" width="20.5703125" customWidth="1"/>
    <col min="3335" max="3335" width="21" customWidth="1"/>
    <col min="3336" max="3342" width="19.28515625" customWidth="1"/>
    <col min="3587" max="3587" width="14.5703125" customWidth="1"/>
    <col min="3588" max="3588" width="12.5703125" customWidth="1"/>
    <col min="3589" max="3589" width="16.140625" customWidth="1"/>
    <col min="3590" max="3590" width="20.5703125" customWidth="1"/>
    <col min="3591" max="3591" width="21" customWidth="1"/>
    <col min="3592" max="3598" width="19.28515625" customWidth="1"/>
    <col min="3843" max="3843" width="14.5703125" customWidth="1"/>
    <col min="3844" max="3844" width="12.5703125" customWidth="1"/>
    <col min="3845" max="3845" width="16.140625" customWidth="1"/>
    <col min="3846" max="3846" width="20.5703125" customWidth="1"/>
    <col min="3847" max="3847" width="21" customWidth="1"/>
    <col min="3848" max="3854" width="19.28515625" customWidth="1"/>
    <col min="4099" max="4099" width="14.5703125" customWidth="1"/>
    <col min="4100" max="4100" width="12.5703125" customWidth="1"/>
    <col min="4101" max="4101" width="16.140625" customWidth="1"/>
    <col min="4102" max="4102" width="20.5703125" customWidth="1"/>
    <col min="4103" max="4103" width="21" customWidth="1"/>
    <col min="4104" max="4110" width="19.28515625" customWidth="1"/>
    <col min="4355" max="4355" width="14.5703125" customWidth="1"/>
    <col min="4356" max="4356" width="12.5703125" customWidth="1"/>
    <col min="4357" max="4357" width="16.140625" customWidth="1"/>
    <col min="4358" max="4358" width="20.5703125" customWidth="1"/>
    <col min="4359" max="4359" width="21" customWidth="1"/>
    <col min="4360" max="4366" width="19.28515625" customWidth="1"/>
    <col min="4611" max="4611" width="14.5703125" customWidth="1"/>
    <col min="4612" max="4612" width="12.5703125" customWidth="1"/>
    <col min="4613" max="4613" width="16.140625" customWidth="1"/>
    <col min="4614" max="4614" width="20.5703125" customWidth="1"/>
    <col min="4615" max="4615" width="21" customWidth="1"/>
    <col min="4616" max="4622" width="19.28515625" customWidth="1"/>
    <col min="4867" max="4867" width="14.5703125" customWidth="1"/>
    <col min="4868" max="4868" width="12.5703125" customWidth="1"/>
    <col min="4869" max="4869" width="16.140625" customWidth="1"/>
    <col min="4870" max="4870" width="20.5703125" customWidth="1"/>
    <col min="4871" max="4871" width="21" customWidth="1"/>
    <col min="4872" max="4878" width="19.28515625" customWidth="1"/>
    <col min="5123" max="5123" width="14.5703125" customWidth="1"/>
    <col min="5124" max="5124" width="12.5703125" customWidth="1"/>
    <col min="5125" max="5125" width="16.140625" customWidth="1"/>
    <col min="5126" max="5126" width="20.5703125" customWidth="1"/>
    <col min="5127" max="5127" width="21" customWidth="1"/>
    <col min="5128" max="5134" width="19.28515625" customWidth="1"/>
    <col min="5379" max="5379" width="14.5703125" customWidth="1"/>
    <col min="5380" max="5380" width="12.5703125" customWidth="1"/>
    <col min="5381" max="5381" width="16.140625" customWidth="1"/>
    <col min="5382" max="5382" width="20.5703125" customWidth="1"/>
    <col min="5383" max="5383" width="21" customWidth="1"/>
    <col min="5384" max="5390" width="19.28515625" customWidth="1"/>
    <col min="5635" max="5635" width="14.5703125" customWidth="1"/>
    <col min="5636" max="5636" width="12.5703125" customWidth="1"/>
    <col min="5637" max="5637" width="16.140625" customWidth="1"/>
    <col min="5638" max="5638" width="20.5703125" customWidth="1"/>
    <col min="5639" max="5639" width="21" customWidth="1"/>
    <col min="5640" max="5646" width="19.28515625" customWidth="1"/>
    <col min="5891" max="5891" width="14.5703125" customWidth="1"/>
    <col min="5892" max="5892" width="12.5703125" customWidth="1"/>
    <col min="5893" max="5893" width="16.140625" customWidth="1"/>
    <col min="5894" max="5894" width="20.5703125" customWidth="1"/>
    <col min="5895" max="5895" width="21" customWidth="1"/>
    <col min="5896" max="5902" width="19.28515625" customWidth="1"/>
    <col min="6147" max="6147" width="14.5703125" customWidth="1"/>
    <col min="6148" max="6148" width="12.5703125" customWidth="1"/>
    <col min="6149" max="6149" width="16.140625" customWidth="1"/>
    <col min="6150" max="6150" width="20.5703125" customWidth="1"/>
    <col min="6151" max="6151" width="21" customWidth="1"/>
    <col min="6152" max="6158" width="19.28515625" customWidth="1"/>
    <col min="6403" max="6403" width="14.5703125" customWidth="1"/>
    <col min="6404" max="6404" width="12.5703125" customWidth="1"/>
    <col min="6405" max="6405" width="16.140625" customWidth="1"/>
    <col min="6406" max="6406" width="20.5703125" customWidth="1"/>
    <col min="6407" max="6407" width="21" customWidth="1"/>
    <col min="6408" max="6414" width="19.28515625" customWidth="1"/>
    <col min="6659" max="6659" width="14.5703125" customWidth="1"/>
    <col min="6660" max="6660" width="12.5703125" customWidth="1"/>
    <col min="6661" max="6661" width="16.140625" customWidth="1"/>
    <col min="6662" max="6662" width="20.5703125" customWidth="1"/>
    <col min="6663" max="6663" width="21" customWidth="1"/>
    <col min="6664" max="6670" width="19.28515625" customWidth="1"/>
    <col min="6915" max="6915" width="14.5703125" customWidth="1"/>
    <col min="6916" max="6916" width="12.5703125" customWidth="1"/>
    <col min="6917" max="6917" width="16.140625" customWidth="1"/>
    <col min="6918" max="6918" width="20.5703125" customWidth="1"/>
    <col min="6919" max="6919" width="21" customWidth="1"/>
    <col min="6920" max="6926" width="19.28515625" customWidth="1"/>
    <col min="7171" max="7171" width="14.5703125" customWidth="1"/>
    <col min="7172" max="7172" width="12.5703125" customWidth="1"/>
    <col min="7173" max="7173" width="16.140625" customWidth="1"/>
    <col min="7174" max="7174" width="20.5703125" customWidth="1"/>
    <col min="7175" max="7175" width="21" customWidth="1"/>
    <col min="7176" max="7182" width="19.28515625" customWidth="1"/>
    <col min="7427" max="7427" width="14.5703125" customWidth="1"/>
    <col min="7428" max="7428" width="12.5703125" customWidth="1"/>
    <col min="7429" max="7429" width="16.140625" customWidth="1"/>
    <col min="7430" max="7430" width="20.5703125" customWidth="1"/>
    <col min="7431" max="7431" width="21" customWidth="1"/>
    <col min="7432" max="7438" width="19.28515625" customWidth="1"/>
    <col min="7683" max="7683" width="14.5703125" customWidth="1"/>
    <col min="7684" max="7684" width="12.5703125" customWidth="1"/>
    <col min="7685" max="7685" width="16.140625" customWidth="1"/>
    <col min="7686" max="7686" width="20.5703125" customWidth="1"/>
    <col min="7687" max="7687" width="21" customWidth="1"/>
    <col min="7688" max="7694" width="19.28515625" customWidth="1"/>
    <col min="7939" max="7939" width="14.5703125" customWidth="1"/>
    <col min="7940" max="7940" width="12.5703125" customWidth="1"/>
    <col min="7941" max="7941" width="16.140625" customWidth="1"/>
    <col min="7942" max="7942" width="20.5703125" customWidth="1"/>
    <col min="7943" max="7943" width="21" customWidth="1"/>
    <col min="7944" max="7950" width="19.28515625" customWidth="1"/>
    <col min="8195" max="8195" width="14.5703125" customWidth="1"/>
    <col min="8196" max="8196" width="12.5703125" customWidth="1"/>
    <col min="8197" max="8197" width="16.140625" customWidth="1"/>
    <col min="8198" max="8198" width="20.5703125" customWidth="1"/>
    <col min="8199" max="8199" width="21" customWidth="1"/>
    <col min="8200" max="8206" width="19.28515625" customWidth="1"/>
    <col min="8451" max="8451" width="14.5703125" customWidth="1"/>
    <col min="8452" max="8452" width="12.5703125" customWidth="1"/>
    <col min="8453" max="8453" width="16.140625" customWidth="1"/>
    <col min="8454" max="8454" width="20.5703125" customWidth="1"/>
    <col min="8455" max="8455" width="21" customWidth="1"/>
    <col min="8456" max="8462" width="19.28515625" customWidth="1"/>
    <col min="8707" max="8707" width="14.5703125" customWidth="1"/>
    <col min="8708" max="8708" width="12.5703125" customWidth="1"/>
    <col min="8709" max="8709" width="16.140625" customWidth="1"/>
    <col min="8710" max="8710" width="20.5703125" customWidth="1"/>
    <col min="8711" max="8711" width="21" customWidth="1"/>
    <col min="8712" max="8718" width="19.28515625" customWidth="1"/>
    <col min="8963" max="8963" width="14.5703125" customWidth="1"/>
    <col min="8964" max="8964" width="12.5703125" customWidth="1"/>
    <col min="8965" max="8965" width="16.140625" customWidth="1"/>
    <col min="8966" max="8966" width="20.5703125" customWidth="1"/>
    <col min="8967" max="8967" width="21" customWidth="1"/>
    <col min="8968" max="8974" width="19.28515625" customWidth="1"/>
    <col min="9219" max="9219" width="14.5703125" customWidth="1"/>
    <col min="9220" max="9220" width="12.5703125" customWidth="1"/>
    <col min="9221" max="9221" width="16.140625" customWidth="1"/>
    <col min="9222" max="9222" width="20.5703125" customWidth="1"/>
    <col min="9223" max="9223" width="21" customWidth="1"/>
    <col min="9224" max="9230" width="19.28515625" customWidth="1"/>
    <col min="9475" max="9475" width="14.5703125" customWidth="1"/>
    <col min="9476" max="9476" width="12.5703125" customWidth="1"/>
    <col min="9477" max="9477" width="16.140625" customWidth="1"/>
    <col min="9478" max="9478" width="20.5703125" customWidth="1"/>
    <col min="9479" max="9479" width="21" customWidth="1"/>
    <col min="9480" max="9486" width="19.28515625" customWidth="1"/>
    <col min="9731" max="9731" width="14.5703125" customWidth="1"/>
    <col min="9732" max="9732" width="12.5703125" customWidth="1"/>
    <col min="9733" max="9733" width="16.140625" customWidth="1"/>
    <col min="9734" max="9734" width="20.5703125" customWidth="1"/>
    <col min="9735" max="9735" width="21" customWidth="1"/>
    <col min="9736" max="9742" width="19.28515625" customWidth="1"/>
    <col min="9987" max="9987" width="14.5703125" customWidth="1"/>
    <col min="9988" max="9988" width="12.5703125" customWidth="1"/>
    <col min="9989" max="9989" width="16.140625" customWidth="1"/>
    <col min="9990" max="9990" width="20.5703125" customWidth="1"/>
    <col min="9991" max="9991" width="21" customWidth="1"/>
    <col min="9992" max="9998" width="19.28515625" customWidth="1"/>
    <col min="10243" max="10243" width="14.5703125" customWidth="1"/>
    <col min="10244" max="10244" width="12.5703125" customWidth="1"/>
    <col min="10245" max="10245" width="16.140625" customWidth="1"/>
    <col min="10246" max="10246" width="20.5703125" customWidth="1"/>
    <col min="10247" max="10247" width="21" customWidth="1"/>
    <col min="10248" max="10254" width="19.28515625" customWidth="1"/>
    <col min="10499" max="10499" width="14.5703125" customWidth="1"/>
    <col min="10500" max="10500" width="12.5703125" customWidth="1"/>
    <col min="10501" max="10501" width="16.140625" customWidth="1"/>
    <col min="10502" max="10502" width="20.5703125" customWidth="1"/>
    <col min="10503" max="10503" width="21" customWidth="1"/>
    <col min="10504" max="10510" width="19.28515625" customWidth="1"/>
    <col min="10755" max="10755" width="14.5703125" customWidth="1"/>
    <col min="10756" max="10756" width="12.5703125" customWidth="1"/>
    <col min="10757" max="10757" width="16.140625" customWidth="1"/>
    <col min="10758" max="10758" width="20.5703125" customWidth="1"/>
    <col min="10759" max="10759" width="21" customWidth="1"/>
    <col min="10760" max="10766" width="19.28515625" customWidth="1"/>
    <col min="11011" max="11011" width="14.5703125" customWidth="1"/>
    <col min="11012" max="11012" width="12.5703125" customWidth="1"/>
    <col min="11013" max="11013" width="16.140625" customWidth="1"/>
    <col min="11014" max="11014" width="20.5703125" customWidth="1"/>
    <col min="11015" max="11015" width="21" customWidth="1"/>
    <col min="11016" max="11022" width="19.28515625" customWidth="1"/>
    <col min="11267" max="11267" width="14.5703125" customWidth="1"/>
    <col min="11268" max="11268" width="12.5703125" customWidth="1"/>
    <col min="11269" max="11269" width="16.140625" customWidth="1"/>
    <col min="11270" max="11270" width="20.5703125" customWidth="1"/>
    <col min="11271" max="11271" width="21" customWidth="1"/>
    <col min="11272" max="11278" width="19.28515625" customWidth="1"/>
    <col min="11523" max="11523" width="14.5703125" customWidth="1"/>
    <col min="11524" max="11524" width="12.5703125" customWidth="1"/>
    <col min="11525" max="11525" width="16.140625" customWidth="1"/>
    <col min="11526" max="11526" width="20.5703125" customWidth="1"/>
    <col min="11527" max="11527" width="21" customWidth="1"/>
    <col min="11528" max="11534" width="19.28515625" customWidth="1"/>
    <col min="11779" max="11779" width="14.5703125" customWidth="1"/>
    <col min="11780" max="11780" width="12.5703125" customWidth="1"/>
    <col min="11781" max="11781" width="16.140625" customWidth="1"/>
    <col min="11782" max="11782" width="20.5703125" customWidth="1"/>
    <col min="11783" max="11783" width="21" customWidth="1"/>
    <col min="11784" max="11790" width="19.28515625" customWidth="1"/>
    <col min="12035" max="12035" width="14.5703125" customWidth="1"/>
    <col min="12036" max="12036" width="12.5703125" customWidth="1"/>
    <col min="12037" max="12037" width="16.140625" customWidth="1"/>
    <col min="12038" max="12038" width="20.5703125" customWidth="1"/>
    <col min="12039" max="12039" width="21" customWidth="1"/>
    <col min="12040" max="12046" width="19.28515625" customWidth="1"/>
    <col min="12291" max="12291" width="14.5703125" customWidth="1"/>
    <col min="12292" max="12292" width="12.5703125" customWidth="1"/>
    <col min="12293" max="12293" width="16.140625" customWidth="1"/>
    <col min="12294" max="12294" width="20.5703125" customWidth="1"/>
    <col min="12295" max="12295" width="21" customWidth="1"/>
    <col min="12296" max="12302" width="19.28515625" customWidth="1"/>
    <col min="12547" max="12547" width="14.5703125" customWidth="1"/>
    <col min="12548" max="12548" width="12.5703125" customWidth="1"/>
    <col min="12549" max="12549" width="16.140625" customWidth="1"/>
    <col min="12550" max="12550" width="20.5703125" customWidth="1"/>
    <col min="12551" max="12551" width="21" customWidth="1"/>
    <col min="12552" max="12558" width="19.28515625" customWidth="1"/>
    <col min="12803" max="12803" width="14.5703125" customWidth="1"/>
    <col min="12804" max="12804" width="12.5703125" customWidth="1"/>
    <col min="12805" max="12805" width="16.140625" customWidth="1"/>
    <col min="12806" max="12806" width="20.5703125" customWidth="1"/>
    <col min="12807" max="12807" width="21" customWidth="1"/>
    <col min="12808" max="12814" width="19.28515625" customWidth="1"/>
    <col min="13059" max="13059" width="14.5703125" customWidth="1"/>
    <col min="13060" max="13060" width="12.5703125" customWidth="1"/>
    <col min="13061" max="13061" width="16.140625" customWidth="1"/>
    <col min="13062" max="13062" width="20.5703125" customWidth="1"/>
    <col min="13063" max="13063" width="21" customWidth="1"/>
    <col min="13064" max="13070" width="19.28515625" customWidth="1"/>
    <col min="13315" max="13315" width="14.5703125" customWidth="1"/>
    <col min="13316" max="13316" width="12.5703125" customWidth="1"/>
    <col min="13317" max="13317" width="16.140625" customWidth="1"/>
    <col min="13318" max="13318" width="20.5703125" customWidth="1"/>
    <col min="13319" max="13319" width="21" customWidth="1"/>
    <col min="13320" max="13326" width="19.28515625" customWidth="1"/>
    <col min="13571" max="13571" width="14.5703125" customWidth="1"/>
    <col min="13572" max="13572" width="12.5703125" customWidth="1"/>
    <col min="13573" max="13573" width="16.140625" customWidth="1"/>
    <col min="13574" max="13574" width="20.5703125" customWidth="1"/>
    <col min="13575" max="13575" width="21" customWidth="1"/>
    <col min="13576" max="13582" width="19.28515625" customWidth="1"/>
    <col min="13827" max="13827" width="14.5703125" customWidth="1"/>
    <col min="13828" max="13828" width="12.5703125" customWidth="1"/>
    <col min="13829" max="13829" width="16.140625" customWidth="1"/>
    <col min="13830" max="13830" width="20.5703125" customWidth="1"/>
    <col min="13831" max="13831" width="21" customWidth="1"/>
    <col min="13832" max="13838" width="19.28515625" customWidth="1"/>
    <col min="14083" max="14083" width="14.5703125" customWidth="1"/>
    <col min="14084" max="14084" width="12.5703125" customWidth="1"/>
    <col min="14085" max="14085" width="16.140625" customWidth="1"/>
    <col min="14086" max="14086" width="20.5703125" customWidth="1"/>
    <col min="14087" max="14087" width="21" customWidth="1"/>
    <col min="14088" max="14094" width="19.28515625" customWidth="1"/>
    <col min="14339" max="14339" width="14.5703125" customWidth="1"/>
    <col min="14340" max="14340" width="12.5703125" customWidth="1"/>
    <col min="14341" max="14341" width="16.140625" customWidth="1"/>
    <col min="14342" max="14342" width="20.5703125" customWidth="1"/>
    <col min="14343" max="14343" width="21" customWidth="1"/>
    <col min="14344" max="14350" width="19.28515625" customWidth="1"/>
    <col min="14595" max="14595" width="14.5703125" customWidth="1"/>
    <col min="14596" max="14596" width="12.5703125" customWidth="1"/>
    <col min="14597" max="14597" width="16.140625" customWidth="1"/>
    <col min="14598" max="14598" width="20.5703125" customWidth="1"/>
    <col min="14599" max="14599" width="21" customWidth="1"/>
    <col min="14600" max="14606" width="19.28515625" customWidth="1"/>
    <col min="14851" max="14851" width="14.5703125" customWidth="1"/>
    <col min="14852" max="14852" width="12.5703125" customWidth="1"/>
    <col min="14853" max="14853" width="16.140625" customWidth="1"/>
    <col min="14854" max="14854" width="20.5703125" customWidth="1"/>
    <col min="14855" max="14855" width="21" customWidth="1"/>
    <col min="14856" max="14862" width="19.28515625" customWidth="1"/>
    <col min="15107" max="15107" width="14.5703125" customWidth="1"/>
    <col min="15108" max="15108" width="12.5703125" customWidth="1"/>
    <col min="15109" max="15109" width="16.140625" customWidth="1"/>
    <col min="15110" max="15110" width="20.5703125" customWidth="1"/>
    <col min="15111" max="15111" width="21" customWidth="1"/>
    <col min="15112" max="15118" width="19.28515625" customWidth="1"/>
    <col min="15363" max="15363" width="14.5703125" customWidth="1"/>
    <col min="15364" max="15364" width="12.5703125" customWidth="1"/>
    <col min="15365" max="15365" width="16.140625" customWidth="1"/>
    <col min="15366" max="15366" width="20.5703125" customWidth="1"/>
    <col min="15367" max="15367" width="21" customWidth="1"/>
    <col min="15368" max="15374" width="19.28515625" customWidth="1"/>
    <col min="15619" max="15619" width="14.5703125" customWidth="1"/>
    <col min="15620" max="15620" width="12.5703125" customWidth="1"/>
    <col min="15621" max="15621" width="16.140625" customWidth="1"/>
    <col min="15622" max="15622" width="20.5703125" customWidth="1"/>
    <col min="15623" max="15623" width="21" customWidth="1"/>
    <col min="15624" max="15630" width="19.28515625" customWidth="1"/>
    <col min="15875" max="15875" width="14.5703125" customWidth="1"/>
    <col min="15876" max="15876" width="12.5703125" customWidth="1"/>
    <col min="15877" max="15877" width="16.140625" customWidth="1"/>
    <col min="15878" max="15878" width="20.5703125" customWidth="1"/>
    <col min="15879" max="15879" width="21" customWidth="1"/>
    <col min="15880" max="15886" width="19.28515625" customWidth="1"/>
    <col min="16131" max="16131" width="14.5703125" customWidth="1"/>
    <col min="16132" max="16132" width="12.5703125" customWidth="1"/>
    <col min="16133" max="16133" width="16.140625" customWidth="1"/>
    <col min="16134" max="16134" width="20.5703125" customWidth="1"/>
    <col min="16135" max="16135" width="21" customWidth="1"/>
    <col min="16136" max="16142" width="19.28515625" customWidth="1"/>
  </cols>
  <sheetData>
    <row r="1" spans="1:14">
      <c r="C1" s="580" t="s">
        <v>3091</v>
      </c>
      <c r="E1" s="395" t="s">
        <v>3078</v>
      </c>
    </row>
    <row r="2" spans="1:14">
      <c r="C2" s="395" t="s">
        <v>3282</v>
      </c>
      <c r="E2" s="599" t="s">
        <v>3079</v>
      </c>
      <c r="F2" s="847" t="e">
        <f>INDEX($E$14:$I$17,$L$15,$L$14)</f>
        <v>#N/A</v>
      </c>
    </row>
    <row r="3" spans="1:14" ht="15.75" thickBot="1">
      <c r="C3" s="395"/>
      <c r="E3" s="599"/>
      <c r="F3" s="601"/>
    </row>
    <row r="4" spans="1:14" ht="16.5" thickTop="1" thickBot="1">
      <c r="C4" s="395"/>
      <c r="E4" s="599" t="s">
        <v>3080</v>
      </c>
      <c r="F4" s="848">
        <v>0.05</v>
      </c>
      <c r="K4" s="721" t="s">
        <v>3092</v>
      </c>
      <c r="L4" s="723"/>
      <c r="M4" s="723"/>
      <c r="N4" s="724"/>
    </row>
    <row r="5" spans="1:14" ht="15.75" thickTop="1">
      <c r="C5" s="395"/>
      <c r="E5" s="599" t="s">
        <v>3081</v>
      </c>
      <c r="F5" s="849">
        <f>100000</f>
        <v>100000</v>
      </c>
    </row>
    <row r="6" spans="1:14">
      <c r="E6" s="599" t="s">
        <v>1321</v>
      </c>
      <c r="F6" s="607">
        <f>E29</f>
        <v>1</v>
      </c>
      <c r="K6" s="586" t="s">
        <v>3082</v>
      </c>
      <c r="L6" s="850" t="e">
        <f>IF('EQ rate no1'!F21=Algorithm_West!$L$11,PostalCode,"Postal code is outside of West (excl. BC)")</f>
        <v>#N/A</v>
      </c>
    </row>
    <row r="7" spans="1:14">
      <c r="K7" s="586" t="s">
        <v>1300</v>
      </c>
      <c r="L7" s="851">
        <f>Yrbuilt</f>
        <v>0</v>
      </c>
      <c r="N7" s="588" t="e">
        <f>VLOOKUP(L7,D22:E23,2,TRUE)</f>
        <v>#N/A</v>
      </c>
    </row>
    <row r="8" spans="1:14">
      <c r="C8" s="395"/>
      <c r="D8" s="608"/>
      <c r="K8" s="586" t="s">
        <v>1301</v>
      </c>
      <c r="L8" s="851" t="str">
        <f>'EQ rate no1'!D8</f>
        <v>Fire Resistive</v>
      </c>
      <c r="M8" s="592"/>
      <c r="N8" s="592"/>
    </row>
    <row r="9" spans="1:14">
      <c r="C9" s="395"/>
      <c r="D9" s="608"/>
      <c r="K9" s="586" t="s">
        <v>1302</v>
      </c>
      <c r="L9" s="851">
        <f>Nbofstoreys</f>
        <v>0</v>
      </c>
    </row>
    <row r="10" spans="1:14" ht="15.75" thickBot="1">
      <c r="A10" s="846" t="s">
        <v>3283</v>
      </c>
      <c r="B10" s="395"/>
      <c r="C10" s="608"/>
      <c r="E10" s="569">
        <v>1</v>
      </c>
      <c r="F10" s="569">
        <v>2</v>
      </c>
      <c r="G10" s="569">
        <v>3</v>
      </c>
      <c r="H10" s="569">
        <v>4</v>
      </c>
      <c r="I10" s="569">
        <v>5</v>
      </c>
      <c r="K10" s="586" t="s">
        <v>3084</v>
      </c>
      <c r="L10" s="851">
        <f>Totalinsuredvalue</f>
        <v>0</v>
      </c>
    </row>
    <row r="11" spans="1:14">
      <c r="C11" s="614"/>
      <c r="D11" s="616"/>
      <c r="E11" s="617" t="s">
        <v>3097</v>
      </c>
      <c r="F11" s="852"/>
      <c r="G11" s="852"/>
      <c r="H11" s="852"/>
      <c r="I11" s="618"/>
      <c r="L11" s="588" t="s">
        <v>3284</v>
      </c>
    </row>
    <row r="12" spans="1:14">
      <c r="C12" s="619"/>
      <c r="D12" s="59"/>
      <c r="E12" s="567" t="s">
        <v>243</v>
      </c>
      <c r="F12" s="572" t="s">
        <v>242</v>
      </c>
      <c r="G12" s="571" t="s">
        <v>1352</v>
      </c>
      <c r="H12" s="573" t="s">
        <v>1380</v>
      </c>
      <c r="I12" s="574" t="s">
        <v>1239</v>
      </c>
    </row>
    <row r="13" spans="1:14" ht="15.75" thickBot="1">
      <c r="A13" s="846" t="s">
        <v>3285</v>
      </c>
      <c r="B13" s="846" t="s">
        <v>251</v>
      </c>
      <c r="C13" s="623" t="s">
        <v>1152</v>
      </c>
      <c r="D13" s="625" t="s">
        <v>3104</v>
      </c>
      <c r="E13" s="853" t="s">
        <v>255</v>
      </c>
      <c r="F13" s="854" t="s">
        <v>1376</v>
      </c>
      <c r="G13" s="855" t="s">
        <v>1378</v>
      </c>
      <c r="H13" s="856" t="s">
        <v>257</v>
      </c>
      <c r="I13" s="857" t="s">
        <v>1031</v>
      </c>
      <c r="K13" s="586" t="s">
        <v>3117</v>
      </c>
      <c r="L13" s="851" t="str">
        <f>IF(OR(L8="Masonry",L8="Non-Combustable / Masonry"),"2,4","1,3,5,6")</f>
        <v>1,3,5,6</v>
      </c>
    </row>
    <row r="14" spans="1:14">
      <c r="A14" s="846">
        <v>1</v>
      </c>
      <c r="B14" s="846" t="str">
        <f>CONCATENATE(C14,D14)</f>
        <v>1,3,5,61996+</v>
      </c>
      <c r="C14" s="858" t="s">
        <v>3286</v>
      </c>
      <c r="D14" s="859" t="s">
        <v>3287</v>
      </c>
      <c r="E14" s="640">
        <v>3.8325641434448565E-4</v>
      </c>
      <c r="F14" s="860">
        <v>3.8325641434448565E-4</v>
      </c>
      <c r="G14" s="861">
        <v>5.9854859011606839E-4</v>
      </c>
      <c r="H14" s="862">
        <v>6.5069173854331148E-4</v>
      </c>
      <c r="I14" s="863">
        <v>2.6319737365950993E-3</v>
      </c>
      <c r="K14" s="586" t="s">
        <v>3162</v>
      </c>
      <c r="L14" s="851" t="e">
        <f>MATCH(LEFT($L$6,1),E13:I13,0)</f>
        <v>#N/A</v>
      </c>
      <c r="M14" s="644"/>
      <c r="N14" s="644"/>
    </row>
    <row r="15" spans="1:14" ht="15.75" thickBot="1">
      <c r="A15" s="846">
        <v>2</v>
      </c>
      <c r="B15" s="846" t="str">
        <f>CONCATENATE(C15,D15)</f>
        <v>1,3,5,61995-</v>
      </c>
      <c r="C15" s="864" t="s">
        <v>3286</v>
      </c>
      <c r="D15" s="865" t="s">
        <v>3288</v>
      </c>
      <c r="E15" s="866">
        <v>1.8531867098575875E-4</v>
      </c>
      <c r="F15" s="867">
        <v>1.8531867098575875E-4</v>
      </c>
      <c r="G15" s="868">
        <v>5.4296351779021829E-4</v>
      </c>
      <c r="H15" s="869">
        <v>1.6417946071537473E-4</v>
      </c>
      <c r="I15" s="870">
        <v>1.7519519761125526E-3</v>
      </c>
      <c r="K15" s="586" t="s">
        <v>3120</v>
      </c>
      <c r="L15" s="851" t="e">
        <f>MATCH(CONCATENATE($L$13,$N$7),$B$14:$B$17,0)</f>
        <v>#N/A</v>
      </c>
    </row>
    <row r="16" spans="1:14">
      <c r="A16" s="846">
        <v>3</v>
      </c>
      <c r="B16" s="846" t="str">
        <f>CONCATENATE(C16,D16)</f>
        <v>2,41995-</v>
      </c>
      <c r="C16" s="871" t="s">
        <v>3289</v>
      </c>
      <c r="D16" s="872" t="s">
        <v>3288</v>
      </c>
      <c r="E16" s="633">
        <v>8.5941583475417777E-4</v>
      </c>
      <c r="F16" s="873">
        <v>8.5941583475417777E-4</v>
      </c>
      <c r="G16" s="874">
        <v>1.3653844375902846E-3</v>
      </c>
      <c r="H16" s="875">
        <v>3.143308940761588E-3</v>
      </c>
      <c r="I16" s="876">
        <v>4.7666736962189496E-3</v>
      </c>
      <c r="K16" s="648"/>
      <c r="L16" s="702"/>
    </row>
    <row r="17" spans="1:12" ht="15.75" thickBot="1">
      <c r="A17" s="846">
        <v>4</v>
      </c>
      <c r="B17" s="846" t="str">
        <f>CONCATENATE(C17,D17)</f>
        <v>2,41996+</v>
      </c>
      <c r="C17" s="864" t="s">
        <v>3289</v>
      </c>
      <c r="D17" s="865" t="s">
        <v>3287</v>
      </c>
      <c r="E17" s="866">
        <v>4.4641762221116682E-4</v>
      </c>
      <c r="F17" s="867">
        <v>4.4641762221116682E-4</v>
      </c>
      <c r="G17" s="868">
        <v>6.8081886361171841E-4</v>
      </c>
      <c r="H17" s="869">
        <v>2.2304845095780521E-3</v>
      </c>
      <c r="I17" s="870">
        <v>4.810111221326286E-3</v>
      </c>
      <c r="K17" s="648"/>
      <c r="L17" s="702"/>
    </row>
    <row r="19" spans="1:12">
      <c r="K19" s="652"/>
    </row>
    <row r="20" spans="1:12">
      <c r="K20" s="652"/>
    </row>
    <row r="21" spans="1:12">
      <c r="C21" s="650" t="s">
        <v>3125</v>
      </c>
      <c r="E21" s="651"/>
    </row>
    <row r="22" spans="1:12">
      <c r="C22" t="s">
        <v>3290</v>
      </c>
      <c r="D22">
        <v>1</v>
      </c>
      <c r="E22" s="877" t="s">
        <v>3288</v>
      </c>
    </row>
    <row r="23" spans="1:12" ht="15.75" thickBot="1">
      <c r="C23" s="655" t="s">
        <v>3287</v>
      </c>
      <c r="D23">
        <v>1996</v>
      </c>
      <c r="E23" s="865" t="s">
        <v>3287</v>
      </c>
    </row>
    <row r="25" spans="1:12">
      <c r="C25" s="650"/>
      <c r="E25" s="651"/>
    </row>
    <row r="26" spans="1:12" ht="15.75" thickBot="1">
      <c r="D26" s="658" t="s">
        <v>3291</v>
      </c>
    </row>
    <row r="27" spans="1:12" ht="15.75" thickBot="1">
      <c r="C27" s="655"/>
      <c r="D27" s="659" t="s">
        <v>1083</v>
      </c>
      <c r="E27" s="660" t="s">
        <v>3140</v>
      </c>
    </row>
    <row r="28" spans="1:12">
      <c r="D28" s="878" t="s">
        <v>3292</v>
      </c>
      <c r="E28" s="716">
        <v>1.2236</v>
      </c>
    </row>
    <row r="29" spans="1:12">
      <c r="D29" s="879" t="s">
        <v>3293</v>
      </c>
      <c r="E29" s="662">
        <v>1</v>
      </c>
    </row>
    <row r="30" spans="1:12">
      <c r="D30" s="879" t="s">
        <v>3294</v>
      </c>
      <c r="E30" s="662">
        <v>0.84899999999999998</v>
      </c>
    </row>
    <row r="31" spans="1:12" ht="15.75" thickBot="1">
      <c r="D31" s="717" t="s">
        <v>3200</v>
      </c>
      <c r="E31" s="664">
        <v>0.77059999999999995</v>
      </c>
    </row>
  </sheetData>
  <pageMargins left="0.45" right="0.45" top="0.75" bottom="0.75" header="0.3" footer="0.3"/>
  <pageSetup scale="64" fitToHeight="2" orientation="landscape" verticalDpi="1200" r:id="rId1"/>
  <headerFooter>
    <oddFooter>&amp;RPage &amp;P</oddFooter>
  </headerFooter>
  <rowBreaks count="1" manualBreakCount="1">
    <brk id="6" min="1" max="18"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6">
    <tabColor theme="2" tint="-0.499984740745262"/>
  </sheetPr>
  <dimension ref="A1:P37"/>
  <sheetViews>
    <sheetView showGridLines="0" zoomScale="90" zoomScaleNormal="90" zoomScaleSheetLayoutView="85" workbookViewId="0">
      <selection activeCell="N11" sqref="N11"/>
    </sheetView>
  </sheetViews>
  <sheetFormatPr defaultColWidth="9.140625" defaultRowHeight="15" outlineLevelCol="1"/>
  <cols>
    <col min="2" max="2" width="0" hidden="1" customWidth="1" outlineLevel="1"/>
    <col min="3" max="3" width="14.5703125" customWidth="1" collapsed="1"/>
    <col min="4" max="4" width="12.5703125" customWidth="1"/>
    <col min="5" max="5" width="16.140625" customWidth="1"/>
    <col min="6" max="6" width="20.5703125" customWidth="1"/>
    <col min="7" max="7" width="21" customWidth="1"/>
    <col min="8" max="9" width="19.28515625" customWidth="1"/>
    <col min="10" max="10" width="7" customWidth="1"/>
    <col min="11" max="11" width="19.28515625" style="586" customWidth="1"/>
    <col min="12" max="12" width="37.7109375" style="588" customWidth="1"/>
    <col min="13" max="13" width="9.5703125" style="588" customWidth="1" outlineLevel="1"/>
    <col min="14" max="14" width="19.28515625" style="588" customWidth="1" outlineLevel="1"/>
    <col min="15" max="15" width="16.5703125" style="588" customWidth="1" outlineLevel="1" collapsed="1"/>
    <col min="16" max="16" width="15" style="588" customWidth="1" outlineLevel="1"/>
    <col min="259" max="259" width="14.5703125" customWidth="1"/>
    <col min="260" max="260" width="12.5703125" customWidth="1"/>
    <col min="261" max="261" width="16.140625" customWidth="1"/>
    <col min="262" max="262" width="20.5703125" customWidth="1"/>
    <col min="263" max="263" width="21" customWidth="1"/>
    <col min="264" max="270" width="19.28515625" customWidth="1"/>
    <col min="515" max="515" width="14.5703125" customWidth="1"/>
    <col min="516" max="516" width="12.5703125" customWidth="1"/>
    <col min="517" max="517" width="16.140625" customWidth="1"/>
    <col min="518" max="518" width="20.5703125" customWidth="1"/>
    <col min="519" max="519" width="21" customWidth="1"/>
    <col min="520" max="526" width="19.28515625" customWidth="1"/>
    <col min="771" max="771" width="14.5703125" customWidth="1"/>
    <col min="772" max="772" width="12.5703125" customWidth="1"/>
    <col min="773" max="773" width="16.140625" customWidth="1"/>
    <col min="774" max="774" width="20.5703125" customWidth="1"/>
    <col min="775" max="775" width="21" customWidth="1"/>
    <col min="776" max="782" width="19.28515625" customWidth="1"/>
    <col min="1027" max="1027" width="14.5703125" customWidth="1"/>
    <col min="1028" max="1028" width="12.5703125" customWidth="1"/>
    <col min="1029" max="1029" width="16.140625" customWidth="1"/>
    <col min="1030" max="1030" width="20.5703125" customWidth="1"/>
    <col min="1031" max="1031" width="21" customWidth="1"/>
    <col min="1032" max="1038" width="19.28515625" customWidth="1"/>
    <col min="1283" max="1283" width="14.5703125" customWidth="1"/>
    <col min="1284" max="1284" width="12.5703125" customWidth="1"/>
    <col min="1285" max="1285" width="16.140625" customWidth="1"/>
    <col min="1286" max="1286" width="20.5703125" customWidth="1"/>
    <col min="1287" max="1287" width="21" customWidth="1"/>
    <col min="1288" max="1294" width="19.28515625" customWidth="1"/>
    <col min="1539" max="1539" width="14.5703125" customWidth="1"/>
    <col min="1540" max="1540" width="12.5703125" customWidth="1"/>
    <col min="1541" max="1541" width="16.140625" customWidth="1"/>
    <col min="1542" max="1542" width="20.5703125" customWidth="1"/>
    <col min="1543" max="1543" width="21" customWidth="1"/>
    <col min="1544" max="1550" width="19.28515625" customWidth="1"/>
    <col min="1795" max="1795" width="14.5703125" customWidth="1"/>
    <col min="1796" max="1796" width="12.5703125" customWidth="1"/>
    <col min="1797" max="1797" width="16.140625" customWidth="1"/>
    <col min="1798" max="1798" width="20.5703125" customWidth="1"/>
    <col min="1799" max="1799" width="21" customWidth="1"/>
    <col min="1800" max="1806" width="19.28515625" customWidth="1"/>
    <col min="2051" max="2051" width="14.5703125" customWidth="1"/>
    <col min="2052" max="2052" width="12.5703125" customWidth="1"/>
    <col min="2053" max="2053" width="16.140625" customWidth="1"/>
    <col min="2054" max="2054" width="20.5703125" customWidth="1"/>
    <col min="2055" max="2055" width="21" customWidth="1"/>
    <col min="2056" max="2062" width="19.28515625" customWidth="1"/>
    <col min="2307" max="2307" width="14.5703125" customWidth="1"/>
    <col min="2308" max="2308" width="12.5703125" customWidth="1"/>
    <col min="2309" max="2309" width="16.140625" customWidth="1"/>
    <col min="2310" max="2310" width="20.5703125" customWidth="1"/>
    <col min="2311" max="2311" width="21" customWidth="1"/>
    <col min="2312" max="2318" width="19.28515625" customWidth="1"/>
    <col min="2563" max="2563" width="14.5703125" customWidth="1"/>
    <col min="2564" max="2564" width="12.5703125" customWidth="1"/>
    <col min="2565" max="2565" width="16.140625" customWidth="1"/>
    <col min="2566" max="2566" width="20.5703125" customWidth="1"/>
    <col min="2567" max="2567" width="21" customWidth="1"/>
    <col min="2568" max="2574" width="19.28515625" customWidth="1"/>
    <col min="2819" max="2819" width="14.5703125" customWidth="1"/>
    <col min="2820" max="2820" width="12.5703125" customWidth="1"/>
    <col min="2821" max="2821" width="16.140625" customWidth="1"/>
    <col min="2822" max="2822" width="20.5703125" customWidth="1"/>
    <col min="2823" max="2823" width="21" customWidth="1"/>
    <col min="2824" max="2830" width="19.28515625" customWidth="1"/>
    <col min="3075" max="3075" width="14.5703125" customWidth="1"/>
    <col min="3076" max="3076" width="12.5703125" customWidth="1"/>
    <col min="3077" max="3077" width="16.140625" customWidth="1"/>
    <col min="3078" max="3078" width="20.5703125" customWidth="1"/>
    <col min="3079" max="3079" width="21" customWidth="1"/>
    <col min="3080" max="3086" width="19.28515625" customWidth="1"/>
    <col min="3331" max="3331" width="14.5703125" customWidth="1"/>
    <col min="3332" max="3332" width="12.5703125" customWidth="1"/>
    <col min="3333" max="3333" width="16.140625" customWidth="1"/>
    <col min="3334" max="3334" width="20.5703125" customWidth="1"/>
    <col min="3335" max="3335" width="21" customWidth="1"/>
    <col min="3336" max="3342" width="19.28515625" customWidth="1"/>
    <col min="3587" max="3587" width="14.5703125" customWidth="1"/>
    <col min="3588" max="3588" width="12.5703125" customWidth="1"/>
    <col min="3589" max="3589" width="16.140625" customWidth="1"/>
    <col min="3590" max="3590" width="20.5703125" customWidth="1"/>
    <col min="3591" max="3591" width="21" customWidth="1"/>
    <col min="3592" max="3598" width="19.28515625" customWidth="1"/>
    <col min="3843" max="3843" width="14.5703125" customWidth="1"/>
    <col min="3844" max="3844" width="12.5703125" customWidth="1"/>
    <col min="3845" max="3845" width="16.140625" customWidth="1"/>
    <col min="3846" max="3846" width="20.5703125" customWidth="1"/>
    <col min="3847" max="3847" width="21" customWidth="1"/>
    <col min="3848" max="3854" width="19.28515625" customWidth="1"/>
    <col min="4099" max="4099" width="14.5703125" customWidth="1"/>
    <col min="4100" max="4100" width="12.5703125" customWidth="1"/>
    <col min="4101" max="4101" width="16.140625" customWidth="1"/>
    <col min="4102" max="4102" width="20.5703125" customWidth="1"/>
    <col min="4103" max="4103" width="21" customWidth="1"/>
    <col min="4104" max="4110" width="19.28515625" customWidth="1"/>
    <col min="4355" max="4355" width="14.5703125" customWidth="1"/>
    <col min="4356" max="4356" width="12.5703125" customWidth="1"/>
    <col min="4357" max="4357" width="16.140625" customWidth="1"/>
    <col min="4358" max="4358" width="20.5703125" customWidth="1"/>
    <col min="4359" max="4359" width="21" customWidth="1"/>
    <col min="4360" max="4366" width="19.28515625" customWidth="1"/>
    <col min="4611" max="4611" width="14.5703125" customWidth="1"/>
    <col min="4612" max="4612" width="12.5703125" customWidth="1"/>
    <col min="4613" max="4613" width="16.140625" customWidth="1"/>
    <col min="4614" max="4614" width="20.5703125" customWidth="1"/>
    <col min="4615" max="4615" width="21" customWidth="1"/>
    <col min="4616" max="4622" width="19.28515625" customWidth="1"/>
    <col min="4867" max="4867" width="14.5703125" customWidth="1"/>
    <col min="4868" max="4868" width="12.5703125" customWidth="1"/>
    <col min="4869" max="4869" width="16.140625" customWidth="1"/>
    <col min="4870" max="4870" width="20.5703125" customWidth="1"/>
    <col min="4871" max="4871" width="21" customWidth="1"/>
    <col min="4872" max="4878" width="19.28515625" customWidth="1"/>
    <col min="5123" max="5123" width="14.5703125" customWidth="1"/>
    <col min="5124" max="5124" width="12.5703125" customWidth="1"/>
    <col min="5125" max="5125" width="16.140625" customWidth="1"/>
    <col min="5126" max="5126" width="20.5703125" customWidth="1"/>
    <col min="5127" max="5127" width="21" customWidth="1"/>
    <col min="5128" max="5134" width="19.28515625" customWidth="1"/>
    <col min="5379" max="5379" width="14.5703125" customWidth="1"/>
    <col min="5380" max="5380" width="12.5703125" customWidth="1"/>
    <col min="5381" max="5381" width="16.140625" customWidth="1"/>
    <col min="5382" max="5382" width="20.5703125" customWidth="1"/>
    <col min="5383" max="5383" width="21" customWidth="1"/>
    <col min="5384" max="5390" width="19.28515625" customWidth="1"/>
    <col min="5635" max="5635" width="14.5703125" customWidth="1"/>
    <col min="5636" max="5636" width="12.5703125" customWidth="1"/>
    <col min="5637" max="5637" width="16.140625" customWidth="1"/>
    <col min="5638" max="5638" width="20.5703125" customWidth="1"/>
    <col min="5639" max="5639" width="21" customWidth="1"/>
    <col min="5640" max="5646" width="19.28515625" customWidth="1"/>
    <col min="5891" max="5891" width="14.5703125" customWidth="1"/>
    <col min="5892" max="5892" width="12.5703125" customWidth="1"/>
    <col min="5893" max="5893" width="16.140625" customWidth="1"/>
    <col min="5894" max="5894" width="20.5703125" customWidth="1"/>
    <col min="5895" max="5895" width="21" customWidth="1"/>
    <col min="5896" max="5902" width="19.28515625" customWidth="1"/>
    <col min="6147" max="6147" width="14.5703125" customWidth="1"/>
    <col min="6148" max="6148" width="12.5703125" customWidth="1"/>
    <col min="6149" max="6149" width="16.140625" customWidth="1"/>
    <col min="6150" max="6150" width="20.5703125" customWidth="1"/>
    <col min="6151" max="6151" width="21" customWidth="1"/>
    <col min="6152" max="6158" width="19.28515625" customWidth="1"/>
    <col min="6403" max="6403" width="14.5703125" customWidth="1"/>
    <col min="6404" max="6404" width="12.5703125" customWidth="1"/>
    <col min="6405" max="6405" width="16.140625" customWidth="1"/>
    <col min="6406" max="6406" width="20.5703125" customWidth="1"/>
    <col min="6407" max="6407" width="21" customWidth="1"/>
    <col min="6408" max="6414" width="19.28515625" customWidth="1"/>
    <col min="6659" max="6659" width="14.5703125" customWidth="1"/>
    <col min="6660" max="6660" width="12.5703125" customWidth="1"/>
    <col min="6661" max="6661" width="16.140625" customWidth="1"/>
    <col min="6662" max="6662" width="20.5703125" customWidth="1"/>
    <col min="6663" max="6663" width="21" customWidth="1"/>
    <col min="6664" max="6670" width="19.28515625" customWidth="1"/>
    <col min="6915" max="6915" width="14.5703125" customWidth="1"/>
    <col min="6916" max="6916" width="12.5703125" customWidth="1"/>
    <col min="6917" max="6917" width="16.140625" customWidth="1"/>
    <col min="6918" max="6918" width="20.5703125" customWidth="1"/>
    <col min="6919" max="6919" width="21" customWidth="1"/>
    <col min="6920" max="6926" width="19.28515625" customWidth="1"/>
    <col min="7171" max="7171" width="14.5703125" customWidth="1"/>
    <col min="7172" max="7172" width="12.5703125" customWidth="1"/>
    <col min="7173" max="7173" width="16.140625" customWidth="1"/>
    <col min="7174" max="7174" width="20.5703125" customWidth="1"/>
    <col min="7175" max="7175" width="21" customWidth="1"/>
    <col min="7176" max="7182" width="19.28515625" customWidth="1"/>
    <col min="7427" max="7427" width="14.5703125" customWidth="1"/>
    <col min="7428" max="7428" width="12.5703125" customWidth="1"/>
    <col min="7429" max="7429" width="16.140625" customWidth="1"/>
    <col min="7430" max="7430" width="20.5703125" customWidth="1"/>
    <col min="7431" max="7431" width="21" customWidth="1"/>
    <col min="7432" max="7438" width="19.28515625" customWidth="1"/>
    <col min="7683" max="7683" width="14.5703125" customWidth="1"/>
    <col min="7684" max="7684" width="12.5703125" customWidth="1"/>
    <col min="7685" max="7685" width="16.140625" customWidth="1"/>
    <col min="7686" max="7686" width="20.5703125" customWidth="1"/>
    <col min="7687" max="7687" width="21" customWidth="1"/>
    <col min="7688" max="7694" width="19.28515625" customWidth="1"/>
    <col min="7939" max="7939" width="14.5703125" customWidth="1"/>
    <col min="7940" max="7940" width="12.5703125" customWidth="1"/>
    <col min="7941" max="7941" width="16.140625" customWidth="1"/>
    <col min="7942" max="7942" width="20.5703125" customWidth="1"/>
    <col min="7943" max="7943" width="21" customWidth="1"/>
    <col min="7944" max="7950" width="19.28515625" customWidth="1"/>
    <col min="8195" max="8195" width="14.5703125" customWidth="1"/>
    <col min="8196" max="8196" width="12.5703125" customWidth="1"/>
    <col min="8197" max="8197" width="16.140625" customWidth="1"/>
    <col min="8198" max="8198" width="20.5703125" customWidth="1"/>
    <col min="8199" max="8199" width="21" customWidth="1"/>
    <col min="8200" max="8206" width="19.28515625" customWidth="1"/>
    <col min="8451" max="8451" width="14.5703125" customWidth="1"/>
    <col min="8452" max="8452" width="12.5703125" customWidth="1"/>
    <col min="8453" max="8453" width="16.140625" customWidth="1"/>
    <col min="8454" max="8454" width="20.5703125" customWidth="1"/>
    <col min="8455" max="8455" width="21" customWidth="1"/>
    <col min="8456" max="8462" width="19.28515625" customWidth="1"/>
    <col min="8707" max="8707" width="14.5703125" customWidth="1"/>
    <col min="8708" max="8708" width="12.5703125" customWidth="1"/>
    <col min="8709" max="8709" width="16.140625" customWidth="1"/>
    <col min="8710" max="8710" width="20.5703125" customWidth="1"/>
    <col min="8711" max="8711" width="21" customWidth="1"/>
    <col min="8712" max="8718" width="19.28515625" customWidth="1"/>
    <col min="8963" max="8963" width="14.5703125" customWidth="1"/>
    <col min="8964" max="8964" width="12.5703125" customWidth="1"/>
    <col min="8965" max="8965" width="16.140625" customWidth="1"/>
    <col min="8966" max="8966" width="20.5703125" customWidth="1"/>
    <col min="8967" max="8967" width="21" customWidth="1"/>
    <col min="8968" max="8974" width="19.28515625" customWidth="1"/>
    <col min="9219" max="9219" width="14.5703125" customWidth="1"/>
    <col min="9220" max="9220" width="12.5703125" customWidth="1"/>
    <col min="9221" max="9221" width="16.140625" customWidth="1"/>
    <col min="9222" max="9222" width="20.5703125" customWidth="1"/>
    <col min="9223" max="9223" width="21" customWidth="1"/>
    <col min="9224" max="9230" width="19.28515625" customWidth="1"/>
    <col min="9475" max="9475" width="14.5703125" customWidth="1"/>
    <col min="9476" max="9476" width="12.5703125" customWidth="1"/>
    <col min="9477" max="9477" width="16.140625" customWidth="1"/>
    <col min="9478" max="9478" width="20.5703125" customWidth="1"/>
    <col min="9479" max="9479" width="21" customWidth="1"/>
    <col min="9480" max="9486" width="19.28515625" customWidth="1"/>
    <col min="9731" max="9731" width="14.5703125" customWidth="1"/>
    <col min="9732" max="9732" width="12.5703125" customWidth="1"/>
    <col min="9733" max="9733" width="16.140625" customWidth="1"/>
    <col min="9734" max="9734" width="20.5703125" customWidth="1"/>
    <col min="9735" max="9735" width="21" customWidth="1"/>
    <col min="9736" max="9742" width="19.28515625" customWidth="1"/>
    <col min="9987" max="9987" width="14.5703125" customWidth="1"/>
    <col min="9988" max="9988" width="12.5703125" customWidth="1"/>
    <col min="9989" max="9989" width="16.140625" customWidth="1"/>
    <col min="9990" max="9990" width="20.5703125" customWidth="1"/>
    <col min="9991" max="9991" width="21" customWidth="1"/>
    <col min="9992" max="9998" width="19.28515625" customWidth="1"/>
    <col min="10243" max="10243" width="14.5703125" customWidth="1"/>
    <col min="10244" max="10244" width="12.5703125" customWidth="1"/>
    <col min="10245" max="10245" width="16.140625" customWidth="1"/>
    <col min="10246" max="10246" width="20.5703125" customWidth="1"/>
    <col min="10247" max="10247" width="21" customWidth="1"/>
    <col min="10248" max="10254" width="19.28515625" customWidth="1"/>
    <col min="10499" max="10499" width="14.5703125" customWidth="1"/>
    <col min="10500" max="10500" width="12.5703125" customWidth="1"/>
    <col min="10501" max="10501" width="16.140625" customWidth="1"/>
    <col min="10502" max="10502" width="20.5703125" customWidth="1"/>
    <col min="10503" max="10503" width="21" customWidth="1"/>
    <col min="10504" max="10510" width="19.28515625" customWidth="1"/>
    <col min="10755" max="10755" width="14.5703125" customWidth="1"/>
    <col min="10756" max="10756" width="12.5703125" customWidth="1"/>
    <col min="10757" max="10757" width="16.140625" customWidth="1"/>
    <col min="10758" max="10758" width="20.5703125" customWidth="1"/>
    <col min="10759" max="10759" width="21" customWidth="1"/>
    <col min="10760" max="10766" width="19.28515625" customWidth="1"/>
    <col min="11011" max="11011" width="14.5703125" customWidth="1"/>
    <col min="11012" max="11012" width="12.5703125" customWidth="1"/>
    <col min="11013" max="11013" width="16.140625" customWidth="1"/>
    <col min="11014" max="11014" width="20.5703125" customWidth="1"/>
    <col min="11015" max="11015" width="21" customWidth="1"/>
    <col min="11016" max="11022" width="19.28515625" customWidth="1"/>
    <col min="11267" max="11267" width="14.5703125" customWidth="1"/>
    <col min="11268" max="11268" width="12.5703125" customWidth="1"/>
    <col min="11269" max="11269" width="16.140625" customWidth="1"/>
    <col min="11270" max="11270" width="20.5703125" customWidth="1"/>
    <col min="11271" max="11271" width="21" customWidth="1"/>
    <col min="11272" max="11278" width="19.28515625" customWidth="1"/>
    <col min="11523" max="11523" width="14.5703125" customWidth="1"/>
    <col min="11524" max="11524" width="12.5703125" customWidth="1"/>
    <col min="11525" max="11525" width="16.140625" customWidth="1"/>
    <col min="11526" max="11526" width="20.5703125" customWidth="1"/>
    <col min="11527" max="11527" width="21" customWidth="1"/>
    <col min="11528" max="11534" width="19.28515625" customWidth="1"/>
    <col min="11779" max="11779" width="14.5703125" customWidth="1"/>
    <col min="11780" max="11780" width="12.5703125" customWidth="1"/>
    <col min="11781" max="11781" width="16.140625" customWidth="1"/>
    <col min="11782" max="11782" width="20.5703125" customWidth="1"/>
    <col min="11783" max="11783" width="21" customWidth="1"/>
    <col min="11784" max="11790" width="19.28515625" customWidth="1"/>
    <col min="12035" max="12035" width="14.5703125" customWidth="1"/>
    <col min="12036" max="12036" width="12.5703125" customWidth="1"/>
    <col min="12037" max="12037" width="16.140625" customWidth="1"/>
    <col min="12038" max="12038" width="20.5703125" customWidth="1"/>
    <col min="12039" max="12039" width="21" customWidth="1"/>
    <col min="12040" max="12046" width="19.28515625" customWidth="1"/>
    <col min="12291" max="12291" width="14.5703125" customWidth="1"/>
    <col min="12292" max="12292" width="12.5703125" customWidth="1"/>
    <col min="12293" max="12293" width="16.140625" customWidth="1"/>
    <col min="12294" max="12294" width="20.5703125" customWidth="1"/>
    <col min="12295" max="12295" width="21" customWidth="1"/>
    <col min="12296" max="12302" width="19.28515625" customWidth="1"/>
    <col min="12547" max="12547" width="14.5703125" customWidth="1"/>
    <col min="12548" max="12548" width="12.5703125" customWidth="1"/>
    <col min="12549" max="12549" width="16.140625" customWidth="1"/>
    <col min="12550" max="12550" width="20.5703125" customWidth="1"/>
    <col min="12551" max="12551" width="21" customWidth="1"/>
    <col min="12552" max="12558" width="19.28515625" customWidth="1"/>
    <col min="12803" max="12803" width="14.5703125" customWidth="1"/>
    <col min="12804" max="12804" width="12.5703125" customWidth="1"/>
    <col min="12805" max="12805" width="16.140625" customWidth="1"/>
    <col min="12806" max="12806" width="20.5703125" customWidth="1"/>
    <col min="12807" max="12807" width="21" customWidth="1"/>
    <col min="12808" max="12814" width="19.28515625" customWidth="1"/>
    <col min="13059" max="13059" width="14.5703125" customWidth="1"/>
    <col min="13060" max="13060" width="12.5703125" customWidth="1"/>
    <col min="13061" max="13061" width="16.140625" customWidth="1"/>
    <col min="13062" max="13062" width="20.5703125" customWidth="1"/>
    <col min="13063" max="13063" width="21" customWidth="1"/>
    <col min="13064" max="13070" width="19.28515625" customWidth="1"/>
    <col min="13315" max="13315" width="14.5703125" customWidth="1"/>
    <col min="13316" max="13316" width="12.5703125" customWidth="1"/>
    <col min="13317" max="13317" width="16.140625" customWidth="1"/>
    <col min="13318" max="13318" width="20.5703125" customWidth="1"/>
    <col min="13319" max="13319" width="21" customWidth="1"/>
    <col min="13320" max="13326" width="19.28515625" customWidth="1"/>
    <col min="13571" max="13571" width="14.5703125" customWidth="1"/>
    <col min="13572" max="13572" width="12.5703125" customWidth="1"/>
    <col min="13573" max="13573" width="16.140625" customWidth="1"/>
    <col min="13574" max="13574" width="20.5703125" customWidth="1"/>
    <col min="13575" max="13575" width="21" customWidth="1"/>
    <col min="13576" max="13582" width="19.28515625" customWidth="1"/>
    <col min="13827" max="13827" width="14.5703125" customWidth="1"/>
    <col min="13828" max="13828" width="12.5703125" customWidth="1"/>
    <col min="13829" max="13829" width="16.140625" customWidth="1"/>
    <col min="13830" max="13830" width="20.5703125" customWidth="1"/>
    <col min="13831" max="13831" width="21" customWidth="1"/>
    <col min="13832" max="13838" width="19.28515625" customWidth="1"/>
    <col min="14083" max="14083" width="14.5703125" customWidth="1"/>
    <col min="14084" max="14084" width="12.5703125" customWidth="1"/>
    <col min="14085" max="14085" width="16.140625" customWidth="1"/>
    <col min="14086" max="14086" width="20.5703125" customWidth="1"/>
    <col min="14087" max="14087" width="21" customWidth="1"/>
    <col min="14088" max="14094" width="19.28515625" customWidth="1"/>
    <col min="14339" max="14339" width="14.5703125" customWidth="1"/>
    <col min="14340" max="14340" width="12.5703125" customWidth="1"/>
    <col min="14341" max="14341" width="16.140625" customWidth="1"/>
    <col min="14342" max="14342" width="20.5703125" customWidth="1"/>
    <col min="14343" max="14343" width="21" customWidth="1"/>
    <col min="14344" max="14350" width="19.28515625" customWidth="1"/>
    <col min="14595" max="14595" width="14.5703125" customWidth="1"/>
    <col min="14596" max="14596" width="12.5703125" customWidth="1"/>
    <col min="14597" max="14597" width="16.140625" customWidth="1"/>
    <col min="14598" max="14598" width="20.5703125" customWidth="1"/>
    <col min="14599" max="14599" width="21" customWidth="1"/>
    <col min="14600" max="14606" width="19.28515625" customWidth="1"/>
    <col min="14851" max="14851" width="14.5703125" customWidth="1"/>
    <col min="14852" max="14852" width="12.5703125" customWidth="1"/>
    <col min="14853" max="14853" width="16.140625" customWidth="1"/>
    <col min="14854" max="14854" width="20.5703125" customWidth="1"/>
    <col min="14855" max="14855" width="21" customWidth="1"/>
    <col min="14856" max="14862" width="19.28515625" customWidth="1"/>
    <col min="15107" max="15107" width="14.5703125" customWidth="1"/>
    <col min="15108" max="15108" width="12.5703125" customWidth="1"/>
    <col min="15109" max="15109" width="16.140625" customWidth="1"/>
    <col min="15110" max="15110" width="20.5703125" customWidth="1"/>
    <col min="15111" max="15111" width="21" customWidth="1"/>
    <col min="15112" max="15118" width="19.28515625" customWidth="1"/>
    <col min="15363" max="15363" width="14.5703125" customWidth="1"/>
    <col min="15364" max="15364" width="12.5703125" customWidth="1"/>
    <col min="15365" max="15365" width="16.140625" customWidth="1"/>
    <col min="15366" max="15366" width="20.5703125" customWidth="1"/>
    <col min="15367" max="15367" width="21" customWidth="1"/>
    <col min="15368" max="15374" width="19.28515625" customWidth="1"/>
    <col min="15619" max="15619" width="14.5703125" customWidth="1"/>
    <col min="15620" max="15620" width="12.5703125" customWidth="1"/>
    <col min="15621" max="15621" width="16.140625" customWidth="1"/>
    <col min="15622" max="15622" width="20.5703125" customWidth="1"/>
    <col min="15623" max="15623" width="21" customWidth="1"/>
    <col min="15624" max="15630" width="19.28515625" customWidth="1"/>
    <col min="15875" max="15875" width="14.5703125" customWidth="1"/>
    <col min="15876" max="15876" width="12.5703125" customWidth="1"/>
    <col min="15877" max="15877" width="16.140625" customWidth="1"/>
    <col min="15878" max="15878" width="20.5703125" customWidth="1"/>
    <col min="15879" max="15879" width="21" customWidth="1"/>
    <col min="15880" max="15886" width="19.28515625" customWidth="1"/>
    <col min="16131" max="16131" width="14.5703125" customWidth="1"/>
    <col min="16132" max="16132" width="12.5703125" customWidth="1"/>
    <col min="16133" max="16133" width="16.140625" customWidth="1"/>
    <col min="16134" max="16134" width="20.5703125" customWidth="1"/>
    <col min="16135" max="16135" width="21" customWidth="1"/>
    <col min="16136" max="16142" width="19.28515625" customWidth="1"/>
  </cols>
  <sheetData>
    <row r="1" spans="1:16">
      <c r="C1" s="580" t="s">
        <v>3091</v>
      </c>
      <c r="E1" s="395" t="s">
        <v>3078</v>
      </c>
    </row>
    <row r="2" spans="1:16">
      <c r="C2" s="395" t="s">
        <v>248</v>
      </c>
      <c r="E2" s="599" t="s">
        <v>3079</v>
      </c>
      <c r="F2" s="600" t="e">
        <f>INDEX($E$13:$I$20,$L$17,$L$16)</f>
        <v>#N/A</v>
      </c>
    </row>
    <row r="3" spans="1:16" ht="15.75" thickBot="1">
      <c r="C3" s="395"/>
      <c r="E3" s="599"/>
      <c r="F3" s="601"/>
    </row>
    <row r="4" spans="1:16" ht="16.5" thickTop="1" thickBot="1">
      <c r="C4" s="395"/>
      <c r="E4" s="599" t="s">
        <v>3080</v>
      </c>
      <c r="F4" s="605">
        <v>0.05</v>
      </c>
      <c r="K4" s="721" t="s">
        <v>3092</v>
      </c>
      <c r="L4" s="723"/>
      <c r="M4" s="723"/>
      <c r="N4" s="724"/>
    </row>
    <row r="5" spans="1:16" ht="15.75" thickTop="1">
      <c r="E5" s="599" t="s">
        <v>3081</v>
      </c>
      <c r="F5" s="606">
        <f>100000</f>
        <v>100000</v>
      </c>
    </row>
    <row r="6" spans="1:16">
      <c r="B6" s="395"/>
      <c r="C6" s="608"/>
      <c r="E6" s="599" t="s">
        <v>1321</v>
      </c>
      <c r="F6" s="607">
        <f>E35</f>
        <v>1</v>
      </c>
    </row>
    <row r="7" spans="1:16">
      <c r="B7" s="395"/>
      <c r="C7" s="608"/>
    </row>
    <row r="8" spans="1:16" ht="15.75" thickBot="1">
      <c r="B8" s="395"/>
      <c r="C8" s="608"/>
      <c r="E8" s="569">
        <v>1</v>
      </c>
      <c r="F8" s="569">
        <v>2</v>
      </c>
      <c r="G8" s="569">
        <v>3</v>
      </c>
      <c r="H8" s="569">
        <v>4</v>
      </c>
      <c r="I8" s="569">
        <v>5</v>
      </c>
      <c r="K8" s="586" t="s">
        <v>3082</v>
      </c>
      <c r="L8" s="670" t="e">
        <f>IF('EQ rate no1'!F21=Algorithm_ATL!L13,PostalCode,"Postal code is outside of ATL")</f>
        <v>#N/A</v>
      </c>
    </row>
    <row r="9" spans="1:16">
      <c r="C9" s="614"/>
      <c r="D9" s="616"/>
      <c r="E9" s="617" t="s">
        <v>3097</v>
      </c>
      <c r="F9" s="852"/>
      <c r="G9" s="852"/>
      <c r="H9" s="852"/>
      <c r="I9" s="618"/>
      <c r="K9" s="586" t="s">
        <v>1300</v>
      </c>
      <c r="L9" s="671">
        <f>Yrbuilt</f>
        <v>0</v>
      </c>
      <c r="N9" s="588" t="e">
        <f>VLOOKUP(L9,D26:E27,2,TRUE)</f>
        <v>#N/A</v>
      </c>
      <c r="O9" s="588" t="s">
        <v>3295</v>
      </c>
      <c r="P9" s="588" t="s">
        <v>3148</v>
      </c>
    </row>
    <row r="10" spans="1:16">
      <c r="C10" s="619"/>
      <c r="D10" s="59"/>
      <c r="E10" s="620" t="s">
        <v>3296</v>
      </c>
      <c r="F10" s="167"/>
      <c r="G10" s="167"/>
      <c r="H10" s="167"/>
      <c r="I10" s="621"/>
      <c r="K10" s="586" t="s">
        <v>1301</v>
      </c>
      <c r="L10" s="671" t="str">
        <f>'EQ rate no1'!$D$8</f>
        <v>Fire Resistive</v>
      </c>
      <c r="M10" s="592"/>
      <c r="N10" s="593">
        <f>VLOOKUP(L10,Settings!$A$135:$B$140,2,FALSE)</f>
        <v>1</v>
      </c>
    </row>
    <row r="11" spans="1:16">
      <c r="C11" s="619"/>
      <c r="D11" s="59"/>
      <c r="E11" s="567" t="s">
        <v>1345</v>
      </c>
      <c r="F11" s="570" t="s">
        <v>1240</v>
      </c>
      <c r="G11" s="571" t="s">
        <v>1352</v>
      </c>
      <c r="H11" s="3626" t="s">
        <v>1241</v>
      </c>
      <c r="I11" s="3627">
        <v>0</v>
      </c>
      <c r="K11" s="586" t="s">
        <v>1302</v>
      </c>
      <c r="L11" s="671">
        <f>Nbofstoreys</f>
        <v>0</v>
      </c>
    </row>
    <row r="12" spans="1:16" ht="15.75" thickBot="1">
      <c r="A12" s="846" t="s">
        <v>3285</v>
      </c>
      <c r="B12" s="846" t="s">
        <v>251</v>
      </c>
      <c r="C12" s="623" t="s">
        <v>1152</v>
      </c>
      <c r="D12" s="625" t="s">
        <v>3104</v>
      </c>
      <c r="E12" s="853" t="s">
        <v>234</v>
      </c>
      <c r="F12" s="880" t="s">
        <v>235</v>
      </c>
      <c r="G12" s="855" t="s">
        <v>236</v>
      </c>
      <c r="H12" s="881" t="s">
        <v>3297</v>
      </c>
      <c r="I12" s="882" t="s">
        <v>3298</v>
      </c>
      <c r="K12" s="586" t="s">
        <v>3084</v>
      </c>
      <c r="L12" s="671">
        <f>Totalinsuredvalue</f>
        <v>0</v>
      </c>
      <c r="O12" s="609" t="s">
        <v>1763</v>
      </c>
      <c r="P12" s="588">
        <v>4</v>
      </c>
    </row>
    <row r="13" spans="1:16">
      <c r="A13" s="846">
        <v>1</v>
      </c>
      <c r="B13" s="846" t="str">
        <f>CONCATENATE(C13,D13)</f>
        <v>1&amp;31995-</v>
      </c>
      <c r="C13" s="630" t="s">
        <v>3299</v>
      </c>
      <c r="D13" s="632" t="s">
        <v>3288</v>
      </c>
      <c r="E13" s="633">
        <v>9.2945263196270278E-5</v>
      </c>
      <c r="F13" s="883">
        <v>2.72402336468886E-4</v>
      </c>
      <c r="G13" s="874">
        <v>3.4603401741570478E-4</v>
      </c>
      <c r="H13" s="875">
        <v>2.2108989461566766E-3</v>
      </c>
      <c r="I13" s="884">
        <v>1.0206695891393535E-3</v>
      </c>
      <c r="L13" s="588" t="s">
        <v>1348</v>
      </c>
      <c r="O13" s="609" t="s">
        <v>3300</v>
      </c>
      <c r="P13" s="588">
        <v>4</v>
      </c>
    </row>
    <row r="14" spans="1:16" ht="15.75" thickBot="1">
      <c r="A14" s="846">
        <v>2</v>
      </c>
      <c r="B14" s="846" t="str">
        <f>CONCATENATE(C14,D14)</f>
        <v>1&amp;31996+</v>
      </c>
      <c r="C14" s="635" t="s">
        <v>3299</v>
      </c>
      <c r="D14" s="637" t="s">
        <v>3287</v>
      </c>
      <c r="E14" s="638">
        <v>4.2896607747510423E-5</v>
      </c>
      <c r="F14" s="885">
        <v>2.4887676251467811E-4</v>
      </c>
      <c r="G14" s="886">
        <v>2.6541361728753916E-4</v>
      </c>
      <c r="H14" s="887">
        <v>1.3095010782418618E-3</v>
      </c>
      <c r="I14" s="888">
        <v>9.009585030494969E-4</v>
      </c>
      <c r="O14" s="609" t="s">
        <v>3301</v>
      </c>
      <c r="P14" s="588">
        <v>4</v>
      </c>
    </row>
    <row r="15" spans="1:16">
      <c r="A15" s="846">
        <v>3</v>
      </c>
      <c r="B15" s="846" t="str">
        <f>CONCATENATE(C15,D15)</f>
        <v>21995-</v>
      </c>
      <c r="C15" s="630">
        <v>2</v>
      </c>
      <c r="D15" s="632" t="s">
        <v>3288</v>
      </c>
      <c r="E15" s="640">
        <v>3.1741353937411666E-4</v>
      </c>
      <c r="F15" s="889">
        <v>2.1378618741699669E-3</v>
      </c>
      <c r="G15" s="861">
        <v>2.5144897610152638E-3</v>
      </c>
      <c r="H15" s="862">
        <v>1.5489431336150881E-2</v>
      </c>
      <c r="I15" s="890">
        <v>9.866909035927662E-3</v>
      </c>
      <c r="K15" s="586" t="s">
        <v>3117</v>
      </c>
      <c r="L15" s="789" t="str">
        <f>IF(OR(N10=2,N10=4),N10,IF(OR(N10=1,N10=3),"1&amp;3","5&amp;6"))</f>
        <v>1&amp;3</v>
      </c>
      <c r="O15" s="609" t="s">
        <v>3302</v>
      </c>
      <c r="P15" s="588">
        <v>4</v>
      </c>
    </row>
    <row r="16" spans="1:16" ht="15.75" thickBot="1">
      <c r="A16" s="846">
        <v>4</v>
      </c>
      <c r="B16" s="846" t="str">
        <f>CONCATENATE(C16,D16)</f>
        <v>21996+</v>
      </c>
      <c r="C16" s="635">
        <v>2</v>
      </c>
      <c r="D16" s="637" t="s">
        <v>3287</v>
      </c>
      <c r="E16" s="642">
        <v>2.8727833467430397E-4</v>
      </c>
      <c r="F16" s="891">
        <v>1.2502435920596004E-3</v>
      </c>
      <c r="G16" s="868">
        <v>2.2516800988969863E-3</v>
      </c>
      <c r="H16" s="869">
        <v>1.2948682569648842E-2</v>
      </c>
      <c r="I16" s="892">
        <v>5.5694181145455714E-3</v>
      </c>
      <c r="K16" s="586" t="s">
        <v>3162</v>
      </c>
      <c r="L16" s="789" t="e">
        <f>IF(LEFT($L$8,1)="E",VLOOKUP(LEFT($L$8,2),$O$12:$P$22,2,FALSE),MATCH(LEFT($L$8,1),E12:I12,0))</f>
        <v>#N/A</v>
      </c>
      <c r="M16" s="644"/>
      <c r="N16" s="644"/>
      <c r="O16" s="665"/>
    </row>
    <row r="17" spans="1:16">
      <c r="A17" s="846">
        <v>5</v>
      </c>
      <c r="B17" s="846" t="str">
        <f t="shared" ref="B17:B20" si="0">CONCATENATE(C17,D17)</f>
        <v>41995-</v>
      </c>
      <c r="C17" s="630">
        <v>4</v>
      </c>
      <c r="D17" s="632" t="s">
        <v>3288</v>
      </c>
      <c r="E17" s="633">
        <v>3.1741353937411666E-4</v>
      </c>
      <c r="F17" s="883">
        <v>2.1378618741699669E-3</v>
      </c>
      <c r="G17" s="874">
        <v>2.5144897610152638E-3</v>
      </c>
      <c r="H17" s="875">
        <v>1.5489431336150881E-2</v>
      </c>
      <c r="I17" s="884">
        <v>6.0248752256013352E-3</v>
      </c>
      <c r="K17" s="586" t="s">
        <v>3120</v>
      </c>
      <c r="L17" s="789" t="e">
        <f>MATCH(CONCATENATE($L$15,$N$9),B13:B20,0)</f>
        <v>#N/A</v>
      </c>
      <c r="O17" s="609" t="s">
        <v>1805</v>
      </c>
      <c r="P17" s="588">
        <v>5</v>
      </c>
    </row>
    <row r="18" spans="1:16" ht="15.75" thickBot="1">
      <c r="A18" s="846">
        <v>6</v>
      </c>
      <c r="B18" s="846" t="str">
        <f t="shared" si="0"/>
        <v>41996+</v>
      </c>
      <c r="C18" s="635">
        <v>4</v>
      </c>
      <c r="D18" s="637" t="s">
        <v>3287</v>
      </c>
      <c r="E18" s="638">
        <v>2.4021009587204116E-4</v>
      </c>
      <c r="F18" s="885">
        <v>1.2502435920596004E-3</v>
      </c>
      <c r="G18" s="886">
        <v>9.6661766881466545E-4</v>
      </c>
      <c r="H18" s="887">
        <v>1.1314090816683258E-2</v>
      </c>
      <c r="I18" s="888">
        <v>4.355180555324841E-3</v>
      </c>
      <c r="K18" s="648"/>
      <c r="L18" s="702"/>
      <c r="O18" s="609" t="s">
        <v>1793</v>
      </c>
      <c r="P18" s="588">
        <v>5</v>
      </c>
    </row>
    <row r="19" spans="1:16">
      <c r="A19" s="846">
        <v>7</v>
      </c>
      <c r="B19" s="846" t="str">
        <f t="shared" si="0"/>
        <v>5&amp;61995-</v>
      </c>
      <c r="C19" s="645" t="s">
        <v>3303</v>
      </c>
      <c r="D19" s="647" t="s">
        <v>3288</v>
      </c>
      <c r="E19" s="640">
        <v>1.3940286313688662E-4</v>
      </c>
      <c r="F19" s="889">
        <v>7.3895489345261831E-4</v>
      </c>
      <c r="G19" s="861">
        <v>9.3954913987043221E-4</v>
      </c>
      <c r="H19" s="862">
        <v>6.0056638456683258E-3</v>
      </c>
      <c r="I19" s="890">
        <v>2.9757654910743925E-3</v>
      </c>
      <c r="K19" s="648"/>
      <c r="L19" s="702"/>
      <c r="O19" s="609" t="s">
        <v>1765</v>
      </c>
      <c r="P19" s="588">
        <v>5</v>
      </c>
    </row>
    <row r="20" spans="1:16" ht="15.75" thickBot="1">
      <c r="A20" s="846">
        <v>8</v>
      </c>
      <c r="B20" s="846" t="str">
        <f t="shared" si="0"/>
        <v>5&amp;61996+</v>
      </c>
      <c r="C20" s="635" t="s">
        <v>3303</v>
      </c>
      <c r="D20" s="637" t="s">
        <v>3287</v>
      </c>
      <c r="E20" s="642">
        <v>1.0473754212660523E-4</v>
      </c>
      <c r="F20" s="891">
        <v>5.3558449245781972E-4</v>
      </c>
      <c r="G20" s="868">
        <v>7.7790223843632301E-4</v>
      </c>
      <c r="H20" s="869">
        <v>4.454580515444991E-3</v>
      </c>
      <c r="I20" s="892">
        <v>2.2559867265499007E-3</v>
      </c>
      <c r="K20" s="586" t="s">
        <v>3304</v>
      </c>
      <c r="O20" s="609" t="s">
        <v>1761</v>
      </c>
      <c r="P20" s="588">
        <v>5</v>
      </c>
    </row>
    <row r="21" spans="1:16">
      <c r="K21" s="652" t="s">
        <v>3080</v>
      </c>
      <c r="O21" s="609" t="s">
        <v>3305</v>
      </c>
      <c r="P21" s="588">
        <v>5</v>
      </c>
    </row>
    <row r="22" spans="1:16">
      <c r="K22" s="652" t="s">
        <v>3081</v>
      </c>
      <c r="O22" s="609" t="s">
        <v>3306</v>
      </c>
      <c r="P22" s="588">
        <v>5</v>
      </c>
    </row>
    <row r="23" spans="1:16">
      <c r="J23" s="893"/>
      <c r="K23" s="652"/>
      <c r="L23" s="894"/>
      <c r="M23" s="894"/>
      <c r="N23" s="894"/>
    </row>
    <row r="25" spans="1:16">
      <c r="C25" s="650" t="s">
        <v>3125</v>
      </c>
      <c r="E25" s="651"/>
    </row>
    <row r="26" spans="1:16">
      <c r="C26" t="s">
        <v>3290</v>
      </c>
      <c r="D26">
        <v>1</v>
      </c>
      <c r="E26" s="877" t="s">
        <v>3288</v>
      </c>
    </row>
    <row r="27" spans="1:16" ht="15.75" thickBot="1">
      <c r="C27" s="655" t="s">
        <v>3287</v>
      </c>
      <c r="D27">
        <v>1996</v>
      </c>
      <c r="E27" s="865" t="s">
        <v>3287</v>
      </c>
    </row>
    <row r="31" spans="1:16" ht="15.75" thickBot="1"/>
    <row r="32" spans="1:16" ht="15.75" thickBot="1">
      <c r="D32" s="895" t="s">
        <v>3307</v>
      </c>
      <c r="E32" s="675"/>
    </row>
    <row r="33" spans="4:5" ht="15.75" thickBot="1">
      <c r="D33" s="659" t="s">
        <v>1083</v>
      </c>
      <c r="E33" s="660" t="s">
        <v>3140</v>
      </c>
    </row>
    <row r="34" spans="4:5">
      <c r="D34" s="896" t="s">
        <v>3292</v>
      </c>
      <c r="E34" s="716">
        <v>1.2032858977805487</v>
      </c>
    </row>
    <row r="35" spans="4:5">
      <c r="D35" s="897" t="s">
        <v>3293</v>
      </c>
      <c r="E35" s="662">
        <v>1</v>
      </c>
    </row>
    <row r="36" spans="4:5">
      <c r="D36" s="897" t="s">
        <v>3294</v>
      </c>
      <c r="E36" s="662">
        <v>0.84645241488609446</v>
      </c>
    </row>
    <row r="37" spans="4:5" ht="15.75" thickBot="1">
      <c r="D37" s="898" t="s">
        <v>3200</v>
      </c>
      <c r="E37" s="664">
        <v>0.76666663458752293</v>
      </c>
    </row>
  </sheetData>
  <mergeCells count="1">
    <mergeCell ref="H11:I11"/>
  </mergeCells>
  <pageMargins left="0.45" right="0.45" top="0.75" bottom="0.75" header="0.3" footer="0.3"/>
  <pageSetup scale="64" fitToHeight="2" orientation="landscape" verticalDpi="1200" r:id="rId1"/>
  <headerFooter>
    <oddFooter>&amp;RPage &amp;P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7">
    <tabColor rgb="FF7030A0"/>
  </sheetPr>
  <dimension ref="A1:N40"/>
  <sheetViews>
    <sheetView showGridLines="0" zoomScaleNormal="100" zoomScaleSheetLayoutView="85" workbookViewId="0">
      <selection activeCell="L12" sqref="L12"/>
    </sheetView>
  </sheetViews>
  <sheetFormatPr defaultColWidth="9.140625" defaultRowHeight="15" outlineLevelCol="1"/>
  <cols>
    <col min="1" max="1" width="9.140625" style="598"/>
    <col min="2" max="2" width="19.42578125" hidden="1" customWidth="1" outlineLevel="1"/>
    <col min="3" max="3" width="14.5703125" customWidth="1" collapsed="1"/>
    <col min="4" max="4" width="12.5703125" customWidth="1"/>
    <col min="5" max="5" width="16.140625" customWidth="1"/>
    <col min="6" max="6" width="20.5703125" customWidth="1"/>
    <col min="7" max="7" width="21" customWidth="1"/>
    <col min="8" max="8" width="9.85546875" customWidth="1"/>
    <col min="9" max="9" width="21.5703125" style="586" customWidth="1"/>
    <col min="10" max="10" width="37.42578125" style="590" customWidth="1"/>
    <col min="11" max="11" width="9.5703125" style="588" customWidth="1" outlineLevel="1"/>
    <col min="12" max="14" width="19.28515625" style="588" customWidth="1" outlineLevel="1"/>
    <col min="15" max="15" width="16.5703125" customWidth="1"/>
    <col min="16" max="16" width="15" customWidth="1"/>
    <col min="259" max="259" width="14.5703125" customWidth="1"/>
    <col min="260" max="260" width="12.5703125" customWidth="1"/>
    <col min="261" max="261" width="16.140625" customWidth="1"/>
    <col min="262" max="262" width="20.5703125" customWidth="1"/>
    <col min="263" max="263" width="21" customWidth="1"/>
    <col min="264" max="270" width="19.28515625" customWidth="1"/>
    <col min="515" max="515" width="14.5703125" customWidth="1"/>
    <col min="516" max="516" width="12.5703125" customWidth="1"/>
    <col min="517" max="517" width="16.140625" customWidth="1"/>
    <col min="518" max="518" width="20.5703125" customWidth="1"/>
    <col min="519" max="519" width="21" customWidth="1"/>
    <col min="520" max="526" width="19.28515625" customWidth="1"/>
    <col min="771" max="771" width="14.5703125" customWidth="1"/>
    <col min="772" max="772" width="12.5703125" customWidth="1"/>
    <col min="773" max="773" width="16.140625" customWidth="1"/>
    <col min="774" max="774" width="20.5703125" customWidth="1"/>
    <col min="775" max="775" width="21" customWidth="1"/>
    <col min="776" max="782" width="19.28515625" customWidth="1"/>
    <col min="1027" max="1027" width="14.5703125" customWidth="1"/>
    <col min="1028" max="1028" width="12.5703125" customWidth="1"/>
    <col min="1029" max="1029" width="16.140625" customWidth="1"/>
    <col min="1030" max="1030" width="20.5703125" customWidth="1"/>
    <col min="1031" max="1031" width="21" customWidth="1"/>
    <col min="1032" max="1038" width="19.28515625" customWidth="1"/>
    <col min="1283" max="1283" width="14.5703125" customWidth="1"/>
    <col min="1284" max="1284" width="12.5703125" customWidth="1"/>
    <col min="1285" max="1285" width="16.140625" customWidth="1"/>
    <col min="1286" max="1286" width="20.5703125" customWidth="1"/>
    <col min="1287" max="1287" width="21" customWidth="1"/>
    <col min="1288" max="1294" width="19.28515625" customWidth="1"/>
    <col min="1539" max="1539" width="14.5703125" customWidth="1"/>
    <col min="1540" max="1540" width="12.5703125" customWidth="1"/>
    <col min="1541" max="1541" width="16.140625" customWidth="1"/>
    <col min="1542" max="1542" width="20.5703125" customWidth="1"/>
    <col min="1543" max="1543" width="21" customWidth="1"/>
    <col min="1544" max="1550" width="19.28515625" customWidth="1"/>
    <col min="1795" max="1795" width="14.5703125" customWidth="1"/>
    <col min="1796" max="1796" width="12.5703125" customWidth="1"/>
    <col min="1797" max="1797" width="16.140625" customWidth="1"/>
    <col min="1798" max="1798" width="20.5703125" customWidth="1"/>
    <col min="1799" max="1799" width="21" customWidth="1"/>
    <col min="1800" max="1806" width="19.28515625" customWidth="1"/>
    <col min="2051" max="2051" width="14.5703125" customWidth="1"/>
    <col min="2052" max="2052" width="12.5703125" customWidth="1"/>
    <col min="2053" max="2053" width="16.140625" customWidth="1"/>
    <col min="2054" max="2054" width="20.5703125" customWidth="1"/>
    <col min="2055" max="2055" width="21" customWidth="1"/>
    <col min="2056" max="2062" width="19.28515625" customWidth="1"/>
    <col min="2307" max="2307" width="14.5703125" customWidth="1"/>
    <col min="2308" max="2308" width="12.5703125" customWidth="1"/>
    <col min="2309" max="2309" width="16.140625" customWidth="1"/>
    <col min="2310" max="2310" width="20.5703125" customWidth="1"/>
    <col min="2311" max="2311" width="21" customWidth="1"/>
    <col min="2312" max="2318" width="19.28515625" customWidth="1"/>
    <col min="2563" max="2563" width="14.5703125" customWidth="1"/>
    <col min="2564" max="2564" width="12.5703125" customWidth="1"/>
    <col min="2565" max="2565" width="16.140625" customWidth="1"/>
    <col min="2566" max="2566" width="20.5703125" customWidth="1"/>
    <col min="2567" max="2567" width="21" customWidth="1"/>
    <col min="2568" max="2574" width="19.28515625" customWidth="1"/>
    <col min="2819" max="2819" width="14.5703125" customWidth="1"/>
    <col min="2820" max="2820" width="12.5703125" customWidth="1"/>
    <col min="2821" max="2821" width="16.140625" customWidth="1"/>
    <col min="2822" max="2822" width="20.5703125" customWidth="1"/>
    <col min="2823" max="2823" width="21" customWidth="1"/>
    <col min="2824" max="2830" width="19.28515625" customWidth="1"/>
    <col min="3075" max="3075" width="14.5703125" customWidth="1"/>
    <col min="3076" max="3076" width="12.5703125" customWidth="1"/>
    <col min="3077" max="3077" width="16.140625" customWidth="1"/>
    <col min="3078" max="3078" width="20.5703125" customWidth="1"/>
    <col min="3079" max="3079" width="21" customWidth="1"/>
    <col min="3080" max="3086" width="19.28515625" customWidth="1"/>
    <col min="3331" max="3331" width="14.5703125" customWidth="1"/>
    <col min="3332" max="3332" width="12.5703125" customWidth="1"/>
    <col min="3333" max="3333" width="16.140625" customWidth="1"/>
    <col min="3334" max="3334" width="20.5703125" customWidth="1"/>
    <col min="3335" max="3335" width="21" customWidth="1"/>
    <col min="3336" max="3342" width="19.28515625" customWidth="1"/>
    <col min="3587" max="3587" width="14.5703125" customWidth="1"/>
    <col min="3588" max="3588" width="12.5703125" customWidth="1"/>
    <col min="3589" max="3589" width="16.140625" customWidth="1"/>
    <col min="3590" max="3590" width="20.5703125" customWidth="1"/>
    <col min="3591" max="3591" width="21" customWidth="1"/>
    <col min="3592" max="3598" width="19.28515625" customWidth="1"/>
    <col min="3843" max="3843" width="14.5703125" customWidth="1"/>
    <col min="3844" max="3844" width="12.5703125" customWidth="1"/>
    <col min="3845" max="3845" width="16.140625" customWidth="1"/>
    <col min="3846" max="3846" width="20.5703125" customWidth="1"/>
    <col min="3847" max="3847" width="21" customWidth="1"/>
    <col min="3848" max="3854" width="19.28515625" customWidth="1"/>
    <col min="4099" max="4099" width="14.5703125" customWidth="1"/>
    <col min="4100" max="4100" width="12.5703125" customWidth="1"/>
    <col min="4101" max="4101" width="16.140625" customWidth="1"/>
    <col min="4102" max="4102" width="20.5703125" customWidth="1"/>
    <col min="4103" max="4103" width="21" customWidth="1"/>
    <col min="4104" max="4110" width="19.28515625" customWidth="1"/>
    <col min="4355" max="4355" width="14.5703125" customWidth="1"/>
    <col min="4356" max="4356" width="12.5703125" customWidth="1"/>
    <col min="4357" max="4357" width="16.140625" customWidth="1"/>
    <col min="4358" max="4358" width="20.5703125" customWidth="1"/>
    <col min="4359" max="4359" width="21" customWidth="1"/>
    <col min="4360" max="4366" width="19.28515625" customWidth="1"/>
    <col min="4611" max="4611" width="14.5703125" customWidth="1"/>
    <col min="4612" max="4612" width="12.5703125" customWidth="1"/>
    <col min="4613" max="4613" width="16.140625" customWidth="1"/>
    <col min="4614" max="4614" width="20.5703125" customWidth="1"/>
    <col min="4615" max="4615" width="21" customWidth="1"/>
    <col min="4616" max="4622" width="19.28515625" customWidth="1"/>
    <col min="4867" max="4867" width="14.5703125" customWidth="1"/>
    <col min="4868" max="4868" width="12.5703125" customWidth="1"/>
    <col min="4869" max="4869" width="16.140625" customWidth="1"/>
    <col min="4870" max="4870" width="20.5703125" customWidth="1"/>
    <col min="4871" max="4871" width="21" customWidth="1"/>
    <col min="4872" max="4878" width="19.28515625" customWidth="1"/>
    <col min="5123" max="5123" width="14.5703125" customWidth="1"/>
    <col min="5124" max="5124" width="12.5703125" customWidth="1"/>
    <col min="5125" max="5125" width="16.140625" customWidth="1"/>
    <col min="5126" max="5126" width="20.5703125" customWidth="1"/>
    <col min="5127" max="5127" width="21" customWidth="1"/>
    <col min="5128" max="5134" width="19.28515625" customWidth="1"/>
    <col min="5379" max="5379" width="14.5703125" customWidth="1"/>
    <col min="5380" max="5380" width="12.5703125" customWidth="1"/>
    <col min="5381" max="5381" width="16.140625" customWidth="1"/>
    <col min="5382" max="5382" width="20.5703125" customWidth="1"/>
    <col min="5383" max="5383" width="21" customWidth="1"/>
    <col min="5384" max="5390" width="19.28515625" customWidth="1"/>
    <col min="5635" max="5635" width="14.5703125" customWidth="1"/>
    <col min="5636" max="5636" width="12.5703125" customWidth="1"/>
    <col min="5637" max="5637" width="16.140625" customWidth="1"/>
    <col min="5638" max="5638" width="20.5703125" customWidth="1"/>
    <col min="5639" max="5639" width="21" customWidth="1"/>
    <col min="5640" max="5646" width="19.28515625" customWidth="1"/>
    <col min="5891" max="5891" width="14.5703125" customWidth="1"/>
    <col min="5892" max="5892" width="12.5703125" customWidth="1"/>
    <col min="5893" max="5893" width="16.140625" customWidth="1"/>
    <col min="5894" max="5894" width="20.5703125" customWidth="1"/>
    <col min="5895" max="5895" width="21" customWidth="1"/>
    <col min="5896" max="5902" width="19.28515625" customWidth="1"/>
    <col min="6147" max="6147" width="14.5703125" customWidth="1"/>
    <col min="6148" max="6148" width="12.5703125" customWidth="1"/>
    <col min="6149" max="6149" width="16.140625" customWidth="1"/>
    <col min="6150" max="6150" width="20.5703125" customWidth="1"/>
    <col min="6151" max="6151" width="21" customWidth="1"/>
    <col min="6152" max="6158" width="19.28515625" customWidth="1"/>
    <col min="6403" max="6403" width="14.5703125" customWidth="1"/>
    <col min="6404" max="6404" width="12.5703125" customWidth="1"/>
    <col min="6405" max="6405" width="16.140625" customWidth="1"/>
    <col min="6406" max="6406" width="20.5703125" customWidth="1"/>
    <col min="6407" max="6407" width="21" customWidth="1"/>
    <col min="6408" max="6414" width="19.28515625" customWidth="1"/>
    <col min="6659" max="6659" width="14.5703125" customWidth="1"/>
    <col min="6660" max="6660" width="12.5703125" customWidth="1"/>
    <col min="6661" max="6661" width="16.140625" customWidth="1"/>
    <col min="6662" max="6662" width="20.5703125" customWidth="1"/>
    <col min="6663" max="6663" width="21" customWidth="1"/>
    <col min="6664" max="6670" width="19.28515625" customWidth="1"/>
    <col min="6915" max="6915" width="14.5703125" customWidth="1"/>
    <col min="6916" max="6916" width="12.5703125" customWidth="1"/>
    <col min="6917" max="6917" width="16.140625" customWidth="1"/>
    <col min="6918" max="6918" width="20.5703125" customWidth="1"/>
    <col min="6919" max="6919" width="21" customWidth="1"/>
    <col min="6920" max="6926" width="19.28515625" customWidth="1"/>
    <col min="7171" max="7171" width="14.5703125" customWidth="1"/>
    <col min="7172" max="7172" width="12.5703125" customWidth="1"/>
    <col min="7173" max="7173" width="16.140625" customWidth="1"/>
    <col min="7174" max="7174" width="20.5703125" customWidth="1"/>
    <col min="7175" max="7175" width="21" customWidth="1"/>
    <col min="7176" max="7182" width="19.28515625" customWidth="1"/>
    <col min="7427" max="7427" width="14.5703125" customWidth="1"/>
    <col min="7428" max="7428" width="12.5703125" customWidth="1"/>
    <col min="7429" max="7429" width="16.140625" customWidth="1"/>
    <col min="7430" max="7430" width="20.5703125" customWidth="1"/>
    <col min="7431" max="7431" width="21" customWidth="1"/>
    <col min="7432" max="7438" width="19.28515625" customWidth="1"/>
    <col min="7683" max="7683" width="14.5703125" customWidth="1"/>
    <col min="7684" max="7684" width="12.5703125" customWidth="1"/>
    <col min="7685" max="7685" width="16.140625" customWidth="1"/>
    <col min="7686" max="7686" width="20.5703125" customWidth="1"/>
    <col min="7687" max="7687" width="21" customWidth="1"/>
    <col min="7688" max="7694" width="19.28515625" customWidth="1"/>
    <col min="7939" max="7939" width="14.5703125" customWidth="1"/>
    <col min="7940" max="7940" width="12.5703125" customWidth="1"/>
    <col min="7941" max="7941" width="16.140625" customWidth="1"/>
    <col min="7942" max="7942" width="20.5703125" customWidth="1"/>
    <col min="7943" max="7943" width="21" customWidth="1"/>
    <col min="7944" max="7950" width="19.28515625" customWidth="1"/>
    <col min="8195" max="8195" width="14.5703125" customWidth="1"/>
    <col min="8196" max="8196" width="12.5703125" customWidth="1"/>
    <col min="8197" max="8197" width="16.140625" customWidth="1"/>
    <col min="8198" max="8198" width="20.5703125" customWidth="1"/>
    <col min="8199" max="8199" width="21" customWidth="1"/>
    <col min="8200" max="8206" width="19.28515625" customWidth="1"/>
    <col min="8451" max="8451" width="14.5703125" customWidth="1"/>
    <col min="8452" max="8452" width="12.5703125" customWidth="1"/>
    <col min="8453" max="8453" width="16.140625" customWidth="1"/>
    <col min="8454" max="8454" width="20.5703125" customWidth="1"/>
    <col min="8455" max="8455" width="21" customWidth="1"/>
    <col min="8456" max="8462" width="19.28515625" customWidth="1"/>
    <col min="8707" max="8707" width="14.5703125" customWidth="1"/>
    <col min="8708" max="8708" width="12.5703125" customWidth="1"/>
    <col min="8709" max="8709" width="16.140625" customWidth="1"/>
    <col min="8710" max="8710" width="20.5703125" customWidth="1"/>
    <col min="8711" max="8711" width="21" customWidth="1"/>
    <col min="8712" max="8718" width="19.28515625" customWidth="1"/>
    <col min="8963" max="8963" width="14.5703125" customWidth="1"/>
    <col min="8964" max="8964" width="12.5703125" customWidth="1"/>
    <col min="8965" max="8965" width="16.140625" customWidth="1"/>
    <col min="8966" max="8966" width="20.5703125" customWidth="1"/>
    <col min="8967" max="8967" width="21" customWidth="1"/>
    <col min="8968" max="8974" width="19.28515625" customWidth="1"/>
    <col min="9219" max="9219" width="14.5703125" customWidth="1"/>
    <col min="9220" max="9220" width="12.5703125" customWidth="1"/>
    <col min="9221" max="9221" width="16.140625" customWidth="1"/>
    <col min="9222" max="9222" width="20.5703125" customWidth="1"/>
    <col min="9223" max="9223" width="21" customWidth="1"/>
    <col min="9224" max="9230" width="19.28515625" customWidth="1"/>
    <col min="9475" max="9475" width="14.5703125" customWidth="1"/>
    <col min="9476" max="9476" width="12.5703125" customWidth="1"/>
    <col min="9477" max="9477" width="16.140625" customWidth="1"/>
    <col min="9478" max="9478" width="20.5703125" customWidth="1"/>
    <col min="9479" max="9479" width="21" customWidth="1"/>
    <col min="9480" max="9486" width="19.28515625" customWidth="1"/>
    <col min="9731" max="9731" width="14.5703125" customWidth="1"/>
    <col min="9732" max="9732" width="12.5703125" customWidth="1"/>
    <col min="9733" max="9733" width="16.140625" customWidth="1"/>
    <col min="9734" max="9734" width="20.5703125" customWidth="1"/>
    <col min="9735" max="9735" width="21" customWidth="1"/>
    <col min="9736" max="9742" width="19.28515625" customWidth="1"/>
    <col min="9987" max="9987" width="14.5703125" customWidth="1"/>
    <col min="9988" max="9988" width="12.5703125" customWidth="1"/>
    <col min="9989" max="9989" width="16.140625" customWidth="1"/>
    <col min="9990" max="9990" width="20.5703125" customWidth="1"/>
    <col min="9991" max="9991" width="21" customWidth="1"/>
    <col min="9992" max="9998" width="19.28515625" customWidth="1"/>
    <col min="10243" max="10243" width="14.5703125" customWidth="1"/>
    <col min="10244" max="10244" width="12.5703125" customWidth="1"/>
    <col min="10245" max="10245" width="16.140625" customWidth="1"/>
    <col min="10246" max="10246" width="20.5703125" customWidth="1"/>
    <col min="10247" max="10247" width="21" customWidth="1"/>
    <col min="10248" max="10254" width="19.28515625" customWidth="1"/>
    <col min="10499" max="10499" width="14.5703125" customWidth="1"/>
    <col min="10500" max="10500" width="12.5703125" customWidth="1"/>
    <col min="10501" max="10501" width="16.140625" customWidth="1"/>
    <col min="10502" max="10502" width="20.5703125" customWidth="1"/>
    <col min="10503" max="10503" width="21" customWidth="1"/>
    <col min="10504" max="10510" width="19.28515625" customWidth="1"/>
    <col min="10755" max="10755" width="14.5703125" customWidth="1"/>
    <col min="10756" max="10756" width="12.5703125" customWidth="1"/>
    <col min="10757" max="10757" width="16.140625" customWidth="1"/>
    <col min="10758" max="10758" width="20.5703125" customWidth="1"/>
    <col min="10759" max="10759" width="21" customWidth="1"/>
    <col min="10760" max="10766" width="19.28515625" customWidth="1"/>
    <col min="11011" max="11011" width="14.5703125" customWidth="1"/>
    <col min="11012" max="11012" width="12.5703125" customWidth="1"/>
    <col min="11013" max="11013" width="16.140625" customWidth="1"/>
    <col min="11014" max="11014" width="20.5703125" customWidth="1"/>
    <col min="11015" max="11015" width="21" customWidth="1"/>
    <col min="11016" max="11022" width="19.28515625" customWidth="1"/>
    <col min="11267" max="11267" width="14.5703125" customWidth="1"/>
    <col min="11268" max="11268" width="12.5703125" customWidth="1"/>
    <col min="11269" max="11269" width="16.140625" customWidth="1"/>
    <col min="11270" max="11270" width="20.5703125" customWidth="1"/>
    <col min="11271" max="11271" width="21" customWidth="1"/>
    <col min="11272" max="11278" width="19.28515625" customWidth="1"/>
    <col min="11523" max="11523" width="14.5703125" customWidth="1"/>
    <col min="11524" max="11524" width="12.5703125" customWidth="1"/>
    <col min="11525" max="11525" width="16.140625" customWidth="1"/>
    <col min="11526" max="11526" width="20.5703125" customWidth="1"/>
    <col min="11527" max="11527" width="21" customWidth="1"/>
    <col min="11528" max="11534" width="19.28515625" customWidth="1"/>
    <col min="11779" max="11779" width="14.5703125" customWidth="1"/>
    <col min="11780" max="11780" width="12.5703125" customWidth="1"/>
    <col min="11781" max="11781" width="16.140625" customWidth="1"/>
    <col min="11782" max="11782" width="20.5703125" customWidth="1"/>
    <col min="11783" max="11783" width="21" customWidth="1"/>
    <col min="11784" max="11790" width="19.28515625" customWidth="1"/>
    <col min="12035" max="12035" width="14.5703125" customWidth="1"/>
    <col min="12036" max="12036" width="12.5703125" customWidth="1"/>
    <col min="12037" max="12037" width="16.140625" customWidth="1"/>
    <col min="12038" max="12038" width="20.5703125" customWidth="1"/>
    <col min="12039" max="12039" width="21" customWidth="1"/>
    <col min="12040" max="12046" width="19.28515625" customWidth="1"/>
    <col min="12291" max="12291" width="14.5703125" customWidth="1"/>
    <col min="12292" max="12292" width="12.5703125" customWidth="1"/>
    <col min="12293" max="12293" width="16.140625" customWidth="1"/>
    <col min="12294" max="12294" width="20.5703125" customWidth="1"/>
    <col min="12295" max="12295" width="21" customWidth="1"/>
    <col min="12296" max="12302" width="19.28515625" customWidth="1"/>
    <col min="12547" max="12547" width="14.5703125" customWidth="1"/>
    <col min="12548" max="12548" width="12.5703125" customWidth="1"/>
    <col min="12549" max="12549" width="16.140625" customWidth="1"/>
    <col min="12550" max="12550" width="20.5703125" customWidth="1"/>
    <col min="12551" max="12551" width="21" customWidth="1"/>
    <col min="12552" max="12558" width="19.28515625" customWidth="1"/>
    <col min="12803" max="12803" width="14.5703125" customWidth="1"/>
    <col min="12804" max="12804" width="12.5703125" customWidth="1"/>
    <col min="12805" max="12805" width="16.140625" customWidth="1"/>
    <col min="12806" max="12806" width="20.5703125" customWidth="1"/>
    <col min="12807" max="12807" width="21" customWidth="1"/>
    <col min="12808" max="12814" width="19.28515625" customWidth="1"/>
    <col min="13059" max="13059" width="14.5703125" customWidth="1"/>
    <col min="13060" max="13060" width="12.5703125" customWidth="1"/>
    <col min="13061" max="13061" width="16.140625" customWidth="1"/>
    <col min="13062" max="13062" width="20.5703125" customWidth="1"/>
    <col min="13063" max="13063" width="21" customWidth="1"/>
    <col min="13064" max="13070" width="19.28515625" customWidth="1"/>
    <col min="13315" max="13315" width="14.5703125" customWidth="1"/>
    <col min="13316" max="13316" width="12.5703125" customWidth="1"/>
    <col min="13317" max="13317" width="16.140625" customWidth="1"/>
    <col min="13318" max="13318" width="20.5703125" customWidth="1"/>
    <col min="13319" max="13319" width="21" customWidth="1"/>
    <col min="13320" max="13326" width="19.28515625" customWidth="1"/>
    <col min="13571" max="13571" width="14.5703125" customWidth="1"/>
    <col min="13572" max="13572" width="12.5703125" customWidth="1"/>
    <col min="13573" max="13573" width="16.140625" customWidth="1"/>
    <col min="13574" max="13574" width="20.5703125" customWidth="1"/>
    <col min="13575" max="13575" width="21" customWidth="1"/>
    <col min="13576" max="13582" width="19.28515625" customWidth="1"/>
    <col min="13827" max="13827" width="14.5703125" customWidth="1"/>
    <col min="13828" max="13828" width="12.5703125" customWidth="1"/>
    <col min="13829" max="13829" width="16.140625" customWidth="1"/>
    <col min="13830" max="13830" width="20.5703125" customWidth="1"/>
    <col min="13831" max="13831" width="21" customWidth="1"/>
    <col min="13832" max="13838" width="19.28515625" customWidth="1"/>
    <col min="14083" max="14083" width="14.5703125" customWidth="1"/>
    <col min="14084" max="14084" width="12.5703125" customWidth="1"/>
    <col min="14085" max="14085" width="16.140625" customWidth="1"/>
    <col min="14086" max="14086" width="20.5703125" customWidth="1"/>
    <col min="14087" max="14087" width="21" customWidth="1"/>
    <col min="14088" max="14094" width="19.28515625" customWidth="1"/>
    <col min="14339" max="14339" width="14.5703125" customWidth="1"/>
    <col min="14340" max="14340" width="12.5703125" customWidth="1"/>
    <col min="14341" max="14341" width="16.140625" customWidth="1"/>
    <col min="14342" max="14342" width="20.5703125" customWidth="1"/>
    <col min="14343" max="14343" width="21" customWidth="1"/>
    <col min="14344" max="14350" width="19.28515625" customWidth="1"/>
    <col min="14595" max="14595" width="14.5703125" customWidth="1"/>
    <col min="14596" max="14596" width="12.5703125" customWidth="1"/>
    <col min="14597" max="14597" width="16.140625" customWidth="1"/>
    <col min="14598" max="14598" width="20.5703125" customWidth="1"/>
    <col min="14599" max="14599" width="21" customWidth="1"/>
    <col min="14600" max="14606" width="19.28515625" customWidth="1"/>
    <col min="14851" max="14851" width="14.5703125" customWidth="1"/>
    <col min="14852" max="14852" width="12.5703125" customWidth="1"/>
    <col min="14853" max="14853" width="16.140625" customWidth="1"/>
    <col min="14854" max="14854" width="20.5703125" customWidth="1"/>
    <col min="14855" max="14855" width="21" customWidth="1"/>
    <col min="14856" max="14862" width="19.28515625" customWidth="1"/>
    <col min="15107" max="15107" width="14.5703125" customWidth="1"/>
    <col min="15108" max="15108" width="12.5703125" customWidth="1"/>
    <col min="15109" max="15109" width="16.140625" customWidth="1"/>
    <col min="15110" max="15110" width="20.5703125" customWidth="1"/>
    <col min="15111" max="15111" width="21" customWidth="1"/>
    <col min="15112" max="15118" width="19.28515625" customWidth="1"/>
    <col min="15363" max="15363" width="14.5703125" customWidth="1"/>
    <col min="15364" max="15364" width="12.5703125" customWidth="1"/>
    <col min="15365" max="15365" width="16.140625" customWidth="1"/>
    <col min="15366" max="15366" width="20.5703125" customWidth="1"/>
    <col min="15367" max="15367" width="21" customWidth="1"/>
    <col min="15368" max="15374" width="19.28515625" customWidth="1"/>
    <col min="15619" max="15619" width="14.5703125" customWidth="1"/>
    <col min="15620" max="15620" width="12.5703125" customWidth="1"/>
    <col min="15621" max="15621" width="16.140625" customWidth="1"/>
    <col min="15622" max="15622" width="20.5703125" customWidth="1"/>
    <col min="15623" max="15623" width="21" customWidth="1"/>
    <col min="15624" max="15630" width="19.28515625" customWidth="1"/>
    <col min="15875" max="15875" width="14.5703125" customWidth="1"/>
    <col min="15876" max="15876" width="12.5703125" customWidth="1"/>
    <col min="15877" max="15877" width="16.140625" customWidth="1"/>
    <col min="15878" max="15878" width="20.5703125" customWidth="1"/>
    <col min="15879" max="15879" width="21" customWidth="1"/>
    <col min="15880" max="15886" width="19.28515625" customWidth="1"/>
    <col min="16131" max="16131" width="14.5703125" customWidth="1"/>
    <col min="16132" max="16132" width="12.5703125" customWidth="1"/>
    <col min="16133" max="16133" width="16.140625" customWidth="1"/>
    <col min="16134" max="16134" width="20.5703125" customWidth="1"/>
    <col min="16135" max="16135" width="21" customWidth="1"/>
    <col min="16136" max="16142" width="19.28515625" customWidth="1"/>
  </cols>
  <sheetData>
    <row r="1" spans="1:14">
      <c r="C1" s="580" t="s">
        <v>3308</v>
      </c>
      <c r="E1" s="395" t="s">
        <v>3078</v>
      </c>
    </row>
    <row r="2" spans="1:14" ht="15.75" thickBot="1">
      <c r="C2" s="395" t="s">
        <v>246</v>
      </c>
      <c r="E2" s="599" t="s">
        <v>3079</v>
      </c>
      <c r="F2" s="600" t="e">
        <f>IF(J17="Zone special","Zone East special",(IF($J$11&lt;1940,"Refer",INDEX($F$13:$G$20,$J$19,$J$18))))</f>
        <v>#N/A</v>
      </c>
    </row>
    <row r="3" spans="1:14" ht="15.75" thickBot="1">
      <c r="C3" s="395"/>
      <c r="E3" s="599"/>
      <c r="F3" s="601"/>
      <c r="J3" s="602" t="s">
        <v>3092</v>
      </c>
      <c r="K3" s="603"/>
      <c r="L3" s="603"/>
      <c r="M3" s="603"/>
      <c r="N3" s="604"/>
    </row>
    <row r="4" spans="1:14">
      <c r="C4" s="395"/>
      <c r="E4" s="599" t="s">
        <v>3080</v>
      </c>
      <c r="F4" s="605">
        <v>0.1</v>
      </c>
    </row>
    <row r="5" spans="1:14">
      <c r="C5" s="395"/>
      <c r="E5" s="599" t="s">
        <v>3081</v>
      </c>
      <c r="F5" s="606">
        <v>100000</v>
      </c>
    </row>
    <row r="6" spans="1:14">
      <c r="C6" s="395"/>
      <c r="E6" s="599" t="s">
        <v>1321</v>
      </c>
      <c r="F6" s="607">
        <f>VLOOKUP(F4,$C$33:$D$40,2,FALSE)</f>
        <v>0.72699999999999998</v>
      </c>
    </row>
    <row r="7" spans="1:14">
      <c r="B7" s="395"/>
      <c r="D7" s="608"/>
      <c r="N7" s="588" t="s">
        <v>3093</v>
      </c>
    </row>
    <row r="8" spans="1:14">
      <c r="B8" s="395"/>
      <c r="D8" s="608"/>
      <c r="I8" s="586" t="s">
        <v>3082</v>
      </c>
      <c r="J8" s="587" t="e">
        <f>IF('EQ rate no1'!$D$4="QC",PostalCode,"Postal code is outside of QC")</f>
        <v>#N/A</v>
      </c>
      <c r="M8" s="609" t="s">
        <v>3094</v>
      </c>
      <c r="N8" s="588">
        <v>1</v>
      </c>
    </row>
    <row r="9" spans="1:14" ht="15.75" thickBot="1">
      <c r="A9" s="610" t="s">
        <v>3095</v>
      </c>
      <c r="B9" s="611"/>
      <c r="C9" s="612"/>
      <c r="D9" s="612"/>
      <c r="E9" s="612"/>
      <c r="F9" s="613">
        <v>1</v>
      </c>
      <c r="G9" s="613">
        <v>2</v>
      </c>
      <c r="M9" s="609" t="s">
        <v>3096</v>
      </c>
      <c r="N9" s="588">
        <v>1</v>
      </c>
    </row>
    <row r="10" spans="1:14">
      <c r="C10" s="614"/>
      <c r="D10" s="615"/>
      <c r="E10" s="616"/>
      <c r="F10" s="617" t="s">
        <v>3097</v>
      </c>
      <c r="G10" s="618"/>
      <c r="M10" s="609" t="s">
        <v>3098</v>
      </c>
      <c r="N10" s="588">
        <v>1</v>
      </c>
    </row>
    <row r="11" spans="1:14">
      <c r="C11" s="619"/>
      <c r="D11" s="166"/>
      <c r="E11" s="59"/>
      <c r="F11" s="620" t="s">
        <v>3099</v>
      </c>
      <c r="G11" s="621"/>
      <c r="I11" s="586" t="s">
        <v>1300</v>
      </c>
      <c r="J11" s="591">
        <f>Yrbuilt</f>
        <v>0</v>
      </c>
      <c r="L11" s="588" t="e">
        <f>VLOOKUP(J11,D24:E25,2,TRUE)</f>
        <v>#N/A</v>
      </c>
      <c r="M11" s="609" t="s">
        <v>3100</v>
      </c>
      <c r="N11" s="588">
        <v>1</v>
      </c>
    </row>
    <row r="12" spans="1:14" ht="45.75" thickBot="1">
      <c r="A12" s="610" t="s">
        <v>3101</v>
      </c>
      <c r="B12" s="622" t="s">
        <v>3102</v>
      </c>
      <c r="C12" s="623" t="s">
        <v>1152</v>
      </c>
      <c r="D12" s="624" t="s">
        <v>3103</v>
      </c>
      <c r="E12" s="625" t="s">
        <v>3104</v>
      </c>
      <c r="F12" s="626" t="s">
        <v>3105</v>
      </c>
      <c r="G12" s="627" t="s">
        <v>3106</v>
      </c>
      <c r="I12" s="586" t="s">
        <v>1301</v>
      </c>
      <c r="J12" s="591" t="str">
        <f>'EQ rate no1'!$D$8</f>
        <v>Fire Resistive</v>
      </c>
      <c r="K12" s="592"/>
      <c r="L12" s="1018">
        <f>VLOOKUP(J12,Settings!$A$135:$B$140,2,FALSE)</f>
        <v>1</v>
      </c>
      <c r="M12" s="609" t="s">
        <v>3107</v>
      </c>
      <c r="N12" s="588">
        <v>1</v>
      </c>
    </row>
    <row r="13" spans="1:14">
      <c r="A13" s="628">
        <v>1</v>
      </c>
      <c r="B13" s="629" t="str">
        <f>CONCATENATE(C13,D13,E13)</f>
        <v/>
      </c>
      <c r="C13" s="630"/>
      <c r="D13" s="631"/>
      <c r="E13" s="632"/>
      <c r="F13" s="633"/>
      <c r="G13" s="634"/>
      <c r="I13" s="586" t="s">
        <v>1302</v>
      </c>
      <c r="J13" s="591">
        <f>Nbofstoreys</f>
        <v>0</v>
      </c>
      <c r="L13" s="588" t="e">
        <f>VLOOKUP(J13,D28:E29,2,TRUE)</f>
        <v>#N/A</v>
      </c>
      <c r="M13" s="609" t="s">
        <v>3110</v>
      </c>
      <c r="N13" s="588">
        <v>1</v>
      </c>
    </row>
    <row r="14" spans="1:14" ht="15.75" thickBot="1">
      <c r="A14" s="628">
        <v>2</v>
      </c>
      <c r="B14" s="629" t="str">
        <f t="shared" ref="B14:B16" si="0">CONCATENATE(C14,D14,E14)</f>
        <v/>
      </c>
      <c r="C14" s="635"/>
      <c r="D14" s="636"/>
      <c r="E14" s="637"/>
      <c r="F14" s="638"/>
      <c r="G14" s="639"/>
      <c r="I14" s="586" t="s">
        <v>3084</v>
      </c>
      <c r="J14" s="591">
        <f>Totalinsuredvalue</f>
        <v>0</v>
      </c>
      <c r="M14" s="609" t="s">
        <v>3112</v>
      </c>
      <c r="N14" s="588">
        <v>1</v>
      </c>
    </row>
    <row r="15" spans="1:14">
      <c r="A15" s="628">
        <v>3</v>
      </c>
      <c r="B15" s="629" t="str">
        <f t="shared" si="0"/>
        <v/>
      </c>
      <c r="C15" s="630"/>
      <c r="D15" s="631"/>
      <c r="E15" s="632"/>
      <c r="F15" s="640"/>
      <c r="G15" s="641"/>
      <c r="M15" s="609" t="s">
        <v>3114</v>
      </c>
      <c r="N15" s="588">
        <v>1</v>
      </c>
    </row>
    <row r="16" spans="1:14" ht="15.75" thickBot="1">
      <c r="A16" s="628">
        <v>4</v>
      </c>
      <c r="B16" s="629" t="str">
        <f t="shared" si="0"/>
        <v/>
      </c>
      <c r="C16" s="635"/>
      <c r="D16" s="636"/>
      <c r="E16" s="637"/>
      <c r="F16" s="642"/>
      <c r="G16" s="643"/>
      <c r="M16" s="609" t="s">
        <v>3115</v>
      </c>
      <c r="N16" s="588">
        <v>1</v>
      </c>
    </row>
    <row r="17" spans="1:14" ht="15.75" thickBot="1">
      <c r="A17" s="628">
        <v>5</v>
      </c>
      <c r="B17" s="629" t="str">
        <f>CONCATENATE(D17,E17)</f>
        <v>1_31988+</v>
      </c>
      <c r="C17" s="630" t="s">
        <v>3309</v>
      </c>
      <c r="D17" s="631" t="s">
        <v>3108</v>
      </c>
      <c r="E17" s="632" t="s">
        <v>3109</v>
      </c>
      <c r="F17" s="633">
        <v>2.4100697996459614E-2</v>
      </c>
      <c r="G17" s="634">
        <v>3.8872800904178648E-2</v>
      </c>
      <c r="I17" s="586" t="s">
        <v>3117</v>
      </c>
      <c r="J17" s="591" t="e">
        <f>IF(VLOOKUP(J8,'PCODES EQ'!C:F,4)="Special","Zone Special","QC")</f>
        <v>#N/A</v>
      </c>
      <c r="M17" s="609" t="s">
        <v>3118</v>
      </c>
      <c r="N17" s="588">
        <v>1</v>
      </c>
    </row>
    <row r="18" spans="1:14" ht="15.75" thickBot="1">
      <c r="A18" s="628">
        <v>6</v>
      </c>
      <c r="B18" s="629" t="str">
        <f t="shared" ref="B18:B20" si="1">CONCATENATE(D18,E18)</f>
        <v>1_31987-</v>
      </c>
      <c r="C18" s="630" t="s">
        <v>3309</v>
      </c>
      <c r="D18" s="636" t="s">
        <v>3108</v>
      </c>
      <c r="E18" s="637" t="s">
        <v>3111</v>
      </c>
      <c r="F18" s="638">
        <v>2.4376866892548893E-2</v>
      </c>
      <c r="G18" s="639">
        <v>4.3319275273402527E-2</v>
      </c>
      <c r="I18" s="586" t="s">
        <v>3095</v>
      </c>
      <c r="J18" s="591" t="e">
        <f>VLOOKUP(LEFT($J$8,2),$M$8:$N$36,2,FALSE)</f>
        <v>#N/A</v>
      </c>
      <c r="K18" s="644"/>
      <c r="L18" s="644"/>
      <c r="M18" s="609" t="s">
        <v>3119</v>
      </c>
      <c r="N18" s="588">
        <v>1</v>
      </c>
    </row>
    <row r="19" spans="1:14" ht="15.75" thickBot="1">
      <c r="A19" s="628">
        <v>7</v>
      </c>
      <c r="B19" s="629" t="str">
        <f t="shared" si="1"/>
        <v>4+1988+</v>
      </c>
      <c r="C19" s="630" t="s">
        <v>3309</v>
      </c>
      <c r="D19" s="646" t="s">
        <v>3113</v>
      </c>
      <c r="E19" s="647" t="s">
        <v>3109</v>
      </c>
      <c r="F19" s="640">
        <v>2.7169612628249601E-2</v>
      </c>
      <c r="G19" s="641">
        <v>4.2511404919884047E-2</v>
      </c>
      <c r="I19" s="586" t="s">
        <v>3120</v>
      </c>
      <c r="J19" s="591" t="e">
        <f>MATCH(CONCATENATE($L$13,$L$11),$B$13:$B$20,0)</f>
        <v>#N/A</v>
      </c>
      <c r="M19" s="609" t="s">
        <v>3121</v>
      </c>
      <c r="N19" s="588">
        <v>1</v>
      </c>
    </row>
    <row r="20" spans="1:14" ht="15.75" thickBot="1">
      <c r="A20" s="628">
        <v>8</v>
      </c>
      <c r="B20" s="629" t="str">
        <f t="shared" si="1"/>
        <v>4+1987-</v>
      </c>
      <c r="C20" s="630" t="s">
        <v>3309</v>
      </c>
      <c r="D20" s="636" t="s">
        <v>3113</v>
      </c>
      <c r="E20" s="637" t="s">
        <v>3111</v>
      </c>
      <c r="F20" s="642">
        <v>3.6137548905166336E-2</v>
      </c>
      <c r="G20" s="643">
        <v>5.6543241721536894E-2</v>
      </c>
      <c r="I20" s="648"/>
      <c r="M20" s="609" t="s">
        <v>3122</v>
      </c>
      <c r="N20" s="588">
        <v>1</v>
      </c>
    </row>
    <row r="21" spans="1:14">
      <c r="I21" s="648"/>
      <c r="M21" s="609" t="s">
        <v>3123</v>
      </c>
      <c r="N21" s="588">
        <v>2</v>
      </c>
    </row>
    <row r="22" spans="1:14">
      <c r="J22" s="649"/>
      <c r="M22" s="609" t="s">
        <v>3124</v>
      </c>
      <c r="N22" s="588">
        <v>2</v>
      </c>
    </row>
    <row r="23" spans="1:14">
      <c r="C23" s="650" t="s">
        <v>3125</v>
      </c>
      <c r="E23" s="651"/>
      <c r="I23" s="652"/>
      <c r="J23" s="653"/>
      <c r="M23" s="609" t="s">
        <v>3126</v>
      </c>
      <c r="N23" s="588">
        <v>2</v>
      </c>
    </row>
    <row r="24" spans="1:14">
      <c r="C24" t="s">
        <v>3127</v>
      </c>
      <c r="D24">
        <v>1</v>
      </c>
      <c r="E24" s="654" t="s">
        <v>3111</v>
      </c>
      <c r="I24" s="652"/>
      <c r="M24" s="609" t="s">
        <v>3128</v>
      </c>
      <c r="N24" s="588">
        <v>2</v>
      </c>
    </row>
    <row r="25" spans="1:14">
      <c r="C25" s="655" t="s">
        <v>3129</v>
      </c>
      <c r="D25">
        <v>1988</v>
      </c>
      <c r="E25" s="654" t="s">
        <v>3109</v>
      </c>
      <c r="M25" s="609" t="s">
        <v>3130</v>
      </c>
      <c r="N25" s="588">
        <v>2</v>
      </c>
    </row>
    <row r="26" spans="1:14">
      <c r="I26" s="656"/>
      <c r="M26" s="609" t="s">
        <v>3131</v>
      </c>
      <c r="N26" s="588">
        <v>2</v>
      </c>
    </row>
    <row r="27" spans="1:14">
      <c r="C27" s="650" t="s">
        <v>3132</v>
      </c>
      <c r="E27" s="651"/>
      <c r="M27" s="609" t="s">
        <v>3133</v>
      </c>
      <c r="N27" s="588">
        <v>2</v>
      </c>
    </row>
    <row r="28" spans="1:14">
      <c r="C28" t="s">
        <v>3134</v>
      </c>
      <c r="D28">
        <v>1</v>
      </c>
      <c r="E28" s="657" t="s">
        <v>3108</v>
      </c>
      <c r="M28" s="609" t="s">
        <v>3135</v>
      </c>
      <c r="N28" s="588">
        <v>2</v>
      </c>
    </row>
    <row r="29" spans="1:14">
      <c r="C29" s="655" t="s">
        <v>3113</v>
      </c>
      <c r="D29">
        <v>4</v>
      </c>
      <c r="E29" s="647" t="s">
        <v>3113</v>
      </c>
      <c r="M29" s="609" t="s">
        <v>3136</v>
      </c>
      <c r="N29" s="588">
        <v>2</v>
      </c>
    </row>
    <row r="30" spans="1:14">
      <c r="M30" s="609" t="s">
        <v>3137</v>
      </c>
      <c r="N30" s="588">
        <v>2</v>
      </c>
    </row>
    <row r="31" spans="1:14" ht="15.75" thickBot="1">
      <c r="C31" s="658" t="s">
        <v>3138</v>
      </c>
      <c r="M31" s="609" t="s">
        <v>3139</v>
      </c>
      <c r="N31" s="588">
        <v>2</v>
      </c>
    </row>
    <row r="32" spans="1:14" ht="15.75" thickBot="1">
      <c r="C32" s="659" t="s">
        <v>1083</v>
      </c>
      <c r="D32" s="660" t="s">
        <v>3140</v>
      </c>
      <c r="M32" s="609" t="s">
        <v>3141</v>
      </c>
      <c r="N32" s="588">
        <v>2</v>
      </c>
    </row>
    <row r="33" spans="3:14">
      <c r="C33" s="661">
        <v>0.03</v>
      </c>
      <c r="D33" s="662">
        <v>1.1803999999999999</v>
      </c>
      <c r="M33" s="609" t="s">
        <v>3142</v>
      </c>
      <c r="N33" s="588">
        <v>2</v>
      </c>
    </row>
    <row r="34" spans="3:14">
      <c r="C34" s="661">
        <v>0.05</v>
      </c>
      <c r="D34" s="662">
        <v>1</v>
      </c>
      <c r="M34" s="609" t="s">
        <v>3143</v>
      </c>
      <c r="N34" s="588">
        <v>2</v>
      </c>
    </row>
    <row r="35" spans="3:14">
      <c r="C35" s="661">
        <v>0.08</v>
      </c>
      <c r="D35" s="662">
        <v>0.81520000000000004</v>
      </c>
      <c r="M35" s="609" t="s">
        <v>3144</v>
      </c>
      <c r="N35" s="588">
        <v>2</v>
      </c>
    </row>
    <row r="36" spans="3:14">
      <c r="C36" s="661">
        <v>0.1</v>
      </c>
      <c r="D36" s="662">
        <v>0.72699999999999998</v>
      </c>
      <c r="M36" s="609" t="s">
        <v>3145</v>
      </c>
      <c r="N36" s="588">
        <v>2</v>
      </c>
    </row>
    <row r="37" spans="3:14">
      <c r="C37" s="661">
        <v>0.15</v>
      </c>
      <c r="D37" s="662">
        <v>0.56589999999999996</v>
      </c>
    </row>
    <row r="38" spans="3:14">
      <c r="C38" s="661">
        <v>0.2</v>
      </c>
      <c r="D38" s="662">
        <v>0.45319999999999999</v>
      </c>
    </row>
    <row r="39" spans="3:14">
      <c r="C39" s="661">
        <v>0.25</v>
      </c>
      <c r="D39" s="662">
        <v>0.37269999999999998</v>
      </c>
    </row>
    <row r="40" spans="3:14" ht="15.75" thickBot="1">
      <c r="C40" s="663">
        <v>0.3</v>
      </c>
      <c r="D40" s="664">
        <v>0.32050000000000001</v>
      </c>
    </row>
  </sheetData>
  <pageMargins left="0.45" right="0.45" top="0.75" bottom="0.75" header="0.3" footer="0.3"/>
  <pageSetup scale="64" fitToHeight="2" orientation="landscape" verticalDpi="1200" r:id="rId1"/>
  <headerFooter>
    <oddFooter>&amp;RPage &amp;P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8">
    <tabColor rgb="FF7030A0"/>
  </sheetPr>
  <dimension ref="A1:U53"/>
  <sheetViews>
    <sheetView showGridLines="0" topLeftCell="G1" workbookViewId="0">
      <selection activeCell="N10" sqref="N10"/>
    </sheetView>
  </sheetViews>
  <sheetFormatPr defaultColWidth="9.140625" defaultRowHeight="15" outlineLevelCol="1"/>
  <cols>
    <col min="1" max="1" width="6.85546875" hidden="1" customWidth="1" outlineLevel="1"/>
    <col min="2" max="3" width="27.7109375" style="176" hidden="1" customWidth="1" outlineLevel="1"/>
    <col min="4" max="4" width="21.5703125" customWidth="1" collapsed="1"/>
    <col min="5" max="5" width="21" customWidth="1"/>
    <col min="6" max="6" width="21.140625" style="651" customWidth="1"/>
    <col min="7" max="7" width="14.42578125" customWidth="1"/>
    <col min="8" max="8" width="17.85546875" customWidth="1"/>
    <col min="10" max="10" width="1.42578125" customWidth="1"/>
    <col min="11" max="11" width="22.140625" style="586" customWidth="1"/>
    <col min="12" max="12" width="37.85546875" style="665" customWidth="1"/>
    <col min="13" max="21" width="9.140625" style="588" customWidth="1" outlineLevel="1"/>
  </cols>
  <sheetData>
    <row r="1" spans="1:21">
      <c r="D1" s="580" t="s">
        <v>3308</v>
      </c>
      <c r="E1" s="395" t="s">
        <v>3078</v>
      </c>
    </row>
    <row r="2" spans="1:21" ht="15.75" thickBot="1">
      <c r="D2" s="666" t="s">
        <v>244</v>
      </c>
      <c r="E2" s="599" t="s">
        <v>3079</v>
      </c>
      <c r="F2" s="667" t="e">
        <f>INDEX($F$13:$H$20,$L$14,$L$13)</f>
        <v>#N/A</v>
      </c>
    </row>
    <row r="3" spans="1:21" ht="15.75" thickBot="1">
      <c r="D3" s="666"/>
      <c r="E3" s="599"/>
      <c r="F3" s="668"/>
      <c r="K3" s="3608" t="s">
        <v>3092</v>
      </c>
      <c r="L3" s="3609"/>
      <c r="M3" s="3609"/>
      <c r="N3" s="3609"/>
      <c r="O3" s="3609"/>
      <c r="P3" s="3609"/>
      <c r="Q3" s="3609"/>
      <c r="R3" s="3609"/>
      <c r="S3" s="3609"/>
      <c r="T3" s="3609"/>
      <c r="U3" s="3610"/>
    </row>
    <row r="4" spans="1:21">
      <c r="D4" s="666"/>
      <c r="E4" s="599" t="s">
        <v>3080</v>
      </c>
      <c r="F4" s="605">
        <v>0.05</v>
      </c>
    </row>
    <row r="5" spans="1:21">
      <c r="D5" s="666"/>
      <c r="E5" s="599" t="s">
        <v>3081</v>
      </c>
      <c r="F5" s="606">
        <v>100000</v>
      </c>
    </row>
    <row r="6" spans="1:21">
      <c r="D6" s="395"/>
      <c r="E6" s="599" t="s">
        <v>1321</v>
      </c>
      <c r="F6" s="607">
        <f>E32</f>
        <v>1</v>
      </c>
      <c r="H6" s="669"/>
      <c r="K6" s="586" t="s">
        <v>3082</v>
      </c>
      <c r="L6" s="670" t="e">
        <f>IF('EQ rate no1'!$D$4="ON",PostalCode,"Postal code is outside of ON")</f>
        <v>#N/A</v>
      </c>
      <c r="N6" s="588" t="s">
        <v>3146</v>
      </c>
      <c r="Q6" s="588" t="s">
        <v>3147</v>
      </c>
      <c r="R6" s="588" t="s">
        <v>3148</v>
      </c>
      <c r="T6" s="588" t="s">
        <v>3149</v>
      </c>
      <c r="U6" s="588" t="s">
        <v>3148</v>
      </c>
    </row>
    <row r="7" spans="1:21">
      <c r="E7" s="395"/>
      <c r="K7" s="586" t="s">
        <v>1300</v>
      </c>
      <c r="L7" s="671">
        <f>Yrbuilt</f>
        <v>0</v>
      </c>
      <c r="N7" s="588" t="e">
        <f>VLOOKUP(L7,E24:F25,2,TRUE)</f>
        <v>#N/A</v>
      </c>
      <c r="Q7" s="609"/>
    </row>
    <row r="8" spans="1:21" s="255" customFormat="1">
      <c r="B8" s="672"/>
      <c r="C8" s="672"/>
      <c r="D8" s="608"/>
      <c r="E8"/>
      <c r="F8"/>
      <c r="G8"/>
      <c r="H8"/>
      <c r="K8" s="586" t="s">
        <v>1301</v>
      </c>
      <c r="L8" s="671" t="str">
        <f>'EQ rate no1'!D8</f>
        <v>Fire Resistive</v>
      </c>
      <c r="M8" s="644"/>
      <c r="N8" s="644"/>
      <c r="O8" s="644"/>
      <c r="P8" s="644"/>
      <c r="Q8" s="609" t="s">
        <v>3150</v>
      </c>
      <c r="R8" s="588">
        <v>1</v>
      </c>
      <c r="S8" s="644"/>
      <c r="T8" s="609" t="s">
        <v>2044</v>
      </c>
      <c r="U8" s="588">
        <v>3</v>
      </c>
    </row>
    <row r="9" spans="1:21" ht="15.75" thickBot="1">
      <c r="D9" s="608"/>
      <c r="F9"/>
      <c r="K9" s="586" t="s">
        <v>1302</v>
      </c>
      <c r="L9" s="671">
        <f>Nbofstoreys</f>
        <v>0</v>
      </c>
      <c r="Q9" s="609" t="s">
        <v>3151</v>
      </c>
      <c r="R9" s="588">
        <v>1</v>
      </c>
      <c r="T9" s="609" t="s">
        <v>2049</v>
      </c>
      <c r="U9" s="588">
        <v>3</v>
      </c>
    </row>
    <row r="10" spans="1:21" ht="15.75" thickBot="1">
      <c r="D10" s="673"/>
      <c r="E10" s="674"/>
      <c r="F10" s="617" t="s">
        <v>3097</v>
      </c>
      <c r="G10" s="615"/>
      <c r="H10" s="675"/>
      <c r="K10" s="586" t="s">
        <v>3084</v>
      </c>
      <c r="L10" s="671">
        <f>Totalinsuredvalue</f>
        <v>0</v>
      </c>
      <c r="Q10" s="609" t="s">
        <v>3152</v>
      </c>
      <c r="R10" s="588">
        <v>1</v>
      </c>
      <c r="T10" s="609" t="s">
        <v>2051</v>
      </c>
      <c r="U10" s="588">
        <v>3</v>
      </c>
    </row>
    <row r="11" spans="1:21">
      <c r="D11" s="676"/>
      <c r="E11" s="96"/>
      <c r="F11" s="677" t="s">
        <v>3153</v>
      </c>
      <c r="G11" s="615"/>
      <c r="H11" s="615"/>
      <c r="Q11" s="609" t="s">
        <v>3154</v>
      </c>
      <c r="R11" s="588">
        <v>1</v>
      </c>
      <c r="T11" s="609" t="s">
        <v>3155</v>
      </c>
      <c r="U11" s="588">
        <v>3</v>
      </c>
    </row>
    <row r="12" spans="1:21" ht="30.75" thickBot="1">
      <c r="A12" s="678" t="s">
        <v>3156</v>
      </c>
      <c r="B12" s="679" t="s">
        <v>3102</v>
      </c>
      <c r="C12" s="678"/>
      <c r="D12" s="680" t="s">
        <v>3157</v>
      </c>
      <c r="E12" s="681" t="s">
        <v>3158</v>
      </c>
      <c r="F12" s="682" t="s">
        <v>3159</v>
      </c>
      <c r="G12" s="683" t="s">
        <v>1365</v>
      </c>
      <c r="H12" s="684" t="s">
        <v>3160</v>
      </c>
      <c r="K12" s="586" t="s">
        <v>3117</v>
      </c>
      <c r="L12" s="671" t="str">
        <f>IF(OR(L8=$C$14,$L$8=C17),"yes","no")</f>
        <v>no</v>
      </c>
      <c r="Q12" s="609" t="s">
        <v>3161</v>
      </c>
      <c r="R12" s="588">
        <v>1</v>
      </c>
      <c r="T12" s="609" t="s">
        <v>2052</v>
      </c>
      <c r="U12" s="588">
        <v>3</v>
      </c>
    </row>
    <row r="13" spans="1:21">
      <c r="A13" s="685">
        <v>1</v>
      </c>
      <c r="B13" s="686" t="str">
        <f t="shared" ref="B13:B20" si="0">CONCATENATE(C13,E13)</f>
        <v>Fire Resistive</v>
      </c>
      <c r="C13" s="687" t="s">
        <v>1155</v>
      </c>
      <c r="D13" s="688">
        <v>1</v>
      </c>
      <c r="E13" s="689"/>
      <c r="F13" s="690">
        <v>2.7652431617500067E-3</v>
      </c>
      <c r="G13" s="691">
        <v>4.2527756554814698E-3</v>
      </c>
      <c r="H13" s="692">
        <v>1.4608525822424594E-2</v>
      </c>
      <c r="K13" s="586" t="s">
        <v>3162</v>
      </c>
      <c r="L13" s="671" t="e">
        <f>IF(LEFT($L$6,2)="K0",VLOOKUP($L$6,$T$8:$U$34,2,FALSE),VLOOKUP(LEFT($L$6,2),$Q$8:$R$53,2,FALSE))</f>
        <v>#N/A</v>
      </c>
      <c r="Q13" s="609" t="s">
        <v>3163</v>
      </c>
      <c r="R13" s="588">
        <v>1</v>
      </c>
      <c r="T13" s="609" t="s">
        <v>3164</v>
      </c>
      <c r="U13" s="588">
        <v>3</v>
      </c>
    </row>
    <row r="14" spans="1:21">
      <c r="A14" s="685">
        <v>2</v>
      </c>
      <c r="B14" s="686" t="str">
        <f t="shared" si="0"/>
        <v>Non-Combustable / Masonry1988+</v>
      </c>
      <c r="C14" s="693" t="s">
        <v>1157</v>
      </c>
      <c r="D14" s="694">
        <v>2</v>
      </c>
      <c r="E14" s="695" t="s">
        <v>3109</v>
      </c>
      <c r="F14" s="696">
        <v>6.8986212201020917E-3</v>
      </c>
      <c r="G14" s="697">
        <v>1.7462565020759744E-2</v>
      </c>
      <c r="H14" s="698">
        <v>3.835255311256483E-2</v>
      </c>
      <c r="K14" s="586" t="s">
        <v>3120</v>
      </c>
      <c r="L14" s="671">
        <f>IF($L$12="yes",MATCH(CONCATENATE($L$8,$N$7),$B$13:$B$20,0),MATCH($L$8,$C$13:$C$20,0))</f>
        <v>1</v>
      </c>
      <c r="Q14" s="609" t="s">
        <v>3165</v>
      </c>
      <c r="R14" s="588">
        <v>1</v>
      </c>
      <c r="T14" s="609" t="s">
        <v>2054</v>
      </c>
      <c r="U14" s="588">
        <v>3</v>
      </c>
    </row>
    <row r="15" spans="1:21">
      <c r="A15" s="685">
        <v>3</v>
      </c>
      <c r="B15" s="686" t="str">
        <f t="shared" si="0"/>
        <v>Non-Combustable / Masonry1987-</v>
      </c>
      <c r="C15" s="699" t="s">
        <v>1157</v>
      </c>
      <c r="D15" s="700">
        <v>2</v>
      </c>
      <c r="E15" s="654" t="s">
        <v>3111</v>
      </c>
      <c r="F15" s="696">
        <v>9.354697360231647E-3</v>
      </c>
      <c r="G15" s="697">
        <v>1.7458836859261348E-2</v>
      </c>
      <c r="H15" s="698">
        <v>5.7093071719640474E-2</v>
      </c>
      <c r="K15" s="648"/>
      <c r="Q15" s="609" t="s">
        <v>3166</v>
      </c>
      <c r="R15" s="588">
        <v>1</v>
      </c>
    </row>
    <row r="16" spans="1:21" s="701" customFormat="1">
      <c r="A16" s="685">
        <v>4</v>
      </c>
      <c r="B16" s="686" t="str">
        <f t="shared" si="0"/>
        <v>Non-Combustable / Non-Masonry</v>
      </c>
      <c r="C16" s="699" t="s">
        <v>1159</v>
      </c>
      <c r="D16" s="700">
        <v>3</v>
      </c>
      <c r="E16" s="654"/>
      <c r="F16" s="696">
        <v>1.0879280694336972E-3</v>
      </c>
      <c r="G16" s="697">
        <v>2.3950807172254396E-3</v>
      </c>
      <c r="H16" s="698">
        <v>1.2559016532023782E-2</v>
      </c>
      <c r="K16" s="648"/>
      <c r="L16" s="665"/>
      <c r="M16" s="702"/>
      <c r="N16" s="702"/>
      <c r="O16" s="702"/>
      <c r="P16" s="702"/>
      <c r="Q16" s="609" t="s">
        <v>3167</v>
      </c>
      <c r="R16" s="588">
        <v>1</v>
      </c>
      <c r="S16" s="702"/>
      <c r="T16" s="609" t="s">
        <v>2056</v>
      </c>
      <c r="U16" s="588">
        <v>1</v>
      </c>
    </row>
    <row r="17" spans="1:21">
      <c r="A17" s="685">
        <v>5</v>
      </c>
      <c r="B17" s="686" t="str">
        <f t="shared" si="0"/>
        <v>Masonry1988+</v>
      </c>
      <c r="C17" s="703" t="s">
        <v>1161</v>
      </c>
      <c r="D17" s="704">
        <v>4</v>
      </c>
      <c r="E17" s="705" t="s">
        <v>3109</v>
      </c>
      <c r="F17" s="696">
        <v>4.6940544390026984E-3</v>
      </c>
      <c r="G17" s="697">
        <v>9.5335349691921603E-3</v>
      </c>
      <c r="H17" s="698">
        <v>3.6141534290021121E-2</v>
      </c>
      <c r="Q17" s="609" t="s">
        <v>3168</v>
      </c>
      <c r="R17" s="588">
        <v>1</v>
      </c>
      <c r="T17" s="609" t="s">
        <v>3169</v>
      </c>
      <c r="U17" s="588">
        <v>1</v>
      </c>
    </row>
    <row r="18" spans="1:21" ht="15.75" thickBot="1">
      <c r="A18" s="685">
        <v>6</v>
      </c>
      <c r="B18" s="686" t="str">
        <f t="shared" si="0"/>
        <v>Masonry1987-</v>
      </c>
      <c r="C18" s="706" t="s">
        <v>1161</v>
      </c>
      <c r="D18" s="707">
        <v>4</v>
      </c>
      <c r="E18" s="708" t="s">
        <v>3111</v>
      </c>
      <c r="F18" s="709">
        <v>6.2095662741858187E-3</v>
      </c>
      <c r="G18" s="710">
        <v>1.6653134033931819E-2</v>
      </c>
      <c r="H18" s="711">
        <v>3.6141534290021121E-2</v>
      </c>
      <c r="K18" s="652"/>
      <c r="Q18" s="609" t="s">
        <v>3170</v>
      </c>
      <c r="R18" s="588">
        <v>1</v>
      </c>
      <c r="T18" s="609" t="s">
        <v>2058</v>
      </c>
      <c r="U18" s="588">
        <v>1</v>
      </c>
    </row>
    <row r="19" spans="1:21" ht="15.75" thickBot="1">
      <c r="A19" s="685">
        <v>7</v>
      </c>
      <c r="B19" s="686" t="str">
        <f t="shared" si="0"/>
        <v>Brick Veneer</v>
      </c>
      <c r="C19" s="712" t="s">
        <v>1162</v>
      </c>
      <c r="D19" s="713">
        <v>5</v>
      </c>
      <c r="E19" s="714"/>
      <c r="F19" s="690">
        <v>2.7652431617500067E-3</v>
      </c>
      <c r="G19" s="691">
        <v>4.2527756554814698E-3</v>
      </c>
      <c r="H19" s="692">
        <v>1.4608525822424594E-2</v>
      </c>
      <c r="K19" s="652"/>
      <c r="Q19" s="609" t="s">
        <v>3171</v>
      </c>
      <c r="R19" s="588">
        <v>1</v>
      </c>
      <c r="T19" s="609" t="s">
        <v>2060</v>
      </c>
      <c r="U19" s="588">
        <v>1</v>
      </c>
    </row>
    <row r="20" spans="1:21">
      <c r="A20" s="685">
        <v>8</v>
      </c>
      <c r="B20" s="686" t="str">
        <f t="shared" si="0"/>
        <v>Frame</v>
      </c>
      <c r="C20" s="712" t="s">
        <v>1150</v>
      </c>
      <c r="D20" s="713">
        <v>6</v>
      </c>
      <c r="E20" s="714"/>
      <c r="F20" s="690">
        <v>2.7652431617500067E-3</v>
      </c>
      <c r="G20" s="691">
        <v>4.2527756554814698E-3</v>
      </c>
      <c r="H20" s="692">
        <v>1.4608525822424594E-2</v>
      </c>
      <c r="Q20" s="609" t="s">
        <v>3172</v>
      </c>
      <c r="R20" s="588">
        <v>1</v>
      </c>
      <c r="T20" s="609" t="s">
        <v>2061</v>
      </c>
      <c r="U20" s="588">
        <v>1</v>
      </c>
    </row>
    <row r="21" spans="1:21">
      <c r="Q21" s="609" t="s">
        <v>3173</v>
      </c>
      <c r="R21" s="588">
        <v>1</v>
      </c>
      <c r="T21" s="609" t="s">
        <v>2062</v>
      </c>
      <c r="U21" s="588">
        <v>1</v>
      </c>
    </row>
    <row r="22" spans="1:21">
      <c r="Q22" s="609" t="s">
        <v>3174</v>
      </c>
      <c r="R22" s="588">
        <v>1</v>
      </c>
      <c r="T22" s="609" t="s">
        <v>3175</v>
      </c>
      <c r="U22" s="588">
        <v>1</v>
      </c>
    </row>
    <row r="23" spans="1:21">
      <c r="D23" s="650" t="s">
        <v>3125</v>
      </c>
      <c r="Q23" s="609" t="s">
        <v>3176</v>
      </c>
      <c r="R23" s="588">
        <v>1</v>
      </c>
      <c r="T23" s="609" t="s">
        <v>3177</v>
      </c>
      <c r="U23" s="588">
        <v>1</v>
      </c>
    </row>
    <row r="24" spans="1:21">
      <c r="D24" t="s">
        <v>3178</v>
      </c>
      <c r="E24">
        <v>1</v>
      </c>
      <c r="F24" s="654" t="s">
        <v>3111</v>
      </c>
      <c r="Q24" s="609" t="s">
        <v>3179</v>
      </c>
      <c r="R24" s="588">
        <v>1</v>
      </c>
      <c r="T24" s="609" t="s">
        <v>3180</v>
      </c>
      <c r="U24" s="588">
        <v>1</v>
      </c>
    </row>
    <row r="25" spans="1:21">
      <c r="D25" s="655" t="s">
        <v>3109</v>
      </c>
      <c r="E25">
        <v>1988</v>
      </c>
      <c r="F25" s="695" t="s">
        <v>3109</v>
      </c>
      <c r="Q25" s="609" t="s">
        <v>3181</v>
      </c>
      <c r="R25" s="588">
        <v>1</v>
      </c>
      <c r="T25" s="609" t="s">
        <v>3182</v>
      </c>
      <c r="U25" s="588">
        <v>1</v>
      </c>
    </row>
    <row r="26" spans="1:21">
      <c r="Q26" s="609" t="s">
        <v>3183</v>
      </c>
      <c r="R26" s="588">
        <v>1</v>
      </c>
      <c r="T26" s="609" t="s">
        <v>3184</v>
      </c>
      <c r="U26" s="588">
        <v>1</v>
      </c>
    </row>
    <row r="27" spans="1:21">
      <c r="D27" s="666"/>
      <c r="E27" s="395"/>
      <c r="Q27" s="609" t="s">
        <v>3185</v>
      </c>
      <c r="R27" s="588">
        <v>1</v>
      </c>
      <c r="T27" s="609" t="s">
        <v>3186</v>
      </c>
      <c r="U27" s="588">
        <v>1</v>
      </c>
    </row>
    <row r="28" spans="1:21">
      <c r="Q28" s="609" t="s">
        <v>3187</v>
      </c>
      <c r="R28" s="588">
        <v>1</v>
      </c>
      <c r="T28" s="609" t="s">
        <v>3188</v>
      </c>
      <c r="U28" s="588">
        <v>1</v>
      </c>
    </row>
    <row r="29" spans="1:21" ht="15.75" thickBot="1">
      <c r="D29" s="658" t="s">
        <v>3189</v>
      </c>
      <c r="Q29" s="609" t="s">
        <v>3190</v>
      </c>
      <c r="R29" s="588">
        <v>1</v>
      </c>
      <c r="T29" s="609" t="s">
        <v>3191</v>
      </c>
      <c r="U29" s="588">
        <v>1</v>
      </c>
    </row>
    <row r="30" spans="1:21" ht="15.75" thickBot="1">
      <c r="D30" s="659" t="s">
        <v>1083</v>
      </c>
      <c r="E30" s="660" t="s">
        <v>3140</v>
      </c>
      <c r="Q30" s="609" t="s">
        <v>3192</v>
      </c>
      <c r="R30" s="588">
        <v>1</v>
      </c>
      <c r="T30" s="609" t="s">
        <v>3193</v>
      </c>
      <c r="U30" s="588">
        <v>1</v>
      </c>
    </row>
    <row r="31" spans="1:21">
      <c r="D31" s="715">
        <v>0.03</v>
      </c>
      <c r="E31" s="716">
        <v>1.1307369867535193</v>
      </c>
      <c r="Q31" s="609" t="s">
        <v>3194</v>
      </c>
      <c r="R31" s="588">
        <v>1</v>
      </c>
      <c r="T31" s="609" t="s">
        <v>3195</v>
      </c>
      <c r="U31" s="588">
        <v>1</v>
      </c>
    </row>
    <row r="32" spans="1:21">
      <c r="D32" s="661">
        <v>0.05</v>
      </c>
      <c r="E32" s="662">
        <v>1</v>
      </c>
      <c r="Q32" s="609" t="s">
        <v>3196</v>
      </c>
      <c r="R32" s="588">
        <v>1</v>
      </c>
      <c r="T32" s="609" t="s">
        <v>3197</v>
      </c>
      <c r="U32" s="588">
        <v>1</v>
      </c>
    </row>
    <row r="33" spans="4:21">
      <c r="D33" s="661">
        <v>0.08</v>
      </c>
      <c r="E33" s="662">
        <v>0.88426519080218746</v>
      </c>
      <c r="Q33" s="609" t="s">
        <v>3198</v>
      </c>
      <c r="R33" s="588">
        <v>1</v>
      </c>
      <c r="T33" s="609" t="s">
        <v>3199</v>
      </c>
      <c r="U33" s="588">
        <v>1</v>
      </c>
    </row>
    <row r="34" spans="4:21" ht="15.75" thickBot="1">
      <c r="D34" s="717" t="s">
        <v>3200</v>
      </c>
      <c r="E34" s="664">
        <v>0.82188148416551376</v>
      </c>
      <c r="Q34" s="609" t="s">
        <v>3201</v>
      </c>
      <c r="R34" s="588">
        <v>1</v>
      </c>
      <c r="T34" s="609" t="s">
        <v>3202</v>
      </c>
      <c r="U34" s="588">
        <v>1</v>
      </c>
    </row>
    <row r="35" spans="4:21">
      <c r="Q35" s="609" t="s">
        <v>3203</v>
      </c>
      <c r="R35" s="588">
        <v>1</v>
      </c>
    </row>
    <row r="36" spans="4:21">
      <c r="Q36" s="609" t="s">
        <v>3204</v>
      </c>
      <c r="R36" s="588">
        <v>1</v>
      </c>
    </row>
    <row r="37" spans="4:21">
      <c r="Q37" s="609" t="s">
        <v>3205</v>
      </c>
      <c r="R37" s="588">
        <v>1</v>
      </c>
    </row>
    <row r="38" spans="4:21">
      <c r="Q38" s="609" t="s">
        <v>3206</v>
      </c>
      <c r="R38" s="588">
        <v>1</v>
      </c>
    </row>
    <row r="39" spans="4:21">
      <c r="Q39" s="609" t="s">
        <v>3207</v>
      </c>
      <c r="R39" s="588">
        <v>1</v>
      </c>
    </row>
    <row r="40" spans="4:21">
      <c r="Q40" s="609" t="s">
        <v>3208</v>
      </c>
      <c r="R40" s="588">
        <v>2</v>
      </c>
    </row>
    <row r="41" spans="4:21">
      <c r="Q41" s="609" t="s">
        <v>3209</v>
      </c>
      <c r="R41" s="588">
        <v>2</v>
      </c>
    </row>
    <row r="42" spans="4:21">
      <c r="Q42" s="609" t="s">
        <v>3210</v>
      </c>
      <c r="R42" s="588">
        <v>2</v>
      </c>
    </row>
    <row r="43" spans="4:21">
      <c r="Q43" s="609" t="s">
        <v>3211</v>
      </c>
      <c r="R43" s="588">
        <v>2</v>
      </c>
    </row>
    <row r="44" spans="4:21">
      <c r="Q44" s="609" t="s">
        <v>3212</v>
      </c>
      <c r="R44" s="588">
        <v>2</v>
      </c>
    </row>
    <row r="45" spans="4:21">
      <c r="Q45" s="609" t="s">
        <v>3213</v>
      </c>
      <c r="R45" s="588">
        <v>2</v>
      </c>
    </row>
    <row r="46" spans="4:21">
      <c r="Q46" s="609" t="s">
        <v>3214</v>
      </c>
      <c r="R46" s="588">
        <v>2</v>
      </c>
    </row>
    <row r="47" spans="4:21">
      <c r="Q47" s="609" t="s">
        <v>3215</v>
      </c>
      <c r="R47" s="588">
        <v>2</v>
      </c>
    </row>
    <row r="48" spans="4:21">
      <c r="Q48" s="609" t="s">
        <v>3216</v>
      </c>
      <c r="R48" s="588">
        <v>2</v>
      </c>
    </row>
    <row r="49" spans="17:18">
      <c r="Q49" s="609" t="s">
        <v>3217</v>
      </c>
      <c r="R49" s="588">
        <v>2</v>
      </c>
    </row>
    <row r="50" spans="17:18">
      <c r="Q50" s="609" t="s">
        <v>3218</v>
      </c>
      <c r="R50" s="588">
        <v>3</v>
      </c>
    </row>
    <row r="51" spans="17:18">
      <c r="Q51" s="609" t="s">
        <v>3219</v>
      </c>
      <c r="R51" s="588">
        <v>3</v>
      </c>
    </row>
    <row r="52" spans="17:18">
      <c r="Q52" s="609" t="s">
        <v>3220</v>
      </c>
      <c r="R52" s="588">
        <v>3</v>
      </c>
    </row>
    <row r="53" spans="17:18">
      <c r="Q53" s="609" t="s">
        <v>3221</v>
      </c>
      <c r="R53" s="588">
        <v>3</v>
      </c>
    </row>
  </sheetData>
  <mergeCells count="1">
    <mergeCell ref="K3:U3"/>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9">
    <tabColor rgb="FF7030A0"/>
  </sheetPr>
  <dimension ref="A1:R70"/>
  <sheetViews>
    <sheetView showGridLines="0" topLeftCell="D1" zoomScaleNormal="100" zoomScaleSheetLayoutView="85" workbookViewId="0">
      <selection activeCell="N8" sqref="N8"/>
    </sheetView>
  </sheetViews>
  <sheetFormatPr defaultColWidth="9.140625" defaultRowHeight="15" outlineLevelCol="1"/>
  <cols>
    <col min="1" max="1" width="13.140625" style="846" customWidth="1"/>
    <col min="2" max="2" width="17" hidden="1" customWidth="1" outlineLevel="1"/>
    <col min="3" max="3" width="35.5703125" style="423" customWidth="1" collapsed="1"/>
    <col min="4" max="4" width="14.5703125" customWidth="1"/>
    <col min="5" max="7" width="16.85546875" customWidth="1"/>
    <col min="8" max="8" width="6.140625" style="255" customWidth="1"/>
    <col min="9" max="9" width="15" style="255" customWidth="1"/>
    <col min="10" max="10" width="13.42578125" style="255" customWidth="1"/>
    <col min="11" max="11" width="10" customWidth="1"/>
    <col min="12" max="12" width="6.85546875" customWidth="1"/>
    <col min="13" max="13" width="22" style="586" customWidth="1"/>
    <col min="14" max="14" width="41.42578125" style="588" customWidth="1"/>
    <col min="15" max="15" width="5" style="588" customWidth="1" outlineLevel="1"/>
    <col min="16" max="16" width="19.28515625" style="588" customWidth="1" outlineLevel="1"/>
    <col min="17" max="17" width="16.5703125" customWidth="1"/>
    <col min="18" max="18" width="15" customWidth="1"/>
    <col min="261" max="261" width="14.5703125" customWidth="1"/>
    <col min="262" max="262" width="12.5703125" customWidth="1"/>
    <col min="263" max="263" width="16.140625" customWidth="1"/>
    <col min="264" max="264" width="20.5703125" customWidth="1"/>
    <col min="265" max="265" width="21" customWidth="1"/>
    <col min="266" max="272" width="19.28515625" customWidth="1"/>
    <col min="517" max="517" width="14.5703125" customWidth="1"/>
    <col min="518" max="518" width="12.5703125" customWidth="1"/>
    <col min="519" max="519" width="16.140625" customWidth="1"/>
    <col min="520" max="520" width="20.5703125" customWidth="1"/>
    <col min="521" max="521" width="21" customWidth="1"/>
    <col min="522" max="528" width="19.28515625" customWidth="1"/>
    <col min="773" max="773" width="14.5703125" customWidth="1"/>
    <col min="774" max="774" width="12.5703125" customWidth="1"/>
    <col min="775" max="775" width="16.140625" customWidth="1"/>
    <col min="776" max="776" width="20.5703125" customWidth="1"/>
    <col min="777" max="777" width="21" customWidth="1"/>
    <col min="778" max="784" width="19.28515625" customWidth="1"/>
    <col min="1029" max="1029" width="14.5703125" customWidth="1"/>
    <col min="1030" max="1030" width="12.5703125" customWidth="1"/>
    <col min="1031" max="1031" width="16.140625" customWidth="1"/>
    <col min="1032" max="1032" width="20.5703125" customWidth="1"/>
    <col min="1033" max="1033" width="21" customWidth="1"/>
    <col min="1034" max="1040" width="19.28515625" customWidth="1"/>
    <col min="1285" max="1285" width="14.5703125" customWidth="1"/>
    <col min="1286" max="1286" width="12.5703125" customWidth="1"/>
    <col min="1287" max="1287" width="16.140625" customWidth="1"/>
    <col min="1288" max="1288" width="20.5703125" customWidth="1"/>
    <col min="1289" max="1289" width="21" customWidth="1"/>
    <col min="1290" max="1296" width="19.28515625" customWidth="1"/>
    <col min="1541" max="1541" width="14.5703125" customWidth="1"/>
    <col min="1542" max="1542" width="12.5703125" customWidth="1"/>
    <col min="1543" max="1543" width="16.140625" customWidth="1"/>
    <col min="1544" max="1544" width="20.5703125" customWidth="1"/>
    <col min="1545" max="1545" width="21" customWidth="1"/>
    <col min="1546" max="1552" width="19.28515625" customWidth="1"/>
    <col min="1797" max="1797" width="14.5703125" customWidth="1"/>
    <col min="1798" max="1798" width="12.5703125" customWidth="1"/>
    <col min="1799" max="1799" width="16.140625" customWidth="1"/>
    <col min="1800" max="1800" width="20.5703125" customWidth="1"/>
    <col min="1801" max="1801" width="21" customWidth="1"/>
    <col min="1802" max="1808" width="19.28515625" customWidth="1"/>
    <col min="2053" max="2053" width="14.5703125" customWidth="1"/>
    <col min="2054" max="2054" width="12.5703125" customWidth="1"/>
    <col min="2055" max="2055" width="16.140625" customWidth="1"/>
    <col min="2056" max="2056" width="20.5703125" customWidth="1"/>
    <col min="2057" max="2057" width="21" customWidth="1"/>
    <col min="2058" max="2064" width="19.28515625" customWidth="1"/>
    <col min="2309" max="2309" width="14.5703125" customWidth="1"/>
    <col min="2310" max="2310" width="12.5703125" customWidth="1"/>
    <col min="2311" max="2311" width="16.140625" customWidth="1"/>
    <col min="2312" max="2312" width="20.5703125" customWidth="1"/>
    <col min="2313" max="2313" width="21" customWidth="1"/>
    <col min="2314" max="2320" width="19.28515625" customWidth="1"/>
    <col min="2565" max="2565" width="14.5703125" customWidth="1"/>
    <col min="2566" max="2566" width="12.5703125" customWidth="1"/>
    <col min="2567" max="2567" width="16.140625" customWidth="1"/>
    <col min="2568" max="2568" width="20.5703125" customWidth="1"/>
    <col min="2569" max="2569" width="21" customWidth="1"/>
    <col min="2570" max="2576" width="19.28515625" customWidth="1"/>
    <col min="2821" max="2821" width="14.5703125" customWidth="1"/>
    <col min="2822" max="2822" width="12.5703125" customWidth="1"/>
    <col min="2823" max="2823" width="16.140625" customWidth="1"/>
    <col min="2824" max="2824" width="20.5703125" customWidth="1"/>
    <col min="2825" max="2825" width="21" customWidth="1"/>
    <col min="2826" max="2832" width="19.28515625" customWidth="1"/>
    <col min="3077" max="3077" width="14.5703125" customWidth="1"/>
    <col min="3078" max="3078" width="12.5703125" customWidth="1"/>
    <col min="3079" max="3079" width="16.140625" customWidth="1"/>
    <col min="3080" max="3080" width="20.5703125" customWidth="1"/>
    <col min="3081" max="3081" width="21" customWidth="1"/>
    <col min="3082" max="3088" width="19.28515625" customWidth="1"/>
    <col min="3333" max="3333" width="14.5703125" customWidth="1"/>
    <col min="3334" max="3334" width="12.5703125" customWidth="1"/>
    <col min="3335" max="3335" width="16.140625" customWidth="1"/>
    <col min="3336" max="3336" width="20.5703125" customWidth="1"/>
    <col min="3337" max="3337" width="21" customWidth="1"/>
    <col min="3338" max="3344" width="19.28515625" customWidth="1"/>
    <col min="3589" max="3589" width="14.5703125" customWidth="1"/>
    <col min="3590" max="3590" width="12.5703125" customWidth="1"/>
    <col min="3591" max="3591" width="16.140625" customWidth="1"/>
    <col min="3592" max="3592" width="20.5703125" customWidth="1"/>
    <col min="3593" max="3593" width="21" customWidth="1"/>
    <col min="3594" max="3600" width="19.28515625" customWidth="1"/>
    <col min="3845" max="3845" width="14.5703125" customWidth="1"/>
    <col min="3846" max="3846" width="12.5703125" customWidth="1"/>
    <col min="3847" max="3847" width="16.140625" customWidth="1"/>
    <col min="3848" max="3848" width="20.5703125" customWidth="1"/>
    <col min="3849" max="3849" width="21" customWidth="1"/>
    <col min="3850" max="3856" width="19.28515625" customWidth="1"/>
    <col min="4101" max="4101" width="14.5703125" customWidth="1"/>
    <col min="4102" max="4102" width="12.5703125" customWidth="1"/>
    <col min="4103" max="4103" width="16.140625" customWidth="1"/>
    <col min="4104" max="4104" width="20.5703125" customWidth="1"/>
    <col min="4105" max="4105" width="21" customWidth="1"/>
    <col min="4106" max="4112" width="19.28515625" customWidth="1"/>
    <col min="4357" max="4357" width="14.5703125" customWidth="1"/>
    <col min="4358" max="4358" width="12.5703125" customWidth="1"/>
    <col min="4359" max="4359" width="16.140625" customWidth="1"/>
    <col min="4360" max="4360" width="20.5703125" customWidth="1"/>
    <col min="4361" max="4361" width="21" customWidth="1"/>
    <col min="4362" max="4368" width="19.28515625" customWidth="1"/>
    <col min="4613" max="4613" width="14.5703125" customWidth="1"/>
    <col min="4614" max="4614" width="12.5703125" customWidth="1"/>
    <col min="4615" max="4615" width="16.140625" customWidth="1"/>
    <col min="4616" max="4616" width="20.5703125" customWidth="1"/>
    <col min="4617" max="4617" width="21" customWidth="1"/>
    <col min="4618" max="4624" width="19.28515625" customWidth="1"/>
    <col min="4869" max="4869" width="14.5703125" customWidth="1"/>
    <col min="4870" max="4870" width="12.5703125" customWidth="1"/>
    <col min="4871" max="4871" width="16.140625" customWidth="1"/>
    <col min="4872" max="4872" width="20.5703125" customWidth="1"/>
    <col min="4873" max="4873" width="21" customWidth="1"/>
    <col min="4874" max="4880" width="19.28515625" customWidth="1"/>
    <col min="5125" max="5125" width="14.5703125" customWidth="1"/>
    <col min="5126" max="5126" width="12.5703125" customWidth="1"/>
    <col min="5127" max="5127" width="16.140625" customWidth="1"/>
    <col min="5128" max="5128" width="20.5703125" customWidth="1"/>
    <col min="5129" max="5129" width="21" customWidth="1"/>
    <col min="5130" max="5136" width="19.28515625" customWidth="1"/>
    <col min="5381" max="5381" width="14.5703125" customWidth="1"/>
    <col min="5382" max="5382" width="12.5703125" customWidth="1"/>
    <col min="5383" max="5383" width="16.140625" customWidth="1"/>
    <col min="5384" max="5384" width="20.5703125" customWidth="1"/>
    <col min="5385" max="5385" width="21" customWidth="1"/>
    <col min="5386" max="5392" width="19.28515625" customWidth="1"/>
    <col min="5637" max="5637" width="14.5703125" customWidth="1"/>
    <col min="5638" max="5638" width="12.5703125" customWidth="1"/>
    <col min="5639" max="5639" width="16.140625" customWidth="1"/>
    <col min="5640" max="5640" width="20.5703125" customWidth="1"/>
    <col min="5641" max="5641" width="21" customWidth="1"/>
    <col min="5642" max="5648" width="19.28515625" customWidth="1"/>
    <col min="5893" max="5893" width="14.5703125" customWidth="1"/>
    <col min="5894" max="5894" width="12.5703125" customWidth="1"/>
    <col min="5895" max="5895" width="16.140625" customWidth="1"/>
    <col min="5896" max="5896" width="20.5703125" customWidth="1"/>
    <col min="5897" max="5897" width="21" customWidth="1"/>
    <col min="5898" max="5904" width="19.28515625" customWidth="1"/>
    <col min="6149" max="6149" width="14.5703125" customWidth="1"/>
    <col min="6150" max="6150" width="12.5703125" customWidth="1"/>
    <col min="6151" max="6151" width="16.140625" customWidth="1"/>
    <col min="6152" max="6152" width="20.5703125" customWidth="1"/>
    <col min="6153" max="6153" width="21" customWidth="1"/>
    <col min="6154" max="6160" width="19.28515625" customWidth="1"/>
    <col min="6405" max="6405" width="14.5703125" customWidth="1"/>
    <col min="6406" max="6406" width="12.5703125" customWidth="1"/>
    <col min="6407" max="6407" width="16.140625" customWidth="1"/>
    <col min="6408" max="6408" width="20.5703125" customWidth="1"/>
    <col min="6409" max="6409" width="21" customWidth="1"/>
    <col min="6410" max="6416" width="19.28515625" customWidth="1"/>
    <col min="6661" max="6661" width="14.5703125" customWidth="1"/>
    <col min="6662" max="6662" width="12.5703125" customWidth="1"/>
    <col min="6663" max="6663" width="16.140625" customWidth="1"/>
    <col min="6664" max="6664" width="20.5703125" customWidth="1"/>
    <col min="6665" max="6665" width="21" customWidth="1"/>
    <col min="6666" max="6672" width="19.28515625" customWidth="1"/>
    <col min="6917" max="6917" width="14.5703125" customWidth="1"/>
    <col min="6918" max="6918" width="12.5703125" customWidth="1"/>
    <col min="6919" max="6919" width="16.140625" customWidth="1"/>
    <col min="6920" max="6920" width="20.5703125" customWidth="1"/>
    <col min="6921" max="6921" width="21" customWidth="1"/>
    <col min="6922" max="6928" width="19.28515625" customWidth="1"/>
    <col min="7173" max="7173" width="14.5703125" customWidth="1"/>
    <col min="7174" max="7174" width="12.5703125" customWidth="1"/>
    <col min="7175" max="7175" width="16.140625" customWidth="1"/>
    <col min="7176" max="7176" width="20.5703125" customWidth="1"/>
    <col min="7177" max="7177" width="21" customWidth="1"/>
    <col min="7178" max="7184" width="19.28515625" customWidth="1"/>
    <col min="7429" max="7429" width="14.5703125" customWidth="1"/>
    <col min="7430" max="7430" width="12.5703125" customWidth="1"/>
    <col min="7431" max="7431" width="16.140625" customWidth="1"/>
    <col min="7432" max="7432" width="20.5703125" customWidth="1"/>
    <col min="7433" max="7433" width="21" customWidth="1"/>
    <col min="7434" max="7440" width="19.28515625" customWidth="1"/>
    <col min="7685" max="7685" width="14.5703125" customWidth="1"/>
    <col min="7686" max="7686" width="12.5703125" customWidth="1"/>
    <col min="7687" max="7687" width="16.140625" customWidth="1"/>
    <col min="7688" max="7688" width="20.5703125" customWidth="1"/>
    <col min="7689" max="7689" width="21" customWidth="1"/>
    <col min="7690" max="7696" width="19.28515625" customWidth="1"/>
    <col min="7941" max="7941" width="14.5703125" customWidth="1"/>
    <col min="7942" max="7942" width="12.5703125" customWidth="1"/>
    <col min="7943" max="7943" width="16.140625" customWidth="1"/>
    <col min="7944" max="7944" width="20.5703125" customWidth="1"/>
    <col min="7945" max="7945" width="21" customWidth="1"/>
    <col min="7946" max="7952" width="19.28515625" customWidth="1"/>
    <col min="8197" max="8197" width="14.5703125" customWidth="1"/>
    <col min="8198" max="8198" width="12.5703125" customWidth="1"/>
    <col min="8199" max="8199" width="16.140625" customWidth="1"/>
    <col min="8200" max="8200" width="20.5703125" customWidth="1"/>
    <col min="8201" max="8201" width="21" customWidth="1"/>
    <col min="8202" max="8208" width="19.28515625" customWidth="1"/>
    <col min="8453" max="8453" width="14.5703125" customWidth="1"/>
    <col min="8454" max="8454" width="12.5703125" customWidth="1"/>
    <col min="8455" max="8455" width="16.140625" customWidth="1"/>
    <col min="8456" max="8456" width="20.5703125" customWidth="1"/>
    <col min="8457" max="8457" width="21" customWidth="1"/>
    <col min="8458" max="8464" width="19.28515625" customWidth="1"/>
    <col min="8709" max="8709" width="14.5703125" customWidth="1"/>
    <col min="8710" max="8710" width="12.5703125" customWidth="1"/>
    <col min="8711" max="8711" width="16.140625" customWidth="1"/>
    <col min="8712" max="8712" width="20.5703125" customWidth="1"/>
    <col min="8713" max="8713" width="21" customWidth="1"/>
    <col min="8714" max="8720" width="19.28515625" customWidth="1"/>
    <col min="8965" max="8965" width="14.5703125" customWidth="1"/>
    <col min="8966" max="8966" width="12.5703125" customWidth="1"/>
    <col min="8967" max="8967" width="16.140625" customWidth="1"/>
    <col min="8968" max="8968" width="20.5703125" customWidth="1"/>
    <col min="8969" max="8969" width="21" customWidth="1"/>
    <col min="8970" max="8976" width="19.28515625" customWidth="1"/>
    <col min="9221" max="9221" width="14.5703125" customWidth="1"/>
    <col min="9222" max="9222" width="12.5703125" customWidth="1"/>
    <col min="9223" max="9223" width="16.140625" customWidth="1"/>
    <col min="9224" max="9224" width="20.5703125" customWidth="1"/>
    <col min="9225" max="9225" width="21" customWidth="1"/>
    <col min="9226" max="9232" width="19.28515625" customWidth="1"/>
    <col min="9477" max="9477" width="14.5703125" customWidth="1"/>
    <col min="9478" max="9478" width="12.5703125" customWidth="1"/>
    <col min="9479" max="9479" width="16.140625" customWidth="1"/>
    <col min="9480" max="9480" width="20.5703125" customWidth="1"/>
    <col min="9481" max="9481" width="21" customWidth="1"/>
    <col min="9482" max="9488" width="19.28515625" customWidth="1"/>
    <col min="9733" max="9733" width="14.5703125" customWidth="1"/>
    <col min="9734" max="9734" width="12.5703125" customWidth="1"/>
    <col min="9735" max="9735" width="16.140625" customWidth="1"/>
    <col min="9736" max="9736" width="20.5703125" customWidth="1"/>
    <col min="9737" max="9737" width="21" customWidth="1"/>
    <col min="9738" max="9744" width="19.28515625" customWidth="1"/>
    <col min="9989" max="9989" width="14.5703125" customWidth="1"/>
    <col min="9990" max="9990" width="12.5703125" customWidth="1"/>
    <col min="9991" max="9991" width="16.140625" customWidth="1"/>
    <col min="9992" max="9992" width="20.5703125" customWidth="1"/>
    <col min="9993" max="9993" width="21" customWidth="1"/>
    <col min="9994" max="10000" width="19.28515625" customWidth="1"/>
    <col min="10245" max="10245" width="14.5703125" customWidth="1"/>
    <col min="10246" max="10246" width="12.5703125" customWidth="1"/>
    <col min="10247" max="10247" width="16.140625" customWidth="1"/>
    <col min="10248" max="10248" width="20.5703125" customWidth="1"/>
    <col min="10249" max="10249" width="21" customWidth="1"/>
    <col min="10250" max="10256" width="19.28515625" customWidth="1"/>
    <col min="10501" max="10501" width="14.5703125" customWidth="1"/>
    <col min="10502" max="10502" width="12.5703125" customWidth="1"/>
    <col min="10503" max="10503" width="16.140625" customWidth="1"/>
    <col min="10504" max="10504" width="20.5703125" customWidth="1"/>
    <col min="10505" max="10505" width="21" customWidth="1"/>
    <col min="10506" max="10512" width="19.28515625" customWidth="1"/>
    <col min="10757" max="10757" width="14.5703125" customWidth="1"/>
    <col min="10758" max="10758" width="12.5703125" customWidth="1"/>
    <col min="10759" max="10759" width="16.140625" customWidth="1"/>
    <col min="10760" max="10760" width="20.5703125" customWidth="1"/>
    <col min="10761" max="10761" width="21" customWidth="1"/>
    <col min="10762" max="10768" width="19.28515625" customWidth="1"/>
    <col min="11013" max="11013" width="14.5703125" customWidth="1"/>
    <col min="11014" max="11014" width="12.5703125" customWidth="1"/>
    <col min="11015" max="11015" width="16.140625" customWidth="1"/>
    <col min="11016" max="11016" width="20.5703125" customWidth="1"/>
    <col min="11017" max="11017" width="21" customWidth="1"/>
    <col min="11018" max="11024" width="19.28515625" customWidth="1"/>
    <col min="11269" max="11269" width="14.5703125" customWidth="1"/>
    <col min="11270" max="11270" width="12.5703125" customWidth="1"/>
    <col min="11271" max="11271" width="16.140625" customWidth="1"/>
    <col min="11272" max="11272" width="20.5703125" customWidth="1"/>
    <col min="11273" max="11273" width="21" customWidth="1"/>
    <col min="11274" max="11280" width="19.28515625" customWidth="1"/>
    <col min="11525" max="11525" width="14.5703125" customWidth="1"/>
    <col min="11526" max="11526" width="12.5703125" customWidth="1"/>
    <col min="11527" max="11527" width="16.140625" customWidth="1"/>
    <col min="11528" max="11528" width="20.5703125" customWidth="1"/>
    <col min="11529" max="11529" width="21" customWidth="1"/>
    <col min="11530" max="11536" width="19.28515625" customWidth="1"/>
    <col min="11781" max="11781" width="14.5703125" customWidth="1"/>
    <col min="11782" max="11782" width="12.5703125" customWidth="1"/>
    <col min="11783" max="11783" width="16.140625" customWidth="1"/>
    <col min="11784" max="11784" width="20.5703125" customWidth="1"/>
    <col min="11785" max="11785" width="21" customWidth="1"/>
    <col min="11786" max="11792" width="19.28515625" customWidth="1"/>
    <col min="12037" max="12037" width="14.5703125" customWidth="1"/>
    <col min="12038" max="12038" width="12.5703125" customWidth="1"/>
    <col min="12039" max="12039" width="16.140625" customWidth="1"/>
    <col min="12040" max="12040" width="20.5703125" customWidth="1"/>
    <col min="12041" max="12041" width="21" customWidth="1"/>
    <col min="12042" max="12048" width="19.28515625" customWidth="1"/>
    <col min="12293" max="12293" width="14.5703125" customWidth="1"/>
    <col min="12294" max="12294" width="12.5703125" customWidth="1"/>
    <col min="12295" max="12295" width="16.140625" customWidth="1"/>
    <col min="12296" max="12296" width="20.5703125" customWidth="1"/>
    <col min="12297" max="12297" width="21" customWidth="1"/>
    <col min="12298" max="12304" width="19.28515625" customWidth="1"/>
    <col min="12549" max="12549" width="14.5703125" customWidth="1"/>
    <col min="12550" max="12550" width="12.5703125" customWidth="1"/>
    <col min="12551" max="12551" width="16.140625" customWidth="1"/>
    <col min="12552" max="12552" width="20.5703125" customWidth="1"/>
    <col min="12553" max="12553" width="21" customWidth="1"/>
    <col min="12554" max="12560" width="19.28515625" customWidth="1"/>
    <col min="12805" max="12805" width="14.5703125" customWidth="1"/>
    <col min="12806" max="12806" width="12.5703125" customWidth="1"/>
    <col min="12807" max="12807" width="16.140625" customWidth="1"/>
    <col min="12808" max="12808" width="20.5703125" customWidth="1"/>
    <col min="12809" max="12809" width="21" customWidth="1"/>
    <col min="12810" max="12816" width="19.28515625" customWidth="1"/>
    <col min="13061" max="13061" width="14.5703125" customWidth="1"/>
    <col min="13062" max="13062" width="12.5703125" customWidth="1"/>
    <col min="13063" max="13063" width="16.140625" customWidth="1"/>
    <col min="13064" max="13064" width="20.5703125" customWidth="1"/>
    <col min="13065" max="13065" width="21" customWidth="1"/>
    <col min="13066" max="13072" width="19.28515625" customWidth="1"/>
    <col min="13317" max="13317" width="14.5703125" customWidth="1"/>
    <col min="13318" max="13318" width="12.5703125" customWidth="1"/>
    <col min="13319" max="13319" width="16.140625" customWidth="1"/>
    <col min="13320" max="13320" width="20.5703125" customWidth="1"/>
    <col min="13321" max="13321" width="21" customWidth="1"/>
    <col min="13322" max="13328" width="19.28515625" customWidth="1"/>
    <col min="13573" max="13573" width="14.5703125" customWidth="1"/>
    <col min="13574" max="13574" width="12.5703125" customWidth="1"/>
    <col min="13575" max="13575" width="16.140625" customWidth="1"/>
    <col min="13576" max="13576" width="20.5703125" customWidth="1"/>
    <col min="13577" max="13577" width="21" customWidth="1"/>
    <col min="13578" max="13584" width="19.28515625" customWidth="1"/>
    <col min="13829" max="13829" width="14.5703125" customWidth="1"/>
    <col min="13830" max="13830" width="12.5703125" customWidth="1"/>
    <col min="13831" max="13831" width="16.140625" customWidth="1"/>
    <col min="13832" max="13832" width="20.5703125" customWidth="1"/>
    <col min="13833" max="13833" width="21" customWidth="1"/>
    <col min="13834" max="13840" width="19.28515625" customWidth="1"/>
    <col min="14085" max="14085" width="14.5703125" customWidth="1"/>
    <col min="14086" max="14086" width="12.5703125" customWidth="1"/>
    <col min="14087" max="14087" width="16.140625" customWidth="1"/>
    <col min="14088" max="14088" width="20.5703125" customWidth="1"/>
    <col min="14089" max="14089" width="21" customWidth="1"/>
    <col min="14090" max="14096" width="19.28515625" customWidth="1"/>
    <col min="14341" max="14341" width="14.5703125" customWidth="1"/>
    <col min="14342" max="14342" width="12.5703125" customWidth="1"/>
    <col min="14343" max="14343" width="16.140625" customWidth="1"/>
    <col min="14344" max="14344" width="20.5703125" customWidth="1"/>
    <col min="14345" max="14345" width="21" customWidth="1"/>
    <col min="14346" max="14352" width="19.28515625" customWidth="1"/>
    <col min="14597" max="14597" width="14.5703125" customWidth="1"/>
    <col min="14598" max="14598" width="12.5703125" customWidth="1"/>
    <col min="14599" max="14599" width="16.140625" customWidth="1"/>
    <col min="14600" max="14600" width="20.5703125" customWidth="1"/>
    <col min="14601" max="14601" width="21" customWidth="1"/>
    <col min="14602" max="14608" width="19.28515625" customWidth="1"/>
    <col min="14853" max="14853" width="14.5703125" customWidth="1"/>
    <col min="14854" max="14854" width="12.5703125" customWidth="1"/>
    <col min="14855" max="14855" width="16.140625" customWidth="1"/>
    <col min="14856" max="14856" width="20.5703125" customWidth="1"/>
    <col min="14857" max="14857" width="21" customWidth="1"/>
    <col min="14858" max="14864" width="19.28515625" customWidth="1"/>
    <col min="15109" max="15109" width="14.5703125" customWidth="1"/>
    <col min="15110" max="15110" width="12.5703125" customWidth="1"/>
    <col min="15111" max="15111" width="16.140625" customWidth="1"/>
    <col min="15112" max="15112" width="20.5703125" customWidth="1"/>
    <col min="15113" max="15113" width="21" customWidth="1"/>
    <col min="15114" max="15120" width="19.28515625" customWidth="1"/>
    <col min="15365" max="15365" width="14.5703125" customWidth="1"/>
    <col min="15366" max="15366" width="12.5703125" customWidth="1"/>
    <col min="15367" max="15367" width="16.140625" customWidth="1"/>
    <col min="15368" max="15368" width="20.5703125" customWidth="1"/>
    <col min="15369" max="15369" width="21" customWidth="1"/>
    <col min="15370" max="15376" width="19.28515625" customWidth="1"/>
    <col min="15621" max="15621" width="14.5703125" customWidth="1"/>
    <col min="15622" max="15622" width="12.5703125" customWidth="1"/>
    <col min="15623" max="15623" width="16.140625" customWidth="1"/>
    <col min="15624" max="15624" width="20.5703125" customWidth="1"/>
    <col min="15625" max="15625" width="21" customWidth="1"/>
    <col min="15626" max="15632" width="19.28515625" customWidth="1"/>
    <col min="15877" max="15877" width="14.5703125" customWidth="1"/>
    <col min="15878" max="15878" width="12.5703125" customWidth="1"/>
    <col min="15879" max="15879" width="16.140625" customWidth="1"/>
    <col min="15880" max="15880" width="20.5703125" customWidth="1"/>
    <col min="15881" max="15881" width="21" customWidth="1"/>
    <col min="15882" max="15888" width="19.28515625" customWidth="1"/>
    <col min="16133" max="16133" width="14.5703125" customWidth="1"/>
    <col min="16134" max="16134" width="12.5703125" customWidth="1"/>
    <col min="16135" max="16135" width="16.140625" customWidth="1"/>
    <col min="16136" max="16136" width="20.5703125" customWidth="1"/>
    <col min="16137" max="16137" width="21" customWidth="1"/>
    <col min="16138" max="16144" width="19.28515625" customWidth="1"/>
  </cols>
  <sheetData>
    <row r="1" spans="1:16">
      <c r="C1" s="580" t="s">
        <v>3308</v>
      </c>
      <c r="E1" s="395" t="s">
        <v>3078</v>
      </c>
    </row>
    <row r="2" spans="1:16">
      <c r="C2" s="395" t="s">
        <v>3310</v>
      </c>
      <c r="E2" s="599" t="s">
        <v>3079</v>
      </c>
      <c r="F2" s="847" t="e">
        <f>INDEX($E$15:$G$44,$N$15,$N$14)</f>
        <v>#N/A</v>
      </c>
      <c r="H2" s="899"/>
      <c r="I2" s="899"/>
      <c r="J2" s="899"/>
    </row>
    <row r="3" spans="1:16" ht="15.75" thickBot="1">
      <c r="C3" s="395"/>
      <c r="E3" s="599"/>
      <c r="F3" s="601"/>
      <c r="H3" s="900"/>
      <c r="I3" s="900"/>
      <c r="J3" s="900"/>
    </row>
    <row r="4" spans="1:16" ht="16.5" thickTop="1" thickBot="1">
      <c r="C4" s="395"/>
      <c r="E4" s="599" t="s">
        <v>3080</v>
      </c>
      <c r="F4" s="901" t="e">
        <f>IF($N$13="Band1",INDEX($D$56:$F$61,MATCH($N$8,$C$56:$C$61,0),$N$14),INDEX($D$66:$E$70,MATCH($N$13,$C$66:$C$70,0),2))</f>
        <v>#N/A</v>
      </c>
      <c r="H4" s="902"/>
      <c r="I4" s="902"/>
      <c r="J4" s="902"/>
      <c r="M4" s="721" t="s">
        <v>3092</v>
      </c>
      <c r="N4" s="723"/>
      <c r="O4" s="723"/>
      <c r="P4" s="724"/>
    </row>
    <row r="5" spans="1:16" ht="15.75" thickTop="1">
      <c r="C5" s="395"/>
      <c r="E5" s="599" t="s">
        <v>3081</v>
      </c>
      <c r="F5" s="849" t="e">
        <f>VLOOKUP($N$13,$C$66:$D$70,2,FALSE)</f>
        <v>#N/A</v>
      </c>
      <c r="H5" s="903"/>
      <c r="I5" s="903"/>
      <c r="J5" s="903"/>
    </row>
    <row r="6" spans="1:16">
      <c r="C6"/>
      <c r="E6" s="599" t="s">
        <v>1321</v>
      </c>
      <c r="F6" s="607">
        <v>1</v>
      </c>
      <c r="H6" s="904"/>
      <c r="I6" s="904"/>
      <c r="J6" s="904"/>
      <c r="M6" s="586" t="s">
        <v>3082</v>
      </c>
      <c r="N6" s="850" t="e">
        <f>IF('EQ rate no1'!G21=Algorithm_West_2590!N16,PostalCode," Postal code is outside of BC")</f>
        <v>#N/A</v>
      </c>
    </row>
    <row r="7" spans="1:16">
      <c r="M7" s="586" t="s">
        <v>1300</v>
      </c>
      <c r="N7" s="851">
        <f>Yrbuilt</f>
        <v>0</v>
      </c>
    </row>
    <row r="8" spans="1:16">
      <c r="C8" s="718"/>
      <c r="D8" s="395"/>
      <c r="E8" s="608"/>
      <c r="M8" s="586" t="s">
        <v>1301</v>
      </c>
      <c r="N8" s="851" t="str">
        <f>'EQ rate no1'!$D$8</f>
        <v>Fire Resistive</v>
      </c>
      <c r="O8" s="592"/>
      <c r="P8" s="592"/>
    </row>
    <row r="9" spans="1:16">
      <c r="C9" s="725"/>
      <c r="D9" s="608"/>
      <c r="E9">
        <v>1</v>
      </c>
      <c r="F9" s="569">
        <v>2</v>
      </c>
      <c r="G9" s="569">
        <v>3</v>
      </c>
      <c r="H9" s="905"/>
      <c r="I9" s="905"/>
      <c r="J9" s="905"/>
      <c r="M9" s="586" t="s">
        <v>1302</v>
      </c>
      <c r="N9" s="851">
        <f>Nbofstoreys</f>
        <v>0</v>
      </c>
    </row>
    <row r="10" spans="1:16">
      <c r="A10" s="846" t="s">
        <v>3283</v>
      </c>
      <c r="B10" s="395"/>
      <c r="C10" s="906"/>
      <c r="D10" s="100"/>
      <c r="E10" s="3628" t="s">
        <v>3097</v>
      </c>
      <c r="F10" s="3628"/>
      <c r="G10" s="3628"/>
      <c r="H10" s="907"/>
      <c r="I10" s="907"/>
      <c r="J10" s="907"/>
      <c r="M10" s="586" t="s">
        <v>3084</v>
      </c>
      <c r="N10" s="851">
        <f>Totalinsuredvalue</f>
        <v>0</v>
      </c>
    </row>
    <row r="11" spans="1:16">
      <c r="C11" s="906"/>
      <c r="D11" s="100" t="s">
        <v>3311</v>
      </c>
      <c r="E11" s="3629" t="s">
        <v>1152</v>
      </c>
      <c r="F11" s="3629"/>
      <c r="G11" s="3629"/>
      <c r="H11" s="908"/>
      <c r="L11" s="909"/>
    </row>
    <row r="12" spans="1:16">
      <c r="C12" s="906"/>
      <c r="D12" s="100"/>
      <c r="E12" s="100"/>
      <c r="F12" s="100"/>
      <c r="G12" s="100"/>
      <c r="H12" s="893"/>
      <c r="L12" s="909"/>
    </row>
    <row r="13" spans="1:16">
      <c r="C13" s="910"/>
      <c r="D13" s="911"/>
      <c r="E13" s="657" t="s">
        <v>3312</v>
      </c>
      <c r="F13" s="657" t="s">
        <v>3313</v>
      </c>
      <c r="G13" s="657" t="s">
        <v>3314</v>
      </c>
      <c r="H13" s="909"/>
      <c r="I13" s="909"/>
      <c r="J13" s="909"/>
      <c r="M13" s="586" t="s">
        <v>1338</v>
      </c>
      <c r="N13" s="851" t="e">
        <f>VLOOKUP(N6,'PCODES EQ'!C:F,4,FALSE)</f>
        <v>#N/A</v>
      </c>
    </row>
    <row r="14" spans="1:16">
      <c r="A14" s="846" t="s">
        <v>3285</v>
      </c>
      <c r="B14" s="846" t="s">
        <v>251</v>
      </c>
      <c r="C14" s="906" t="s">
        <v>3315</v>
      </c>
      <c r="D14" s="100"/>
      <c r="E14" s="657">
        <v>1940</v>
      </c>
      <c r="F14" s="657">
        <v>1987</v>
      </c>
      <c r="G14" s="657">
        <v>1988</v>
      </c>
      <c r="H14" s="909"/>
      <c r="I14" s="909"/>
      <c r="J14" s="909"/>
      <c r="M14" s="586" t="s">
        <v>3162</v>
      </c>
      <c r="N14" s="851" t="e">
        <f>VLOOKUP(N7,$E$47:$F$49,2,TRUE)</f>
        <v>#N/A</v>
      </c>
      <c r="O14" s="644"/>
      <c r="P14" s="644"/>
    </row>
    <row r="15" spans="1:16">
      <c r="A15" s="846">
        <v>1</v>
      </c>
      <c r="B15" s="846" t="str">
        <f>CONCATENATE(C15,D15)</f>
        <v>FrameBand1</v>
      </c>
      <c r="C15" s="912" t="s">
        <v>1150</v>
      </c>
      <c r="D15" s="877" t="s">
        <v>1603</v>
      </c>
      <c r="E15" s="913" t="s">
        <v>256</v>
      </c>
      <c r="F15" s="913">
        <v>0.1</v>
      </c>
      <c r="G15" s="913">
        <v>0.08</v>
      </c>
      <c r="H15" s="914"/>
      <c r="I15" s="914"/>
      <c r="J15" s="914"/>
      <c r="M15" s="586" t="s">
        <v>3120</v>
      </c>
      <c r="N15" s="851" t="e">
        <f>MATCH(CONCATENATE($N$8,$N$13),$B$15:$B$44,0)</f>
        <v>#N/A</v>
      </c>
    </row>
    <row r="16" spans="1:16">
      <c r="A16" s="846">
        <v>2</v>
      </c>
      <c r="B16" s="846" t="str">
        <f t="shared" ref="B16:B44" si="0">CONCATENATE(C16,D16)</f>
        <v>FrameBand2</v>
      </c>
      <c r="C16" s="912" t="s">
        <v>1150</v>
      </c>
      <c r="D16" s="877" t="s">
        <v>1618</v>
      </c>
      <c r="E16" s="913" t="s">
        <v>256</v>
      </c>
      <c r="F16" s="913">
        <v>8.5000000000000006E-2</v>
      </c>
      <c r="G16" s="913">
        <v>7.4999999999999997E-2</v>
      </c>
      <c r="H16" s="914"/>
      <c r="I16" s="914"/>
      <c r="J16" s="914"/>
      <c r="M16" s="648" t="s">
        <v>3316</v>
      </c>
      <c r="N16" s="702" t="s">
        <v>2860</v>
      </c>
    </row>
    <row r="17" spans="1:18">
      <c r="A17" s="846">
        <v>3</v>
      </c>
      <c r="B17" s="846" t="str">
        <f t="shared" si="0"/>
        <v>FrameBand3</v>
      </c>
      <c r="C17" s="912" t="s">
        <v>1150</v>
      </c>
      <c r="D17" s="877" t="s">
        <v>1629</v>
      </c>
      <c r="E17" s="913" t="s">
        <v>256</v>
      </c>
      <c r="F17" s="913">
        <v>8.5000000000000006E-2</v>
      </c>
      <c r="G17" s="913">
        <v>7.4999999999999997E-2</v>
      </c>
      <c r="H17" s="914"/>
      <c r="I17" s="914"/>
      <c r="J17" s="914"/>
      <c r="M17" s="648"/>
      <c r="N17" s="702"/>
    </row>
    <row r="18" spans="1:18" s="588" customFormat="1">
      <c r="A18" s="846">
        <v>4</v>
      </c>
      <c r="B18" s="846" t="str">
        <f t="shared" si="0"/>
        <v>FrameBand4</v>
      </c>
      <c r="C18" s="912" t="s">
        <v>1150</v>
      </c>
      <c r="D18" s="877" t="s">
        <v>1616</v>
      </c>
      <c r="E18" s="913" t="s">
        <v>256</v>
      </c>
      <c r="F18" s="913">
        <v>8.5000000000000006E-2</v>
      </c>
      <c r="G18" s="913">
        <v>7.4999999999999997E-2</v>
      </c>
      <c r="H18" s="914"/>
      <c r="I18" s="914"/>
      <c r="J18" s="914"/>
      <c r="K18"/>
      <c r="L18"/>
      <c r="M18" s="648"/>
      <c r="N18" s="702"/>
      <c r="Q18"/>
      <c r="R18"/>
    </row>
    <row r="19" spans="1:18">
      <c r="A19" s="846">
        <v>5</v>
      </c>
      <c r="B19" s="846" t="str">
        <f t="shared" si="0"/>
        <v>FrameBand5</v>
      </c>
      <c r="C19" s="912" t="s">
        <v>1150</v>
      </c>
      <c r="D19" s="877" t="s">
        <v>1609</v>
      </c>
      <c r="E19" s="913" t="s">
        <v>256</v>
      </c>
      <c r="F19" s="913">
        <v>0.02</v>
      </c>
      <c r="G19" s="913">
        <v>0.02</v>
      </c>
      <c r="H19" s="914"/>
      <c r="I19" s="914"/>
      <c r="J19" s="914"/>
    </row>
    <row r="20" spans="1:18" s="644" customFormat="1">
      <c r="A20" s="846">
        <v>6</v>
      </c>
      <c r="B20" s="846" t="str">
        <f t="shared" si="0"/>
        <v>Brick VeneerBand1</v>
      </c>
      <c r="C20" s="912" t="s">
        <v>1162</v>
      </c>
      <c r="D20" s="877" t="s">
        <v>1603</v>
      </c>
      <c r="E20" s="913" t="s">
        <v>256</v>
      </c>
      <c r="F20" s="913">
        <v>0.1</v>
      </c>
      <c r="G20" s="913">
        <v>0.08</v>
      </c>
      <c r="H20" s="914"/>
      <c r="I20" s="914"/>
      <c r="J20" s="914"/>
      <c r="K20" s="255"/>
      <c r="L20" s="255"/>
      <c r="M20" s="652"/>
      <c r="Q20" s="255"/>
      <c r="R20" s="255"/>
    </row>
    <row r="21" spans="1:18" s="644" customFormat="1">
      <c r="A21" s="846">
        <v>7</v>
      </c>
      <c r="B21" s="846" t="str">
        <f t="shared" si="0"/>
        <v>Brick VeneerBand2</v>
      </c>
      <c r="C21" s="912" t="s">
        <v>1162</v>
      </c>
      <c r="D21" s="877" t="s">
        <v>1618</v>
      </c>
      <c r="E21" s="913" t="s">
        <v>256</v>
      </c>
      <c r="F21" s="913">
        <v>8.5000000000000006E-2</v>
      </c>
      <c r="G21" s="913">
        <v>7.4999999999999997E-2</v>
      </c>
      <c r="H21" s="914"/>
      <c r="I21" s="914"/>
      <c r="J21" s="914"/>
      <c r="K21" s="255"/>
      <c r="L21" s="255"/>
      <c r="M21" s="652"/>
      <c r="Q21" s="255"/>
      <c r="R21" s="255"/>
    </row>
    <row r="22" spans="1:18" s="644" customFormat="1">
      <c r="A22" s="846">
        <v>8</v>
      </c>
      <c r="B22" s="846" t="str">
        <f t="shared" si="0"/>
        <v>Brick VeneerBand3</v>
      </c>
      <c r="C22" s="912" t="s">
        <v>1162</v>
      </c>
      <c r="D22" s="877" t="s">
        <v>1629</v>
      </c>
      <c r="E22" s="913" t="s">
        <v>256</v>
      </c>
      <c r="F22" s="913">
        <v>8.5000000000000006E-2</v>
      </c>
      <c r="G22" s="913">
        <v>7.4999999999999997E-2</v>
      </c>
      <c r="H22" s="914"/>
      <c r="I22" s="914"/>
      <c r="J22" s="914"/>
      <c r="K22" s="255"/>
      <c r="L22" s="255"/>
      <c r="M22" s="652"/>
      <c r="Q22" s="255"/>
      <c r="R22" s="255"/>
    </row>
    <row r="23" spans="1:18" s="644" customFormat="1">
      <c r="A23" s="846">
        <v>9</v>
      </c>
      <c r="B23" s="846" t="str">
        <f t="shared" si="0"/>
        <v>Brick VeneerBand4</v>
      </c>
      <c r="C23" s="912" t="s">
        <v>1162</v>
      </c>
      <c r="D23" s="877" t="s">
        <v>1616</v>
      </c>
      <c r="E23" s="913" t="s">
        <v>256</v>
      </c>
      <c r="F23" s="913">
        <v>8.5000000000000006E-2</v>
      </c>
      <c r="G23" s="913">
        <v>7.4999999999999997E-2</v>
      </c>
      <c r="H23" s="914"/>
      <c r="I23" s="914"/>
      <c r="J23" s="914"/>
      <c r="K23" s="255"/>
      <c r="L23" s="255"/>
      <c r="M23" s="652"/>
      <c r="Q23" s="255"/>
      <c r="R23" s="255"/>
    </row>
    <row r="24" spans="1:18" s="644" customFormat="1">
      <c r="A24" s="846">
        <v>10</v>
      </c>
      <c r="B24" s="846" t="str">
        <f t="shared" si="0"/>
        <v>Brick VeneerBand5</v>
      </c>
      <c r="C24" s="912" t="s">
        <v>1162</v>
      </c>
      <c r="D24" s="877" t="s">
        <v>1609</v>
      </c>
      <c r="E24" s="915" t="s">
        <v>256</v>
      </c>
      <c r="F24" s="915">
        <v>0.02</v>
      </c>
      <c r="G24" s="915">
        <v>0.02</v>
      </c>
      <c r="H24" s="914"/>
      <c r="I24" s="914"/>
      <c r="J24" s="914"/>
      <c r="K24" s="255"/>
      <c r="L24" s="255"/>
      <c r="M24" s="652"/>
      <c r="Q24" s="255"/>
      <c r="R24" s="255"/>
    </row>
    <row r="25" spans="1:18" s="588" customFormat="1">
      <c r="A25" s="846">
        <v>11</v>
      </c>
      <c r="B25" s="846" t="str">
        <f t="shared" si="0"/>
        <v>Fire ResistiveBand1</v>
      </c>
      <c r="C25" s="912" t="s">
        <v>1155</v>
      </c>
      <c r="D25" s="877" t="s">
        <v>1603</v>
      </c>
      <c r="E25" s="916" t="s">
        <v>256</v>
      </c>
      <c r="F25" s="916">
        <v>0.1</v>
      </c>
      <c r="G25" s="916">
        <v>0.08</v>
      </c>
      <c r="H25" s="914"/>
      <c r="I25" s="914"/>
      <c r="J25" s="914"/>
      <c r="K25"/>
      <c r="L25"/>
      <c r="M25" s="652"/>
      <c r="Q25"/>
      <c r="R25"/>
    </row>
    <row r="26" spans="1:18" s="588" customFormat="1">
      <c r="A26" s="846">
        <v>12</v>
      </c>
      <c r="B26" s="846" t="str">
        <f t="shared" si="0"/>
        <v>Fire ResistiveBand2</v>
      </c>
      <c r="C26" s="912" t="s">
        <v>1155</v>
      </c>
      <c r="D26" s="877" t="s">
        <v>1618</v>
      </c>
      <c r="E26" s="916" t="s">
        <v>256</v>
      </c>
      <c r="F26" s="916">
        <v>8.5000000000000006E-2</v>
      </c>
      <c r="G26" s="916">
        <v>7.4999999999999997E-2</v>
      </c>
      <c r="H26" s="914"/>
      <c r="I26" s="914"/>
      <c r="J26" s="914"/>
      <c r="K26"/>
      <c r="L26"/>
      <c r="M26" s="652"/>
      <c r="Q26"/>
      <c r="R26"/>
    </row>
    <row r="27" spans="1:18" s="588" customFormat="1">
      <c r="A27" s="846">
        <v>13</v>
      </c>
      <c r="B27" s="846" t="str">
        <f t="shared" si="0"/>
        <v>Fire ResistiveBand3</v>
      </c>
      <c r="C27" s="912" t="s">
        <v>1155</v>
      </c>
      <c r="D27" s="877" t="s">
        <v>1629</v>
      </c>
      <c r="E27" s="916" t="s">
        <v>256</v>
      </c>
      <c r="F27" s="916">
        <v>8.5000000000000006E-2</v>
      </c>
      <c r="G27" s="916">
        <v>7.4999999999999997E-2</v>
      </c>
      <c r="H27" s="914"/>
      <c r="I27" s="914"/>
      <c r="J27" s="914"/>
      <c r="K27"/>
      <c r="L27"/>
      <c r="M27" s="652"/>
      <c r="Q27"/>
      <c r="R27"/>
    </row>
    <row r="28" spans="1:18" s="588" customFormat="1">
      <c r="A28" s="846">
        <v>14</v>
      </c>
      <c r="B28" s="846" t="str">
        <f t="shared" si="0"/>
        <v>Fire ResistiveBand4</v>
      </c>
      <c r="C28" s="912" t="s">
        <v>1155</v>
      </c>
      <c r="D28" s="877" t="s">
        <v>1616</v>
      </c>
      <c r="E28" s="916" t="s">
        <v>256</v>
      </c>
      <c r="F28" s="916">
        <v>8.5000000000000006E-2</v>
      </c>
      <c r="G28" s="916">
        <v>7.4999999999999997E-2</v>
      </c>
      <c r="H28" s="914"/>
      <c r="I28" s="914"/>
      <c r="J28" s="914"/>
      <c r="K28"/>
      <c r="L28"/>
      <c r="M28" s="652"/>
      <c r="Q28"/>
      <c r="R28"/>
    </row>
    <row r="29" spans="1:18" s="588" customFormat="1">
      <c r="A29" s="846">
        <v>15</v>
      </c>
      <c r="B29" s="846" t="str">
        <f t="shared" si="0"/>
        <v>Fire ResistiveBand5</v>
      </c>
      <c r="C29" s="912" t="s">
        <v>1155</v>
      </c>
      <c r="D29" s="877" t="s">
        <v>1609</v>
      </c>
      <c r="E29" s="916" t="s">
        <v>256</v>
      </c>
      <c r="F29" s="916">
        <v>0.02</v>
      </c>
      <c r="G29" s="916">
        <v>0.02</v>
      </c>
      <c r="H29" s="914"/>
      <c r="I29" s="914"/>
      <c r="J29" s="914"/>
      <c r="K29"/>
      <c r="L29"/>
      <c r="M29" s="652"/>
      <c r="Q29"/>
      <c r="R29"/>
    </row>
    <row r="30" spans="1:18" s="588" customFormat="1">
      <c r="A30" s="846">
        <v>16</v>
      </c>
      <c r="B30" s="846" t="str">
        <f t="shared" si="0"/>
        <v>Non-Combustable / MasonryBand1</v>
      </c>
      <c r="C30" s="912" t="s">
        <v>1157</v>
      </c>
      <c r="D30" s="877" t="s">
        <v>1603</v>
      </c>
      <c r="E30" s="917" t="s">
        <v>256</v>
      </c>
      <c r="F30" s="918">
        <v>0.15</v>
      </c>
      <c r="G30" s="918">
        <v>0.09</v>
      </c>
      <c r="H30" s="914"/>
      <c r="I30" s="914"/>
      <c r="J30" s="914"/>
      <c r="K30"/>
      <c r="L30"/>
      <c r="M30" s="652"/>
      <c r="Q30"/>
      <c r="R30"/>
    </row>
    <row r="31" spans="1:18" s="588" customFormat="1">
      <c r="A31" s="846">
        <v>17</v>
      </c>
      <c r="B31" s="846" t="str">
        <f t="shared" si="0"/>
        <v>Non-Combustable / MasonryBand2</v>
      </c>
      <c r="C31" s="912" t="s">
        <v>1157</v>
      </c>
      <c r="D31" s="877" t="s">
        <v>1618</v>
      </c>
      <c r="E31" s="917" t="s">
        <v>256</v>
      </c>
      <c r="F31" s="918">
        <v>0.12</v>
      </c>
      <c r="G31" s="918">
        <v>0.08</v>
      </c>
      <c r="H31" s="914"/>
      <c r="I31" s="914"/>
      <c r="J31" s="914"/>
      <c r="K31"/>
      <c r="L31"/>
      <c r="M31" s="652"/>
      <c r="Q31"/>
      <c r="R31"/>
    </row>
    <row r="32" spans="1:18" s="588" customFormat="1">
      <c r="A32" s="846">
        <v>18</v>
      </c>
      <c r="B32" s="846" t="str">
        <f t="shared" si="0"/>
        <v>Non-Combustable / MasonryBand3</v>
      </c>
      <c r="C32" s="912" t="s">
        <v>1157</v>
      </c>
      <c r="D32" s="877" t="s">
        <v>1629</v>
      </c>
      <c r="E32" s="917" t="s">
        <v>256</v>
      </c>
      <c r="F32" s="918">
        <v>0.09</v>
      </c>
      <c r="G32" s="918">
        <v>7.4999999999999997E-2</v>
      </c>
      <c r="H32" s="914"/>
      <c r="I32" s="914"/>
      <c r="J32" s="914"/>
      <c r="K32"/>
      <c r="L32"/>
      <c r="M32" s="652"/>
      <c r="Q32"/>
      <c r="R32"/>
    </row>
    <row r="33" spans="1:18" s="588" customFormat="1">
      <c r="A33" s="846">
        <v>19</v>
      </c>
      <c r="B33" s="846" t="str">
        <f t="shared" si="0"/>
        <v>Non-Combustable / MasonryBand4</v>
      </c>
      <c r="C33" s="912" t="s">
        <v>1157</v>
      </c>
      <c r="D33" s="877" t="s">
        <v>1616</v>
      </c>
      <c r="E33" s="917" t="s">
        <v>256</v>
      </c>
      <c r="F33" s="918">
        <v>8.5000000000000006E-2</v>
      </c>
      <c r="G33" s="918">
        <v>7.4999999999999997E-2</v>
      </c>
      <c r="H33" s="914"/>
      <c r="I33" s="914"/>
      <c r="J33" s="914"/>
      <c r="K33"/>
      <c r="L33"/>
      <c r="M33" s="652"/>
      <c r="Q33"/>
      <c r="R33"/>
    </row>
    <row r="34" spans="1:18" s="588" customFormat="1">
      <c r="A34" s="846">
        <v>20</v>
      </c>
      <c r="B34" s="846" t="str">
        <f t="shared" si="0"/>
        <v>Non-Combustable / MasonryBand5</v>
      </c>
      <c r="C34" s="912" t="s">
        <v>1157</v>
      </c>
      <c r="D34" s="877" t="s">
        <v>1609</v>
      </c>
      <c r="E34" s="917" t="s">
        <v>256</v>
      </c>
      <c r="F34" s="918">
        <v>0.02</v>
      </c>
      <c r="G34" s="918">
        <v>0.02</v>
      </c>
      <c r="H34" s="914"/>
      <c r="I34" s="914"/>
      <c r="J34" s="914"/>
      <c r="K34"/>
      <c r="L34"/>
      <c r="M34" s="652"/>
      <c r="Q34"/>
      <c r="R34"/>
    </row>
    <row r="35" spans="1:18" s="588" customFormat="1">
      <c r="A35" s="846">
        <v>21</v>
      </c>
      <c r="B35" s="846" t="str">
        <f t="shared" si="0"/>
        <v>Non-Combustable / Non-MasonryBand1</v>
      </c>
      <c r="C35" s="912" t="s">
        <v>1159</v>
      </c>
      <c r="D35" s="877" t="s">
        <v>1603</v>
      </c>
      <c r="E35" s="917" t="s">
        <v>256</v>
      </c>
      <c r="F35" s="918">
        <v>0.15</v>
      </c>
      <c r="G35" s="918">
        <v>0.09</v>
      </c>
      <c r="H35" s="914"/>
      <c r="I35" s="914"/>
      <c r="J35" s="914"/>
      <c r="K35"/>
      <c r="L35"/>
      <c r="M35" s="652"/>
      <c r="Q35"/>
      <c r="R35"/>
    </row>
    <row r="36" spans="1:18" s="588" customFormat="1">
      <c r="A36" s="846">
        <v>22</v>
      </c>
      <c r="B36" s="846" t="str">
        <f t="shared" si="0"/>
        <v>Non-Combustable / Non-MasonryBand2</v>
      </c>
      <c r="C36" s="912" t="s">
        <v>1159</v>
      </c>
      <c r="D36" s="877" t="s">
        <v>1618</v>
      </c>
      <c r="E36" s="917" t="s">
        <v>256</v>
      </c>
      <c r="F36" s="918">
        <v>0.12</v>
      </c>
      <c r="G36" s="918">
        <v>0.08</v>
      </c>
      <c r="H36" s="914"/>
      <c r="I36" s="914"/>
      <c r="J36" s="914"/>
      <c r="K36"/>
      <c r="L36"/>
      <c r="M36" s="652"/>
      <c r="Q36"/>
      <c r="R36"/>
    </row>
    <row r="37" spans="1:18" s="588" customFormat="1">
      <c r="A37" s="846">
        <v>23</v>
      </c>
      <c r="B37" s="846" t="str">
        <f t="shared" si="0"/>
        <v>Non-Combustable / Non-MasonryBand3</v>
      </c>
      <c r="C37" s="912" t="s">
        <v>1159</v>
      </c>
      <c r="D37" s="877" t="s">
        <v>1629</v>
      </c>
      <c r="E37" s="917" t="s">
        <v>256</v>
      </c>
      <c r="F37" s="918">
        <v>0.09</v>
      </c>
      <c r="G37" s="918">
        <v>7.4999999999999997E-2</v>
      </c>
      <c r="H37" s="914"/>
      <c r="I37" s="914"/>
      <c r="J37" s="914"/>
      <c r="K37"/>
      <c r="L37"/>
      <c r="M37" s="652"/>
      <c r="Q37"/>
      <c r="R37"/>
    </row>
    <row r="38" spans="1:18" s="588" customFormat="1">
      <c r="A38" s="846">
        <v>24</v>
      </c>
      <c r="B38" s="846" t="str">
        <f t="shared" si="0"/>
        <v>Non-Combustable / Non-MasonryBand4</v>
      </c>
      <c r="C38" s="912" t="s">
        <v>1159</v>
      </c>
      <c r="D38" s="877" t="s">
        <v>1616</v>
      </c>
      <c r="E38" s="917" t="s">
        <v>256</v>
      </c>
      <c r="F38" s="918">
        <v>8.5000000000000006E-2</v>
      </c>
      <c r="G38" s="918">
        <v>7.4999999999999997E-2</v>
      </c>
      <c r="H38" s="914"/>
      <c r="I38" s="914"/>
      <c r="J38" s="914"/>
      <c r="K38"/>
      <c r="L38"/>
      <c r="M38" s="652"/>
      <c r="Q38"/>
      <c r="R38"/>
    </row>
    <row r="39" spans="1:18" s="588" customFormat="1">
      <c r="A39" s="846">
        <v>25</v>
      </c>
      <c r="B39" s="846" t="str">
        <f t="shared" si="0"/>
        <v>Non-Combustable / Non-MasonryBand5</v>
      </c>
      <c r="C39" s="912" t="s">
        <v>1159</v>
      </c>
      <c r="D39" s="877" t="s">
        <v>1609</v>
      </c>
      <c r="E39" s="917" t="s">
        <v>256</v>
      </c>
      <c r="F39" s="918">
        <v>0.02</v>
      </c>
      <c r="G39" s="918">
        <v>0.02</v>
      </c>
      <c r="H39" s="914"/>
      <c r="I39" s="914"/>
      <c r="J39" s="914"/>
      <c r="K39"/>
      <c r="L39"/>
      <c r="M39" s="652"/>
      <c r="Q39"/>
      <c r="R39"/>
    </row>
    <row r="40" spans="1:18" s="588" customFormat="1">
      <c r="A40" s="846">
        <v>26</v>
      </c>
      <c r="B40" s="846" t="str">
        <f t="shared" si="0"/>
        <v>MasonryBand1</v>
      </c>
      <c r="C40" s="912" t="s">
        <v>1161</v>
      </c>
      <c r="D40" s="877" t="s">
        <v>1603</v>
      </c>
      <c r="E40" s="919" t="s">
        <v>256</v>
      </c>
      <c r="F40" s="920">
        <v>0.2</v>
      </c>
      <c r="G40" s="920">
        <v>0.11</v>
      </c>
      <c r="H40" s="914"/>
      <c r="I40" s="914"/>
      <c r="J40" s="914"/>
      <c r="K40"/>
      <c r="L40"/>
      <c r="M40" s="652"/>
      <c r="Q40"/>
      <c r="R40"/>
    </row>
    <row r="41" spans="1:18" s="588" customFormat="1">
      <c r="A41" s="846">
        <v>27</v>
      </c>
      <c r="B41" s="846" t="str">
        <f t="shared" si="0"/>
        <v>MasonryBand2</v>
      </c>
      <c r="C41" s="912" t="s">
        <v>1161</v>
      </c>
      <c r="D41" s="877" t="s">
        <v>1618</v>
      </c>
      <c r="E41" s="919" t="s">
        <v>256</v>
      </c>
      <c r="F41" s="920">
        <v>0.13</v>
      </c>
      <c r="G41" s="920">
        <v>0.09</v>
      </c>
      <c r="H41" s="914"/>
      <c r="I41" s="914"/>
      <c r="J41" s="914"/>
      <c r="K41"/>
      <c r="L41"/>
      <c r="M41" s="652"/>
      <c r="Q41"/>
      <c r="R41"/>
    </row>
    <row r="42" spans="1:18" s="588" customFormat="1">
      <c r="A42" s="846">
        <v>28</v>
      </c>
      <c r="B42" s="846" t="str">
        <f t="shared" si="0"/>
        <v>MasonryBand3</v>
      </c>
      <c r="C42" s="912" t="s">
        <v>1161</v>
      </c>
      <c r="D42" s="877" t="s">
        <v>1629</v>
      </c>
      <c r="E42" s="919" t="s">
        <v>256</v>
      </c>
      <c r="F42" s="920">
        <v>0.12</v>
      </c>
      <c r="G42" s="920">
        <v>0.08</v>
      </c>
      <c r="H42" s="914"/>
      <c r="I42" s="914"/>
      <c r="J42" s="914"/>
      <c r="K42"/>
      <c r="L42"/>
      <c r="M42" s="652"/>
      <c r="Q42"/>
      <c r="R42"/>
    </row>
    <row r="43" spans="1:18" s="588" customFormat="1">
      <c r="A43" s="846">
        <v>29</v>
      </c>
      <c r="B43" s="846" t="str">
        <f t="shared" si="0"/>
        <v>MasonryBand4</v>
      </c>
      <c r="C43" s="912" t="s">
        <v>1161</v>
      </c>
      <c r="D43" s="877" t="s">
        <v>1616</v>
      </c>
      <c r="E43" s="919" t="s">
        <v>256</v>
      </c>
      <c r="F43" s="920">
        <v>0.1</v>
      </c>
      <c r="G43" s="920">
        <v>0.08</v>
      </c>
      <c r="H43" s="914"/>
      <c r="I43" s="914"/>
      <c r="J43" s="914"/>
      <c r="K43"/>
      <c r="L43"/>
      <c r="M43" s="652"/>
      <c r="Q43"/>
      <c r="R43"/>
    </row>
    <row r="44" spans="1:18" s="588" customFormat="1">
      <c r="A44" s="846">
        <v>30</v>
      </c>
      <c r="B44" s="846" t="str">
        <f t="shared" si="0"/>
        <v>MasonryBand5</v>
      </c>
      <c r="C44" s="912" t="s">
        <v>1161</v>
      </c>
      <c r="D44" s="877" t="s">
        <v>1609</v>
      </c>
      <c r="E44" s="919" t="s">
        <v>256</v>
      </c>
      <c r="F44" s="920">
        <v>0.04</v>
      </c>
      <c r="G44" s="920">
        <v>0.02</v>
      </c>
      <c r="H44" s="914"/>
      <c r="I44" s="914"/>
      <c r="J44" s="914"/>
      <c r="K44"/>
      <c r="L44"/>
      <c r="M44" s="652"/>
      <c r="Q44"/>
      <c r="R44"/>
    </row>
    <row r="45" spans="1:18" s="588" customFormat="1">
      <c r="A45" s="846"/>
      <c r="B45"/>
      <c r="C45" s="423"/>
      <c r="D45"/>
      <c r="E45"/>
      <c r="F45"/>
      <c r="G45"/>
      <c r="H45" s="255"/>
      <c r="I45" s="255"/>
      <c r="J45" s="255"/>
      <c r="K45"/>
      <c r="L45"/>
      <c r="M45" s="652"/>
      <c r="Q45"/>
      <c r="R45"/>
    </row>
    <row r="46" spans="1:18" s="588" customFormat="1">
      <c r="A46" s="846"/>
      <c r="B46"/>
      <c r="C46" s="921"/>
      <c r="D46" s="650" t="s">
        <v>3125</v>
      </c>
      <c r="E46"/>
      <c r="F46" s="651"/>
      <c r="G46"/>
      <c r="H46" s="255"/>
      <c r="I46" s="255"/>
      <c r="J46" s="255"/>
      <c r="K46"/>
      <c r="L46"/>
      <c r="M46" s="586"/>
      <c r="Q46"/>
      <c r="R46"/>
    </row>
    <row r="47" spans="1:18" s="588" customFormat="1">
      <c r="A47" s="846"/>
      <c r="B47"/>
      <c r="C47" s="730"/>
      <c r="D47" s="103" t="s">
        <v>3317</v>
      </c>
      <c r="E47">
        <v>1</v>
      </c>
      <c r="F47" s="877">
        <v>1</v>
      </c>
      <c r="G47"/>
      <c r="H47" s="255"/>
      <c r="I47" s="255"/>
      <c r="J47" s="255"/>
      <c r="K47"/>
      <c r="L47"/>
      <c r="M47" s="586"/>
      <c r="Q47"/>
      <c r="R47"/>
    </row>
    <row r="48" spans="1:18" s="588" customFormat="1">
      <c r="A48" s="846"/>
      <c r="B48"/>
      <c r="C48" s="922"/>
      <c r="D48" s="923" t="s">
        <v>3313</v>
      </c>
      <c r="E48">
        <v>1940</v>
      </c>
      <c r="F48" s="657">
        <v>2</v>
      </c>
      <c r="G48"/>
      <c r="H48" s="255"/>
      <c r="I48" s="255"/>
      <c r="J48" s="255"/>
      <c r="K48"/>
      <c r="L48"/>
      <c r="M48" s="586"/>
      <c r="Q48"/>
      <c r="R48"/>
    </row>
    <row r="49" spans="1:18">
      <c r="C49" s="922"/>
      <c r="D49" s="923" t="s">
        <v>3314</v>
      </c>
      <c r="E49">
        <v>1988</v>
      </c>
      <c r="F49" s="657">
        <v>3</v>
      </c>
    </row>
    <row r="50" spans="1:18" s="588" customFormat="1">
      <c r="A50" s="846"/>
      <c r="B50"/>
      <c r="C50" s="924"/>
      <c r="D50" s="650"/>
      <c r="E50"/>
      <c r="F50" s="651"/>
      <c r="G50"/>
      <c r="H50" s="255"/>
      <c r="I50" s="255"/>
      <c r="J50" s="255"/>
      <c r="K50"/>
      <c r="L50"/>
      <c r="M50" s="586"/>
      <c r="Q50"/>
      <c r="R50"/>
    </row>
    <row r="51" spans="1:18" s="588" customFormat="1">
      <c r="A51" s="846"/>
      <c r="B51"/>
      <c r="C51" s="423"/>
      <c r="D51"/>
      <c r="E51" s="658"/>
      <c r="F51"/>
      <c r="G51"/>
      <c r="H51" s="255"/>
      <c r="I51" s="255"/>
      <c r="J51" s="255"/>
      <c r="K51"/>
      <c r="L51"/>
      <c r="M51" s="586"/>
      <c r="Q51"/>
      <c r="R51"/>
    </row>
    <row r="54" spans="1:18">
      <c r="C54" s="877" t="s">
        <v>1603</v>
      </c>
      <c r="D54" s="925" t="s">
        <v>3312</v>
      </c>
      <c r="E54" s="925" t="s">
        <v>3313</v>
      </c>
      <c r="F54" s="925" t="s">
        <v>3314</v>
      </c>
    </row>
    <row r="55" spans="1:18">
      <c r="C55" s="926" t="s">
        <v>3318</v>
      </c>
      <c r="D55" s="925">
        <v>1940</v>
      </c>
      <c r="E55" s="925">
        <v>1987</v>
      </c>
      <c r="F55" s="925">
        <v>1988</v>
      </c>
    </row>
    <row r="56" spans="1:18">
      <c r="C56" s="906" t="s">
        <v>1155</v>
      </c>
      <c r="D56" s="100" t="s">
        <v>256</v>
      </c>
      <c r="E56" s="927">
        <v>0.2</v>
      </c>
      <c r="F56" s="927">
        <v>0.15</v>
      </c>
    </row>
    <row r="57" spans="1:18">
      <c r="C57" s="906" t="s">
        <v>1157</v>
      </c>
      <c r="D57" s="100" t="s">
        <v>256</v>
      </c>
      <c r="E57" s="927">
        <v>0.2</v>
      </c>
      <c r="F57" s="927">
        <v>0.15</v>
      </c>
    </row>
    <row r="58" spans="1:18">
      <c r="C58" s="906" t="s">
        <v>1159</v>
      </c>
      <c r="D58" s="100" t="s">
        <v>256</v>
      </c>
      <c r="E58" s="927">
        <v>0.2</v>
      </c>
      <c r="F58" s="927">
        <v>0.15</v>
      </c>
    </row>
    <row r="59" spans="1:18">
      <c r="C59" s="906" t="s">
        <v>1161</v>
      </c>
      <c r="D59" s="100" t="s">
        <v>256</v>
      </c>
      <c r="E59" s="927">
        <v>0.2</v>
      </c>
      <c r="F59" s="927">
        <v>0.2</v>
      </c>
    </row>
    <row r="60" spans="1:18">
      <c r="C60" s="906" t="s">
        <v>1162</v>
      </c>
      <c r="D60" s="100" t="s">
        <v>256</v>
      </c>
      <c r="E60" s="927">
        <v>0.2</v>
      </c>
      <c r="F60" s="927">
        <v>0.15</v>
      </c>
    </row>
    <row r="61" spans="1:18">
      <c r="C61" s="906" t="s">
        <v>1150</v>
      </c>
      <c r="D61" s="100" t="s">
        <v>256</v>
      </c>
      <c r="E61" s="927">
        <v>0.2</v>
      </c>
      <c r="F61" s="927">
        <v>0.15</v>
      </c>
    </row>
    <row r="65" spans="3:5">
      <c r="C65" s="423" t="s">
        <v>3319</v>
      </c>
      <c r="D65" s="581" t="s">
        <v>3320</v>
      </c>
      <c r="E65" s="581" t="s">
        <v>3321</v>
      </c>
    </row>
    <row r="66" spans="3:5">
      <c r="C66" s="877" t="s">
        <v>1603</v>
      </c>
      <c r="D66" s="426">
        <v>250000</v>
      </c>
    </row>
    <row r="67" spans="3:5">
      <c r="C67" s="877" t="s">
        <v>1618</v>
      </c>
      <c r="D67" s="426">
        <v>100000</v>
      </c>
      <c r="E67" s="748">
        <v>0.1</v>
      </c>
    </row>
    <row r="68" spans="3:5">
      <c r="C68" s="877" t="s">
        <v>1629</v>
      </c>
      <c r="D68" s="426">
        <v>100000</v>
      </c>
      <c r="E68" s="748">
        <v>0.1</v>
      </c>
    </row>
    <row r="69" spans="3:5">
      <c r="C69" s="877" t="s">
        <v>1616</v>
      </c>
      <c r="D69" s="426">
        <v>100000</v>
      </c>
      <c r="E69" s="748">
        <v>0.1</v>
      </c>
    </row>
    <row r="70" spans="3:5">
      <c r="C70" s="877" t="s">
        <v>1609</v>
      </c>
      <c r="D70" s="928">
        <v>50000</v>
      </c>
      <c r="E70" s="748">
        <v>0.05</v>
      </c>
    </row>
  </sheetData>
  <mergeCells count="2">
    <mergeCell ref="E10:G10"/>
    <mergeCell ref="E11:G11"/>
  </mergeCells>
  <pageMargins left="0.45" right="0.45" top="0.75" bottom="0.75" header="0.3" footer="0.3"/>
  <pageSetup scale="64" fitToHeight="2" orientation="landscape" verticalDpi="1200" r:id="rId1"/>
  <headerFooter>
    <oddFooter>&amp;RPage &amp;P</oddFooter>
  </headerFooter>
  <rowBreaks count="1" manualBreakCount="1">
    <brk id="6" min="1" max="18"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0">
    <tabColor rgb="FF7030A0"/>
  </sheetPr>
  <dimension ref="A1:N21"/>
  <sheetViews>
    <sheetView showGridLines="0" zoomScaleNormal="100" zoomScaleSheetLayoutView="85" workbookViewId="0">
      <selection activeCell="J8" sqref="J8"/>
    </sheetView>
  </sheetViews>
  <sheetFormatPr defaultColWidth="9.140625" defaultRowHeight="15" outlineLevelCol="1"/>
  <cols>
    <col min="1" max="1" width="13.140625" style="846" customWidth="1"/>
    <col min="2" max="2" width="15.85546875" hidden="1" customWidth="1" outlineLevel="1"/>
    <col min="3" max="3" width="14.5703125" customWidth="1" collapsed="1"/>
    <col min="4" max="4" width="12.5703125" customWidth="1"/>
    <col min="5" max="5" width="16.85546875" customWidth="1"/>
    <col min="6" max="6" width="21.28515625" customWidth="1"/>
    <col min="7" max="7" width="16.85546875" customWidth="1"/>
    <col min="8" max="8" width="6.85546875" customWidth="1"/>
    <col min="9" max="9" width="22" style="586" customWidth="1"/>
    <col min="10" max="10" width="41.42578125" style="588" customWidth="1"/>
    <col min="11" max="11" width="5" style="588" customWidth="1" outlineLevel="1"/>
    <col min="12" max="12" width="11.140625" style="588" customWidth="1" outlineLevel="1"/>
    <col min="13" max="13" width="16.5703125" customWidth="1"/>
    <col min="14" max="14" width="15" customWidth="1"/>
    <col min="257" max="257" width="14.5703125" customWidth="1"/>
    <col min="258" max="258" width="12.5703125" customWidth="1"/>
    <col min="259" max="259" width="16.140625" customWidth="1"/>
    <col min="260" max="260" width="20.5703125" customWidth="1"/>
    <col min="261" max="261" width="21" customWidth="1"/>
    <col min="262" max="268" width="19.28515625" customWidth="1"/>
    <col min="513" max="513" width="14.5703125" customWidth="1"/>
    <col min="514" max="514" width="12.5703125" customWidth="1"/>
    <col min="515" max="515" width="16.140625" customWidth="1"/>
    <col min="516" max="516" width="20.5703125" customWidth="1"/>
    <col min="517" max="517" width="21" customWidth="1"/>
    <col min="518" max="524" width="19.28515625" customWidth="1"/>
    <col min="769" max="769" width="14.5703125" customWidth="1"/>
    <col min="770" max="770" width="12.5703125" customWidth="1"/>
    <col min="771" max="771" width="16.140625" customWidth="1"/>
    <col min="772" max="772" width="20.5703125" customWidth="1"/>
    <col min="773" max="773" width="21" customWidth="1"/>
    <col min="774" max="780" width="19.28515625" customWidth="1"/>
    <col min="1025" max="1025" width="14.5703125" customWidth="1"/>
    <col min="1026" max="1026" width="12.5703125" customWidth="1"/>
    <col min="1027" max="1027" width="16.140625" customWidth="1"/>
    <col min="1028" max="1028" width="20.5703125" customWidth="1"/>
    <col min="1029" max="1029" width="21" customWidth="1"/>
    <col min="1030" max="1036" width="19.28515625" customWidth="1"/>
    <col min="1281" max="1281" width="14.5703125" customWidth="1"/>
    <col min="1282" max="1282" width="12.5703125" customWidth="1"/>
    <col min="1283" max="1283" width="16.140625" customWidth="1"/>
    <col min="1284" max="1284" width="20.5703125" customWidth="1"/>
    <col min="1285" max="1285" width="21" customWidth="1"/>
    <col min="1286" max="1292" width="19.28515625" customWidth="1"/>
    <col min="1537" max="1537" width="14.5703125" customWidth="1"/>
    <col min="1538" max="1538" width="12.5703125" customWidth="1"/>
    <col min="1539" max="1539" width="16.140625" customWidth="1"/>
    <col min="1540" max="1540" width="20.5703125" customWidth="1"/>
    <col min="1541" max="1541" width="21" customWidth="1"/>
    <col min="1542" max="1548" width="19.28515625" customWidth="1"/>
    <col min="1793" max="1793" width="14.5703125" customWidth="1"/>
    <col min="1794" max="1794" width="12.5703125" customWidth="1"/>
    <col min="1795" max="1795" width="16.140625" customWidth="1"/>
    <col min="1796" max="1796" width="20.5703125" customWidth="1"/>
    <col min="1797" max="1797" width="21" customWidth="1"/>
    <col min="1798" max="1804" width="19.28515625" customWidth="1"/>
    <col min="2049" max="2049" width="14.5703125" customWidth="1"/>
    <col min="2050" max="2050" width="12.5703125" customWidth="1"/>
    <col min="2051" max="2051" width="16.140625" customWidth="1"/>
    <col min="2052" max="2052" width="20.5703125" customWidth="1"/>
    <col min="2053" max="2053" width="21" customWidth="1"/>
    <col min="2054" max="2060" width="19.28515625" customWidth="1"/>
    <col min="2305" max="2305" width="14.5703125" customWidth="1"/>
    <col min="2306" max="2306" width="12.5703125" customWidth="1"/>
    <col min="2307" max="2307" width="16.140625" customWidth="1"/>
    <col min="2308" max="2308" width="20.5703125" customWidth="1"/>
    <col min="2309" max="2309" width="21" customWidth="1"/>
    <col min="2310" max="2316" width="19.28515625" customWidth="1"/>
    <col min="2561" max="2561" width="14.5703125" customWidth="1"/>
    <col min="2562" max="2562" width="12.5703125" customWidth="1"/>
    <col min="2563" max="2563" width="16.140625" customWidth="1"/>
    <col min="2564" max="2564" width="20.5703125" customWidth="1"/>
    <col min="2565" max="2565" width="21" customWidth="1"/>
    <col min="2566" max="2572" width="19.28515625" customWidth="1"/>
    <col min="2817" max="2817" width="14.5703125" customWidth="1"/>
    <col min="2818" max="2818" width="12.5703125" customWidth="1"/>
    <col min="2819" max="2819" width="16.140625" customWidth="1"/>
    <col min="2820" max="2820" width="20.5703125" customWidth="1"/>
    <col min="2821" max="2821" width="21" customWidth="1"/>
    <col min="2822" max="2828" width="19.28515625" customWidth="1"/>
    <col min="3073" max="3073" width="14.5703125" customWidth="1"/>
    <col min="3074" max="3074" width="12.5703125" customWidth="1"/>
    <col min="3075" max="3075" width="16.140625" customWidth="1"/>
    <col min="3076" max="3076" width="20.5703125" customWidth="1"/>
    <col min="3077" max="3077" width="21" customWidth="1"/>
    <col min="3078" max="3084" width="19.28515625" customWidth="1"/>
    <col min="3329" max="3329" width="14.5703125" customWidth="1"/>
    <col min="3330" max="3330" width="12.5703125" customWidth="1"/>
    <col min="3331" max="3331" width="16.140625" customWidth="1"/>
    <col min="3332" max="3332" width="20.5703125" customWidth="1"/>
    <col min="3333" max="3333" width="21" customWidth="1"/>
    <col min="3334" max="3340" width="19.28515625" customWidth="1"/>
    <col min="3585" max="3585" width="14.5703125" customWidth="1"/>
    <col min="3586" max="3586" width="12.5703125" customWidth="1"/>
    <col min="3587" max="3587" width="16.140625" customWidth="1"/>
    <col min="3588" max="3588" width="20.5703125" customWidth="1"/>
    <col min="3589" max="3589" width="21" customWidth="1"/>
    <col min="3590" max="3596" width="19.28515625" customWidth="1"/>
    <col min="3841" max="3841" width="14.5703125" customWidth="1"/>
    <col min="3842" max="3842" width="12.5703125" customWidth="1"/>
    <col min="3843" max="3843" width="16.140625" customWidth="1"/>
    <col min="3844" max="3844" width="20.5703125" customWidth="1"/>
    <col min="3845" max="3845" width="21" customWidth="1"/>
    <col min="3846" max="3852" width="19.28515625" customWidth="1"/>
    <col min="4097" max="4097" width="14.5703125" customWidth="1"/>
    <col min="4098" max="4098" width="12.5703125" customWidth="1"/>
    <col min="4099" max="4099" width="16.140625" customWidth="1"/>
    <col min="4100" max="4100" width="20.5703125" customWidth="1"/>
    <col min="4101" max="4101" width="21" customWidth="1"/>
    <col min="4102" max="4108" width="19.28515625" customWidth="1"/>
    <col min="4353" max="4353" width="14.5703125" customWidth="1"/>
    <col min="4354" max="4354" width="12.5703125" customWidth="1"/>
    <col min="4355" max="4355" width="16.140625" customWidth="1"/>
    <col min="4356" max="4356" width="20.5703125" customWidth="1"/>
    <col min="4357" max="4357" width="21" customWidth="1"/>
    <col min="4358" max="4364" width="19.28515625" customWidth="1"/>
    <col min="4609" max="4609" width="14.5703125" customWidth="1"/>
    <col min="4610" max="4610" width="12.5703125" customWidth="1"/>
    <col min="4611" max="4611" width="16.140625" customWidth="1"/>
    <col min="4612" max="4612" width="20.5703125" customWidth="1"/>
    <col min="4613" max="4613" width="21" customWidth="1"/>
    <col min="4614" max="4620" width="19.28515625" customWidth="1"/>
    <col min="4865" max="4865" width="14.5703125" customWidth="1"/>
    <col min="4866" max="4866" width="12.5703125" customWidth="1"/>
    <col min="4867" max="4867" width="16.140625" customWidth="1"/>
    <col min="4868" max="4868" width="20.5703125" customWidth="1"/>
    <col min="4869" max="4869" width="21" customWidth="1"/>
    <col min="4870" max="4876" width="19.28515625" customWidth="1"/>
    <col min="5121" max="5121" width="14.5703125" customWidth="1"/>
    <col min="5122" max="5122" width="12.5703125" customWidth="1"/>
    <col min="5123" max="5123" width="16.140625" customWidth="1"/>
    <col min="5124" max="5124" width="20.5703125" customWidth="1"/>
    <col min="5125" max="5125" width="21" customWidth="1"/>
    <col min="5126" max="5132" width="19.28515625" customWidth="1"/>
    <col min="5377" max="5377" width="14.5703125" customWidth="1"/>
    <col min="5378" max="5378" width="12.5703125" customWidth="1"/>
    <col min="5379" max="5379" width="16.140625" customWidth="1"/>
    <col min="5380" max="5380" width="20.5703125" customWidth="1"/>
    <col min="5381" max="5381" width="21" customWidth="1"/>
    <col min="5382" max="5388" width="19.28515625" customWidth="1"/>
    <col min="5633" max="5633" width="14.5703125" customWidth="1"/>
    <col min="5634" max="5634" width="12.5703125" customWidth="1"/>
    <col min="5635" max="5635" width="16.140625" customWidth="1"/>
    <col min="5636" max="5636" width="20.5703125" customWidth="1"/>
    <col min="5637" max="5637" width="21" customWidth="1"/>
    <col min="5638" max="5644" width="19.28515625" customWidth="1"/>
    <col min="5889" max="5889" width="14.5703125" customWidth="1"/>
    <col min="5890" max="5890" width="12.5703125" customWidth="1"/>
    <col min="5891" max="5891" width="16.140625" customWidth="1"/>
    <col min="5892" max="5892" width="20.5703125" customWidth="1"/>
    <col min="5893" max="5893" width="21" customWidth="1"/>
    <col min="5894" max="5900" width="19.28515625" customWidth="1"/>
    <col min="6145" max="6145" width="14.5703125" customWidth="1"/>
    <col min="6146" max="6146" width="12.5703125" customWidth="1"/>
    <col min="6147" max="6147" width="16.140625" customWidth="1"/>
    <col min="6148" max="6148" width="20.5703125" customWidth="1"/>
    <col min="6149" max="6149" width="21" customWidth="1"/>
    <col min="6150" max="6156" width="19.28515625" customWidth="1"/>
    <col min="6401" max="6401" width="14.5703125" customWidth="1"/>
    <col min="6402" max="6402" width="12.5703125" customWidth="1"/>
    <col min="6403" max="6403" width="16.140625" customWidth="1"/>
    <col min="6404" max="6404" width="20.5703125" customWidth="1"/>
    <col min="6405" max="6405" width="21" customWidth="1"/>
    <col min="6406" max="6412" width="19.28515625" customWidth="1"/>
    <col min="6657" max="6657" width="14.5703125" customWidth="1"/>
    <col min="6658" max="6658" width="12.5703125" customWidth="1"/>
    <col min="6659" max="6659" width="16.140625" customWidth="1"/>
    <col min="6660" max="6660" width="20.5703125" customWidth="1"/>
    <col min="6661" max="6661" width="21" customWidth="1"/>
    <col min="6662" max="6668" width="19.28515625" customWidth="1"/>
    <col min="6913" max="6913" width="14.5703125" customWidth="1"/>
    <col min="6914" max="6914" width="12.5703125" customWidth="1"/>
    <col min="6915" max="6915" width="16.140625" customWidth="1"/>
    <col min="6916" max="6916" width="20.5703125" customWidth="1"/>
    <col min="6917" max="6917" width="21" customWidth="1"/>
    <col min="6918" max="6924" width="19.28515625" customWidth="1"/>
    <col min="7169" max="7169" width="14.5703125" customWidth="1"/>
    <col min="7170" max="7170" width="12.5703125" customWidth="1"/>
    <col min="7171" max="7171" width="16.140625" customWidth="1"/>
    <col min="7172" max="7172" width="20.5703125" customWidth="1"/>
    <col min="7173" max="7173" width="21" customWidth="1"/>
    <col min="7174" max="7180" width="19.28515625" customWidth="1"/>
    <col min="7425" max="7425" width="14.5703125" customWidth="1"/>
    <col min="7426" max="7426" width="12.5703125" customWidth="1"/>
    <col min="7427" max="7427" width="16.140625" customWidth="1"/>
    <col min="7428" max="7428" width="20.5703125" customWidth="1"/>
    <col min="7429" max="7429" width="21" customWidth="1"/>
    <col min="7430" max="7436" width="19.28515625" customWidth="1"/>
    <col min="7681" max="7681" width="14.5703125" customWidth="1"/>
    <col min="7682" max="7682" width="12.5703125" customWidth="1"/>
    <col min="7683" max="7683" width="16.140625" customWidth="1"/>
    <col min="7684" max="7684" width="20.5703125" customWidth="1"/>
    <col min="7685" max="7685" width="21" customWidth="1"/>
    <col min="7686" max="7692" width="19.28515625" customWidth="1"/>
    <col min="7937" max="7937" width="14.5703125" customWidth="1"/>
    <col min="7938" max="7938" width="12.5703125" customWidth="1"/>
    <col min="7939" max="7939" width="16.140625" customWidth="1"/>
    <col min="7940" max="7940" width="20.5703125" customWidth="1"/>
    <col min="7941" max="7941" width="21" customWidth="1"/>
    <col min="7942" max="7948" width="19.28515625" customWidth="1"/>
    <col min="8193" max="8193" width="14.5703125" customWidth="1"/>
    <col min="8194" max="8194" width="12.5703125" customWidth="1"/>
    <col min="8195" max="8195" width="16.140625" customWidth="1"/>
    <col min="8196" max="8196" width="20.5703125" customWidth="1"/>
    <col min="8197" max="8197" width="21" customWidth="1"/>
    <col min="8198" max="8204" width="19.28515625" customWidth="1"/>
    <col min="8449" max="8449" width="14.5703125" customWidth="1"/>
    <col min="8450" max="8450" width="12.5703125" customWidth="1"/>
    <col min="8451" max="8451" width="16.140625" customWidth="1"/>
    <col min="8452" max="8452" width="20.5703125" customWidth="1"/>
    <col min="8453" max="8453" width="21" customWidth="1"/>
    <col min="8454" max="8460" width="19.28515625" customWidth="1"/>
    <col min="8705" max="8705" width="14.5703125" customWidth="1"/>
    <col min="8706" max="8706" width="12.5703125" customWidth="1"/>
    <col min="8707" max="8707" width="16.140625" customWidth="1"/>
    <col min="8708" max="8708" width="20.5703125" customWidth="1"/>
    <col min="8709" max="8709" width="21" customWidth="1"/>
    <col min="8710" max="8716" width="19.28515625" customWidth="1"/>
    <col min="8961" max="8961" width="14.5703125" customWidth="1"/>
    <col min="8962" max="8962" width="12.5703125" customWidth="1"/>
    <col min="8963" max="8963" width="16.140625" customWidth="1"/>
    <col min="8964" max="8964" width="20.5703125" customWidth="1"/>
    <col min="8965" max="8965" width="21" customWidth="1"/>
    <col min="8966" max="8972" width="19.28515625" customWidth="1"/>
    <col min="9217" max="9217" width="14.5703125" customWidth="1"/>
    <col min="9218" max="9218" width="12.5703125" customWidth="1"/>
    <col min="9219" max="9219" width="16.140625" customWidth="1"/>
    <col min="9220" max="9220" width="20.5703125" customWidth="1"/>
    <col min="9221" max="9221" width="21" customWidth="1"/>
    <col min="9222" max="9228" width="19.28515625" customWidth="1"/>
    <col min="9473" max="9473" width="14.5703125" customWidth="1"/>
    <col min="9474" max="9474" width="12.5703125" customWidth="1"/>
    <col min="9475" max="9475" width="16.140625" customWidth="1"/>
    <col min="9476" max="9476" width="20.5703125" customWidth="1"/>
    <col min="9477" max="9477" width="21" customWidth="1"/>
    <col min="9478" max="9484" width="19.28515625" customWidth="1"/>
    <col min="9729" max="9729" width="14.5703125" customWidth="1"/>
    <col min="9730" max="9730" width="12.5703125" customWidth="1"/>
    <col min="9731" max="9731" width="16.140625" customWidth="1"/>
    <col min="9732" max="9732" width="20.5703125" customWidth="1"/>
    <col min="9733" max="9733" width="21" customWidth="1"/>
    <col min="9734" max="9740" width="19.28515625" customWidth="1"/>
    <col min="9985" max="9985" width="14.5703125" customWidth="1"/>
    <col min="9986" max="9986" width="12.5703125" customWidth="1"/>
    <col min="9987" max="9987" width="16.140625" customWidth="1"/>
    <col min="9988" max="9988" width="20.5703125" customWidth="1"/>
    <col min="9989" max="9989" width="21" customWidth="1"/>
    <col min="9990" max="9996" width="19.28515625" customWidth="1"/>
    <col min="10241" max="10241" width="14.5703125" customWidth="1"/>
    <col min="10242" max="10242" width="12.5703125" customWidth="1"/>
    <col min="10243" max="10243" width="16.140625" customWidth="1"/>
    <col min="10244" max="10244" width="20.5703125" customWidth="1"/>
    <col min="10245" max="10245" width="21" customWidth="1"/>
    <col min="10246" max="10252" width="19.28515625" customWidth="1"/>
    <col min="10497" max="10497" width="14.5703125" customWidth="1"/>
    <col min="10498" max="10498" width="12.5703125" customWidth="1"/>
    <col min="10499" max="10499" width="16.140625" customWidth="1"/>
    <col min="10500" max="10500" width="20.5703125" customWidth="1"/>
    <col min="10501" max="10501" width="21" customWidth="1"/>
    <col min="10502" max="10508" width="19.28515625" customWidth="1"/>
    <col min="10753" max="10753" width="14.5703125" customWidth="1"/>
    <col min="10754" max="10754" width="12.5703125" customWidth="1"/>
    <col min="10755" max="10755" width="16.140625" customWidth="1"/>
    <col min="10756" max="10756" width="20.5703125" customWidth="1"/>
    <col min="10757" max="10757" width="21" customWidth="1"/>
    <col min="10758" max="10764" width="19.28515625" customWidth="1"/>
    <col min="11009" max="11009" width="14.5703125" customWidth="1"/>
    <col min="11010" max="11010" width="12.5703125" customWidth="1"/>
    <col min="11011" max="11011" width="16.140625" customWidth="1"/>
    <col min="11012" max="11012" width="20.5703125" customWidth="1"/>
    <col min="11013" max="11013" width="21" customWidth="1"/>
    <col min="11014" max="11020" width="19.28515625" customWidth="1"/>
    <col min="11265" max="11265" width="14.5703125" customWidth="1"/>
    <col min="11266" max="11266" width="12.5703125" customWidth="1"/>
    <col min="11267" max="11267" width="16.140625" customWidth="1"/>
    <col min="11268" max="11268" width="20.5703125" customWidth="1"/>
    <col min="11269" max="11269" width="21" customWidth="1"/>
    <col min="11270" max="11276" width="19.28515625" customWidth="1"/>
    <col min="11521" max="11521" width="14.5703125" customWidth="1"/>
    <col min="11522" max="11522" width="12.5703125" customWidth="1"/>
    <col min="11523" max="11523" width="16.140625" customWidth="1"/>
    <col min="11524" max="11524" width="20.5703125" customWidth="1"/>
    <col min="11525" max="11525" width="21" customWidth="1"/>
    <col min="11526" max="11532" width="19.28515625" customWidth="1"/>
    <col min="11777" max="11777" width="14.5703125" customWidth="1"/>
    <col min="11778" max="11778" width="12.5703125" customWidth="1"/>
    <col min="11779" max="11779" width="16.140625" customWidth="1"/>
    <col min="11780" max="11780" width="20.5703125" customWidth="1"/>
    <col min="11781" max="11781" width="21" customWidth="1"/>
    <col min="11782" max="11788" width="19.28515625" customWidth="1"/>
    <col min="12033" max="12033" width="14.5703125" customWidth="1"/>
    <col min="12034" max="12034" width="12.5703125" customWidth="1"/>
    <col min="12035" max="12035" width="16.140625" customWidth="1"/>
    <col min="12036" max="12036" width="20.5703125" customWidth="1"/>
    <col min="12037" max="12037" width="21" customWidth="1"/>
    <col min="12038" max="12044" width="19.28515625" customWidth="1"/>
    <col min="12289" max="12289" width="14.5703125" customWidth="1"/>
    <col min="12290" max="12290" width="12.5703125" customWidth="1"/>
    <col min="12291" max="12291" width="16.140625" customWidth="1"/>
    <col min="12292" max="12292" width="20.5703125" customWidth="1"/>
    <col min="12293" max="12293" width="21" customWidth="1"/>
    <col min="12294" max="12300" width="19.28515625" customWidth="1"/>
    <col min="12545" max="12545" width="14.5703125" customWidth="1"/>
    <col min="12546" max="12546" width="12.5703125" customWidth="1"/>
    <col min="12547" max="12547" width="16.140625" customWidth="1"/>
    <col min="12548" max="12548" width="20.5703125" customWidth="1"/>
    <col min="12549" max="12549" width="21" customWidth="1"/>
    <col min="12550" max="12556" width="19.28515625" customWidth="1"/>
    <col min="12801" max="12801" width="14.5703125" customWidth="1"/>
    <col min="12802" max="12802" width="12.5703125" customWidth="1"/>
    <col min="12803" max="12803" width="16.140625" customWidth="1"/>
    <col min="12804" max="12804" width="20.5703125" customWidth="1"/>
    <col min="12805" max="12805" width="21" customWidth="1"/>
    <col min="12806" max="12812" width="19.28515625" customWidth="1"/>
    <col min="13057" max="13057" width="14.5703125" customWidth="1"/>
    <col min="13058" max="13058" width="12.5703125" customWidth="1"/>
    <col min="13059" max="13059" width="16.140625" customWidth="1"/>
    <col min="13060" max="13060" width="20.5703125" customWidth="1"/>
    <col min="13061" max="13061" width="21" customWidth="1"/>
    <col min="13062" max="13068" width="19.28515625" customWidth="1"/>
    <col min="13313" max="13313" width="14.5703125" customWidth="1"/>
    <col min="13314" max="13314" width="12.5703125" customWidth="1"/>
    <col min="13315" max="13315" width="16.140625" customWidth="1"/>
    <col min="13316" max="13316" width="20.5703125" customWidth="1"/>
    <col min="13317" max="13317" width="21" customWidth="1"/>
    <col min="13318" max="13324" width="19.28515625" customWidth="1"/>
    <col min="13569" max="13569" width="14.5703125" customWidth="1"/>
    <col min="13570" max="13570" width="12.5703125" customWidth="1"/>
    <col min="13571" max="13571" width="16.140625" customWidth="1"/>
    <col min="13572" max="13572" width="20.5703125" customWidth="1"/>
    <col min="13573" max="13573" width="21" customWidth="1"/>
    <col min="13574" max="13580" width="19.28515625" customWidth="1"/>
    <col min="13825" max="13825" width="14.5703125" customWidth="1"/>
    <col min="13826" max="13826" width="12.5703125" customWidth="1"/>
    <col min="13827" max="13827" width="16.140625" customWidth="1"/>
    <col min="13828" max="13828" width="20.5703125" customWidth="1"/>
    <col min="13829" max="13829" width="21" customWidth="1"/>
    <col min="13830" max="13836" width="19.28515625" customWidth="1"/>
    <col min="14081" max="14081" width="14.5703125" customWidth="1"/>
    <col min="14082" max="14082" width="12.5703125" customWidth="1"/>
    <col min="14083" max="14083" width="16.140625" customWidth="1"/>
    <col min="14084" max="14084" width="20.5703125" customWidth="1"/>
    <col min="14085" max="14085" width="21" customWidth="1"/>
    <col min="14086" max="14092" width="19.28515625" customWidth="1"/>
    <col min="14337" max="14337" width="14.5703125" customWidth="1"/>
    <col min="14338" max="14338" width="12.5703125" customWidth="1"/>
    <col min="14339" max="14339" width="16.140625" customWidth="1"/>
    <col min="14340" max="14340" width="20.5703125" customWidth="1"/>
    <col min="14341" max="14341" width="21" customWidth="1"/>
    <col min="14342" max="14348" width="19.28515625" customWidth="1"/>
    <col min="14593" max="14593" width="14.5703125" customWidth="1"/>
    <col min="14594" max="14594" width="12.5703125" customWidth="1"/>
    <col min="14595" max="14595" width="16.140625" customWidth="1"/>
    <col min="14596" max="14596" width="20.5703125" customWidth="1"/>
    <col min="14597" max="14597" width="21" customWidth="1"/>
    <col min="14598" max="14604" width="19.28515625" customWidth="1"/>
    <col min="14849" max="14849" width="14.5703125" customWidth="1"/>
    <col min="14850" max="14850" width="12.5703125" customWidth="1"/>
    <col min="14851" max="14851" width="16.140625" customWidth="1"/>
    <col min="14852" max="14852" width="20.5703125" customWidth="1"/>
    <col min="14853" max="14853" width="21" customWidth="1"/>
    <col min="14854" max="14860" width="19.28515625" customWidth="1"/>
    <col min="15105" max="15105" width="14.5703125" customWidth="1"/>
    <col min="15106" max="15106" width="12.5703125" customWidth="1"/>
    <col min="15107" max="15107" width="16.140625" customWidth="1"/>
    <col min="15108" max="15108" width="20.5703125" customWidth="1"/>
    <col min="15109" max="15109" width="21" customWidth="1"/>
    <col min="15110" max="15116" width="19.28515625" customWidth="1"/>
    <col min="15361" max="15361" width="14.5703125" customWidth="1"/>
    <col min="15362" max="15362" width="12.5703125" customWidth="1"/>
    <col min="15363" max="15363" width="16.140625" customWidth="1"/>
    <col min="15364" max="15364" width="20.5703125" customWidth="1"/>
    <col min="15365" max="15365" width="21" customWidth="1"/>
    <col min="15366" max="15372" width="19.28515625" customWidth="1"/>
    <col min="15617" max="15617" width="14.5703125" customWidth="1"/>
    <col min="15618" max="15618" width="12.5703125" customWidth="1"/>
    <col min="15619" max="15619" width="16.140625" customWidth="1"/>
    <col min="15620" max="15620" width="20.5703125" customWidth="1"/>
    <col min="15621" max="15621" width="21" customWidth="1"/>
    <col min="15622" max="15628" width="19.28515625" customWidth="1"/>
    <col min="15873" max="15873" width="14.5703125" customWidth="1"/>
    <col min="15874" max="15874" width="12.5703125" customWidth="1"/>
    <col min="15875" max="15875" width="16.140625" customWidth="1"/>
    <col min="15876" max="15876" width="20.5703125" customWidth="1"/>
    <col min="15877" max="15877" width="21" customWidth="1"/>
    <col min="15878" max="15884" width="19.28515625" customWidth="1"/>
    <col min="16129" max="16129" width="14.5703125" customWidth="1"/>
    <col min="16130" max="16130" width="12.5703125" customWidth="1"/>
    <col min="16131" max="16131" width="16.140625" customWidth="1"/>
    <col min="16132" max="16132" width="20.5703125" customWidth="1"/>
    <col min="16133" max="16133" width="21" customWidth="1"/>
    <col min="16134" max="16140" width="19.28515625" customWidth="1"/>
  </cols>
  <sheetData>
    <row r="1" spans="1:12">
      <c r="C1" s="580" t="s">
        <v>3308</v>
      </c>
      <c r="E1" s="395" t="s">
        <v>3078</v>
      </c>
    </row>
    <row r="2" spans="1:12">
      <c r="C2" s="395"/>
      <c r="E2" s="599" t="s">
        <v>3079</v>
      </c>
      <c r="F2" s="847" t="e">
        <f>IF('EQ rate no1'!G21=Algorithm_Other_2590!$J$11,Algorithm_Other_2590!$E$12,'EQ rate no1'!G21)</f>
        <v>#N/A</v>
      </c>
    </row>
    <row r="3" spans="1:12" ht="15.75" thickBot="1">
      <c r="C3" s="395"/>
      <c r="E3" s="599"/>
      <c r="F3" s="601"/>
    </row>
    <row r="4" spans="1:12" ht="16.5" thickTop="1" thickBot="1">
      <c r="C4" s="395"/>
      <c r="E4" s="599" t="s">
        <v>3080</v>
      </c>
      <c r="F4" s="848">
        <f>3%</f>
        <v>0.03</v>
      </c>
      <c r="I4" s="721" t="s">
        <v>3092</v>
      </c>
      <c r="J4" s="723"/>
      <c r="K4" s="723"/>
      <c r="L4" s="724"/>
    </row>
    <row r="5" spans="1:12" ht="15.75" thickTop="1">
      <c r="C5" s="395"/>
      <c r="E5" s="599" t="s">
        <v>3081</v>
      </c>
      <c r="F5" s="849">
        <v>50000</v>
      </c>
    </row>
    <row r="6" spans="1:12">
      <c r="E6" s="599" t="s">
        <v>1321</v>
      </c>
      <c r="F6" s="607">
        <v>1</v>
      </c>
      <c r="I6" s="586" t="s">
        <v>3082</v>
      </c>
      <c r="J6" s="850" t="e">
        <f>IF('EQ rate no1'!G21=J11,PostalCode,'EQ rate no1'!G21)</f>
        <v>#N/A</v>
      </c>
    </row>
    <row r="7" spans="1:12">
      <c r="I7" s="586" t="s">
        <v>1300</v>
      </c>
      <c r="J7" s="851">
        <f>Yrbuilt</f>
        <v>0</v>
      </c>
    </row>
    <row r="8" spans="1:12">
      <c r="C8" s="395"/>
      <c r="D8" s="608"/>
      <c r="E8" s="599"/>
      <c r="I8" s="586" t="s">
        <v>1301</v>
      </c>
      <c r="J8" s="851" t="str">
        <f>'EQ rate no1'!$D$8</f>
        <v>Fire Resistive</v>
      </c>
      <c r="K8" s="592"/>
      <c r="L8" s="592"/>
    </row>
    <row r="9" spans="1:12">
      <c r="C9" s="608"/>
      <c r="E9">
        <v>1</v>
      </c>
      <c r="F9" s="569">
        <v>2</v>
      </c>
      <c r="G9" s="569">
        <v>3</v>
      </c>
      <c r="I9" s="586" t="s">
        <v>1302</v>
      </c>
      <c r="J9" s="851">
        <f>Nbofstoreys</f>
        <v>0</v>
      </c>
    </row>
    <row r="10" spans="1:12">
      <c r="A10" s="846" t="s">
        <v>3283</v>
      </c>
      <c r="B10" s="395"/>
      <c r="C10" s="100"/>
      <c r="D10" s="3628" t="s">
        <v>3097</v>
      </c>
      <c r="E10" s="3628"/>
      <c r="F10" s="3628"/>
      <c r="G10" s="3628"/>
      <c r="I10" s="586" t="s">
        <v>3084</v>
      </c>
      <c r="J10" s="851">
        <f>Totalinsuredvalue</f>
        <v>0</v>
      </c>
    </row>
    <row r="11" spans="1:12">
      <c r="C11" s="100"/>
      <c r="D11" s="100"/>
      <c r="E11" s="100" t="s">
        <v>3322</v>
      </c>
      <c r="F11" s="100" t="s">
        <v>1319</v>
      </c>
      <c r="G11" s="100" t="s">
        <v>3323</v>
      </c>
      <c r="I11" s="586" t="s">
        <v>3324</v>
      </c>
      <c r="J11" t="s">
        <v>1349</v>
      </c>
    </row>
    <row r="12" spans="1:12">
      <c r="C12" s="906" t="s">
        <v>234</v>
      </c>
      <c r="D12" s="567" t="s">
        <v>1345</v>
      </c>
      <c r="E12" s="567">
        <f>0.01</f>
        <v>0.01</v>
      </c>
      <c r="F12" s="929">
        <v>0.03</v>
      </c>
      <c r="G12" s="930">
        <v>50000</v>
      </c>
    </row>
    <row r="13" spans="1:12">
      <c r="B13" s="846"/>
      <c r="C13" s="906" t="s">
        <v>235</v>
      </c>
      <c r="D13" s="570" t="s">
        <v>1240</v>
      </c>
      <c r="E13" s="570">
        <f t="shared" ref="E13:E20" si="0">0.01</f>
        <v>0.01</v>
      </c>
      <c r="F13" s="931">
        <v>0.03</v>
      </c>
      <c r="G13" s="932">
        <v>50000</v>
      </c>
      <c r="K13" s="644"/>
      <c r="L13" s="644"/>
    </row>
    <row r="14" spans="1:12">
      <c r="B14" s="846"/>
      <c r="C14" s="906" t="s">
        <v>236</v>
      </c>
      <c r="D14" s="933" t="s">
        <v>1352</v>
      </c>
      <c r="E14" s="933">
        <f t="shared" si="0"/>
        <v>0.01</v>
      </c>
      <c r="F14" s="934">
        <v>0.03</v>
      </c>
      <c r="G14" s="935">
        <v>50000</v>
      </c>
      <c r="K14" s="644"/>
      <c r="L14" s="644"/>
    </row>
    <row r="15" spans="1:12">
      <c r="B15" s="846"/>
      <c r="C15" s="906" t="s">
        <v>1354</v>
      </c>
      <c r="D15" s="567" t="s">
        <v>1241</v>
      </c>
      <c r="E15" s="567">
        <f t="shared" si="0"/>
        <v>0.01</v>
      </c>
      <c r="F15" s="929">
        <v>0.03</v>
      </c>
      <c r="G15" s="930">
        <v>50000</v>
      </c>
      <c r="K15" s="644"/>
      <c r="L15" s="644"/>
    </row>
    <row r="16" spans="1:12">
      <c r="B16" s="846"/>
      <c r="C16" s="906" t="s">
        <v>255</v>
      </c>
      <c r="D16" s="567" t="s">
        <v>243</v>
      </c>
      <c r="E16" s="567">
        <f t="shared" si="0"/>
        <v>0.01</v>
      </c>
      <c r="F16" s="929">
        <v>0.03</v>
      </c>
      <c r="G16" s="930">
        <v>50000</v>
      </c>
    </row>
    <row r="17" spans="1:14">
      <c r="A17" s="846">
        <v>2</v>
      </c>
      <c r="B17" s="846" t="str">
        <f>CONCATENATE(C17,D17)</f>
        <v>SSK</v>
      </c>
      <c r="C17" s="906" t="s">
        <v>1376</v>
      </c>
      <c r="D17" s="572" t="s">
        <v>242</v>
      </c>
      <c r="E17" s="572">
        <f t="shared" si="0"/>
        <v>0.01</v>
      </c>
      <c r="F17" s="936">
        <v>0.03</v>
      </c>
      <c r="G17" s="937">
        <v>50000</v>
      </c>
      <c r="I17" s="648"/>
    </row>
    <row r="18" spans="1:14">
      <c r="A18" s="846">
        <v>3</v>
      </c>
      <c r="B18" s="846" t="str">
        <f>CONCATENATE(C18,D18)</f>
        <v>TPE</v>
      </c>
      <c r="C18" s="906" t="s">
        <v>1378</v>
      </c>
      <c r="D18" s="933" t="s">
        <v>1352</v>
      </c>
      <c r="E18" s="933">
        <f t="shared" si="0"/>
        <v>0.01</v>
      </c>
      <c r="F18" s="934">
        <v>0.03</v>
      </c>
      <c r="G18" s="935">
        <v>50000</v>
      </c>
      <c r="I18" s="648"/>
    </row>
    <row r="19" spans="1:14" s="588" customFormat="1">
      <c r="A19" s="846">
        <v>4</v>
      </c>
      <c r="B19" s="846" t="str">
        <f>CONCATENATE(C19,D19)</f>
        <v>XNT&amp;NU</v>
      </c>
      <c r="C19" s="906" t="s">
        <v>257</v>
      </c>
      <c r="D19" s="938" t="s">
        <v>1380</v>
      </c>
      <c r="E19" s="938">
        <f t="shared" si="0"/>
        <v>0.01</v>
      </c>
      <c r="F19" s="939">
        <v>0.03</v>
      </c>
      <c r="G19" s="940">
        <v>50000</v>
      </c>
      <c r="H19"/>
      <c r="I19" s="648"/>
      <c r="J19" s="702"/>
      <c r="M19"/>
      <c r="N19"/>
    </row>
    <row r="20" spans="1:14">
      <c r="A20" s="846">
        <v>5</v>
      </c>
      <c r="B20" s="846" t="str">
        <f>CONCATENATE(C20,D20)</f>
        <v>YYK</v>
      </c>
      <c r="C20" s="906" t="s">
        <v>1031</v>
      </c>
      <c r="D20" s="941" t="s">
        <v>1239</v>
      </c>
      <c r="E20" s="942">
        <f t="shared" si="0"/>
        <v>0.01</v>
      </c>
      <c r="F20" s="943">
        <v>0.03</v>
      </c>
      <c r="G20" s="944">
        <v>50000</v>
      </c>
    </row>
    <row r="21" spans="1:14" s="588" customFormat="1">
      <c r="A21" s="846"/>
      <c r="B21"/>
      <c r="C21"/>
      <c r="D21"/>
      <c r="E21"/>
      <c r="F21"/>
      <c r="G21"/>
      <c r="H21"/>
      <c r="I21" s="652"/>
      <c r="M21"/>
      <c r="N21"/>
    </row>
  </sheetData>
  <mergeCells count="1">
    <mergeCell ref="D10:G10"/>
  </mergeCells>
  <pageMargins left="0.45" right="0.45" top="0.75" bottom="0.75" header="0.3" footer="0.3"/>
  <pageSetup scale="64" fitToHeight="2" orientation="landscape" verticalDpi="1200" r:id="rId1"/>
  <headerFooter>
    <oddFooter>&amp;RPage &amp;P</oddFooter>
  </headerFooter>
  <rowBreaks count="1" manualBreakCount="1">
    <brk id="6" min="1" max="18"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1">
    <tabColor rgb="FF7030A0"/>
  </sheetPr>
  <dimension ref="A1:M37"/>
  <sheetViews>
    <sheetView showGridLines="0" zoomScaleNormal="100" zoomScaleSheetLayoutView="85" workbookViewId="0">
      <selection activeCell="J9" sqref="J9"/>
    </sheetView>
  </sheetViews>
  <sheetFormatPr defaultColWidth="9.140625" defaultRowHeight="15" outlineLevelCol="1"/>
  <cols>
    <col min="1" max="1" width="13.140625" style="846" customWidth="1"/>
    <col min="2" max="2" width="15.85546875" hidden="1" customWidth="1" outlineLevel="1"/>
    <col min="3" max="3" width="29" customWidth="1" collapsed="1"/>
    <col min="4" max="4" width="12.5703125" customWidth="1"/>
    <col min="5" max="5" width="16.85546875" customWidth="1"/>
    <col min="6" max="6" width="18.5703125" customWidth="1"/>
    <col min="7" max="7" width="6.85546875" customWidth="1"/>
    <col min="8" max="8" width="22" style="586" customWidth="1"/>
    <col min="9" max="9" width="41.42578125" style="588" customWidth="1"/>
    <col min="10" max="10" width="5" style="588" customWidth="1" outlineLevel="1"/>
    <col min="11" max="11" width="19.28515625" style="588" customWidth="1" outlineLevel="1"/>
    <col min="12" max="12" width="16.5703125" customWidth="1"/>
    <col min="13" max="13" width="15" customWidth="1"/>
    <col min="256" max="256" width="14.5703125" customWidth="1"/>
    <col min="257" max="257" width="12.5703125" customWidth="1"/>
    <col min="258" max="258" width="16.140625" customWidth="1"/>
    <col min="259" max="259" width="20.5703125" customWidth="1"/>
    <col min="260" max="260" width="21" customWidth="1"/>
    <col min="261" max="267" width="19.28515625" customWidth="1"/>
    <col min="512" max="512" width="14.5703125" customWidth="1"/>
    <col min="513" max="513" width="12.5703125" customWidth="1"/>
    <col min="514" max="514" width="16.140625" customWidth="1"/>
    <col min="515" max="515" width="20.5703125" customWidth="1"/>
    <col min="516" max="516" width="21" customWidth="1"/>
    <col min="517" max="523" width="19.28515625" customWidth="1"/>
    <col min="768" max="768" width="14.5703125" customWidth="1"/>
    <col min="769" max="769" width="12.5703125" customWidth="1"/>
    <col min="770" max="770" width="16.140625" customWidth="1"/>
    <col min="771" max="771" width="20.5703125" customWidth="1"/>
    <col min="772" max="772" width="21" customWidth="1"/>
    <col min="773" max="779" width="19.28515625" customWidth="1"/>
    <col min="1024" max="1024" width="14.5703125" customWidth="1"/>
    <col min="1025" max="1025" width="12.5703125" customWidth="1"/>
    <col min="1026" max="1026" width="16.140625" customWidth="1"/>
    <col min="1027" max="1027" width="20.5703125" customWidth="1"/>
    <col min="1028" max="1028" width="21" customWidth="1"/>
    <col min="1029" max="1035" width="19.28515625" customWidth="1"/>
    <col min="1280" max="1280" width="14.5703125" customWidth="1"/>
    <col min="1281" max="1281" width="12.5703125" customWidth="1"/>
    <col min="1282" max="1282" width="16.140625" customWidth="1"/>
    <col min="1283" max="1283" width="20.5703125" customWidth="1"/>
    <col min="1284" max="1284" width="21" customWidth="1"/>
    <col min="1285" max="1291" width="19.28515625" customWidth="1"/>
    <col min="1536" max="1536" width="14.5703125" customWidth="1"/>
    <col min="1537" max="1537" width="12.5703125" customWidth="1"/>
    <col min="1538" max="1538" width="16.140625" customWidth="1"/>
    <col min="1539" max="1539" width="20.5703125" customWidth="1"/>
    <col min="1540" max="1540" width="21" customWidth="1"/>
    <col min="1541" max="1547" width="19.28515625" customWidth="1"/>
    <col min="1792" max="1792" width="14.5703125" customWidth="1"/>
    <col min="1793" max="1793" width="12.5703125" customWidth="1"/>
    <col min="1794" max="1794" width="16.140625" customWidth="1"/>
    <col min="1795" max="1795" width="20.5703125" customWidth="1"/>
    <col min="1796" max="1796" width="21" customWidth="1"/>
    <col min="1797" max="1803" width="19.28515625" customWidth="1"/>
    <col min="2048" max="2048" width="14.5703125" customWidth="1"/>
    <col min="2049" max="2049" width="12.5703125" customWidth="1"/>
    <col min="2050" max="2050" width="16.140625" customWidth="1"/>
    <col min="2051" max="2051" width="20.5703125" customWidth="1"/>
    <col min="2052" max="2052" width="21" customWidth="1"/>
    <col min="2053" max="2059" width="19.28515625" customWidth="1"/>
    <col min="2304" max="2304" width="14.5703125" customWidth="1"/>
    <col min="2305" max="2305" width="12.5703125" customWidth="1"/>
    <col min="2306" max="2306" width="16.140625" customWidth="1"/>
    <col min="2307" max="2307" width="20.5703125" customWidth="1"/>
    <col min="2308" max="2308" width="21" customWidth="1"/>
    <col min="2309" max="2315" width="19.28515625" customWidth="1"/>
    <col min="2560" max="2560" width="14.5703125" customWidth="1"/>
    <col min="2561" max="2561" width="12.5703125" customWidth="1"/>
    <col min="2562" max="2562" width="16.140625" customWidth="1"/>
    <col min="2563" max="2563" width="20.5703125" customWidth="1"/>
    <col min="2564" max="2564" width="21" customWidth="1"/>
    <col min="2565" max="2571" width="19.28515625" customWidth="1"/>
    <col min="2816" max="2816" width="14.5703125" customWidth="1"/>
    <col min="2817" max="2817" width="12.5703125" customWidth="1"/>
    <col min="2818" max="2818" width="16.140625" customWidth="1"/>
    <col min="2819" max="2819" width="20.5703125" customWidth="1"/>
    <col min="2820" max="2820" width="21" customWidth="1"/>
    <col min="2821" max="2827" width="19.28515625" customWidth="1"/>
    <col min="3072" max="3072" width="14.5703125" customWidth="1"/>
    <col min="3073" max="3073" width="12.5703125" customWidth="1"/>
    <col min="3074" max="3074" width="16.140625" customWidth="1"/>
    <col min="3075" max="3075" width="20.5703125" customWidth="1"/>
    <col min="3076" max="3076" width="21" customWidth="1"/>
    <col min="3077" max="3083" width="19.28515625" customWidth="1"/>
    <col min="3328" max="3328" width="14.5703125" customWidth="1"/>
    <col min="3329" max="3329" width="12.5703125" customWidth="1"/>
    <col min="3330" max="3330" width="16.140625" customWidth="1"/>
    <col min="3331" max="3331" width="20.5703125" customWidth="1"/>
    <col min="3332" max="3332" width="21" customWidth="1"/>
    <col min="3333" max="3339" width="19.28515625" customWidth="1"/>
    <col min="3584" max="3584" width="14.5703125" customWidth="1"/>
    <col min="3585" max="3585" width="12.5703125" customWidth="1"/>
    <col min="3586" max="3586" width="16.140625" customWidth="1"/>
    <col min="3587" max="3587" width="20.5703125" customWidth="1"/>
    <col min="3588" max="3588" width="21" customWidth="1"/>
    <col min="3589" max="3595" width="19.28515625" customWidth="1"/>
    <col min="3840" max="3840" width="14.5703125" customWidth="1"/>
    <col min="3841" max="3841" width="12.5703125" customWidth="1"/>
    <col min="3842" max="3842" width="16.140625" customWidth="1"/>
    <col min="3843" max="3843" width="20.5703125" customWidth="1"/>
    <col min="3844" max="3844" width="21" customWidth="1"/>
    <col min="3845" max="3851" width="19.28515625" customWidth="1"/>
    <col min="4096" max="4096" width="14.5703125" customWidth="1"/>
    <col min="4097" max="4097" width="12.5703125" customWidth="1"/>
    <col min="4098" max="4098" width="16.140625" customWidth="1"/>
    <col min="4099" max="4099" width="20.5703125" customWidth="1"/>
    <col min="4100" max="4100" width="21" customWidth="1"/>
    <col min="4101" max="4107" width="19.28515625" customWidth="1"/>
    <col min="4352" max="4352" width="14.5703125" customWidth="1"/>
    <col min="4353" max="4353" width="12.5703125" customWidth="1"/>
    <col min="4354" max="4354" width="16.140625" customWidth="1"/>
    <col min="4355" max="4355" width="20.5703125" customWidth="1"/>
    <col min="4356" max="4356" width="21" customWidth="1"/>
    <col min="4357" max="4363" width="19.28515625" customWidth="1"/>
    <col min="4608" max="4608" width="14.5703125" customWidth="1"/>
    <col min="4609" max="4609" width="12.5703125" customWidth="1"/>
    <col min="4610" max="4610" width="16.140625" customWidth="1"/>
    <col min="4611" max="4611" width="20.5703125" customWidth="1"/>
    <col min="4612" max="4612" width="21" customWidth="1"/>
    <col min="4613" max="4619" width="19.28515625" customWidth="1"/>
    <col min="4864" max="4864" width="14.5703125" customWidth="1"/>
    <col min="4865" max="4865" width="12.5703125" customWidth="1"/>
    <col min="4866" max="4866" width="16.140625" customWidth="1"/>
    <col min="4867" max="4867" width="20.5703125" customWidth="1"/>
    <col min="4868" max="4868" width="21" customWidth="1"/>
    <col min="4869" max="4875" width="19.28515625" customWidth="1"/>
    <col min="5120" max="5120" width="14.5703125" customWidth="1"/>
    <col min="5121" max="5121" width="12.5703125" customWidth="1"/>
    <col min="5122" max="5122" width="16.140625" customWidth="1"/>
    <col min="5123" max="5123" width="20.5703125" customWidth="1"/>
    <col min="5124" max="5124" width="21" customWidth="1"/>
    <col min="5125" max="5131" width="19.28515625" customWidth="1"/>
    <col min="5376" max="5376" width="14.5703125" customWidth="1"/>
    <col min="5377" max="5377" width="12.5703125" customWidth="1"/>
    <col min="5378" max="5378" width="16.140625" customWidth="1"/>
    <col min="5379" max="5379" width="20.5703125" customWidth="1"/>
    <col min="5380" max="5380" width="21" customWidth="1"/>
    <col min="5381" max="5387" width="19.28515625" customWidth="1"/>
    <col min="5632" max="5632" width="14.5703125" customWidth="1"/>
    <col min="5633" max="5633" width="12.5703125" customWidth="1"/>
    <col min="5634" max="5634" width="16.140625" customWidth="1"/>
    <col min="5635" max="5635" width="20.5703125" customWidth="1"/>
    <col min="5636" max="5636" width="21" customWidth="1"/>
    <col min="5637" max="5643" width="19.28515625" customWidth="1"/>
    <col min="5888" max="5888" width="14.5703125" customWidth="1"/>
    <col min="5889" max="5889" width="12.5703125" customWidth="1"/>
    <col min="5890" max="5890" width="16.140625" customWidth="1"/>
    <col min="5891" max="5891" width="20.5703125" customWidth="1"/>
    <col min="5892" max="5892" width="21" customWidth="1"/>
    <col min="5893" max="5899" width="19.28515625" customWidth="1"/>
    <col min="6144" max="6144" width="14.5703125" customWidth="1"/>
    <col min="6145" max="6145" width="12.5703125" customWidth="1"/>
    <col min="6146" max="6146" width="16.140625" customWidth="1"/>
    <col min="6147" max="6147" width="20.5703125" customWidth="1"/>
    <col min="6148" max="6148" width="21" customWidth="1"/>
    <col min="6149" max="6155" width="19.28515625" customWidth="1"/>
    <col min="6400" max="6400" width="14.5703125" customWidth="1"/>
    <col min="6401" max="6401" width="12.5703125" customWidth="1"/>
    <col min="6402" max="6402" width="16.140625" customWidth="1"/>
    <col min="6403" max="6403" width="20.5703125" customWidth="1"/>
    <col min="6404" max="6404" width="21" customWidth="1"/>
    <col min="6405" max="6411" width="19.28515625" customWidth="1"/>
    <col min="6656" max="6656" width="14.5703125" customWidth="1"/>
    <col min="6657" max="6657" width="12.5703125" customWidth="1"/>
    <col min="6658" max="6658" width="16.140625" customWidth="1"/>
    <col min="6659" max="6659" width="20.5703125" customWidth="1"/>
    <col min="6660" max="6660" width="21" customWidth="1"/>
    <col min="6661" max="6667" width="19.28515625" customWidth="1"/>
    <col min="6912" max="6912" width="14.5703125" customWidth="1"/>
    <col min="6913" max="6913" width="12.5703125" customWidth="1"/>
    <col min="6914" max="6914" width="16.140625" customWidth="1"/>
    <col min="6915" max="6915" width="20.5703125" customWidth="1"/>
    <col min="6916" max="6916" width="21" customWidth="1"/>
    <col min="6917" max="6923" width="19.28515625" customWidth="1"/>
    <col min="7168" max="7168" width="14.5703125" customWidth="1"/>
    <col min="7169" max="7169" width="12.5703125" customWidth="1"/>
    <col min="7170" max="7170" width="16.140625" customWidth="1"/>
    <col min="7171" max="7171" width="20.5703125" customWidth="1"/>
    <col min="7172" max="7172" width="21" customWidth="1"/>
    <col min="7173" max="7179" width="19.28515625" customWidth="1"/>
    <col min="7424" max="7424" width="14.5703125" customWidth="1"/>
    <col min="7425" max="7425" width="12.5703125" customWidth="1"/>
    <col min="7426" max="7426" width="16.140625" customWidth="1"/>
    <col min="7427" max="7427" width="20.5703125" customWidth="1"/>
    <col min="7428" max="7428" width="21" customWidth="1"/>
    <col min="7429" max="7435" width="19.28515625" customWidth="1"/>
    <col min="7680" max="7680" width="14.5703125" customWidth="1"/>
    <col min="7681" max="7681" width="12.5703125" customWidth="1"/>
    <col min="7682" max="7682" width="16.140625" customWidth="1"/>
    <col min="7683" max="7683" width="20.5703125" customWidth="1"/>
    <col min="7684" max="7684" width="21" customWidth="1"/>
    <col min="7685" max="7691" width="19.28515625" customWidth="1"/>
    <col min="7936" max="7936" width="14.5703125" customWidth="1"/>
    <col min="7937" max="7937" width="12.5703125" customWidth="1"/>
    <col min="7938" max="7938" width="16.140625" customWidth="1"/>
    <col min="7939" max="7939" width="20.5703125" customWidth="1"/>
    <col min="7940" max="7940" width="21" customWidth="1"/>
    <col min="7941" max="7947" width="19.28515625" customWidth="1"/>
    <col min="8192" max="8192" width="14.5703125" customWidth="1"/>
    <col min="8193" max="8193" width="12.5703125" customWidth="1"/>
    <col min="8194" max="8194" width="16.140625" customWidth="1"/>
    <col min="8195" max="8195" width="20.5703125" customWidth="1"/>
    <col min="8196" max="8196" width="21" customWidth="1"/>
    <col min="8197" max="8203" width="19.28515625" customWidth="1"/>
    <col min="8448" max="8448" width="14.5703125" customWidth="1"/>
    <col min="8449" max="8449" width="12.5703125" customWidth="1"/>
    <col min="8450" max="8450" width="16.140625" customWidth="1"/>
    <col min="8451" max="8451" width="20.5703125" customWidth="1"/>
    <col min="8452" max="8452" width="21" customWidth="1"/>
    <col min="8453" max="8459" width="19.28515625" customWidth="1"/>
    <col min="8704" max="8704" width="14.5703125" customWidth="1"/>
    <col min="8705" max="8705" width="12.5703125" customWidth="1"/>
    <col min="8706" max="8706" width="16.140625" customWidth="1"/>
    <col min="8707" max="8707" width="20.5703125" customWidth="1"/>
    <col min="8708" max="8708" width="21" customWidth="1"/>
    <col min="8709" max="8715" width="19.28515625" customWidth="1"/>
    <col min="8960" max="8960" width="14.5703125" customWidth="1"/>
    <col min="8961" max="8961" width="12.5703125" customWidth="1"/>
    <col min="8962" max="8962" width="16.140625" customWidth="1"/>
    <col min="8963" max="8963" width="20.5703125" customWidth="1"/>
    <col min="8964" max="8964" width="21" customWidth="1"/>
    <col min="8965" max="8971" width="19.28515625" customWidth="1"/>
    <col min="9216" max="9216" width="14.5703125" customWidth="1"/>
    <col min="9217" max="9217" width="12.5703125" customWidth="1"/>
    <col min="9218" max="9218" width="16.140625" customWidth="1"/>
    <col min="9219" max="9219" width="20.5703125" customWidth="1"/>
    <col min="9220" max="9220" width="21" customWidth="1"/>
    <col min="9221" max="9227" width="19.28515625" customWidth="1"/>
    <col min="9472" max="9472" width="14.5703125" customWidth="1"/>
    <col min="9473" max="9473" width="12.5703125" customWidth="1"/>
    <col min="9474" max="9474" width="16.140625" customWidth="1"/>
    <col min="9475" max="9475" width="20.5703125" customWidth="1"/>
    <col min="9476" max="9476" width="21" customWidth="1"/>
    <col min="9477" max="9483" width="19.28515625" customWidth="1"/>
    <col min="9728" max="9728" width="14.5703125" customWidth="1"/>
    <col min="9729" max="9729" width="12.5703125" customWidth="1"/>
    <col min="9730" max="9730" width="16.140625" customWidth="1"/>
    <col min="9731" max="9731" width="20.5703125" customWidth="1"/>
    <col min="9732" max="9732" width="21" customWidth="1"/>
    <col min="9733" max="9739" width="19.28515625" customWidth="1"/>
    <col min="9984" max="9984" width="14.5703125" customWidth="1"/>
    <col min="9985" max="9985" width="12.5703125" customWidth="1"/>
    <col min="9986" max="9986" width="16.140625" customWidth="1"/>
    <col min="9987" max="9987" width="20.5703125" customWidth="1"/>
    <col min="9988" max="9988" width="21" customWidth="1"/>
    <col min="9989" max="9995" width="19.28515625" customWidth="1"/>
    <col min="10240" max="10240" width="14.5703125" customWidth="1"/>
    <col min="10241" max="10241" width="12.5703125" customWidth="1"/>
    <col min="10242" max="10242" width="16.140625" customWidth="1"/>
    <col min="10243" max="10243" width="20.5703125" customWidth="1"/>
    <col min="10244" max="10244" width="21" customWidth="1"/>
    <col min="10245" max="10251" width="19.28515625" customWidth="1"/>
    <col min="10496" max="10496" width="14.5703125" customWidth="1"/>
    <col min="10497" max="10497" width="12.5703125" customWidth="1"/>
    <col min="10498" max="10498" width="16.140625" customWidth="1"/>
    <col min="10499" max="10499" width="20.5703125" customWidth="1"/>
    <col min="10500" max="10500" width="21" customWidth="1"/>
    <col min="10501" max="10507" width="19.28515625" customWidth="1"/>
    <col min="10752" max="10752" width="14.5703125" customWidth="1"/>
    <col min="10753" max="10753" width="12.5703125" customWidth="1"/>
    <col min="10754" max="10754" width="16.140625" customWidth="1"/>
    <col min="10755" max="10755" width="20.5703125" customWidth="1"/>
    <col min="10756" max="10756" width="21" customWidth="1"/>
    <col min="10757" max="10763" width="19.28515625" customWidth="1"/>
    <col min="11008" max="11008" width="14.5703125" customWidth="1"/>
    <col min="11009" max="11009" width="12.5703125" customWidth="1"/>
    <col min="11010" max="11010" width="16.140625" customWidth="1"/>
    <col min="11011" max="11011" width="20.5703125" customWidth="1"/>
    <col min="11012" max="11012" width="21" customWidth="1"/>
    <col min="11013" max="11019" width="19.28515625" customWidth="1"/>
    <col min="11264" max="11264" width="14.5703125" customWidth="1"/>
    <col min="11265" max="11265" width="12.5703125" customWidth="1"/>
    <col min="11266" max="11266" width="16.140625" customWidth="1"/>
    <col min="11267" max="11267" width="20.5703125" customWidth="1"/>
    <col min="11268" max="11268" width="21" customWidth="1"/>
    <col min="11269" max="11275" width="19.28515625" customWidth="1"/>
    <col min="11520" max="11520" width="14.5703125" customWidth="1"/>
    <col min="11521" max="11521" width="12.5703125" customWidth="1"/>
    <col min="11522" max="11522" width="16.140625" customWidth="1"/>
    <col min="11523" max="11523" width="20.5703125" customWidth="1"/>
    <col min="11524" max="11524" width="21" customWidth="1"/>
    <col min="11525" max="11531" width="19.28515625" customWidth="1"/>
    <col min="11776" max="11776" width="14.5703125" customWidth="1"/>
    <col min="11777" max="11777" width="12.5703125" customWidth="1"/>
    <col min="11778" max="11778" width="16.140625" customWidth="1"/>
    <col min="11779" max="11779" width="20.5703125" customWidth="1"/>
    <col min="11780" max="11780" width="21" customWidth="1"/>
    <col min="11781" max="11787" width="19.28515625" customWidth="1"/>
    <col min="12032" max="12032" width="14.5703125" customWidth="1"/>
    <col min="12033" max="12033" width="12.5703125" customWidth="1"/>
    <col min="12034" max="12034" width="16.140625" customWidth="1"/>
    <col min="12035" max="12035" width="20.5703125" customWidth="1"/>
    <col min="12036" max="12036" width="21" customWidth="1"/>
    <col min="12037" max="12043" width="19.28515625" customWidth="1"/>
    <col min="12288" max="12288" width="14.5703125" customWidth="1"/>
    <col min="12289" max="12289" width="12.5703125" customWidth="1"/>
    <col min="12290" max="12290" width="16.140625" customWidth="1"/>
    <col min="12291" max="12291" width="20.5703125" customWidth="1"/>
    <col min="12292" max="12292" width="21" customWidth="1"/>
    <col min="12293" max="12299" width="19.28515625" customWidth="1"/>
    <col min="12544" max="12544" width="14.5703125" customWidth="1"/>
    <col min="12545" max="12545" width="12.5703125" customWidth="1"/>
    <col min="12546" max="12546" width="16.140625" customWidth="1"/>
    <col min="12547" max="12547" width="20.5703125" customWidth="1"/>
    <col min="12548" max="12548" width="21" customWidth="1"/>
    <col min="12549" max="12555" width="19.28515625" customWidth="1"/>
    <col min="12800" max="12800" width="14.5703125" customWidth="1"/>
    <col min="12801" max="12801" width="12.5703125" customWidth="1"/>
    <col min="12802" max="12802" width="16.140625" customWidth="1"/>
    <col min="12803" max="12803" width="20.5703125" customWidth="1"/>
    <col min="12804" max="12804" width="21" customWidth="1"/>
    <col min="12805" max="12811" width="19.28515625" customWidth="1"/>
    <col min="13056" max="13056" width="14.5703125" customWidth="1"/>
    <col min="13057" max="13057" width="12.5703125" customWidth="1"/>
    <col min="13058" max="13058" width="16.140625" customWidth="1"/>
    <col min="13059" max="13059" width="20.5703125" customWidth="1"/>
    <col min="13060" max="13060" width="21" customWidth="1"/>
    <col min="13061" max="13067" width="19.28515625" customWidth="1"/>
    <col min="13312" max="13312" width="14.5703125" customWidth="1"/>
    <col min="13313" max="13313" width="12.5703125" customWidth="1"/>
    <col min="13314" max="13314" width="16.140625" customWidth="1"/>
    <col min="13315" max="13315" width="20.5703125" customWidth="1"/>
    <col min="13316" max="13316" width="21" customWidth="1"/>
    <col min="13317" max="13323" width="19.28515625" customWidth="1"/>
    <col min="13568" max="13568" width="14.5703125" customWidth="1"/>
    <col min="13569" max="13569" width="12.5703125" customWidth="1"/>
    <col min="13570" max="13570" width="16.140625" customWidth="1"/>
    <col min="13571" max="13571" width="20.5703125" customWidth="1"/>
    <col min="13572" max="13572" width="21" customWidth="1"/>
    <col min="13573" max="13579" width="19.28515625" customWidth="1"/>
    <col min="13824" max="13824" width="14.5703125" customWidth="1"/>
    <col min="13825" max="13825" width="12.5703125" customWidth="1"/>
    <col min="13826" max="13826" width="16.140625" customWidth="1"/>
    <col min="13827" max="13827" width="20.5703125" customWidth="1"/>
    <col min="13828" max="13828" width="21" customWidth="1"/>
    <col min="13829" max="13835" width="19.28515625" customWidth="1"/>
    <col min="14080" max="14080" width="14.5703125" customWidth="1"/>
    <col min="14081" max="14081" width="12.5703125" customWidth="1"/>
    <col min="14082" max="14082" width="16.140625" customWidth="1"/>
    <col min="14083" max="14083" width="20.5703125" customWidth="1"/>
    <col min="14084" max="14084" width="21" customWidth="1"/>
    <col min="14085" max="14091" width="19.28515625" customWidth="1"/>
    <col min="14336" max="14336" width="14.5703125" customWidth="1"/>
    <col min="14337" max="14337" width="12.5703125" customWidth="1"/>
    <col min="14338" max="14338" width="16.140625" customWidth="1"/>
    <col min="14339" max="14339" width="20.5703125" customWidth="1"/>
    <col min="14340" max="14340" width="21" customWidth="1"/>
    <col min="14341" max="14347" width="19.28515625" customWidth="1"/>
    <col min="14592" max="14592" width="14.5703125" customWidth="1"/>
    <col min="14593" max="14593" width="12.5703125" customWidth="1"/>
    <col min="14594" max="14594" width="16.140625" customWidth="1"/>
    <col min="14595" max="14595" width="20.5703125" customWidth="1"/>
    <col min="14596" max="14596" width="21" customWidth="1"/>
    <col min="14597" max="14603" width="19.28515625" customWidth="1"/>
    <col min="14848" max="14848" width="14.5703125" customWidth="1"/>
    <col min="14849" max="14849" width="12.5703125" customWidth="1"/>
    <col min="14850" max="14850" width="16.140625" customWidth="1"/>
    <col min="14851" max="14851" width="20.5703125" customWidth="1"/>
    <col min="14852" max="14852" width="21" customWidth="1"/>
    <col min="14853" max="14859" width="19.28515625" customWidth="1"/>
    <col min="15104" max="15104" width="14.5703125" customWidth="1"/>
    <col min="15105" max="15105" width="12.5703125" customWidth="1"/>
    <col min="15106" max="15106" width="16.140625" customWidth="1"/>
    <col min="15107" max="15107" width="20.5703125" customWidth="1"/>
    <col min="15108" max="15108" width="21" customWidth="1"/>
    <col min="15109" max="15115" width="19.28515625" customWidth="1"/>
    <col min="15360" max="15360" width="14.5703125" customWidth="1"/>
    <col min="15361" max="15361" width="12.5703125" customWidth="1"/>
    <col min="15362" max="15362" width="16.140625" customWidth="1"/>
    <col min="15363" max="15363" width="20.5703125" customWidth="1"/>
    <col min="15364" max="15364" width="21" customWidth="1"/>
    <col min="15365" max="15371" width="19.28515625" customWidth="1"/>
    <col min="15616" max="15616" width="14.5703125" customWidth="1"/>
    <col min="15617" max="15617" width="12.5703125" customWidth="1"/>
    <col min="15618" max="15618" width="16.140625" customWidth="1"/>
    <col min="15619" max="15619" width="20.5703125" customWidth="1"/>
    <col min="15620" max="15620" width="21" customWidth="1"/>
    <col min="15621" max="15627" width="19.28515625" customWidth="1"/>
    <col min="15872" max="15872" width="14.5703125" customWidth="1"/>
    <col min="15873" max="15873" width="12.5703125" customWidth="1"/>
    <col min="15874" max="15874" width="16.140625" customWidth="1"/>
    <col min="15875" max="15875" width="20.5703125" customWidth="1"/>
    <col min="15876" max="15876" width="21" customWidth="1"/>
    <col min="15877" max="15883" width="19.28515625" customWidth="1"/>
    <col min="16128" max="16128" width="14.5703125" customWidth="1"/>
    <col min="16129" max="16129" width="12.5703125" customWidth="1"/>
    <col min="16130" max="16130" width="16.140625" customWidth="1"/>
    <col min="16131" max="16131" width="20.5703125" customWidth="1"/>
    <col min="16132" max="16132" width="21" customWidth="1"/>
    <col min="16133" max="16139" width="19.28515625" customWidth="1"/>
  </cols>
  <sheetData>
    <row r="1" spans="1:11">
      <c r="C1" s="580" t="s">
        <v>3308</v>
      </c>
      <c r="E1" s="395" t="s">
        <v>3078</v>
      </c>
    </row>
    <row r="2" spans="1:11">
      <c r="C2" s="395" t="s">
        <v>3325</v>
      </c>
      <c r="E2" s="599" t="s">
        <v>3079</v>
      </c>
      <c r="F2" s="847" t="e">
        <f>INDEX($D$15:$F$20,$I$15,$I$14)</f>
        <v>#N/A</v>
      </c>
    </row>
    <row r="3" spans="1:11" ht="15.75" thickBot="1">
      <c r="C3" s="395"/>
      <c r="E3" s="599"/>
      <c r="F3" s="601"/>
    </row>
    <row r="4" spans="1:11" ht="16.5" thickTop="1" thickBot="1">
      <c r="C4" s="395"/>
      <c r="E4" s="599" t="s">
        <v>3080</v>
      </c>
      <c r="F4" s="848">
        <v>0.1</v>
      </c>
      <c r="H4" s="721" t="s">
        <v>3092</v>
      </c>
      <c r="I4" s="723"/>
      <c r="J4" s="723"/>
      <c r="K4" s="724"/>
    </row>
    <row r="5" spans="1:11" ht="15.75" thickTop="1">
      <c r="C5" s="395"/>
      <c r="E5" s="599" t="s">
        <v>3081</v>
      </c>
      <c r="F5" s="849">
        <f>100000</f>
        <v>100000</v>
      </c>
    </row>
    <row r="6" spans="1:11">
      <c r="E6" s="599" t="s">
        <v>1321</v>
      </c>
      <c r="F6" s="607">
        <f>1</f>
        <v>1</v>
      </c>
      <c r="H6" s="586" t="s">
        <v>3082</v>
      </c>
      <c r="I6" s="850" t="e">
        <f>IF('EQ rate no1'!G21=I11,PostalCode,'EQ rate no1'!G21)</f>
        <v>#N/A</v>
      </c>
    </row>
    <row r="7" spans="1:11">
      <c r="C7" s="580"/>
      <c r="H7" s="586" t="s">
        <v>1300</v>
      </c>
      <c r="I7" s="851">
        <f>Yrbuilt</f>
        <v>0</v>
      </c>
    </row>
    <row r="8" spans="1:11">
      <c r="C8" s="395"/>
      <c r="D8" s="608"/>
      <c r="E8" s="599"/>
      <c r="H8" s="586" t="s">
        <v>1301</v>
      </c>
      <c r="I8" s="851" t="str">
        <f>'EQ rate no1'!$D$8</f>
        <v>Fire Resistive</v>
      </c>
      <c r="J8" s="592"/>
      <c r="K8" s="592"/>
    </row>
    <row r="9" spans="1:11">
      <c r="C9" s="608"/>
      <c r="D9">
        <v>1</v>
      </c>
      <c r="E9" s="569">
        <v>2</v>
      </c>
      <c r="F9" s="569">
        <v>3</v>
      </c>
      <c r="H9" s="586" t="s">
        <v>1302</v>
      </c>
      <c r="I9" s="851">
        <f>Nbofstoreys</f>
        <v>0</v>
      </c>
    </row>
    <row r="10" spans="1:11">
      <c r="A10" s="846" t="s">
        <v>3283</v>
      </c>
      <c r="B10" s="395"/>
      <c r="C10" s="100"/>
      <c r="D10" s="3628" t="s">
        <v>3097</v>
      </c>
      <c r="E10" s="3628"/>
      <c r="F10" s="3628"/>
      <c r="H10" s="586" t="s">
        <v>3084</v>
      </c>
      <c r="I10" s="851">
        <f>Totalinsuredvalue</f>
        <v>0</v>
      </c>
    </row>
    <row r="11" spans="1:11">
      <c r="C11" s="100" t="s">
        <v>3311</v>
      </c>
      <c r="D11" s="3629" t="s">
        <v>3326</v>
      </c>
      <c r="E11" s="3629"/>
      <c r="F11" s="3629"/>
      <c r="H11" s="586" t="s">
        <v>1235</v>
      </c>
      <c r="I11" s="588" t="s">
        <v>1681</v>
      </c>
    </row>
    <row r="12" spans="1:11">
      <c r="C12" s="100"/>
      <c r="D12" s="100"/>
      <c r="E12" s="100"/>
      <c r="F12" s="100"/>
    </row>
    <row r="13" spans="1:11">
      <c r="C13" s="911"/>
      <c r="D13" s="657" t="s">
        <v>3312</v>
      </c>
      <c r="E13" s="657" t="s">
        <v>3313</v>
      </c>
      <c r="F13" s="657" t="s">
        <v>3314</v>
      </c>
      <c r="H13" s="586" t="s">
        <v>3117</v>
      </c>
      <c r="I13" s="851"/>
    </row>
    <row r="14" spans="1:11">
      <c r="A14" s="846" t="s">
        <v>3285</v>
      </c>
      <c r="B14" s="846" t="s">
        <v>251</v>
      </c>
      <c r="C14" s="100"/>
      <c r="D14" s="657">
        <v>1940</v>
      </c>
      <c r="E14" s="657">
        <v>1987</v>
      </c>
      <c r="F14" s="657">
        <v>1988</v>
      </c>
      <c r="H14" s="586" t="s">
        <v>3162</v>
      </c>
      <c r="I14" s="851" t="e">
        <f>VLOOKUP(I7,D23:E25,2,TRUE)</f>
        <v>#N/A</v>
      </c>
      <c r="J14" s="644"/>
      <c r="K14" s="644"/>
    </row>
    <row r="15" spans="1:11">
      <c r="A15" s="846">
        <v>1</v>
      </c>
      <c r="B15" s="846" t="str">
        <f t="shared" ref="B15:B20" si="0">CONCATENATE(C15,D15)</f>
        <v>Fire ResistiveRefer</v>
      </c>
      <c r="C15" s="344" t="s">
        <v>1155</v>
      </c>
      <c r="D15" s="916" t="s">
        <v>256</v>
      </c>
      <c r="E15" s="916">
        <v>0.247</v>
      </c>
      <c r="F15" s="916">
        <v>0.19700000000000001</v>
      </c>
      <c r="H15" s="586" t="s">
        <v>3120</v>
      </c>
      <c r="I15" s="851">
        <f>MATCH(I8,C15:C20,0)</f>
        <v>1</v>
      </c>
    </row>
    <row r="16" spans="1:11">
      <c r="A16" s="846">
        <v>2</v>
      </c>
      <c r="B16" s="846" t="str">
        <f t="shared" si="0"/>
        <v>Non-Combustable / MasonryRefer</v>
      </c>
      <c r="C16" s="344" t="s">
        <v>1157</v>
      </c>
      <c r="D16" s="917" t="s">
        <v>256</v>
      </c>
      <c r="E16" s="918">
        <v>0.37</v>
      </c>
      <c r="F16" s="918">
        <v>0.222</v>
      </c>
      <c r="H16" s="648"/>
      <c r="I16" s="702"/>
    </row>
    <row r="17" spans="1:13">
      <c r="A17" s="846">
        <v>3</v>
      </c>
      <c r="B17" s="846" t="str">
        <f t="shared" si="0"/>
        <v>Non-Combustable / Non-MasonryRefer</v>
      </c>
      <c r="C17" s="344" t="s">
        <v>1159</v>
      </c>
      <c r="D17" s="917" t="s">
        <v>256</v>
      </c>
      <c r="E17" s="918">
        <v>0.37</v>
      </c>
      <c r="F17" s="918">
        <v>0.222</v>
      </c>
      <c r="H17" s="648"/>
      <c r="I17" s="702"/>
    </row>
    <row r="18" spans="1:13" s="588" customFormat="1">
      <c r="A18" s="846">
        <v>4</v>
      </c>
      <c r="B18" s="846" t="str">
        <f t="shared" si="0"/>
        <v>MasonryRefer</v>
      </c>
      <c r="C18" s="344" t="s">
        <v>1161</v>
      </c>
      <c r="D18" s="919" t="s">
        <v>256</v>
      </c>
      <c r="E18" s="920">
        <v>0.49299999999999999</v>
      </c>
      <c r="F18" s="920">
        <v>0.27100000000000002</v>
      </c>
      <c r="G18"/>
      <c r="H18" s="648"/>
      <c r="I18" s="702"/>
      <c r="L18"/>
      <c r="M18"/>
    </row>
    <row r="19" spans="1:13">
      <c r="A19" s="846">
        <v>5</v>
      </c>
      <c r="B19" s="846" t="str">
        <f t="shared" si="0"/>
        <v>Brick VeneerRefer</v>
      </c>
      <c r="C19" s="344" t="s">
        <v>1162</v>
      </c>
      <c r="D19" s="945" t="s">
        <v>256</v>
      </c>
      <c r="E19" s="945">
        <v>0.247</v>
      </c>
      <c r="F19" s="945">
        <v>0.19700000000000001</v>
      </c>
    </row>
    <row r="20" spans="1:13">
      <c r="A20" s="846">
        <v>6</v>
      </c>
      <c r="B20" s="846" t="str">
        <f t="shared" si="0"/>
        <v>FrameRefer</v>
      </c>
      <c r="C20" s="344" t="s">
        <v>1150</v>
      </c>
      <c r="D20" s="913" t="s">
        <v>256</v>
      </c>
      <c r="E20" s="913">
        <v>0.247</v>
      </c>
      <c r="F20" s="913">
        <v>0.19700000000000001</v>
      </c>
      <c r="H20" s="648"/>
      <c r="I20" s="702"/>
    </row>
    <row r="21" spans="1:13" s="588" customFormat="1">
      <c r="A21" s="846"/>
      <c r="B21"/>
      <c r="C21"/>
      <c r="D21"/>
      <c r="E21"/>
      <c r="F21"/>
      <c r="G21"/>
      <c r="H21" s="652"/>
      <c r="L21"/>
      <c r="M21"/>
    </row>
    <row r="22" spans="1:13" s="588" customFormat="1">
      <c r="A22" s="846"/>
      <c r="B22"/>
      <c r="C22" s="650" t="s">
        <v>3125</v>
      </c>
      <c r="D22"/>
      <c r="E22" s="651"/>
      <c r="F22"/>
      <c r="G22"/>
      <c r="H22" s="586"/>
      <c r="L22"/>
      <c r="M22"/>
    </row>
    <row r="23" spans="1:13" s="588" customFormat="1">
      <c r="A23" s="846"/>
      <c r="B23"/>
      <c r="C23" s="100" t="s">
        <v>3317</v>
      </c>
      <c r="D23">
        <v>1</v>
      </c>
      <c r="E23" s="877">
        <v>1</v>
      </c>
      <c r="F23"/>
      <c r="G23"/>
      <c r="H23" s="586"/>
      <c r="L23"/>
      <c r="M23"/>
    </row>
    <row r="24" spans="1:13" s="588" customFormat="1">
      <c r="A24" s="846"/>
      <c r="B24"/>
      <c r="C24" s="657" t="s">
        <v>3313</v>
      </c>
      <c r="D24">
        <v>1940</v>
      </c>
      <c r="E24" s="657">
        <v>2</v>
      </c>
      <c r="F24"/>
      <c r="G24"/>
      <c r="H24" s="586"/>
      <c r="L24"/>
      <c r="M24"/>
    </row>
    <row r="25" spans="1:13">
      <c r="C25" s="657" t="s">
        <v>3314</v>
      </c>
      <c r="D25">
        <v>1988</v>
      </c>
      <c r="E25" s="657">
        <v>3</v>
      </c>
    </row>
    <row r="26" spans="1:13" s="588" customFormat="1">
      <c r="A26" s="846"/>
      <c r="B26"/>
      <c r="C26" s="650"/>
      <c r="D26"/>
      <c r="E26" s="651"/>
      <c r="F26"/>
      <c r="G26"/>
      <c r="H26" s="586"/>
      <c r="L26"/>
      <c r="M26"/>
    </row>
    <row r="27" spans="1:13" s="588" customFormat="1" ht="15.75" thickBot="1">
      <c r="A27" s="846"/>
      <c r="B27"/>
      <c r="C27"/>
      <c r="D27" s="658" t="s">
        <v>3327</v>
      </c>
      <c r="E27"/>
      <c r="F27"/>
      <c r="G27"/>
      <c r="H27" s="586"/>
      <c r="L27"/>
      <c r="M27"/>
    </row>
    <row r="28" spans="1:13" s="588" customFormat="1" ht="15.75" thickBot="1">
      <c r="A28" s="846"/>
      <c r="B28"/>
      <c r="C28" s="655"/>
      <c r="D28" s="659" t="s">
        <v>1083</v>
      </c>
      <c r="E28" s="660" t="s">
        <v>3140</v>
      </c>
      <c r="F28"/>
      <c r="G28"/>
      <c r="H28" s="586"/>
      <c r="L28"/>
      <c r="M28"/>
    </row>
    <row r="29" spans="1:13" s="588" customFormat="1">
      <c r="A29" s="846"/>
      <c r="B29"/>
      <c r="C29"/>
      <c r="D29" s="878"/>
      <c r="E29" s="716"/>
      <c r="F29"/>
      <c r="G29"/>
      <c r="H29" s="586"/>
      <c r="L29"/>
      <c r="M29"/>
    </row>
    <row r="30" spans="1:13" s="588" customFormat="1">
      <c r="A30" s="846"/>
      <c r="B30"/>
      <c r="C30"/>
      <c r="D30" s="879"/>
      <c r="E30" s="662"/>
      <c r="F30"/>
      <c r="G30"/>
      <c r="H30" s="586"/>
      <c r="L30"/>
      <c r="M30"/>
    </row>
    <row r="31" spans="1:13" s="588" customFormat="1">
      <c r="A31" s="846"/>
      <c r="B31"/>
      <c r="C31"/>
      <c r="D31" s="879"/>
      <c r="E31" s="662"/>
      <c r="F31"/>
      <c r="G31"/>
      <c r="H31" s="586"/>
      <c r="L31"/>
      <c r="M31"/>
    </row>
    <row r="32" spans="1:13" s="588" customFormat="1" ht="15.75" thickBot="1">
      <c r="A32" s="846"/>
      <c r="B32"/>
      <c r="C32"/>
      <c r="D32" s="717"/>
      <c r="E32" s="664"/>
      <c r="F32"/>
      <c r="G32"/>
      <c r="H32" s="586"/>
      <c r="L32"/>
      <c r="M32"/>
    </row>
    <row r="34" spans="4:4">
      <c r="D34" t="s">
        <v>3328</v>
      </c>
    </row>
    <row r="35" spans="4:4">
      <c r="D35" t="s">
        <v>1682</v>
      </c>
    </row>
    <row r="36" spans="4:4">
      <c r="D36" t="s">
        <v>1690</v>
      </c>
    </row>
    <row r="37" spans="4:4">
      <c r="D37" t="s">
        <v>1679</v>
      </c>
    </row>
  </sheetData>
  <mergeCells count="2">
    <mergeCell ref="D10:F10"/>
    <mergeCell ref="D11:F11"/>
  </mergeCells>
  <pageMargins left="0.45" right="0.45" top="0.75" bottom="0.75" header="0.3" footer="0.3"/>
  <pageSetup scale="64" fitToHeight="2" orientation="landscape" verticalDpi="1200" r:id="rId1"/>
  <headerFooter>
    <oddFooter>&amp;RPage &amp;P</oddFooter>
  </headerFooter>
  <rowBreaks count="1" manualBreakCount="1">
    <brk id="6" min="1" max="18" man="1"/>
  </rowBreak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2">
    <tabColor rgb="FFFFFF00"/>
  </sheetPr>
  <dimension ref="A1:R427"/>
  <sheetViews>
    <sheetView showGridLines="0" topLeftCell="J1" zoomScaleNormal="100" zoomScaleSheetLayoutView="85" workbookViewId="0">
      <selection activeCell="O12" sqref="O12"/>
    </sheetView>
  </sheetViews>
  <sheetFormatPr defaultColWidth="9.140625" defaultRowHeight="15" outlineLevelCol="1"/>
  <cols>
    <col min="1" max="1" width="9.140625" style="598"/>
    <col min="2" max="2" width="19.42578125" hidden="1" customWidth="1" outlineLevel="1"/>
    <col min="3" max="3" width="26.7109375" customWidth="1" collapsed="1"/>
    <col min="4" max="4" width="12.5703125" customWidth="1"/>
    <col min="5" max="5" width="16.140625" customWidth="1"/>
    <col min="6" max="6" width="20.5703125" customWidth="1"/>
    <col min="7" max="10" width="21" customWidth="1"/>
    <col min="11" max="11" width="15.28515625" customWidth="1"/>
    <col min="12" max="12" width="21.5703125" style="586" customWidth="1"/>
    <col min="13" max="13" width="37.42578125" style="590" customWidth="1"/>
    <col min="14" max="14" width="9.5703125" style="588" customWidth="1" outlineLevel="1"/>
    <col min="15" max="15" width="19.28515625" style="588" customWidth="1" outlineLevel="1"/>
    <col min="16" max="16" width="9.7109375" style="946" customWidth="1" outlineLevel="1"/>
    <col min="17" max="18" width="9.28515625" style="946" customWidth="1" outlineLevel="1"/>
    <col min="19" max="19" width="15" customWidth="1"/>
    <col min="262" max="262" width="14.5703125" customWidth="1"/>
    <col min="263" max="263" width="12.5703125" customWidth="1"/>
    <col min="264" max="264" width="16.140625" customWidth="1"/>
    <col min="265" max="265" width="20.5703125" customWidth="1"/>
    <col min="266" max="266" width="21" customWidth="1"/>
    <col min="267" max="273" width="19.28515625" customWidth="1"/>
    <col min="518" max="518" width="14.5703125" customWidth="1"/>
    <col min="519" max="519" width="12.5703125" customWidth="1"/>
    <col min="520" max="520" width="16.140625" customWidth="1"/>
    <col min="521" max="521" width="20.5703125" customWidth="1"/>
    <col min="522" max="522" width="21" customWidth="1"/>
    <col min="523" max="529" width="19.28515625" customWidth="1"/>
    <col min="774" max="774" width="14.5703125" customWidth="1"/>
    <col min="775" max="775" width="12.5703125" customWidth="1"/>
    <col min="776" max="776" width="16.140625" customWidth="1"/>
    <col min="777" max="777" width="20.5703125" customWidth="1"/>
    <col min="778" max="778" width="21" customWidth="1"/>
    <col min="779" max="785" width="19.28515625" customWidth="1"/>
    <col min="1030" max="1030" width="14.5703125" customWidth="1"/>
    <col min="1031" max="1031" width="12.5703125" customWidth="1"/>
    <col min="1032" max="1032" width="16.140625" customWidth="1"/>
    <col min="1033" max="1033" width="20.5703125" customWidth="1"/>
    <col min="1034" max="1034" width="21" customWidth="1"/>
    <col min="1035" max="1041" width="19.28515625" customWidth="1"/>
    <col min="1286" max="1286" width="14.5703125" customWidth="1"/>
    <col min="1287" max="1287" width="12.5703125" customWidth="1"/>
    <col min="1288" max="1288" width="16.140625" customWidth="1"/>
    <col min="1289" max="1289" width="20.5703125" customWidth="1"/>
    <col min="1290" max="1290" width="21" customWidth="1"/>
    <col min="1291" max="1297" width="19.28515625" customWidth="1"/>
    <col min="1542" max="1542" width="14.5703125" customWidth="1"/>
    <col min="1543" max="1543" width="12.5703125" customWidth="1"/>
    <col min="1544" max="1544" width="16.140625" customWidth="1"/>
    <col min="1545" max="1545" width="20.5703125" customWidth="1"/>
    <col min="1546" max="1546" width="21" customWidth="1"/>
    <col min="1547" max="1553" width="19.28515625" customWidth="1"/>
    <col min="1798" max="1798" width="14.5703125" customWidth="1"/>
    <col min="1799" max="1799" width="12.5703125" customWidth="1"/>
    <col min="1800" max="1800" width="16.140625" customWidth="1"/>
    <col min="1801" max="1801" width="20.5703125" customWidth="1"/>
    <col min="1802" max="1802" width="21" customWidth="1"/>
    <col min="1803" max="1809" width="19.28515625" customWidth="1"/>
    <col min="2054" max="2054" width="14.5703125" customWidth="1"/>
    <col min="2055" max="2055" width="12.5703125" customWidth="1"/>
    <col min="2056" max="2056" width="16.140625" customWidth="1"/>
    <col min="2057" max="2057" width="20.5703125" customWidth="1"/>
    <col min="2058" max="2058" width="21" customWidth="1"/>
    <col min="2059" max="2065" width="19.28515625" customWidth="1"/>
    <col min="2310" max="2310" width="14.5703125" customWidth="1"/>
    <col min="2311" max="2311" width="12.5703125" customWidth="1"/>
    <col min="2312" max="2312" width="16.140625" customWidth="1"/>
    <col min="2313" max="2313" width="20.5703125" customWidth="1"/>
    <col min="2314" max="2314" width="21" customWidth="1"/>
    <col min="2315" max="2321" width="19.28515625" customWidth="1"/>
    <col min="2566" max="2566" width="14.5703125" customWidth="1"/>
    <col min="2567" max="2567" width="12.5703125" customWidth="1"/>
    <col min="2568" max="2568" width="16.140625" customWidth="1"/>
    <col min="2569" max="2569" width="20.5703125" customWidth="1"/>
    <col min="2570" max="2570" width="21" customWidth="1"/>
    <col min="2571" max="2577" width="19.28515625" customWidth="1"/>
    <col min="2822" max="2822" width="14.5703125" customWidth="1"/>
    <col min="2823" max="2823" width="12.5703125" customWidth="1"/>
    <col min="2824" max="2824" width="16.140625" customWidth="1"/>
    <col min="2825" max="2825" width="20.5703125" customWidth="1"/>
    <col min="2826" max="2826" width="21" customWidth="1"/>
    <col min="2827" max="2833" width="19.28515625" customWidth="1"/>
    <col min="3078" max="3078" width="14.5703125" customWidth="1"/>
    <col min="3079" max="3079" width="12.5703125" customWidth="1"/>
    <col min="3080" max="3080" width="16.140625" customWidth="1"/>
    <col min="3081" max="3081" width="20.5703125" customWidth="1"/>
    <col min="3082" max="3082" width="21" customWidth="1"/>
    <col min="3083" max="3089" width="19.28515625" customWidth="1"/>
    <col min="3334" max="3334" width="14.5703125" customWidth="1"/>
    <col min="3335" max="3335" width="12.5703125" customWidth="1"/>
    <col min="3336" max="3336" width="16.140625" customWidth="1"/>
    <col min="3337" max="3337" width="20.5703125" customWidth="1"/>
    <col min="3338" max="3338" width="21" customWidth="1"/>
    <col min="3339" max="3345" width="19.28515625" customWidth="1"/>
    <col min="3590" max="3590" width="14.5703125" customWidth="1"/>
    <col min="3591" max="3591" width="12.5703125" customWidth="1"/>
    <col min="3592" max="3592" width="16.140625" customWidth="1"/>
    <col min="3593" max="3593" width="20.5703125" customWidth="1"/>
    <col min="3594" max="3594" width="21" customWidth="1"/>
    <col min="3595" max="3601" width="19.28515625" customWidth="1"/>
    <col min="3846" max="3846" width="14.5703125" customWidth="1"/>
    <col min="3847" max="3847" width="12.5703125" customWidth="1"/>
    <col min="3848" max="3848" width="16.140625" customWidth="1"/>
    <col min="3849" max="3849" width="20.5703125" customWidth="1"/>
    <col min="3850" max="3850" width="21" customWidth="1"/>
    <col min="3851" max="3857" width="19.28515625" customWidth="1"/>
    <col min="4102" max="4102" width="14.5703125" customWidth="1"/>
    <col min="4103" max="4103" width="12.5703125" customWidth="1"/>
    <col min="4104" max="4104" width="16.140625" customWidth="1"/>
    <col min="4105" max="4105" width="20.5703125" customWidth="1"/>
    <col min="4106" max="4106" width="21" customWidth="1"/>
    <col min="4107" max="4113" width="19.28515625" customWidth="1"/>
    <col min="4358" max="4358" width="14.5703125" customWidth="1"/>
    <col min="4359" max="4359" width="12.5703125" customWidth="1"/>
    <col min="4360" max="4360" width="16.140625" customWidth="1"/>
    <col min="4361" max="4361" width="20.5703125" customWidth="1"/>
    <col min="4362" max="4362" width="21" customWidth="1"/>
    <col min="4363" max="4369" width="19.28515625" customWidth="1"/>
    <col min="4614" max="4614" width="14.5703125" customWidth="1"/>
    <col min="4615" max="4615" width="12.5703125" customWidth="1"/>
    <col min="4616" max="4616" width="16.140625" customWidth="1"/>
    <col min="4617" max="4617" width="20.5703125" customWidth="1"/>
    <col min="4618" max="4618" width="21" customWidth="1"/>
    <col min="4619" max="4625" width="19.28515625" customWidth="1"/>
    <col min="4870" max="4870" width="14.5703125" customWidth="1"/>
    <col min="4871" max="4871" width="12.5703125" customWidth="1"/>
    <col min="4872" max="4872" width="16.140625" customWidth="1"/>
    <col min="4873" max="4873" width="20.5703125" customWidth="1"/>
    <col min="4874" max="4874" width="21" customWidth="1"/>
    <col min="4875" max="4881" width="19.28515625" customWidth="1"/>
    <col min="5126" max="5126" width="14.5703125" customWidth="1"/>
    <col min="5127" max="5127" width="12.5703125" customWidth="1"/>
    <col min="5128" max="5128" width="16.140625" customWidth="1"/>
    <col min="5129" max="5129" width="20.5703125" customWidth="1"/>
    <col min="5130" max="5130" width="21" customWidth="1"/>
    <col min="5131" max="5137" width="19.28515625" customWidth="1"/>
    <col min="5382" max="5382" width="14.5703125" customWidth="1"/>
    <col min="5383" max="5383" width="12.5703125" customWidth="1"/>
    <col min="5384" max="5384" width="16.140625" customWidth="1"/>
    <col min="5385" max="5385" width="20.5703125" customWidth="1"/>
    <col min="5386" max="5386" width="21" customWidth="1"/>
    <col min="5387" max="5393" width="19.28515625" customWidth="1"/>
    <col min="5638" max="5638" width="14.5703125" customWidth="1"/>
    <col min="5639" max="5639" width="12.5703125" customWidth="1"/>
    <col min="5640" max="5640" width="16.140625" customWidth="1"/>
    <col min="5641" max="5641" width="20.5703125" customWidth="1"/>
    <col min="5642" max="5642" width="21" customWidth="1"/>
    <col min="5643" max="5649" width="19.28515625" customWidth="1"/>
    <col min="5894" max="5894" width="14.5703125" customWidth="1"/>
    <col min="5895" max="5895" width="12.5703125" customWidth="1"/>
    <col min="5896" max="5896" width="16.140625" customWidth="1"/>
    <col min="5897" max="5897" width="20.5703125" customWidth="1"/>
    <col min="5898" max="5898" width="21" customWidth="1"/>
    <col min="5899" max="5905" width="19.28515625" customWidth="1"/>
    <col min="6150" max="6150" width="14.5703125" customWidth="1"/>
    <col min="6151" max="6151" width="12.5703125" customWidth="1"/>
    <col min="6152" max="6152" width="16.140625" customWidth="1"/>
    <col min="6153" max="6153" width="20.5703125" customWidth="1"/>
    <col min="6154" max="6154" width="21" customWidth="1"/>
    <col min="6155" max="6161" width="19.28515625" customWidth="1"/>
    <col min="6406" max="6406" width="14.5703125" customWidth="1"/>
    <col min="6407" max="6407" width="12.5703125" customWidth="1"/>
    <col min="6408" max="6408" width="16.140625" customWidth="1"/>
    <col min="6409" max="6409" width="20.5703125" customWidth="1"/>
    <col min="6410" max="6410" width="21" customWidth="1"/>
    <col min="6411" max="6417" width="19.28515625" customWidth="1"/>
    <col min="6662" max="6662" width="14.5703125" customWidth="1"/>
    <col min="6663" max="6663" width="12.5703125" customWidth="1"/>
    <col min="6664" max="6664" width="16.140625" customWidth="1"/>
    <col min="6665" max="6665" width="20.5703125" customWidth="1"/>
    <col min="6666" max="6666" width="21" customWidth="1"/>
    <col min="6667" max="6673" width="19.28515625" customWidth="1"/>
    <col min="6918" max="6918" width="14.5703125" customWidth="1"/>
    <col min="6919" max="6919" width="12.5703125" customWidth="1"/>
    <col min="6920" max="6920" width="16.140625" customWidth="1"/>
    <col min="6921" max="6921" width="20.5703125" customWidth="1"/>
    <col min="6922" max="6922" width="21" customWidth="1"/>
    <col min="6923" max="6929" width="19.28515625" customWidth="1"/>
    <col min="7174" max="7174" width="14.5703125" customWidth="1"/>
    <col min="7175" max="7175" width="12.5703125" customWidth="1"/>
    <col min="7176" max="7176" width="16.140625" customWidth="1"/>
    <col min="7177" max="7177" width="20.5703125" customWidth="1"/>
    <col min="7178" max="7178" width="21" customWidth="1"/>
    <col min="7179" max="7185" width="19.28515625" customWidth="1"/>
    <col min="7430" max="7430" width="14.5703125" customWidth="1"/>
    <col min="7431" max="7431" width="12.5703125" customWidth="1"/>
    <col min="7432" max="7432" width="16.140625" customWidth="1"/>
    <col min="7433" max="7433" width="20.5703125" customWidth="1"/>
    <col min="7434" max="7434" width="21" customWidth="1"/>
    <col min="7435" max="7441" width="19.28515625" customWidth="1"/>
    <col min="7686" max="7686" width="14.5703125" customWidth="1"/>
    <col min="7687" max="7687" width="12.5703125" customWidth="1"/>
    <col min="7688" max="7688" width="16.140625" customWidth="1"/>
    <col min="7689" max="7689" width="20.5703125" customWidth="1"/>
    <col min="7690" max="7690" width="21" customWidth="1"/>
    <col min="7691" max="7697" width="19.28515625" customWidth="1"/>
    <col min="7942" max="7942" width="14.5703125" customWidth="1"/>
    <col min="7943" max="7943" width="12.5703125" customWidth="1"/>
    <col min="7944" max="7944" width="16.140625" customWidth="1"/>
    <col min="7945" max="7945" width="20.5703125" customWidth="1"/>
    <col min="7946" max="7946" width="21" customWidth="1"/>
    <col min="7947" max="7953" width="19.28515625" customWidth="1"/>
    <col min="8198" max="8198" width="14.5703125" customWidth="1"/>
    <col min="8199" max="8199" width="12.5703125" customWidth="1"/>
    <col min="8200" max="8200" width="16.140625" customWidth="1"/>
    <col min="8201" max="8201" width="20.5703125" customWidth="1"/>
    <col min="8202" max="8202" width="21" customWidth="1"/>
    <col min="8203" max="8209" width="19.28515625" customWidth="1"/>
    <col min="8454" max="8454" width="14.5703125" customWidth="1"/>
    <col min="8455" max="8455" width="12.5703125" customWidth="1"/>
    <col min="8456" max="8456" width="16.140625" customWidth="1"/>
    <col min="8457" max="8457" width="20.5703125" customWidth="1"/>
    <col min="8458" max="8458" width="21" customWidth="1"/>
    <col min="8459" max="8465" width="19.28515625" customWidth="1"/>
    <col min="8710" max="8710" width="14.5703125" customWidth="1"/>
    <col min="8711" max="8711" width="12.5703125" customWidth="1"/>
    <col min="8712" max="8712" width="16.140625" customWidth="1"/>
    <col min="8713" max="8713" width="20.5703125" customWidth="1"/>
    <col min="8714" max="8714" width="21" customWidth="1"/>
    <col min="8715" max="8721" width="19.28515625" customWidth="1"/>
    <col min="8966" max="8966" width="14.5703125" customWidth="1"/>
    <col min="8967" max="8967" width="12.5703125" customWidth="1"/>
    <col min="8968" max="8968" width="16.140625" customWidth="1"/>
    <col min="8969" max="8969" width="20.5703125" customWidth="1"/>
    <col min="8970" max="8970" width="21" customWidth="1"/>
    <col min="8971" max="8977" width="19.28515625" customWidth="1"/>
    <col min="9222" max="9222" width="14.5703125" customWidth="1"/>
    <col min="9223" max="9223" width="12.5703125" customWidth="1"/>
    <col min="9224" max="9224" width="16.140625" customWidth="1"/>
    <col min="9225" max="9225" width="20.5703125" customWidth="1"/>
    <col min="9226" max="9226" width="21" customWidth="1"/>
    <col min="9227" max="9233" width="19.28515625" customWidth="1"/>
    <col min="9478" max="9478" width="14.5703125" customWidth="1"/>
    <col min="9479" max="9479" width="12.5703125" customWidth="1"/>
    <col min="9480" max="9480" width="16.140625" customWidth="1"/>
    <col min="9481" max="9481" width="20.5703125" customWidth="1"/>
    <col min="9482" max="9482" width="21" customWidth="1"/>
    <col min="9483" max="9489" width="19.28515625" customWidth="1"/>
    <col min="9734" max="9734" width="14.5703125" customWidth="1"/>
    <col min="9735" max="9735" width="12.5703125" customWidth="1"/>
    <col min="9736" max="9736" width="16.140625" customWidth="1"/>
    <col min="9737" max="9737" width="20.5703125" customWidth="1"/>
    <col min="9738" max="9738" width="21" customWidth="1"/>
    <col min="9739" max="9745" width="19.28515625" customWidth="1"/>
    <col min="9990" max="9990" width="14.5703125" customWidth="1"/>
    <col min="9991" max="9991" width="12.5703125" customWidth="1"/>
    <col min="9992" max="9992" width="16.140625" customWidth="1"/>
    <col min="9993" max="9993" width="20.5703125" customWidth="1"/>
    <col min="9994" max="9994" width="21" customWidth="1"/>
    <col min="9995" max="10001" width="19.28515625" customWidth="1"/>
    <col min="10246" max="10246" width="14.5703125" customWidth="1"/>
    <col min="10247" max="10247" width="12.5703125" customWidth="1"/>
    <col min="10248" max="10248" width="16.140625" customWidth="1"/>
    <col min="10249" max="10249" width="20.5703125" customWidth="1"/>
    <col min="10250" max="10250" width="21" customWidth="1"/>
    <col min="10251" max="10257" width="19.28515625" customWidth="1"/>
    <col min="10502" max="10502" width="14.5703125" customWidth="1"/>
    <col min="10503" max="10503" width="12.5703125" customWidth="1"/>
    <col min="10504" max="10504" width="16.140625" customWidth="1"/>
    <col min="10505" max="10505" width="20.5703125" customWidth="1"/>
    <col min="10506" max="10506" width="21" customWidth="1"/>
    <col min="10507" max="10513" width="19.28515625" customWidth="1"/>
    <col min="10758" max="10758" width="14.5703125" customWidth="1"/>
    <col min="10759" max="10759" width="12.5703125" customWidth="1"/>
    <col min="10760" max="10760" width="16.140625" customWidth="1"/>
    <col min="10761" max="10761" width="20.5703125" customWidth="1"/>
    <col min="10762" max="10762" width="21" customWidth="1"/>
    <col min="10763" max="10769" width="19.28515625" customWidth="1"/>
    <col min="11014" max="11014" width="14.5703125" customWidth="1"/>
    <col min="11015" max="11015" width="12.5703125" customWidth="1"/>
    <col min="11016" max="11016" width="16.140625" customWidth="1"/>
    <col min="11017" max="11017" width="20.5703125" customWidth="1"/>
    <col min="11018" max="11018" width="21" customWidth="1"/>
    <col min="11019" max="11025" width="19.28515625" customWidth="1"/>
    <col min="11270" max="11270" width="14.5703125" customWidth="1"/>
    <col min="11271" max="11271" width="12.5703125" customWidth="1"/>
    <col min="11272" max="11272" width="16.140625" customWidth="1"/>
    <col min="11273" max="11273" width="20.5703125" customWidth="1"/>
    <col min="11274" max="11274" width="21" customWidth="1"/>
    <col min="11275" max="11281" width="19.28515625" customWidth="1"/>
    <col min="11526" max="11526" width="14.5703125" customWidth="1"/>
    <col min="11527" max="11527" width="12.5703125" customWidth="1"/>
    <col min="11528" max="11528" width="16.140625" customWidth="1"/>
    <col min="11529" max="11529" width="20.5703125" customWidth="1"/>
    <col min="11530" max="11530" width="21" customWidth="1"/>
    <col min="11531" max="11537" width="19.28515625" customWidth="1"/>
    <col min="11782" max="11782" width="14.5703125" customWidth="1"/>
    <col min="11783" max="11783" width="12.5703125" customWidth="1"/>
    <col min="11784" max="11784" width="16.140625" customWidth="1"/>
    <col min="11785" max="11785" width="20.5703125" customWidth="1"/>
    <col min="11786" max="11786" width="21" customWidth="1"/>
    <col min="11787" max="11793" width="19.28515625" customWidth="1"/>
    <col min="12038" max="12038" width="14.5703125" customWidth="1"/>
    <col min="12039" max="12039" width="12.5703125" customWidth="1"/>
    <col min="12040" max="12040" width="16.140625" customWidth="1"/>
    <col min="12041" max="12041" width="20.5703125" customWidth="1"/>
    <col min="12042" max="12042" width="21" customWidth="1"/>
    <col min="12043" max="12049" width="19.28515625" customWidth="1"/>
    <col min="12294" max="12294" width="14.5703125" customWidth="1"/>
    <col min="12295" max="12295" width="12.5703125" customWidth="1"/>
    <col min="12296" max="12296" width="16.140625" customWidth="1"/>
    <col min="12297" max="12297" width="20.5703125" customWidth="1"/>
    <col min="12298" max="12298" width="21" customWidth="1"/>
    <col min="12299" max="12305" width="19.28515625" customWidth="1"/>
    <col min="12550" max="12550" width="14.5703125" customWidth="1"/>
    <col min="12551" max="12551" width="12.5703125" customWidth="1"/>
    <col min="12552" max="12552" width="16.140625" customWidth="1"/>
    <col min="12553" max="12553" width="20.5703125" customWidth="1"/>
    <col min="12554" max="12554" width="21" customWidth="1"/>
    <col min="12555" max="12561" width="19.28515625" customWidth="1"/>
    <col min="12806" max="12806" width="14.5703125" customWidth="1"/>
    <col min="12807" max="12807" width="12.5703125" customWidth="1"/>
    <col min="12808" max="12808" width="16.140625" customWidth="1"/>
    <col min="12809" max="12809" width="20.5703125" customWidth="1"/>
    <col min="12810" max="12810" width="21" customWidth="1"/>
    <col min="12811" max="12817" width="19.28515625" customWidth="1"/>
    <col min="13062" max="13062" width="14.5703125" customWidth="1"/>
    <col min="13063" max="13063" width="12.5703125" customWidth="1"/>
    <col min="13064" max="13064" width="16.140625" customWidth="1"/>
    <col min="13065" max="13065" width="20.5703125" customWidth="1"/>
    <col min="13066" max="13066" width="21" customWidth="1"/>
    <col min="13067" max="13073" width="19.28515625" customWidth="1"/>
    <col min="13318" max="13318" width="14.5703125" customWidth="1"/>
    <col min="13319" max="13319" width="12.5703125" customWidth="1"/>
    <col min="13320" max="13320" width="16.140625" customWidth="1"/>
    <col min="13321" max="13321" width="20.5703125" customWidth="1"/>
    <col min="13322" max="13322" width="21" customWidth="1"/>
    <col min="13323" max="13329" width="19.28515625" customWidth="1"/>
    <col min="13574" max="13574" width="14.5703125" customWidth="1"/>
    <col min="13575" max="13575" width="12.5703125" customWidth="1"/>
    <col min="13576" max="13576" width="16.140625" customWidth="1"/>
    <col min="13577" max="13577" width="20.5703125" customWidth="1"/>
    <col min="13578" max="13578" width="21" customWidth="1"/>
    <col min="13579" max="13585" width="19.28515625" customWidth="1"/>
    <col min="13830" max="13830" width="14.5703125" customWidth="1"/>
    <col min="13831" max="13831" width="12.5703125" customWidth="1"/>
    <col min="13832" max="13832" width="16.140625" customWidth="1"/>
    <col min="13833" max="13833" width="20.5703125" customWidth="1"/>
    <col min="13834" max="13834" width="21" customWidth="1"/>
    <col min="13835" max="13841" width="19.28515625" customWidth="1"/>
    <col min="14086" max="14086" width="14.5703125" customWidth="1"/>
    <col min="14087" max="14087" width="12.5703125" customWidth="1"/>
    <col min="14088" max="14088" width="16.140625" customWidth="1"/>
    <col min="14089" max="14089" width="20.5703125" customWidth="1"/>
    <col min="14090" max="14090" width="21" customWidth="1"/>
    <col min="14091" max="14097" width="19.28515625" customWidth="1"/>
    <col min="14342" max="14342" width="14.5703125" customWidth="1"/>
    <col min="14343" max="14343" width="12.5703125" customWidth="1"/>
    <col min="14344" max="14344" width="16.140625" customWidth="1"/>
    <col min="14345" max="14345" width="20.5703125" customWidth="1"/>
    <col min="14346" max="14346" width="21" customWidth="1"/>
    <col min="14347" max="14353" width="19.28515625" customWidth="1"/>
    <col min="14598" max="14598" width="14.5703125" customWidth="1"/>
    <col min="14599" max="14599" width="12.5703125" customWidth="1"/>
    <col min="14600" max="14600" width="16.140625" customWidth="1"/>
    <col min="14601" max="14601" width="20.5703125" customWidth="1"/>
    <col min="14602" max="14602" width="21" customWidth="1"/>
    <col min="14603" max="14609" width="19.28515625" customWidth="1"/>
    <col min="14854" max="14854" width="14.5703125" customWidth="1"/>
    <col min="14855" max="14855" width="12.5703125" customWidth="1"/>
    <col min="14856" max="14856" width="16.140625" customWidth="1"/>
    <col min="14857" max="14857" width="20.5703125" customWidth="1"/>
    <col min="14858" max="14858" width="21" customWidth="1"/>
    <col min="14859" max="14865" width="19.28515625" customWidth="1"/>
    <col min="15110" max="15110" width="14.5703125" customWidth="1"/>
    <col min="15111" max="15111" width="12.5703125" customWidth="1"/>
    <col min="15112" max="15112" width="16.140625" customWidth="1"/>
    <col min="15113" max="15113" width="20.5703125" customWidth="1"/>
    <col min="15114" max="15114" width="21" customWidth="1"/>
    <col min="15115" max="15121" width="19.28515625" customWidth="1"/>
    <col min="15366" max="15366" width="14.5703125" customWidth="1"/>
    <col min="15367" max="15367" width="12.5703125" customWidth="1"/>
    <col min="15368" max="15368" width="16.140625" customWidth="1"/>
    <col min="15369" max="15369" width="20.5703125" customWidth="1"/>
    <col min="15370" max="15370" width="21" customWidth="1"/>
    <col min="15371" max="15377" width="19.28515625" customWidth="1"/>
    <col min="15622" max="15622" width="14.5703125" customWidth="1"/>
    <col min="15623" max="15623" width="12.5703125" customWidth="1"/>
    <col min="15624" max="15624" width="16.140625" customWidth="1"/>
    <col min="15625" max="15625" width="20.5703125" customWidth="1"/>
    <col min="15626" max="15626" width="21" customWidth="1"/>
    <col min="15627" max="15633" width="19.28515625" customWidth="1"/>
    <col min="15878" max="15878" width="14.5703125" customWidth="1"/>
    <col min="15879" max="15879" width="12.5703125" customWidth="1"/>
    <col min="15880" max="15880" width="16.140625" customWidth="1"/>
    <col min="15881" max="15881" width="20.5703125" customWidth="1"/>
    <col min="15882" max="15882" width="21" customWidth="1"/>
    <col min="15883" max="15889" width="19.28515625" customWidth="1"/>
    <col min="16134" max="16134" width="14.5703125" customWidth="1"/>
    <col min="16135" max="16135" width="12.5703125" customWidth="1"/>
    <col min="16136" max="16136" width="16.140625" customWidth="1"/>
    <col min="16137" max="16137" width="20.5703125" customWidth="1"/>
    <col min="16138" max="16138" width="21" customWidth="1"/>
    <col min="16139" max="16145" width="19.28515625" customWidth="1"/>
  </cols>
  <sheetData>
    <row r="1" spans="1:18">
      <c r="C1" s="580" t="s">
        <v>3329</v>
      </c>
      <c r="E1" s="395" t="s">
        <v>3078</v>
      </c>
    </row>
    <row r="2" spans="1:18" ht="15.75" thickBot="1">
      <c r="C2" s="395" t="s">
        <v>246</v>
      </c>
      <c r="E2" s="599" t="s">
        <v>3079</v>
      </c>
      <c r="F2" s="600" t="e">
        <f>INDEX($F$13:$K$18,$M$18,$M$17)</f>
        <v>#N/A</v>
      </c>
    </row>
    <row r="3" spans="1:18" ht="15.75" thickBot="1">
      <c r="C3" s="395"/>
      <c r="E3" s="599"/>
      <c r="F3" s="601"/>
      <c r="M3" s="602" t="s">
        <v>3092</v>
      </c>
      <c r="N3" s="603"/>
      <c r="O3" s="603"/>
      <c r="P3" s="947"/>
      <c r="Q3" s="948"/>
      <c r="R3" s="948"/>
    </row>
    <row r="4" spans="1:18">
      <c r="C4" s="395"/>
      <c r="E4" s="599" t="s">
        <v>3080</v>
      </c>
      <c r="F4" s="605" t="e">
        <f>INDEX($F$19:$K$19,1,M17)</f>
        <v>#N/A</v>
      </c>
    </row>
    <row r="5" spans="1:18">
      <c r="C5" s="395"/>
      <c r="E5" s="599" t="s">
        <v>3081</v>
      </c>
      <c r="F5" s="949">
        <f>INDEX($F$20:$K$20,1,M18)</f>
        <v>100000</v>
      </c>
    </row>
    <row r="6" spans="1:18">
      <c r="C6" s="395"/>
      <c r="E6" s="599" t="s">
        <v>1321</v>
      </c>
      <c r="F6" s="607">
        <v>1</v>
      </c>
    </row>
    <row r="7" spans="1:18">
      <c r="B7" s="395"/>
      <c r="D7" s="608"/>
      <c r="P7" s="946" t="s">
        <v>3330</v>
      </c>
      <c r="Q7" s="946" t="s">
        <v>3283</v>
      </c>
      <c r="R7" s="946" t="s">
        <v>3331</v>
      </c>
    </row>
    <row r="8" spans="1:18">
      <c r="B8" s="395"/>
      <c r="D8" s="608"/>
      <c r="L8" s="586" t="s">
        <v>3082</v>
      </c>
      <c r="M8" s="587" t="e">
        <f>IF('EQ rate no1'!H21=Algorithm_QC_Eco!M16,PostalCode,"Postal code is outside of QC")</f>
        <v>#N/A</v>
      </c>
      <c r="P8" s="950" t="s">
        <v>1804</v>
      </c>
      <c r="Q8" s="950">
        <v>1</v>
      </c>
      <c r="R8" s="950" t="s">
        <v>1805</v>
      </c>
    </row>
    <row r="9" spans="1:18">
      <c r="A9" s="610"/>
      <c r="B9" s="611"/>
      <c r="C9" s="612"/>
      <c r="D9" s="612"/>
      <c r="E9" s="612"/>
      <c r="F9" s="613">
        <v>1</v>
      </c>
      <c r="G9" s="613">
        <v>2</v>
      </c>
      <c r="H9" s="613">
        <v>3</v>
      </c>
      <c r="I9" s="613">
        <v>4</v>
      </c>
      <c r="J9" s="613">
        <v>5</v>
      </c>
      <c r="K9" s="613">
        <v>6</v>
      </c>
      <c r="P9" s="950" t="s">
        <v>1806</v>
      </c>
      <c r="Q9" s="950">
        <v>1</v>
      </c>
      <c r="R9" s="950" t="s">
        <v>1805</v>
      </c>
    </row>
    <row r="10" spans="1:18">
      <c r="C10" s="951"/>
      <c r="D10" s="165"/>
      <c r="E10" s="92"/>
      <c r="F10" s="3630" t="s">
        <v>3097</v>
      </c>
      <c r="G10" s="3631"/>
      <c r="H10" s="3631"/>
      <c r="I10" s="3631"/>
      <c r="J10" s="3631"/>
      <c r="K10" s="3632"/>
      <c r="P10" s="950" t="s">
        <v>1299</v>
      </c>
      <c r="Q10" s="950">
        <v>1</v>
      </c>
      <c r="R10" s="950" t="s">
        <v>1805</v>
      </c>
    </row>
    <row r="11" spans="1:18">
      <c r="C11" s="951"/>
      <c r="D11" s="165"/>
      <c r="E11" s="92"/>
      <c r="F11" s="3630" t="s">
        <v>3332</v>
      </c>
      <c r="G11" s="3631"/>
      <c r="H11" s="3631"/>
      <c r="I11" s="3631"/>
      <c r="J11" s="3631"/>
      <c r="K11" s="93"/>
      <c r="L11" s="586" t="s">
        <v>1300</v>
      </c>
      <c r="M11" s="591">
        <f>Yrbuilt</f>
        <v>0</v>
      </c>
      <c r="P11" s="950" t="s">
        <v>1838</v>
      </c>
      <c r="Q11" s="950">
        <v>1</v>
      </c>
      <c r="R11" s="950" t="s">
        <v>1805</v>
      </c>
    </row>
    <row r="12" spans="1:18">
      <c r="A12" s="610" t="s">
        <v>3101</v>
      </c>
      <c r="C12" s="952" t="s">
        <v>1152</v>
      </c>
      <c r="D12" s="953" t="s">
        <v>3157</v>
      </c>
      <c r="E12" s="625" t="s">
        <v>3104</v>
      </c>
      <c r="F12" s="954" t="s">
        <v>1805</v>
      </c>
      <c r="G12" s="955" t="s">
        <v>1793</v>
      </c>
      <c r="H12" s="956" t="s">
        <v>1763</v>
      </c>
      <c r="I12" s="957" t="s">
        <v>1765</v>
      </c>
      <c r="J12" s="958" t="s">
        <v>1761</v>
      </c>
      <c r="K12" s="959" t="s">
        <v>3300</v>
      </c>
      <c r="L12" s="586" t="s">
        <v>1301</v>
      </c>
      <c r="M12" s="591" t="str">
        <f>'EQ rate no1'!D8</f>
        <v>Fire Resistive</v>
      </c>
      <c r="N12" s="592"/>
      <c r="O12" s="1018">
        <f>VLOOKUP(M12,Settings!$A$135:$B$140,2,FALSE)</f>
        <v>1</v>
      </c>
      <c r="P12" s="950" t="s">
        <v>1826</v>
      </c>
      <c r="Q12" s="950">
        <v>1</v>
      </c>
      <c r="R12" s="950" t="s">
        <v>1805</v>
      </c>
    </row>
    <row r="13" spans="1:18">
      <c r="A13" s="628">
        <v>1</v>
      </c>
      <c r="C13" s="960" t="s">
        <v>1155</v>
      </c>
      <c r="D13" s="961">
        <v>1</v>
      </c>
      <c r="E13" s="962" t="s">
        <v>3333</v>
      </c>
      <c r="F13" s="913">
        <v>0.12</v>
      </c>
      <c r="G13" s="963">
        <v>7.0000000000000007E-2</v>
      </c>
      <c r="H13" s="916">
        <v>0.08</v>
      </c>
      <c r="I13" s="918">
        <v>0.05</v>
      </c>
      <c r="J13" s="964">
        <v>2.5000000000000001E-2</v>
      </c>
      <c r="K13" s="920">
        <v>0.05</v>
      </c>
      <c r="L13" s="586" t="s">
        <v>1302</v>
      </c>
      <c r="M13" s="591">
        <f>Nbofstoreys</f>
        <v>0</v>
      </c>
      <c r="P13" s="950" t="s">
        <v>1843</v>
      </c>
      <c r="Q13" s="950">
        <v>1</v>
      </c>
      <c r="R13" s="950" t="s">
        <v>1805</v>
      </c>
    </row>
    <row r="14" spans="1:18">
      <c r="A14" s="628">
        <v>2</v>
      </c>
      <c r="C14" s="965" t="s">
        <v>1157</v>
      </c>
      <c r="D14" s="961">
        <v>2</v>
      </c>
      <c r="E14" s="962" t="s">
        <v>3333</v>
      </c>
      <c r="F14" s="913">
        <v>0.15</v>
      </c>
      <c r="G14" s="963">
        <v>0.08</v>
      </c>
      <c r="H14" s="916">
        <v>0.09</v>
      </c>
      <c r="I14" s="918">
        <v>0.06</v>
      </c>
      <c r="J14" s="964">
        <v>0.03</v>
      </c>
      <c r="K14" s="920">
        <v>0.08</v>
      </c>
      <c r="L14" s="586" t="s">
        <v>3084</v>
      </c>
      <c r="M14" s="591">
        <f>Totalinsuredvalue</f>
        <v>0</v>
      </c>
      <c r="P14" s="950" t="s">
        <v>1846</v>
      </c>
      <c r="Q14" s="950">
        <v>1</v>
      </c>
      <c r="R14" s="950" t="s">
        <v>1805</v>
      </c>
    </row>
    <row r="15" spans="1:18">
      <c r="A15" s="628">
        <v>3</v>
      </c>
      <c r="C15" s="906" t="s">
        <v>1159</v>
      </c>
      <c r="D15" s="966">
        <v>3</v>
      </c>
      <c r="E15" s="962" t="s">
        <v>3333</v>
      </c>
      <c r="F15" s="913">
        <v>0.1</v>
      </c>
      <c r="G15" s="963">
        <v>0.05</v>
      </c>
      <c r="H15" s="916">
        <v>0.05</v>
      </c>
      <c r="I15" s="918">
        <v>0.03</v>
      </c>
      <c r="J15" s="964">
        <v>1.4999999999999999E-2</v>
      </c>
      <c r="K15" s="920">
        <v>0.03</v>
      </c>
      <c r="P15" s="950" t="s">
        <v>1881</v>
      </c>
      <c r="Q15" s="950">
        <v>1</v>
      </c>
      <c r="R15" s="950" t="s">
        <v>1805</v>
      </c>
    </row>
    <row r="16" spans="1:18">
      <c r="A16" s="628">
        <v>4</v>
      </c>
      <c r="C16" s="965" t="s">
        <v>1161</v>
      </c>
      <c r="D16" s="961">
        <v>4</v>
      </c>
      <c r="E16" s="962" t="s">
        <v>3333</v>
      </c>
      <c r="F16" s="913">
        <v>0.18</v>
      </c>
      <c r="G16" s="963">
        <v>0.1</v>
      </c>
      <c r="H16" s="916">
        <v>0.1</v>
      </c>
      <c r="I16" s="918">
        <v>0.08</v>
      </c>
      <c r="J16" s="964">
        <v>0.05</v>
      </c>
      <c r="K16" s="920">
        <v>0.03</v>
      </c>
      <c r="L16" s="967" t="s">
        <v>1235</v>
      </c>
      <c r="M16" s="968" t="s">
        <v>1606</v>
      </c>
      <c r="P16" s="950" t="s">
        <v>1883</v>
      </c>
      <c r="Q16" s="950">
        <v>1</v>
      </c>
      <c r="R16" s="950" t="s">
        <v>1805</v>
      </c>
    </row>
    <row r="17" spans="1:18">
      <c r="A17" s="628">
        <v>5</v>
      </c>
      <c r="C17" s="960" t="s">
        <v>1162</v>
      </c>
      <c r="D17" s="961">
        <v>5</v>
      </c>
      <c r="E17" s="962" t="s">
        <v>3333</v>
      </c>
      <c r="F17" s="913">
        <v>0.1</v>
      </c>
      <c r="G17" s="963">
        <v>0.05</v>
      </c>
      <c r="H17" s="916">
        <v>0.05</v>
      </c>
      <c r="I17" s="918">
        <v>0.03</v>
      </c>
      <c r="J17" s="964">
        <v>1.4999999999999999E-2</v>
      </c>
      <c r="K17" s="920">
        <v>0.03</v>
      </c>
      <c r="L17" s="586" t="s">
        <v>3095</v>
      </c>
      <c r="M17" s="591" t="e">
        <f>VLOOKUP($M$8,$P:$Q,2,FALSE)</f>
        <v>#N/A</v>
      </c>
      <c r="P17" s="946" t="s">
        <v>1792</v>
      </c>
      <c r="Q17" s="946">
        <v>2</v>
      </c>
      <c r="R17" s="946" t="s">
        <v>1793</v>
      </c>
    </row>
    <row r="18" spans="1:18">
      <c r="A18" s="628">
        <v>6</v>
      </c>
      <c r="C18" s="960" t="s">
        <v>1150</v>
      </c>
      <c r="D18" s="961">
        <v>6</v>
      </c>
      <c r="E18" s="962" t="s">
        <v>3333</v>
      </c>
      <c r="F18" s="913">
        <v>0.1</v>
      </c>
      <c r="G18" s="963">
        <v>0.05</v>
      </c>
      <c r="H18" s="916">
        <v>0.05</v>
      </c>
      <c r="I18" s="918">
        <v>0.03</v>
      </c>
      <c r="J18" s="964">
        <v>1.4999999999999999E-2</v>
      </c>
      <c r="K18" s="920">
        <v>0.03</v>
      </c>
      <c r="L18" s="586" t="s">
        <v>3120</v>
      </c>
      <c r="M18" s="591">
        <f>MATCH(M12,$C$13:$C$18,0)</f>
        <v>1</v>
      </c>
      <c r="N18" s="644"/>
      <c r="O18" s="644"/>
      <c r="P18" s="946" t="s">
        <v>1802</v>
      </c>
      <c r="Q18" s="946">
        <v>2</v>
      </c>
      <c r="R18" s="946" t="s">
        <v>1793</v>
      </c>
    </row>
    <row r="19" spans="1:18">
      <c r="C19" s="59" t="s">
        <v>3334</v>
      </c>
      <c r="D19" s="166"/>
      <c r="E19" s="166"/>
      <c r="F19" s="969">
        <v>0.1</v>
      </c>
      <c r="G19" s="969">
        <v>0.1</v>
      </c>
      <c r="H19" s="969">
        <v>0.1</v>
      </c>
      <c r="I19" s="969">
        <v>0.1</v>
      </c>
      <c r="J19" s="969">
        <v>0.1</v>
      </c>
      <c r="K19" s="970">
        <v>0.05</v>
      </c>
      <c r="P19" s="946" t="s">
        <v>1803</v>
      </c>
      <c r="Q19" s="946">
        <v>2</v>
      </c>
      <c r="R19" s="946" t="s">
        <v>1793</v>
      </c>
    </row>
    <row r="20" spans="1:18">
      <c r="C20" s="164" t="s">
        <v>3335</v>
      </c>
      <c r="D20" s="167"/>
      <c r="E20" s="167"/>
      <c r="F20" s="949">
        <v>100000</v>
      </c>
      <c r="G20" s="949">
        <v>100000</v>
      </c>
      <c r="H20" s="949">
        <v>100000</v>
      </c>
      <c r="I20" s="949">
        <v>100000</v>
      </c>
      <c r="J20" s="949">
        <v>100000</v>
      </c>
      <c r="K20" s="971">
        <v>100000</v>
      </c>
      <c r="L20" s="648"/>
      <c r="P20" s="946" t="s">
        <v>1807</v>
      </c>
      <c r="Q20" s="946">
        <v>2</v>
      </c>
      <c r="R20" s="946" t="s">
        <v>1793</v>
      </c>
    </row>
    <row r="21" spans="1:18">
      <c r="L21" s="648"/>
      <c r="P21" s="946" t="s">
        <v>1816</v>
      </c>
      <c r="Q21" s="946">
        <v>2</v>
      </c>
      <c r="R21" s="946" t="s">
        <v>1793</v>
      </c>
    </row>
    <row r="22" spans="1:18">
      <c r="M22" s="649"/>
      <c r="P22" s="946" t="s">
        <v>1818</v>
      </c>
      <c r="Q22" s="946">
        <v>2</v>
      </c>
      <c r="R22" s="946" t="s">
        <v>1793</v>
      </c>
    </row>
    <row r="23" spans="1:18">
      <c r="C23" s="650"/>
      <c r="L23" s="652"/>
      <c r="M23" s="653"/>
      <c r="P23" s="946" t="s">
        <v>1819</v>
      </c>
      <c r="Q23" s="946">
        <v>2</v>
      </c>
      <c r="R23" s="946" t="s">
        <v>1793</v>
      </c>
    </row>
    <row r="24" spans="1:18">
      <c r="L24" s="652"/>
      <c r="P24" s="946" t="s">
        <v>1820</v>
      </c>
      <c r="Q24" s="946">
        <v>2</v>
      </c>
      <c r="R24" s="946" t="s">
        <v>1793</v>
      </c>
    </row>
    <row r="25" spans="1:18">
      <c r="C25" s="655"/>
      <c r="P25" s="946" t="s">
        <v>1822</v>
      </c>
      <c r="Q25" s="946">
        <v>2</v>
      </c>
      <c r="R25" s="946" t="s">
        <v>1793</v>
      </c>
    </row>
    <row r="26" spans="1:18">
      <c r="L26" s="656"/>
      <c r="P26" s="946" t="s">
        <v>1823</v>
      </c>
      <c r="Q26" s="946">
        <v>2</v>
      </c>
      <c r="R26" s="946" t="s">
        <v>1793</v>
      </c>
    </row>
    <row r="27" spans="1:18">
      <c r="C27" s="650"/>
      <c r="P27" s="946" t="s">
        <v>1825</v>
      </c>
      <c r="Q27" s="946">
        <v>2</v>
      </c>
      <c r="R27" s="946" t="s">
        <v>1793</v>
      </c>
    </row>
    <row r="28" spans="1:18">
      <c r="P28" s="946" t="s">
        <v>1826</v>
      </c>
      <c r="Q28" s="946">
        <v>2</v>
      </c>
      <c r="R28" s="946" t="s">
        <v>1793</v>
      </c>
    </row>
    <row r="29" spans="1:18">
      <c r="C29" s="655"/>
      <c r="P29" s="946" t="s">
        <v>1827</v>
      </c>
      <c r="Q29" s="946">
        <v>2</v>
      </c>
      <c r="R29" s="946" t="s">
        <v>1793</v>
      </c>
    </row>
    <row r="30" spans="1:18">
      <c r="P30" s="946" t="s">
        <v>1834</v>
      </c>
      <c r="Q30" s="946">
        <v>2</v>
      </c>
      <c r="R30" s="946" t="s">
        <v>1793</v>
      </c>
    </row>
    <row r="31" spans="1:18" ht="15.75" thickBot="1">
      <c r="C31" s="658" t="s">
        <v>3138</v>
      </c>
      <c r="P31" s="946" t="s">
        <v>1835</v>
      </c>
      <c r="Q31" s="946">
        <v>2</v>
      </c>
      <c r="R31" s="946" t="s">
        <v>1793</v>
      </c>
    </row>
    <row r="32" spans="1:18" ht="15.75" thickBot="1">
      <c r="C32" s="659" t="s">
        <v>1083</v>
      </c>
      <c r="D32" s="660" t="s">
        <v>3140</v>
      </c>
      <c r="P32" s="946" t="s">
        <v>1839</v>
      </c>
      <c r="Q32" s="946">
        <v>2</v>
      </c>
      <c r="R32" s="946" t="s">
        <v>1793</v>
      </c>
    </row>
    <row r="33" spans="3:18">
      <c r="C33" s="661">
        <v>0.03</v>
      </c>
      <c r="D33" s="662"/>
      <c r="P33" s="946" t="s">
        <v>1840</v>
      </c>
      <c r="Q33" s="946">
        <v>2</v>
      </c>
      <c r="R33" s="946" t="s">
        <v>1793</v>
      </c>
    </row>
    <row r="34" spans="3:18">
      <c r="C34" s="661">
        <v>0.05</v>
      </c>
      <c r="D34" s="662"/>
      <c r="P34" s="946" t="s">
        <v>1841</v>
      </c>
      <c r="Q34" s="946">
        <v>2</v>
      </c>
      <c r="R34" s="946" t="s">
        <v>1793</v>
      </c>
    </row>
    <row r="35" spans="3:18">
      <c r="C35" s="661">
        <v>0.08</v>
      </c>
      <c r="D35" s="662"/>
      <c r="P35" s="946" t="s">
        <v>1842</v>
      </c>
      <c r="Q35" s="946">
        <v>2</v>
      </c>
      <c r="R35" s="946" t="s">
        <v>1793</v>
      </c>
    </row>
    <row r="36" spans="3:18">
      <c r="C36" s="661">
        <v>0.1</v>
      </c>
      <c r="D36" s="662"/>
      <c r="P36" s="946" t="s">
        <v>1844</v>
      </c>
      <c r="Q36" s="946">
        <v>2</v>
      </c>
      <c r="R36" s="946" t="s">
        <v>1793</v>
      </c>
    </row>
    <row r="37" spans="3:18">
      <c r="C37" s="661">
        <v>0.15</v>
      </c>
      <c r="D37" s="662"/>
      <c r="P37" s="946" t="s">
        <v>1845</v>
      </c>
      <c r="Q37" s="946">
        <v>2</v>
      </c>
      <c r="R37" s="946" t="s">
        <v>1793</v>
      </c>
    </row>
    <row r="38" spans="3:18">
      <c r="C38" s="661">
        <v>0.2</v>
      </c>
      <c r="D38" s="662"/>
      <c r="P38" s="946" t="s">
        <v>1868</v>
      </c>
      <c r="Q38" s="946">
        <v>2</v>
      </c>
      <c r="R38" s="946" t="s">
        <v>1793</v>
      </c>
    </row>
    <row r="39" spans="3:18">
      <c r="C39" s="661">
        <v>0.25</v>
      </c>
      <c r="D39" s="662"/>
      <c r="P39" s="946" t="s">
        <v>1869</v>
      </c>
      <c r="Q39" s="946">
        <v>2</v>
      </c>
      <c r="R39" s="946" t="s">
        <v>1793</v>
      </c>
    </row>
    <row r="40" spans="3:18" ht="15.75" thickBot="1">
      <c r="C40" s="663">
        <v>0.3</v>
      </c>
      <c r="D40" s="664"/>
      <c r="P40" s="946" t="s">
        <v>1882</v>
      </c>
      <c r="Q40" s="946">
        <v>2</v>
      </c>
      <c r="R40" s="946" t="s">
        <v>1793</v>
      </c>
    </row>
    <row r="41" spans="3:18">
      <c r="P41" s="946" t="s">
        <v>1986</v>
      </c>
      <c r="Q41" s="946">
        <v>2</v>
      </c>
      <c r="R41" s="946" t="s">
        <v>1793</v>
      </c>
    </row>
    <row r="42" spans="3:18">
      <c r="P42" s="946" t="s">
        <v>1987</v>
      </c>
      <c r="Q42" s="946">
        <v>2</v>
      </c>
      <c r="R42" s="946" t="s">
        <v>1793</v>
      </c>
    </row>
    <row r="43" spans="3:18">
      <c r="P43" s="950" t="s">
        <v>3336</v>
      </c>
      <c r="Q43" s="950">
        <v>3</v>
      </c>
      <c r="R43" s="950" t="s">
        <v>1763</v>
      </c>
    </row>
    <row r="44" spans="3:18">
      <c r="P44" s="950" t="s">
        <v>1762</v>
      </c>
      <c r="Q44" s="950">
        <v>3</v>
      </c>
      <c r="R44" s="950" t="s">
        <v>1763</v>
      </c>
    </row>
    <row r="45" spans="3:18">
      <c r="P45" s="950" t="s">
        <v>1768</v>
      </c>
      <c r="Q45" s="950">
        <v>3</v>
      </c>
      <c r="R45" s="950" t="s">
        <v>1763</v>
      </c>
    </row>
    <row r="46" spans="3:18">
      <c r="P46" s="950" t="s">
        <v>1769</v>
      </c>
      <c r="Q46" s="950">
        <v>3</v>
      </c>
      <c r="R46" s="950" t="s">
        <v>1763</v>
      </c>
    </row>
    <row r="47" spans="3:18">
      <c r="P47" s="950" t="s">
        <v>1770</v>
      </c>
      <c r="Q47" s="950">
        <v>3</v>
      </c>
      <c r="R47" s="950" t="s">
        <v>1763</v>
      </c>
    </row>
    <row r="48" spans="3:18">
      <c r="P48" s="950" t="s">
        <v>1778</v>
      </c>
      <c r="Q48" s="950">
        <v>3</v>
      </c>
      <c r="R48" s="950" t="s">
        <v>1763</v>
      </c>
    </row>
    <row r="49" spans="16:18">
      <c r="P49" s="946" t="s">
        <v>1779</v>
      </c>
      <c r="Q49" s="946">
        <v>4</v>
      </c>
      <c r="R49" s="946" t="s">
        <v>1765</v>
      </c>
    </row>
    <row r="50" spans="16:18">
      <c r="P50" s="946" t="s">
        <v>1780</v>
      </c>
      <c r="Q50" s="946">
        <v>4</v>
      </c>
      <c r="R50" s="946" t="s">
        <v>1765</v>
      </c>
    </row>
    <row r="51" spans="16:18">
      <c r="P51" s="946" t="s">
        <v>1782</v>
      </c>
      <c r="Q51" s="946">
        <v>4</v>
      </c>
      <c r="R51" s="946" t="s">
        <v>1765</v>
      </c>
    </row>
    <row r="52" spans="16:18">
      <c r="P52" s="946" t="s">
        <v>1783</v>
      </c>
      <c r="Q52" s="946">
        <v>4</v>
      </c>
      <c r="R52" s="946" t="s">
        <v>1765</v>
      </c>
    </row>
    <row r="53" spans="16:18">
      <c r="P53" s="946" t="s">
        <v>1784</v>
      </c>
      <c r="Q53" s="946">
        <v>4</v>
      </c>
      <c r="R53" s="946" t="s">
        <v>1765</v>
      </c>
    </row>
    <row r="54" spans="16:18">
      <c r="P54" s="946" t="s">
        <v>1786</v>
      </c>
      <c r="Q54" s="946">
        <v>4</v>
      </c>
      <c r="R54" s="946" t="s">
        <v>1765</v>
      </c>
    </row>
    <row r="55" spans="16:18">
      <c r="P55" s="946" t="s">
        <v>1787</v>
      </c>
      <c r="Q55" s="946">
        <v>4</v>
      </c>
      <c r="R55" s="946" t="s">
        <v>1765</v>
      </c>
    </row>
    <row r="56" spans="16:18">
      <c r="P56" s="946" t="s">
        <v>1788</v>
      </c>
      <c r="Q56" s="946">
        <v>4</v>
      </c>
      <c r="R56" s="946" t="s">
        <v>1765</v>
      </c>
    </row>
    <row r="57" spans="16:18">
      <c r="P57" s="946" t="s">
        <v>1789</v>
      </c>
      <c r="Q57" s="946">
        <v>4</v>
      </c>
      <c r="R57" s="946" t="s">
        <v>1765</v>
      </c>
    </row>
    <row r="58" spans="16:18">
      <c r="P58" s="946" t="s">
        <v>1790</v>
      </c>
      <c r="Q58" s="946">
        <v>4</v>
      </c>
      <c r="R58" s="946" t="s">
        <v>1765</v>
      </c>
    </row>
    <row r="59" spans="16:18">
      <c r="P59" s="946" t="s">
        <v>1791</v>
      </c>
      <c r="Q59" s="946">
        <v>4</v>
      </c>
      <c r="R59" s="946" t="s">
        <v>1765</v>
      </c>
    </row>
    <row r="60" spans="16:18">
      <c r="P60" s="946" t="s">
        <v>1794</v>
      </c>
      <c r="Q60" s="946">
        <v>4</v>
      </c>
      <c r="R60" s="946" t="s">
        <v>1765</v>
      </c>
    </row>
    <row r="61" spans="16:18">
      <c r="P61" s="946" t="s">
        <v>1795</v>
      </c>
      <c r="Q61" s="946">
        <v>4</v>
      </c>
      <c r="R61" s="946" t="s">
        <v>1765</v>
      </c>
    </row>
    <row r="62" spans="16:18">
      <c r="P62" s="946" t="s">
        <v>1775</v>
      </c>
      <c r="Q62" s="946">
        <v>4</v>
      </c>
      <c r="R62" s="946" t="s">
        <v>1765</v>
      </c>
    </row>
    <row r="63" spans="16:18">
      <c r="P63" s="946" t="s">
        <v>1797</v>
      </c>
      <c r="Q63" s="946">
        <v>4</v>
      </c>
      <c r="R63" s="946" t="s">
        <v>1765</v>
      </c>
    </row>
    <row r="64" spans="16:18">
      <c r="P64" s="946" t="s">
        <v>1799</v>
      </c>
      <c r="Q64" s="946">
        <v>4</v>
      </c>
      <c r="R64" s="946" t="s">
        <v>1765</v>
      </c>
    </row>
    <row r="65" spans="16:18">
      <c r="P65" s="946" t="s">
        <v>1800</v>
      </c>
      <c r="Q65" s="946">
        <v>4</v>
      </c>
      <c r="R65" s="946" t="s">
        <v>1765</v>
      </c>
    </row>
    <row r="66" spans="16:18">
      <c r="P66" s="946" t="s">
        <v>1801</v>
      </c>
      <c r="Q66" s="946">
        <v>4</v>
      </c>
      <c r="R66" s="946" t="s">
        <v>1765</v>
      </c>
    </row>
    <row r="67" spans="16:18">
      <c r="P67" s="946" t="s">
        <v>1808</v>
      </c>
      <c r="Q67" s="946">
        <v>4</v>
      </c>
      <c r="R67" s="946" t="s">
        <v>1765</v>
      </c>
    </row>
    <row r="68" spans="16:18">
      <c r="P68" s="946" t="s">
        <v>1809</v>
      </c>
      <c r="Q68" s="946">
        <v>4</v>
      </c>
      <c r="R68" s="946" t="s">
        <v>1765</v>
      </c>
    </row>
    <row r="69" spans="16:18">
      <c r="P69" s="946" t="s">
        <v>1810</v>
      </c>
      <c r="Q69" s="946">
        <v>4</v>
      </c>
      <c r="R69" s="946" t="s">
        <v>1765</v>
      </c>
    </row>
    <row r="70" spans="16:18">
      <c r="P70" s="946" t="s">
        <v>1811</v>
      </c>
      <c r="Q70" s="946">
        <v>4</v>
      </c>
      <c r="R70" s="946" t="s">
        <v>1765</v>
      </c>
    </row>
    <row r="71" spans="16:18">
      <c r="P71" s="946" t="s">
        <v>1812</v>
      </c>
      <c r="Q71" s="946">
        <v>4</v>
      </c>
      <c r="R71" s="946" t="s">
        <v>1765</v>
      </c>
    </row>
    <row r="72" spans="16:18">
      <c r="P72" s="946" t="s">
        <v>1815</v>
      </c>
      <c r="Q72" s="946">
        <v>4</v>
      </c>
      <c r="R72" s="946" t="s">
        <v>1765</v>
      </c>
    </row>
    <row r="73" spans="16:18">
      <c r="P73" s="946" t="s">
        <v>1817</v>
      </c>
      <c r="Q73" s="946">
        <v>4</v>
      </c>
      <c r="R73" s="946" t="s">
        <v>1765</v>
      </c>
    </row>
    <row r="74" spans="16:18">
      <c r="P74" s="946" t="s">
        <v>1821</v>
      </c>
      <c r="Q74" s="946">
        <v>4</v>
      </c>
      <c r="R74" s="946" t="s">
        <v>1765</v>
      </c>
    </row>
    <row r="75" spans="16:18">
      <c r="P75" s="946" t="s">
        <v>1824</v>
      </c>
      <c r="Q75" s="946">
        <v>4</v>
      </c>
      <c r="R75" s="946" t="s">
        <v>1765</v>
      </c>
    </row>
    <row r="76" spans="16:18">
      <c r="P76" s="946" t="s">
        <v>1828</v>
      </c>
      <c r="Q76" s="946">
        <v>4</v>
      </c>
      <c r="R76" s="946" t="s">
        <v>1765</v>
      </c>
    </row>
    <row r="77" spans="16:18">
      <c r="P77" s="946" t="s">
        <v>1829</v>
      </c>
      <c r="Q77" s="946">
        <v>4</v>
      </c>
      <c r="R77" s="946" t="s">
        <v>1765</v>
      </c>
    </row>
    <row r="78" spans="16:18">
      <c r="P78" s="946" t="s">
        <v>1830</v>
      </c>
      <c r="Q78" s="946">
        <v>4</v>
      </c>
      <c r="R78" s="946" t="s">
        <v>1765</v>
      </c>
    </row>
    <row r="79" spans="16:18">
      <c r="P79" s="946" t="s">
        <v>1831</v>
      </c>
      <c r="Q79" s="946">
        <v>4</v>
      </c>
      <c r="R79" s="946" t="s">
        <v>1765</v>
      </c>
    </row>
    <row r="80" spans="16:18">
      <c r="P80" s="946" t="s">
        <v>1832</v>
      </c>
      <c r="Q80" s="946">
        <v>4</v>
      </c>
      <c r="R80" s="946" t="s">
        <v>1765</v>
      </c>
    </row>
    <row r="81" spans="16:18">
      <c r="P81" s="946" t="s">
        <v>1833</v>
      </c>
      <c r="Q81" s="946">
        <v>4</v>
      </c>
      <c r="R81" s="946" t="s">
        <v>1765</v>
      </c>
    </row>
    <row r="82" spans="16:18">
      <c r="P82" s="946" t="s">
        <v>1836</v>
      </c>
      <c r="Q82" s="946">
        <v>4</v>
      </c>
      <c r="R82" s="946" t="s">
        <v>1765</v>
      </c>
    </row>
    <row r="83" spans="16:18">
      <c r="P83" s="946" t="s">
        <v>1837</v>
      </c>
      <c r="Q83" s="946">
        <v>4</v>
      </c>
      <c r="R83" s="946" t="s">
        <v>1765</v>
      </c>
    </row>
    <row r="84" spans="16:18">
      <c r="P84" s="946" t="s">
        <v>1847</v>
      </c>
      <c r="Q84" s="946">
        <v>4</v>
      </c>
      <c r="R84" s="946" t="s">
        <v>1765</v>
      </c>
    </row>
    <row r="85" spans="16:18">
      <c r="P85" s="946" t="s">
        <v>3337</v>
      </c>
      <c r="Q85" s="946">
        <v>4</v>
      </c>
      <c r="R85" s="946" t="s">
        <v>1765</v>
      </c>
    </row>
    <row r="86" spans="16:18">
      <c r="P86" s="946" t="s">
        <v>1855</v>
      </c>
      <c r="Q86" s="946">
        <v>4</v>
      </c>
      <c r="R86" s="946" t="s">
        <v>1765</v>
      </c>
    </row>
    <row r="87" spans="16:18">
      <c r="P87" s="946" t="s">
        <v>1859</v>
      </c>
      <c r="Q87" s="946">
        <v>4</v>
      </c>
      <c r="R87" s="946" t="s">
        <v>1765</v>
      </c>
    </row>
    <row r="88" spans="16:18">
      <c r="P88" s="946" t="s">
        <v>1860</v>
      </c>
      <c r="Q88" s="946">
        <v>4</v>
      </c>
      <c r="R88" s="946" t="s">
        <v>1765</v>
      </c>
    </row>
    <row r="89" spans="16:18">
      <c r="P89" s="946" t="s">
        <v>1861</v>
      </c>
      <c r="Q89" s="946">
        <v>4</v>
      </c>
      <c r="R89" s="946" t="s">
        <v>1765</v>
      </c>
    </row>
    <row r="90" spans="16:18">
      <c r="P90" s="946" t="s">
        <v>1862</v>
      </c>
      <c r="Q90" s="946">
        <v>4</v>
      </c>
      <c r="R90" s="946" t="s">
        <v>1765</v>
      </c>
    </row>
    <row r="91" spans="16:18">
      <c r="P91" s="946" t="s">
        <v>1863</v>
      </c>
      <c r="Q91" s="946">
        <v>4</v>
      </c>
      <c r="R91" s="946" t="s">
        <v>1765</v>
      </c>
    </row>
    <row r="92" spans="16:18">
      <c r="P92" s="946" t="s">
        <v>1864</v>
      </c>
      <c r="Q92" s="946">
        <v>4</v>
      </c>
      <c r="R92" s="946" t="s">
        <v>1765</v>
      </c>
    </row>
    <row r="93" spans="16:18">
      <c r="P93" s="946" t="s">
        <v>1866</v>
      </c>
      <c r="Q93" s="946">
        <v>4</v>
      </c>
      <c r="R93" s="946" t="s">
        <v>1765</v>
      </c>
    </row>
    <row r="94" spans="16:18">
      <c r="P94" s="946" t="s">
        <v>1867</v>
      </c>
      <c r="Q94" s="946">
        <v>4</v>
      </c>
      <c r="R94" s="946" t="s">
        <v>1765</v>
      </c>
    </row>
    <row r="95" spans="16:18">
      <c r="P95" s="946" t="s">
        <v>1870</v>
      </c>
      <c r="Q95" s="946">
        <v>4</v>
      </c>
      <c r="R95" s="946" t="s">
        <v>1765</v>
      </c>
    </row>
    <row r="96" spans="16:18">
      <c r="P96" s="946" t="s">
        <v>1871</v>
      </c>
      <c r="Q96" s="946">
        <v>4</v>
      </c>
      <c r="R96" s="946" t="s">
        <v>1765</v>
      </c>
    </row>
    <row r="97" spans="16:18">
      <c r="P97" s="946" t="s">
        <v>1872</v>
      </c>
      <c r="Q97" s="946">
        <v>4</v>
      </c>
      <c r="R97" s="946" t="s">
        <v>1765</v>
      </c>
    </row>
    <row r="98" spans="16:18">
      <c r="P98" s="946" t="s">
        <v>1873</v>
      </c>
      <c r="Q98" s="946">
        <v>4</v>
      </c>
      <c r="R98" s="946" t="s">
        <v>1765</v>
      </c>
    </row>
    <row r="99" spans="16:18">
      <c r="P99" s="946" t="s">
        <v>1874</v>
      </c>
      <c r="Q99" s="946">
        <v>4</v>
      </c>
      <c r="R99" s="946" t="s">
        <v>1765</v>
      </c>
    </row>
    <row r="100" spans="16:18">
      <c r="P100" s="946" t="s">
        <v>1875</v>
      </c>
      <c r="Q100" s="946">
        <v>4</v>
      </c>
      <c r="R100" s="946" t="s">
        <v>1765</v>
      </c>
    </row>
    <row r="101" spans="16:18">
      <c r="P101" s="946" t="s">
        <v>1877</v>
      </c>
      <c r="Q101" s="946">
        <v>4</v>
      </c>
      <c r="R101" s="946" t="s">
        <v>1765</v>
      </c>
    </row>
    <row r="102" spans="16:18">
      <c r="P102" s="946" t="s">
        <v>1878</v>
      </c>
      <c r="Q102" s="946">
        <v>4</v>
      </c>
      <c r="R102" s="946" t="s">
        <v>1765</v>
      </c>
    </row>
    <row r="103" spans="16:18">
      <c r="P103" s="946" t="s">
        <v>1879</v>
      </c>
      <c r="Q103" s="946">
        <v>4</v>
      </c>
      <c r="R103" s="946" t="s">
        <v>1765</v>
      </c>
    </row>
    <row r="104" spans="16:18">
      <c r="P104" s="946" t="s">
        <v>1880</v>
      </c>
      <c r="Q104" s="946">
        <v>4</v>
      </c>
      <c r="R104" s="946" t="s">
        <v>1765</v>
      </c>
    </row>
    <row r="105" spans="16:18">
      <c r="P105" s="946" t="s">
        <v>1884</v>
      </c>
      <c r="Q105" s="946">
        <v>4</v>
      </c>
      <c r="R105" s="946" t="s">
        <v>1765</v>
      </c>
    </row>
    <row r="106" spans="16:18">
      <c r="P106" s="946" t="s">
        <v>1885</v>
      </c>
      <c r="Q106" s="946">
        <v>4</v>
      </c>
      <c r="R106" s="946" t="s">
        <v>1765</v>
      </c>
    </row>
    <row r="107" spans="16:18">
      <c r="P107" s="946" t="s">
        <v>1949</v>
      </c>
      <c r="Q107" s="946">
        <v>4</v>
      </c>
      <c r="R107" s="946" t="s">
        <v>1765</v>
      </c>
    </row>
    <row r="108" spans="16:18">
      <c r="P108" s="946" t="s">
        <v>1951</v>
      </c>
      <c r="Q108" s="946">
        <v>4</v>
      </c>
      <c r="R108" s="946" t="s">
        <v>1765</v>
      </c>
    </row>
    <row r="109" spans="16:18">
      <c r="P109" s="946" t="s">
        <v>1953</v>
      </c>
      <c r="Q109" s="946">
        <v>4</v>
      </c>
      <c r="R109" s="946" t="s">
        <v>1765</v>
      </c>
    </row>
    <row r="110" spans="16:18">
      <c r="P110" s="946" t="s">
        <v>1954</v>
      </c>
      <c r="Q110" s="946">
        <v>4</v>
      </c>
      <c r="R110" s="946" t="s">
        <v>1765</v>
      </c>
    </row>
    <row r="111" spans="16:18">
      <c r="P111" s="946" t="s">
        <v>1955</v>
      </c>
      <c r="Q111" s="946">
        <v>4</v>
      </c>
      <c r="R111" s="946" t="s">
        <v>1765</v>
      </c>
    </row>
    <row r="112" spans="16:18">
      <c r="P112" s="946" t="s">
        <v>1956</v>
      </c>
      <c r="Q112" s="946">
        <v>4</v>
      </c>
      <c r="R112" s="946" t="s">
        <v>1765</v>
      </c>
    </row>
    <row r="113" spans="16:18">
      <c r="P113" s="946" t="s">
        <v>1957</v>
      </c>
      <c r="Q113" s="946">
        <v>4</v>
      </c>
      <c r="R113" s="946" t="s">
        <v>1765</v>
      </c>
    </row>
    <row r="114" spans="16:18">
      <c r="P114" s="946" t="s">
        <v>1958</v>
      </c>
      <c r="Q114" s="946">
        <v>4</v>
      </c>
      <c r="R114" s="946" t="s">
        <v>1765</v>
      </c>
    </row>
    <row r="115" spans="16:18">
      <c r="P115" s="946" t="s">
        <v>1959</v>
      </c>
      <c r="Q115" s="946">
        <v>4</v>
      </c>
      <c r="R115" s="946" t="s">
        <v>1765</v>
      </c>
    </row>
    <row r="116" spans="16:18">
      <c r="P116" s="946" t="s">
        <v>1960</v>
      </c>
      <c r="Q116" s="946">
        <v>4</v>
      </c>
      <c r="R116" s="946" t="s">
        <v>1765</v>
      </c>
    </row>
    <row r="117" spans="16:18">
      <c r="P117" s="946" t="s">
        <v>1961</v>
      </c>
      <c r="Q117" s="946">
        <v>4</v>
      </c>
      <c r="R117" s="946" t="s">
        <v>1765</v>
      </c>
    </row>
    <row r="118" spans="16:18">
      <c r="P118" s="946" t="s">
        <v>1962</v>
      </c>
      <c r="Q118" s="946">
        <v>4</v>
      </c>
      <c r="R118" s="946" t="s">
        <v>1765</v>
      </c>
    </row>
    <row r="119" spans="16:18">
      <c r="P119" s="946" t="s">
        <v>1963</v>
      </c>
      <c r="Q119" s="946">
        <v>4</v>
      </c>
      <c r="R119" s="946" t="s">
        <v>1765</v>
      </c>
    </row>
    <row r="120" spans="16:18">
      <c r="P120" s="946" t="s">
        <v>1964</v>
      </c>
      <c r="Q120" s="946">
        <v>4</v>
      </c>
      <c r="R120" s="946" t="s">
        <v>1765</v>
      </c>
    </row>
    <row r="121" spans="16:18">
      <c r="P121" s="946" t="s">
        <v>1965</v>
      </c>
      <c r="Q121" s="946">
        <v>4</v>
      </c>
      <c r="R121" s="946" t="s">
        <v>1765</v>
      </c>
    </row>
    <row r="122" spans="16:18">
      <c r="P122" s="946" t="s">
        <v>1966</v>
      </c>
      <c r="Q122" s="946">
        <v>4</v>
      </c>
      <c r="R122" s="946" t="s">
        <v>1765</v>
      </c>
    </row>
    <row r="123" spans="16:18">
      <c r="P123" s="946" t="s">
        <v>1967</v>
      </c>
      <c r="Q123" s="946">
        <v>4</v>
      </c>
      <c r="R123" s="946" t="s">
        <v>1765</v>
      </c>
    </row>
    <row r="124" spans="16:18">
      <c r="P124" s="946" t="s">
        <v>1968</v>
      </c>
      <c r="Q124" s="946">
        <v>4</v>
      </c>
      <c r="R124" s="946" t="s">
        <v>1765</v>
      </c>
    </row>
    <row r="125" spans="16:18">
      <c r="P125" s="946" t="s">
        <v>1969</v>
      </c>
      <c r="Q125" s="946">
        <v>4</v>
      </c>
      <c r="R125" s="946" t="s">
        <v>1765</v>
      </c>
    </row>
    <row r="126" spans="16:18">
      <c r="P126" s="946" t="s">
        <v>1970</v>
      </c>
      <c r="Q126" s="946">
        <v>4</v>
      </c>
      <c r="R126" s="946" t="s">
        <v>1765</v>
      </c>
    </row>
    <row r="127" spans="16:18">
      <c r="P127" s="946" t="s">
        <v>1977</v>
      </c>
      <c r="Q127" s="946">
        <v>4</v>
      </c>
      <c r="R127" s="946" t="s">
        <v>1765</v>
      </c>
    </row>
    <row r="128" spans="16:18">
      <c r="P128" s="946" t="s">
        <v>1988</v>
      </c>
      <c r="Q128" s="946">
        <v>4</v>
      </c>
      <c r="R128" s="946" t="s">
        <v>1765</v>
      </c>
    </row>
    <row r="129" spans="16:18">
      <c r="P129" s="946" t="s">
        <v>1989</v>
      </c>
      <c r="Q129" s="946">
        <v>4</v>
      </c>
      <c r="R129" s="946" t="s">
        <v>1765</v>
      </c>
    </row>
    <row r="130" spans="16:18">
      <c r="P130" s="946" t="s">
        <v>1996</v>
      </c>
      <c r="Q130" s="946">
        <v>4</v>
      </c>
      <c r="R130" s="946" t="s">
        <v>1765</v>
      </c>
    </row>
    <row r="131" spans="16:18">
      <c r="P131" s="946" t="s">
        <v>1998</v>
      </c>
      <c r="Q131" s="946">
        <v>4</v>
      </c>
      <c r="R131" s="946" t="s">
        <v>1765</v>
      </c>
    </row>
    <row r="132" spans="16:18">
      <c r="P132" s="946" t="s">
        <v>2000</v>
      </c>
      <c r="Q132" s="946">
        <v>4</v>
      </c>
      <c r="R132" s="946" t="s">
        <v>1765</v>
      </c>
    </row>
    <row r="133" spans="16:18">
      <c r="P133" s="946" t="s">
        <v>2008</v>
      </c>
      <c r="Q133" s="946">
        <v>4</v>
      </c>
      <c r="R133" s="946" t="s">
        <v>1765</v>
      </c>
    </row>
    <row r="134" spans="16:18">
      <c r="P134" s="946" t="s">
        <v>2009</v>
      </c>
      <c r="Q134" s="946">
        <v>4</v>
      </c>
      <c r="R134" s="946" t="s">
        <v>1765</v>
      </c>
    </row>
    <row r="135" spans="16:18">
      <c r="P135" s="950" t="s">
        <v>1760</v>
      </c>
      <c r="Q135" s="950">
        <v>5</v>
      </c>
      <c r="R135" s="950" t="s">
        <v>1761</v>
      </c>
    </row>
    <row r="136" spans="16:18">
      <c r="P136" s="950" t="s">
        <v>1766</v>
      </c>
      <c r="Q136" s="950">
        <v>5</v>
      </c>
      <c r="R136" s="950" t="s">
        <v>1761</v>
      </c>
    </row>
    <row r="137" spans="16:18">
      <c r="P137" s="950" t="s">
        <v>1891</v>
      </c>
      <c r="Q137" s="950">
        <v>5</v>
      </c>
      <c r="R137" s="950" t="s">
        <v>1761</v>
      </c>
    </row>
    <row r="138" spans="16:18">
      <c r="P138" s="950" t="s">
        <v>1892</v>
      </c>
      <c r="Q138" s="950">
        <v>5</v>
      </c>
      <c r="R138" s="950" t="s">
        <v>1761</v>
      </c>
    </row>
    <row r="139" spans="16:18">
      <c r="P139" s="950" t="s">
        <v>1897</v>
      </c>
      <c r="Q139" s="950">
        <v>5</v>
      </c>
      <c r="R139" s="950" t="s">
        <v>1761</v>
      </c>
    </row>
    <row r="140" spans="16:18">
      <c r="P140" s="950" t="s">
        <v>1899</v>
      </c>
      <c r="Q140" s="950">
        <v>5</v>
      </c>
      <c r="R140" s="950" t="s">
        <v>1761</v>
      </c>
    </row>
    <row r="141" spans="16:18">
      <c r="P141" s="950" t="s">
        <v>1931</v>
      </c>
      <c r="Q141" s="950">
        <v>5</v>
      </c>
      <c r="R141" s="950" t="s">
        <v>1761</v>
      </c>
    </row>
    <row r="142" spans="16:18">
      <c r="P142" s="950" t="s">
        <v>1933</v>
      </c>
      <c r="Q142" s="950">
        <v>5</v>
      </c>
      <c r="R142" s="950" t="s">
        <v>1761</v>
      </c>
    </row>
    <row r="143" spans="16:18">
      <c r="P143" s="950" t="s">
        <v>1934</v>
      </c>
      <c r="Q143" s="950">
        <v>5</v>
      </c>
      <c r="R143" s="950" t="s">
        <v>1761</v>
      </c>
    </row>
    <row r="144" spans="16:18">
      <c r="P144" s="950" t="s">
        <v>1942</v>
      </c>
      <c r="Q144" s="950">
        <v>5</v>
      </c>
      <c r="R144" s="950" t="s">
        <v>1761</v>
      </c>
    </row>
    <row r="145" spans="16:18">
      <c r="P145" s="950" t="s">
        <v>1944</v>
      </c>
      <c r="Q145" s="950">
        <v>5</v>
      </c>
      <c r="R145" s="950" t="s">
        <v>1761</v>
      </c>
    </row>
    <row r="146" spans="16:18">
      <c r="P146" s="950" t="s">
        <v>1947</v>
      </c>
      <c r="Q146" s="950">
        <v>5</v>
      </c>
      <c r="R146" s="950" t="s">
        <v>1761</v>
      </c>
    </row>
    <row r="147" spans="16:18">
      <c r="P147" s="950" t="s">
        <v>1973</v>
      </c>
      <c r="Q147" s="950">
        <v>5</v>
      </c>
      <c r="R147" s="950" t="s">
        <v>1761</v>
      </c>
    </row>
    <row r="148" spans="16:18">
      <c r="P148" s="950" t="s">
        <v>1976</v>
      </c>
      <c r="Q148" s="950">
        <v>5</v>
      </c>
      <c r="R148" s="950" t="s">
        <v>1761</v>
      </c>
    </row>
    <row r="149" spans="16:18">
      <c r="P149" s="950" t="s">
        <v>1980</v>
      </c>
      <c r="Q149" s="950">
        <v>5</v>
      </c>
      <c r="R149" s="950" t="s">
        <v>1761</v>
      </c>
    </row>
    <row r="150" spans="16:18">
      <c r="P150" s="950" t="s">
        <v>1981</v>
      </c>
      <c r="Q150" s="950">
        <v>5</v>
      </c>
      <c r="R150" s="950" t="s">
        <v>1761</v>
      </c>
    </row>
    <row r="151" spans="16:18">
      <c r="P151" s="950" t="s">
        <v>1982</v>
      </c>
      <c r="Q151" s="950">
        <v>5</v>
      </c>
      <c r="R151" s="950" t="s">
        <v>1761</v>
      </c>
    </row>
    <row r="152" spans="16:18">
      <c r="P152" s="950" t="s">
        <v>1993</v>
      </c>
      <c r="Q152" s="950">
        <v>5</v>
      </c>
      <c r="R152" s="950" t="s">
        <v>1761</v>
      </c>
    </row>
    <row r="153" spans="16:18">
      <c r="P153" s="950" t="s">
        <v>2013</v>
      </c>
      <c r="Q153" s="950">
        <v>5</v>
      </c>
      <c r="R153" s="950" t="s">
        <v>1761</v>
      </c>
    </row>
    <row r="154" spans="16:18">
      <c r="P154" s="950" t="s">
        <v>2014</v>
      </c>
      <c r="Q154" s="950">
        <v>5</v>
      </c>
      <c r="R154" s="950" t="s">
        <v>1761</v>
      </c>
    </row>
    <row r="155" spans="16:18">
      <c r="P155" s="950" t="s">
        <v>2015</v>
      </c>
      <c r="Q155" s="950">
        <v>5</v>
      </c>
      <c r="R155" s="950" t="s">
        <v>1761</v>
      </c>
    </row>
    <row r="156" spans="16:18">
      <c r="P156" s="950" t="s">
        <v>2021</v>
      </c>
      <c r="Q156" s="950">
        <v>5</v>
      </c>
      <c r="R156" s="950" t="s">
        <v>1761</v>
      </c>
    </row>
    <row r="157" spans="16:18">
      <c r="P157" s="568" t="s">
        <v>1601</v>
      </c>
      <c r="Q157" s="946">
        <v>6</v>
      </c>
      <c r="R157" s="946" t="s">
        <v>3300</v>
      </c>
    </row>
    <row r="158" spans="16:18">
      <c r="P158" s="568" t="s">
        <v>1607</v>
      </c>
      <c r="Q158" s="946">
        <v>6</v>
      </c>
      <c r="R158" s="946" t="s">
        <v>3300</v>
      </c>
    </row>
    <row r="159" spans="16:18">
      <c r="P159" s="568" t="s">
        <v>1610</v>
      </c>
      <c r="Q159" s="946">
        <v>6</v>
      </c>
      <c r="R159" s="946" t="s">
        <v>3300</v>
      </c>
    </row>
    <row r="160" spans="16:18">
      <c r="P160" s="568" t="s">
        <v>1612</v>
      </c>
      <c r="Q160" s="946">
        <v>6</v>
      </c>
      <c r="R160" s="946" t="s">
        <v>3300</v>
      </c>
    </row>
    <row r="161" spans="16:18">
      <c r="P161" s="568" t="s">
        <v>1613</v>
      </c>
      <c r="Q161" s="946">
        <v>6</v>
      </c>
      <c r="R161" s="946" t="s">
        <v>3300</v>
      </c>
    </row>
    <row r="162" spans="16:18">
      <c r="P162" s="568" t="s">
        <v>1615</v>
      </c>
      <c r="Q162" s="946">
        <v>6</v>
      </c>
      <c r="R162" s="946" t="s">
        <v>3300</v>
      </c>
    </row>
    <row r="163" spans="16:18">
      <c r="P163" s="568" t="s">
        <v>1617</v>
      </c>
      <c r="Q163" s="946">
        <v>6</v>
      </c>
      <c r="R163" s="946" t="s">
        <v>3300</v>
      </c>
    </row>
    <row r="164" spans="16:18">
      <c r="P164" s="568" t="s">
        <v>1619</v>
      </c>
      <c r="Q164" s="946">
        <v>6</v>
      </c>
      <c r="R164" s="946" t="s">
        <v>3300</v>
      </c>
    </row>
    <row r="165" spans="16:18">
      <c r="P165" s="568" t="s">
        <v>1620</v>
      </c>
      <c r="Q165" s="946">
        <v>6</v>
      </c>
      <c r="R165" s="946" t="s">
        <v>3300</v>
      </c>
    </row>
    <row r="166" spans="16:18">
      <c r="P166" s="568" t="s">
        <v>1621</v>
      </c>
      <c r="Q166" s="946">
        <v>6</v>
      </c>
      <c r="R166" s="946" t="s">
        <v>3300</v>
      </c>
    </row>
    <row r="167" spans="16:18">
      <c r="P167" s="568" t="s">
        <v>1622</v>
      </c>
      <c r="Q167" s="946">
        <v>6</v>
      </c>
      <c r="R167" s="946" t="s">
        <v>3300</v>
      </c>
    </row>
    <row r="168" spans="16:18">
      <c r="P168" s="568" t="s">
        <v>1623</v>
      </c>
      <c r="Q168" s="946">
        <v>6</v>
      </c>
      <c r="R168" s="946" t="s">
        <v>3300</v>
      </c>
    </row>
    <row r="169" spans="16:18">
      <c r="P169" s="568" t="s">
        <v>1625</v>
      </c>
      <c r="Q169" s="946">
        <v>6</v>
      </c>
      <c r="R169" s="946" t="s">
        <v>3300</v>
      </c>
    </row>
    <row r="170" spans="16:18">
      <c r="P170" s="568" t="s">
        <v>1627</v>
      </c>
      <c r="Q170" s="946">
        <v>6</v>
      </c>
      <c r="R170" s="946" t="s">
        <v>3300</v>
      </c>
    </row>
    <row r="171" spans="16:18">
      <c r="P171" s="568" t="s">
        <v>1628</v>
      </c>
      <c r="Q171" s="946">
        <v>6</v>
      </c>
      <c r="R171" s="946" t="s">
        <v>3300</v>
      </c>
    </row>
    <row r="172" spans="16:18">
      <c r="P172" s="568" t="s">
        <v>1630</v>
      </c>
      <c r="Q172" s="946">
        <v>6</v>
      </c>
      <c r="R172" s="946" t="s">
        <v>3300</v>
      </c>
    </row>
    <row r="173" spans="16:18">
      <c r="P173" s="568" t="s">
        <v>1632</v>
      </c>
      <c r="Q173" s="946">
        <v>6</v>
      </c>
      <c r="R173" s="946" t="s">
        <v>3300</v>
      </c>
    </row>
    <row r="174" spans="16:18">
      <c r="P174" s="568" t="s">
        <v>1633</v>
      </c>
      <c r="Q174" s="946">
        <v>6</v>
      </c>
      <c r="R174" s="946" t="s">
        <v>3300</v>
      </c>
    </row>
    <row r="175" spans="16:18">
      <c r="P175" s="568" t="s">
        <v>1635</v>
      </c>
      <c r="Q175" s="946">
        <v>6</v>
      </c>
      <c r="R175" s="946" t="s">
        <v>3300</v>
      </c>
    </row>
    <row r="176" spans="16:18">
      <c r="P176" s="568" t="s">
        <v>1637</v>
      </c>
      <c r="Q176" s="946">
        <v>6</v>
      </c>
      <c r="R176" s="946" t="s">
        <v>3300</v>
      </c>
    </row>
    <row r="177" spans="16:18">
      <c r="P177" s="568" t="s">
        <v>1639</v>
      </c>
      <c r="Q177" s="946">
        <v>6</v>
      </c>
      <c r="R177" s="946" t="s">
        <v>3300</v>
      </c>
    </row>
    <row r="178" spans="16:18">
      <c r="P178" s="568" t="s">
        <v>1640</v>
      </c>
      <c r="Q178" s="946">
        <v>6</v>
      </c>
      <c r="R178" s="946" t="s">
        <v>3300</v>
      </c>
    </row>
    <row r="179" spans="16:18">
      <c r="P179" s="568" t="s">
        <v>1641</v>
      </c>
      <c r="Q179" s="946">
        <v>6</v>
      </c>
      <c r="R179" s="946" t="s">
        <v>3300</v>
      </c>
    </row>
    <row r="180" spans="16:18">
      <c r="P180" s="568" t="s">
        <v>1642</v>
      </c>
      <c r="Q180" s="946">
        <v>6</v>
      </c>
      <c r="R180" s="946" t="s">
        <v>3300</v>
      </c>
    </row>
    <row r="181" spans="16:18">
      <c r="P181" s="568" t="s">
        <v>1643</v>
      </c>
      <c r="Q181" s="946">
        <v>6</v>
      </c>
      <c r="R181" s="946" t="s">
        <v>3300</v>
      </c>
    </row>
    <row r="182" spans="16:18">
      <c r="P182" s="568" t="s">
        <v>1644</v>
      </c>
      <c r="Q182" s="946">
        <v>6</v>
      </c>
      <c r="R182" s="946" t="s">
        <v>3300</v>
      </c>
    </row>
    <row r="183" spans="16:18">
      <c r="P183" s="568" t="s">
        <v>1645</v>
      </c>
      <c r="Q183" s="946">
        <v>6</v>
      </c>
      <c r="R183" s="946" t="s">
        <v>3300</v>
      </c>
    </row>
    <row r="184" spans="16:18">
      <c r="P184" s="568" t="s">
        <v>1646</v>
      </c>
      <c r="Q184" s="946">
        <v>6</v>
      </c>
      <c r="R184" s="946" t="s">
        <v>3300</v>
      </c>
    </row>
    <row r="185" spans="16:18">
      <c r="P185" s="568" t="s">
        <v>1647</v>
      </c>
      <c r="Q185" s="946">
        <v>6</v>
      </c>
      <c r="R185" s="946" t="s">
        <v>3300</v>
      </c>
    </row>
    <row r="186" spans="16:18">
      <c r="P186" s="568" t="s">
        <v>1648</v>
      </c>
      <c r="Q186" s="946">
        <v>6</v>
      </c>
      <c r="R186" s="946" t="s">
        <v>3300</v>
      </c>
    </row>
    <row r="187" spans="16:18">
      <c r="P187" s="568" t="s">
        <v>1649</v>
      </c>
      <c r="Q187" s="946">
        <v>6</v>
      </c>
      <c r="R187" s="946" t="s">
        <v>3300</v>
      </c>
    </row>
    <row r="188" spans="16:18">
      <c r="P188" s="568" t="s">
        <v>1650</v>
      </c>
      <c r="Q188" s="946">
        <v>6</v>
      </c>
      <c r="R188" s="946" t="s">
        <v>3300</v>
      </c>
    </row>
    <row r="189" spans="16:18">
      <c r="P189" s="568" t="s">
        <v>1651</v>
      </c>
      <c r="Q189" s="946">
        <v>6</v>
      </c>
      <c r="R189" s="946" t="s">
        <v>3300</v>
      </c>
    </row>
    <row r="190" spans="16:18">
      <c r="P190" s="568" t="s">
        <v>1652</v>
      </c>
      <c r="Q190" s="946">
        <v>6</v>
      </c>
      <c r="R190" s="946" t="s">
        <v>3300</v>
      </c>
    </row>
    <row r="191" spans="16:18">
      <c r="P191" s="568" t="s">
        <v>1653</v>
      </c>
      <c r="Q191" s="946">
        <v>6</v>
      </c>
      <c r="R191" s="946" t="s">
        <v>3300</v>
      </c>
    </row>
    <row r="192" spans="16:18">
      <c r="P192" s="568" t="s">
        <v>1654</v>
      </c>
      <c r="Q192" s="946">
        <v>6</v>
      </c>
      <c r="R192" s="946" t="s">
        <v>3300</v>
      </c>
    </row>
    <row r="193" spans="16:18">
      <c r="P193" s="568" t="s">
        <v>1655</v>
      </c>
      <c r="Q193" s="946">
        <v>6</v>
      </c>
      <c r="R193" s="946" t="s">
        <v>3300</v>
      </c>
    </row>
    <row r="194" spans="16:18">
      <c r="P194" s="568" t="s">
        <v>1656</v>
      </c>
      <c r="Q194" s="946">
        <v>6</v>
      </c>
      <c r="R194" s="946" t="s">
        <v>3300</v>
      </c>
    </row>
    <row r="195" spans="16:18">
      <c r="P195" s="568" t="s">
        <v>1657</v>
      </c>
      <c r="Q195" s="946">
        <v>6</v>
      </c>
      <c r="R195" s="946" t="s">
        <v>3300</v>
      </c>
    </row>
    <row r="196" spans="16:18">
      <c r="P196" s="568" t="s">
        <v>1658</v>
      </c>
      <c r="Q196" s="946">
        <v>6</v>
      </c>
      <c r="R196" s="946" t="s">
        <v>3300</v>
      </c>
    </row>
    <row r="197" spans="16:18">
      <c r="P197" s="568" t="s">
        <v>1660</v>
      </c>
      <c r="Q197" s="946">
        <v>6</v>
      </c>
      <c r="R197" s="946" t="s">
        <v>3300</v>
      </c>
    </row>
    <row r="198" spans="16:18">
      <c r="P198" s="568" t="s">
        <v>1661</v>
      </c>
      <c r="Q198" s="946">
        <v>6</v>
      </c>
      <c r="R198" s="946" t="s">
        <v>3300</v>
      </c>
    </row>
    <row r="199" spans="16:18">
      <c r="P199" s="568" t="s">
        <v>1663</v>
      </c>
      <c r="Q199" s="946">
        <v>6</v>
      </c>
      <c r="R199" s="946" t="s">
        <v>3300</v>
      </c>
    </row>
    <row r="200" spans="16:18">
      <c r="P200" s="568" t="s">
        <v>1664</v>
      </c>
      <c r="Q200" s="946">
        <v>6</v>
      </c>
      <c r="R200" s="946" t="s">
        <v>3300</v>
      </c>
    </row>
    <row r="201" spans="16:18">
      <c r="P201" s="568" t="s">
        <v>1665</v>
      </c>
      <c r="Q201" s="946">
        <v>6</v>
      </c>
      <c r="R201" s="946" t="s">
        <v>3300</v>
      </c>
    </row>
    <row r="202" spans="16:18">
      <c r="P202" s="568" t="s">
        <v>1666</v>
      </c>
      <c r="Q202" s="946">
        <v>6</v>
      </c>
      <c r="R202" s="946" t="s">
        <v>3300</v>
      </c>
    </row>
    <row r="203" spans="16:18">
      <c r="P203" s="568" t="s">
        <v>1667</v>
      </c>
      <c r="Q203" s="946">
        <v>6</v>
      </c>
      <c r="R203" s="946" t="s">
        <v>3300</v>
      </c>
    </row>
    <row r="204" spans="16:18">
      <c r="P204" s="568" t="s">
        <v>1668</v>
      </c>
      <c r="Q204" s="946">
        <v>6</v>
      </c>
      <c r="R204" s="946" t="s">
        <v>3300</v>
      </c>
    </row>
    <row r="205" spans="16:18">
      <c r="P205" s="568" t="s">
        <v>1669</v>
      </c>
      <c r="Q205" s="946">
        <v>6</v>
      </c>
      <c r="R205" s="946" t="s">
        <v>3300</v>
      </c>
    </row>
    <row r="206" spans="16:18">
      <c r="P206" s="575" t="s">
        <v>1670</v>
      </c>
      <c r="Q206" s="946">
        <v>6</v>
      </c>
      <c r="R206" s="946" t="s">
        <v>3300</v>
      </c>
    </row>
    <row r="207" spans="16:18">
      <c r="P207" s="568" t="s">
        <v>1671</v>
      </c>
      <c r="Q207" s="946">
        <v>6</v>
      </c>
      <c r="R207" s="946" t="s">
        <v>3300</v>
      </c>
    </row>
    <row r="208" spans="16:18">
      <c r="P208" s="568" t="s">
        <v>1672</v>
      </c>
      <c r="Q208" s="946">
        <v>6</v>
      </c>
      <c r="R208" s="946" t="s">
        <v>3300</v>
      </c>
    </row>
    <row r="209" spans="16:18">
      <c r="P209" s="568" t="s">
        <v>1673</v>
      </c>
      <c r="Q209" s="946">
        <v>6</v>
      </c>
      <c r="R209" s="946" t="s">
        <v>3300</v>
      </c>
    </row>
    <row r="210" spans="16:18">
      <c r="P210" s="568" t="s">
        <v>1674</v>
      </c>
      <c r="Q210" s="946">
        <v>6</v>
      </c>
      <c r="R210" s="946" t="s">
        <v>3300</v>
      </c>
    </row>
    <row r="211" spans="16:18">
      <c r="P211" s="568" t="s">
        <v>1675</v>
      </c>
      <c r="Q211" s="946">
        <v>6</v>
      </c>
      <c r="R211" s="946" t="s">
        <v>3300</v>
      </c>
    </row>
    <row r="212" spans="16:18">
      <c r="P212" s="568" t="s">
        <v>1676</v>
      </c>
      <c r="Q212" s="946">
        <v>6</v>
      </c>
      <c r="R212" s="946" t="s">
        <v>3300</v>
      </c>
    </row>
    <row r="213" spans="16:18">
      <c r="P213" s="568" t="s">
        <v>1677</v>
      </c>
      <c r="Q213" s="946">
        <v>6</v>
      </c>
      <c r="R213" s="946" t="s">
        <v>3300</v>
      </c>
    </row>
    <row r="214" spans="16:18">
      <c r="P214" s="575" t="s">
        <v>1678</v>
      </c>
      <c r="Q214" s="946">
        <v>6</v>
      </c>
      <c r="R214" s="946" t="s">
        <v>3300</v>
      </c>
    </row>
    <row r="215" spans="16:18">
      <c r="P215" s="568" t="s">
        <v>1679</v>
      </c>
      <c r="Q215" s="946">
        <v>6</v>
      </c>
      <c r="R215" s="946" t="s">
        <v>3300</v>
      </c>
    </row>
    <row r="216" spans="16:18">
      <c r="P216" s="568" t="s">
        <v>1682</v>
      </c>
      <c r="Q216" s="946">
        <v>6</v>
      </c>
      <c r="R216" s="946" t="s">
        <v>3300</v>
      </c>
    </row>
    <row r="217" spans="16:18">
      <c r="P217" s="568" t="s">
        <v>1683</v>
      </c>
      <c r="Q217" s="946">
        <v>6</v>
      </c>
      <c r="R217" s="946" t="s">
        <v>3300</v>
      </c>
    </row>
    <row r="218" spans="16:18">
      <c r="P218" s="568" t="s">
        <v>1684</v>
      </c>
      <c r="Q218" s="946">
        <v>6</v>
      </c>
      <c r="R218" s="946" t="s">
        <v>3300</v>
      </c>
    </row>
    <row r="219" spans="16:18">
      <c r="P219" s="568" t="s">
        <v>1685</v>
      </c>
      <c r="Q219" s="946">
        <v>6</v>
      </c>
      <c r="R219" s="946" t="s">
        <v>3300</v>
      </c>
    </row>
    <row r="220" spans="16:18">
      <c r="P220" s="568" t="s">
        <v>1686</v>
      </c>
      <c r="Q220" s="946">
        <v>6</v>
      </c>
      <c r="R220" s="946" t="s">
        <v>3300</v>
      </c>
    </row>
    <row r="221" spans="16:18">
      <c r="P221" s="568" t="s">
        <v>1687</v>
      </c>
      <c r="Q221" s="946">
        <v>6</v>
      </c>
      <c r="R221" s="946" t="s">
        <v>3300</v>
      </c>
    </row>
    <row r="222" spans="16:18">
      <c r="P222" s="568" t="s">
        <v>1688</v>
      </c>
      <c r="Q222" s="946">
        <v>6</v>
      </c>
      <c r="R222" s="946" t="s">
        <v>3300</v>
      </c>
    </row>
    <row r="223" spans="16:18">
      <c r="P223" s="568" t="s">
        <v>1689</v>
      </c>
      <c r="Q223" s="946">
        <v>6</v>
      </c>
      <c r="R223" s="946" t="s">
        <v>3300</v>
      </c>
    </row>
    <row r="224" spans="16:18">
      <c r="P224" s="568" t="s">
        <v>1690</v>
      </c>
      <c r="Q224" s="946">
        <v>6</v>
      </c>
      <c r="R224" s="946" t="s">
        <v>3300</v>
      </c>
    </row>
    <row r="225" spans="16:18">
      <c r="P225" s="568" t="s">
        <v>1691</v>
      </c>
      <c r="Q225" s="946">
        <v>6</v>
      </c>
      <c r="R225" s="946" t="s">
        <v>3300</v>
      </c>
    </row>
    <row r="226" spans="16:18">
      <c r="P226" s="568" t="s">
        <v>1692</v>
      </c>
      <c r="Q226" s="946">
        <v>6</v>
      </c>
      <c r="R226" s="946" t="s">
        <v>3300</v>
      </c>
    </row>
    <row r="227" spans="16:18">
      <c r="P227" s="568" t="s">
        <v>1693</v>
      </c>
      <c r="Q227" s="946">
        <v>6</v>
      </c>
      <c r="R227" s="946" t="s">
        <v>3300</v>
      </c>
    </row>
    <row r="228" spans="16:18">
      <c r="P228" s="568" t="s">
        <v>1694</v>
      </c>
      <c r="Q228" s="946">
        <v>6</v>
      </c>
      <c r="R228" s="946" t="s">
        <v>3300</v>
      </c>
    </row>
    <row r="229" spans="16:18">
      <c r="P229" s="568" t="s">
        <v>1695</v>
      </c>
      <c r="Q229" s="946">
        <v>6</v>
      </c>
      <c r="R229" s="946" t="s">
        <v>3300</v>
      </c>
    </row>
    <row r="230" spans="16:18">
      <c r="P230" s="568" t="s">
        <v>1696</v>
      </c>
      <c r="Q230" s="946">
        <v>6</v>
      </c>
      <c r="R230" s="946" t="s">
        <v>3300</v>
      </c>
    </row>
    <row r="231" spans="16:18">
      <c r="P231" s="568" t="s">
        <v>1697</v>
      </c>
      <c r="Q231" s="946">
        <v>6</v>
      </c>
      <c r="R231" s="946" t="s">
        <v>3300</v>
      </c>
    </row>
    <row r="232" spans="16:18">
      <c r="P232" s="568" t="s">
        <v>1698</v>
      </c>
      <c r="Q232" s="946">
        <v>6</v>
      </c>
      <c r="R232" s="946" t="s">
        <v>3300</v>
      </c>
    </row>
    <row r="233" spans="16:18">
      <c r="P233" s="568" t="s">
        <v>1699</v>
      </c>
      <c r="Q233" s="946">
        <v>6</v>
      </c>
      <c r="R233" s="946" t="s">
        <v>3300</v>
      </c>
    </row>
    <row r="234" spans="16:18">
      <c r="P234" s="568" t="s">
        <v>1700</v>
      </c>
      <c r="Q234" s="946">
        <v>6</v>
      </c>
      <c r="R234" s="946" t="s">
        <v>3300</v>
      </c>
    </row>
    <row r="235" spans="16:18">
      <c r="P235" s="568" t="s">
        <v>1701</v>
      </c>
      <c r="Q235" s="946">
        <v>6</v>
      </c>
      <c r="R235" s="946" t="s">
        <v>3300</v>
      </c>
    </row>
    <row r="236" spans="16:18">
      <c r="P236" s="568" t="s">
        <v>1702</v>
      </c>
      <c r="Q236" s="946">
        <v>6</v>
      </c>
      <c r="R236" s="946" t="s">
        <v>3300</v>
      </c>
    </row>
    <row r="237" spans="16:18">
      <c r="P237" s="568" t="s">
        <v>1703</v>
      </c>
      <c r="Q237" s="946">
        <v>6</v>
      </c>
      <c r="R237" s="946" t="s">
        <v>3300</v>
      </c>
    </row>
    <row r="238" spans="16:18">
      <c r="P238" s="568" t="s">
        <v>1704</v>
      </c>
      <c r="Q238" s="946">
        <v>6</v>
      </c>
      <c r="R238" s="946" t="s">
        <v>3300</v>
      </c>
    </row>
    <row r="239" spans="16:18">
      <c r="P239" s="568" t="s">
        <v>1705</v>
      </c>
      <c r="Q239" s="946">
        <v>6</v>
      </c>
      <c r="R239" s="946" t="s">
        <v>3300</v>
      </c>
    </row>
    <row r="240" spans="16:18">
      <c r="P240" s="568" t="s">
        <v>1706</v>
      </c>
      <c r="Q240" s="946">
        <v>6</v>
      </c>
      <c r="R240" s="946" t="s">
        <v>3300</v>
      </c>
    </row>
    <row r="241" spans="16:18">
      <c r="P241" s="568" t="s">
        <v>1707</v>
      </c>
      <c r="Q241" s="946">
        <v>6</v>
      </c>
      <c r="R241" s="946" t="s">
        <v>3300</v>
      </c>
    </row>
    <row r="242" spans="16:18">
      <c r="P242" s="568" t="s">
        <v>1708</v>
      </c>
      <c r="Q242" s="946">
        <v>6</v>
      </c>
      <c r="R242" s="946" t="s">
        <v>3300</v>
      </c>
    </row>
    <row r="243" spans="16:18">
      <c r="P243" s="568" t="s">
        <v>1709</v>
      </c>
      <c r="Q243" s="946">
        <v>6</v>
      </c>
      <c r="R243" s="946" t="s">
        <v>3300</v>
      </c>
    </row>
    <row r="244" spans="16:18">
      <c r="P244" s="568" t="s">
        <v>1710</v>
      </c>
      <c r="Q244" s="946">
        <v>6</v>
      </c>
      <c r="R244" s="946" t="s">
        <v>3300</v>
      </c>
    </row>
    <row r="245" spans="16:18">
      <c r="P245" s="568" t="s">
        <v>1711</v>
      </c>
      <c r="Q245" s="946">
        <v>6</v>
      </c>
      <c r="R245" s="946" t="s">
        <v>3300</v>
      </c>
    </row>
    <row r="246" spans="16:18">
      <c r="P246" s="568" t="s">
        <v>1712</v>
      </c>
      <c r="Q246" s="946">
        <v>6</v>
      </c>
      <c r="R246" s="946" t="s">
        <v>3300</v>
      </c>
    </row>
    <row r="247" spans="16:18">
      <c r="P247" s="568" t="s">
        <v>1713</v>
      </c>
      <c r="Q247" s="946">
        <v>6</v>
      </c>
      <c r="R247" s="946" t="s">
        <v>3300</v>
      </c>
    </row>
    <row r="248" spans="16:18">
      <c r="P248" s="568" t="s">
        <v>1714</v>
      </c>
      <c r="Q248" s="946">
        <v>6</v>
      </c>
      <c r="R248" s="946" t="s">
        <v>3300</v>
      </c>
    </row>
    <row r="249" spans="16:18">
      <c r="P249" s="568" t="s">
        <v>1715</v>
      </c>
      <c r="Q249" s="946">
        <v>6</v>
      </c>
      <c r="R249" s="946" t="s">
        <v>3300</v>
      </c>
    </row>
    <row r="250" spans="16:18">
      <c r="P250" s="568" t="s">
        <v>1716</v>
      </c>
      <c r="Q250" s="946">
        <v>6</v>
      </c>
      <c r="R250" s="946" t="s">
        <v>3300</v>
      </c>
    </row>
    <row r="251" spans="16:18">
      <c r="P251" s="568" t="s">
        <v>1717</v>
      </c>
      <c r="Q251" s="946">
        <v>6</v>
      </c>
      <c r="R251" s="946" t="s">
        <v>3300</v>
      </c>
    </row>
    <row r="252" spans="16:18">
      <c r="P252" s="568" t="s">
        <v>1718</v>
      </c>
      <c r="Q252" s="946">
        <v>6</v>
      </c>
      <c r="R252" s="946" t="s">
        <v>3300</v>
      </c>
    </row>
    <row r="253" spans="16:18">
      <c r="P253" s="568" t="s">
        <v>1719</v>
      </c>
      <c r="Q253" s="946">
        <v>6</v>
      </c>
      <c r="R253" s="946" t="s">
        <v>3300</v>
      </c>
    </row>
    <row r="254" spans="16:18">
      <c r="P254" s="568" t="s">
        <v>1720</v>
      </c>
      <c r="Q254" s="946">
        <v>6</v>
      </c>
      <c r="R254" s="946" t="s">
        <v>3300</v>
      </c>
    </row>
    <row r="255" spans="16:18">
      <c r="P255" s="568" t="s">
        <v>1721</v>
      </c>
      <c r="Q255" s="946">
        <v>6</v>
      </c>
      <c r="R255" s="946" t="s">
        <v>3300</v>
      </c>
    </row>
    <row r="256" spans="16:18">
      <c r="P256" s="568" t="s">
        <v>1722</v>
      </c>
      <c r="Q256" s="946">
        <v>6</v>
      </c>
      <c r="R256" s="946" t="s">
        <v>3300</v>
      </c>
    </row>
    <row r="257" spans="16:18">
      <c r="P257" s="568" t="s">
        <v>1723</v>
      </c>
      <c r="Q257" s="946">
        <v>6</v>
      </c>
      <c r="R257" s="946" t="s">
        <v>3300</v>
      </c>
    </row>
    <row r="258" spans="16:18">
      <c r="P258" s="568" t="s">
        <v>1724</v>
      </c>
      <c r="Q258" s="946">
        <v>6</v>
      </c>
      <c r="R258" s="946" t="s">
        <v>3300</v>
      </c>
    </row>
    <row r="259" spans="16:18">
      <c r="P259" s="568" t="s">
        <v>1725</v>
      </c>
      <c r="Q259" s="946">
        <v>6</v>
      </c>
      <c r="R259" s="946" t="s">
        <v>3300</v>
      </c>
    </row>
    <row r="260" spans="16:18">
      <c r="P260" s="568" t="s">
        <v>1726</v>
      </c>
      <c r="Q260" s="946">
        <v>6</v>
      </c>
      <c r="R260" s="946" t="s">
        <v>3300</v>
      </c>
    </row>
    <row r="261" spans="16:18">
      <c r="P261" s="568" t="s">
        <v>1727</v>
      </c>
      <c r="Q261" s="946">
        <v>6</v>
      </c>
      <c r="R261" s="946" t="s">
        <v>3300</v>
      </c>
    </row>
    <row r="262" spans="16:18">
      <c r="P262" s="568" t="s">
        <v>1728</v>
      </c>
      <c r="Q262" s="946">
        <v>6</v>
      </c>
      <c r="R262" s="946" t="s">
        <v>3300</v>
      </c>
    </row>
    <row r="263" spans="16:18">
      <c r="P263" s="568" t="s">
        <v>1729</v>
      </c>
      <c r="Q263" s="946">
        <v>6</v>
      </c>
      <c r="R263" s="946" t="s">
        <v>3300</v>
      </c>
    </row>
    <row r="264" spans="16:18">
      <c r="P264" s="568" t="s">
        <v>1730</v>
      </c>
      <c r="Q264" s="946">
        <v>6</v>
      </c>
      <c r="R264" s="946" t="s">
        <v>3300</v>
      </c>
    </row>
    <row r="265" spans="16:18">
      <c r="P265" s="568" t="s">
        <v>1731</v>
      </c>
      <c r="Q265" s="946">
        <v>6</v>
      </c>
      <c r="R265" s="946" t="s">
        <v>3300</v>
      </c>
    </row>
    <row r="266" spans="16:18">
      <c r="P266" s="568" t="s">
        <v>1732</v>
      </c>
      <c r="Q266" s="946">
        <v>6</v>
      </c>
      <c r="R266" s="946" t="s">
        <v>3300</v>
      </c>
    </row>
    <row r="267" spans="16:18">
      <c r="P267" s="568" t="s">
        <v>1733</v>
      </c>
      <c r="Q267" s="946">
        <v>6</v>
      </c>
      <c r="R267" s="946" t="s">
        <v>3300</v>
      </c>
    </row>
    <row r="268" spans="16:18">
      <c r="P268" s="568" t="s">
        <v>1734</v>
      </c>
      <c r="Q268" s="946">
        <v>6</v>
      </c>
      <c r="R268" s="946" t="s">
        <v>3300</v>
      </c>
    </row>
    <row r="269" spans="16:18">
      <c r="P269" s="568" t="s">
        <v>1735</v>
      </c>
      <c r="Q269" s="946">
        <v>6</v>
      </c>
      <c r="R269" s="946" t="s">
        <v>3300</v>
      </c>
    </row>
    <row r="270" spans="16:18">
      <c r="P270" s="568" t="s">
        <v>1736</v>
      </c>
      <c r="Q270" s="946">
        <v>6</v>
      </c>
      <c r="R270" s="946" t="s">
        <v>3300</v>
      </c>
    </row>
    <row r="271" spans="16:18">
      <c r="P271" s="568" t="s">
        <v>1737</v>
      </c>
      <c r="Q271" s="946">
        <v>6</v>
      </c>
      <c r="R271" s="946" t="s">
        <v>3300</v>
      </c>
    </row>
    <row r="272" spans="16:18">
      <c r="P272" s="568" t="s">
        <v>1738</v>
      </c>
      <c r="Q272" s="946">
        <v>6</v>
      </c>
      <c r="R272" s="946" t="s">
        <v>3300</v>
      </c>
    </row>
    <row r="273" spans="16:18">
      <c r="P273" s="568" t="s">
        <v>1739</v>
      </c>
      <c r="Q273" s="946">
        <v>6</v>
      </c>
      <c r="R273" s="946" t="s">
        <v>3300</v>
      </c>
    </row>
    <row r="274" spans="16:18">
      <c r="P274" s="568" t="s">
        <v>1740</v>
      </c>
      <c r="Q274" s="946">
        <v>6</v>
      </c>
      <c r="R274" s="946" t="s">
        <v>3300</v>
      </c>
    </row>
    <row r="275" spans="16:18">
      <c r="P275" s="568" t="s">
        <v>1741</v>
      </c>
      <c r="Q275" s="946">
        <v>6</v>
      </c>
      <c r="R275" s="946" t="s">
        <v>3300</v>
      </c>
    </row>
    <row r="276" spans="16:18">
      <c r="P276" s="568" t="s">
        <v>1742</v>
      </c>
      <c r="Q276" s="946">
        <v>6</v>
      </c>
      <c r="R276" s="946" t="s">
        <v>3300</v>
      </c>
    </row>
    <row r="277" spans="16:18">
      <c r="P277" s="568" t="s">
        <v>1743</v>
      </c>
      <c r="Q277" s="946">
        <v>6</v>
      </c>
      <c r="R277" s="946" t="s">
        <v>3300</v>
      </c>
    </row>
    <row r="278" spans="16:18">
      <c r="P278" s="568" t="s">
        <v>1744</v>
      </c>
      <c r="Q278" s="946">
        <v>6</v>
      </c>
      <c r="R278" s="946" t="s">
        <v>3300</v>
      </c>
    </row>
    <row r="279" spans="16:18">
      <c r="P279" s="568" t="s">
        <v>1745</v>
      </c>
      <c r="Q279" s="946">
        <v>6</v>
      </c>
      <c r="R279" s="946" t="s">
        <v>3300</v>
      </c>
    </row>
    <row r="280" spans="16:18">
      <c r="P280" s="568" t="s">
        <v>1746</v>
      </c>
      <c r="Q280" s="946">
        <v>6</v>
      </c>
      <c r="R280" s="946" t="s">
        <v>3300</v>
      </c>
    </row>
    <row r="281" spans="16:18">
      <c r="P281" s="568" t="s">
        <v>1747</v>
      </c>
      <c r="Q281" s="946">
        <v>6</v>
      </c>
      <c r="R281" s="946" t="s">
        <v>3300</v>
      </c>
    </row>
    <row r="282" spans="16:18">
      <c r="P282" s="568" t="s">
        <v>1748</v>
      </c>
      <c r="Q282" s="946">
        <v>6</v>
      </c>
      <c r="R282" s="946" t="s">
        <v>3300</v>
      </c>
    </row>
    <row r="283" spans="16:18">
      <c r="P283" s="568" t="s">
        <v>1749</v>
      </c>
      <c r="Q283" s="946">
        <v>6</v>
      </c>
      <c r="R283" s="946" t="s">
        <v>3300</v>
      </c>
    </row>
    <row r="284" spans="16:18">
      <c r="P284" s="568" t="s">
        <v>1750</v>
      </c>
      <c r="Q284" s="946">
        <v>6</v>
      </c>
      <c r="R284" s="946" t="s">
        <v>3300</v>
      </c>
    </row>
    <row r="285" spans="16:18">
      <c r="P285" s="568" t="s">
        <v>1751</v>
      </c>
      <c r="Q285" s="946">
        <v>6</v>
      </c>
      <c r="R285" s="946" t="s">
        <v>3300</v>
      </c>
    </row>
    <row r="286" spans="16:18">
      <c r="P286" s="568" t="s">
        <v>1752</v>
      </c>
      <c r="Q286" s="946">
        <v>6</v>
      </c>
      <c r="R286" s="946" t="s">
        <v>3300</v>
      </c>
    </row>
    <row r="287" spans="16:18">
      <c r="P287" s="568" t="s">
        <v>1753</v>
      </c>
      <c r="Q287" s="946">
        <v>6</v>
      </c>
      <c r="R287" s="946" t="s">
        <v>3300</v>
      </c>
    </row>
    <row r="288" spans="16:18">
      <c r="P288" s="568" t="s">
        <v>1754</v>
      </c>
      <c r="Q288" s="946">
        <v>6</v>
      </c>
      <c r="R288" s="946" t="s">
        <v>3300</v>
      </c>
    </row>
    <row r="289" spans="16:18">
      <c r="P289" s="568" t="s">
        <v>1755</v>
      </c>
      <c r="Q289" s="946">
        <v>6</v>
      </c>
      <c r="R289" s="946" t="s">
        <v>3300</v>
      </c>
    </row>
    <row r="290" spans="16:18">
      <c r="P290" s="568" t="s">
        <v>1756</v>
      </c>
      <c r="Q290" s="946">
        <v>6</v>
      </c>
      <c r="R290" s="946" t="s">
        <v>3300</v>
      </c>
    </row>
    <row r="291" spans="16:18">
      <c r="P291" s="568" t="s">
        <v>1757</v>
      </c>
      <c r="Q291" s="946">
        <v>6</v>
      </c>
      <c r="R291" s="946" t="s">
        <v>3300</v>
      </c>
    </row>
    <row r="292" spans="16:18">
      <c r="P292" s="568" t="s">
        <v>1758</v>
      </c>
      <c r="Q292" s="946">
        <v>6</v>
      </c>
      <c r="R292" s="946" t="s">
        <v>3300</v>
      </c>
    </row>
    <row r="293" spans="16:18">
      <c r="P293" s="568" t="s">
        <v>1759</v>
      </c>
      <c r="Q293" s="946">
        <v>6</v>
      </c>
      <c r="R293" s="946" t="s">
        <v>3300</v>
      </c>
    </row>
    <row r="294" spans="16:18">
      <c r="P294" s="568" t="s">
        <v>1764</v>
      </c>
      <c r="Q294" s="946">
        <v>6</v>
      </c>
      <c r="R294" s="946" t="s">
        <v>3300</v>
      </c>
    </row>
    <row r="295" spans="16:18">
      <c r="P295" s="568" t="s">
        <v>1767</v>
      </c>
      <c r="Q295" s="946">
        <v>6</v>
      </c>
      <c r="R295" s="946" t="s">
        <v>3300</v>
      </c>
    </row>
    <row r="296" spans="16:18">
      <c r="P296" s="568" t="s">
        <v>1771</v>
      </c>
      <c r="Q296" s="946">
        <v>6</v>
      </c>
      <c r="R296" s="946" t="s">
        <v>3300</v>
      </c>
    </row>
    <row r="297" spans="16:18">
      <c r="P297" s="568" t="s">
        <v>1772</v>
      </c>
      <c r="Q297" s="946">
        <v>6</v>
      </c>
      <c r="R297" s="946" t="s">
        <v>3300</v>
      </c>
    </row>
    <row r="298" spans="16:18">
      <c r="P298" s="568" t="s">
        <v>1773</v>
      </c>
      <c r="Q298" s="946">
        <v>6</v>
      </c>
      <c r="R298" s="946" t="s">
        <v>3300</v>
      </c>
    </row>
    <row r="299" spans="16:18">
      <c r="P299" s="568" t="s">
        <v>1774</v>
      </c>
      <c r="Q299" s="946">
        <v>6</v>
      </c>
      <c r="R299" s="946" t="s">
        <v>3300</v>
      </c>
    </row>
    <row r="300" spans="16:18">
      <c r="P300" s="568" t="s">
        <v>1776</v>
      </c>
      <c r="Q300" s="946">
        <v>6</v>
      </c>
      <c r="R300" s="946" t="s">
        <v>3300</v>
      </c>
    </row>
    <row r="301" spans="16:18">
      <c r="P301" s="568" t="s">
        <v>1777</v>
      </c>
      <c r="Q301" s="946">
        <v>6</v>
      </c>
      <c r="R301" s="946" t="s">
        <v>3300</v>
      </c>
    </row>
    <row r="302" spans="16:18">
      <c r="P302" s="568" t="s">
        <v>1781</v>
      </c>
      <c r="Q302" s="946">
        <v>6</v>
      </c>
      <c r="R302" s="946" t="s">
        <v>3300</v>
      </c>
    </row>
    <row r="303" spans="16:18">
      <c r="P303" s="568" t="s">
        <v>1785</v>
      </c>
      <c r="Q303" s="946">
        <v>6</v>
      </c>
      <c r="R303" s="946" t="s">
        <v>3300</v>
      </c>
    </row>
    <row r="304" spans="16:18">
      <c r="P304" s="568" t="s">
        <v>1796</v>
      </c>
      <c r="Q304" s="946">
        <v>6</v>
      </c>
      <c r="R304" s="946" t="s">
        <v>3300</v>
      </c>
    </row>
    <row r="305" spans="16:18">
      <c r="P305" s="568" t="s">
        <v>1798</v>
      </c>
      <c r="Q305" s="946">
        <v>6</v>
      </c>
      <c r="R305" s="946" t="s">
        <v>3300</v>
      </c>
    </row>
    <row r="306" spans="16:18">
      <c r="P306" s="568" t="s">
        <v>1813</v>
      </c>
      <c r="Q306" s="946">
        <v>6</v>
      </c>
      <c r="R306" s="946" t="s">
        <v>3300</v>
      </c>
    </row>
    <row r="307" spans="16:18">
      <c r="P307" s="568" t="s">
        <v>1814</v>
      </c>
      <c r="Q307" s="946">
        <v>6</v>
      </c>
      <c r="R307" s="946" t="s">
        <v>3300</v>
      </c>
    </row>
    <row r="308" spans="16:18">
      <c r="P308" s="568" t="s">
        <v>1848</v>
      </c>
      <c r="Q308" s="946">
        <v>6</v>
      </c>
      <c r="R308" s="946" t="s">
        <v>3300</v>
      </c>
    </row>
    <row r="309" spans="16:18">
      <c r="P309" s="568" t="s">
        <v>1849</v>
      </c>
      <c r="Q309" s="946">
        <v>6</v>
      </c>
      <c r="R309" s="946" t="s">
        <v>3300</v>
      </c>
    </row>
    <row r="310" spans="16:18">
      <c r="P310" s="568" t="s">
        <v>1850</v>
      </c>
      <c r="Q310" s="946">
        <v>6</v>
      </c>
      <c r="R310" s="946" t="s">
        <v>3300</v>
      </c>
    </row>
    <row r="311" spans="16:18">
      <c r="P311" s="568" t="s">
        <v>1851</v>
      </c>
      <c r="Q311" s="946">
        <v>6</v>
      </c>
      <c r="R311" s="946" t="s">
        <v>3300</v>
      </c>
    </row>
    <row r="312" spans="16:18">
      <c r="P312" s="568" t="s">
        <v>1852</v>
      </c>
      <c r="Q312" s="946">
        <v>6</v>
      </c>
      <c r="R312" s="946" t="s">
        <v>3300</v>
      </c>
    </row>
    <row r="313" spans="16:18">
      <c r="P313" s="568" t="s">
        <v>1853</v>
      </c>
      <c r="Q313" s="946">
        <v>6</v>
      </c>
      <c r="R313" s="946" t="s">
        <v>3300</v>
      </c>
    </row>
    <row r="314" spans="16:18">
      <c r="P314" s="568" t="s">
        <v>1854</v>
      </c>
      <c r="Q314" s="946">
        <v>6</v>
      </c>
      <c r="R314" s="946" t="s">
        <v>3300</v>
      </c>
    </row>
    <row r="315" spans="16:18">
      <c r="P315" s="568" t="s">
        <v>1856</v>
      </c>
      <c r="Q315" s="946">
        <v>6</v>
      </c>
      <c r="R315" s="946" t="s">
        <v>3300</v>
      </c>
    </row>
    <row r="316" spans="16:18">
      <c r="P316" s="568" t="s">
        <v>1857</v>
      </c>
      <c r="Q316" s="946">
        <v>6</v>
      </c>
      <c r="R316" s="946" t="s">
        <v>3300</v>
      </c>
    </row>
    <row r="317" spans="16:18">
      <c r="P317" s="568" t="s">
        <v>1858</v>
      </c>
      <c r="Q317" s="946">
        <v>6</v>
      </c>
      <c r="R317" s="946" t="s">
        <v>3300</v>
      </c>
    </row>
    <row r="318" spans="16:18">
      <c r="P318" s="568" t="s">
        <v>1865</v>
      </c>
      <c r="Q318" s="946">
        <v>6</v>
      </c>
      <c r="R318" s="946" t="s">
        <v>3300</v>
      </c>
    </row>
    <row r="319" spans="16:18">
      <c r="P319" s="568" t="s">
        <v>1876</v>
      </c>
      <c r="Q319" s="946">
        <v>6</v>
      </c>
      <c r="R319" s="946" t="s">
        <v>3300</v>
      </c>
    </row>
    <row r="320" spans="16:18">
      <c r="P320" s="568" t="s">
        <v>1886</v>
      </c>
      <c r="Q320" s="946">
        <v>6</v>
      </c>
      <c r="R320" s="946" t="s">
        <v>3300</v>
      </c>
    </row>
    <row r="321" spans="16:18">
      <c r="P321" s="568" t="s">
        <v>1887</v>
      </c>
      <c r="Q321" s="946">
        <v>6</v>
      </c>
      <c r="R321" s="946" t="s">
        <v>3300</v>
      </c>
    </row>
    <row r="322" spans="16:18">
      <c r="P322" s="568" t="s">
        <v>1888</v>
      </c>
      <c r="Q322" s="946">
        <v>6</v>
      </c>
      <c r="R322" s="946" t="s">
        <v>3300</v>
      </c>
    </row>
    <row r="323" spans="16:18">
      <c r="P323" s="568" t="s">
        <v>1889</v>
      </c>
      <c r="Q323" s="946">
        <v>6</v>
      </c>
      <c r="R323" s="946" t="s">
        <v>3300</v>
      </c>
    </row>
    <row r="324" spans="16:18">
      <c r="P324" s="568" t="s">
        <v>1890</v>
      </c>
      <c r="Q324" s="946">
        <v>6</v>
      </c>
      <c r="R324" s="946" t="s">
        <v>3300</v>
      </c>
    </row>
    <row r="325" spans="16:18">
      <c r="P325" s="568" t="s">
        <v>1893</v>
      </c>
      <c r="Q325" s="946">
        <v>6</v>
      </c>
      <c r="R325" s="946" t="s">
        <v>3300</v>
      </c>
    </row>
    <row r="326" spans="16:18">
      <c r="P326" s="568" t="s">
        <v>1894</v>
      </c>
      <c r="Q326" s="946">
        <v>6</v>
      </c>
      <c r="R326" s="946" t="s">
        <v>3300</v>
      </c>
    </row>
    <row r="327" spans="16:18">
      <c r="P327" s="568" t="s">
        <v>1895</v>
      </c>
      <c r="Q327" s="946">
        <v>6</v>
      </c>
      <c r="R327" s="946" t="s">
        <v>3300</v>
      </c>
    </row>
    <row r="328" spans="16:18">
      <c r="P328" s="568" t="s">
        <v>1896</v>
      </c>
      <c r="Q328" s="946">
        <v>6</v>
      </c>
      <c r="R328" s="946" t="s">
        <v>3300</v>
      </c>
    </row>
    <row r="329" spans="16:18">
      <c r="P329" s="568" t="s">
        <v>1898</v>
      </c>
      <c r="Q329" s="946">
        <v>6</v>
      </c>
      <c r="R329" s="946" t="s">
        <v>3300</v>
      </c>
    </row>
    <row r="330" spans="16:18">
      <c r="P330" s="568" t="s">
        <v>1900</v>
      </c>
      <c r="Q330" s="946">
        <v>6</v>
      </c>
      <c r="R330" s="946" t="s">
        <v>3300</v>
      </c>
    </row>
    <row r="331" spans="16:18">
      <c r="P331" s="568" t="s">
        <v>1901</v>
      </c>
      <c r="Q331" s="946">
        <v>6</v>
      </c>
      <c r="R331" s="946" t="s">
        <v>3300</v>
      </c>
    </row>
    <row r="332" spans="16:18">
      <c r="P332" s="568" t="s">
        <v>1902</v>
      </c>
      <c r="Q332" s="946">
        <v>6</v>
      </c>
      <c r="R332" s="946" t="s">
        <v>3300</v>
      </c>
    </row>
    <row r="333" spans="16:18">
      <c r="P333" s="568" t="s">
        <v>1903</v>
      </c>
      <c r="Q333" s="946">
        <v>6</v>
      </c>
      <c r="R333" s="946" t="s">
        <v>3300</v>
      </c>
    </row>
    <row r="334" spans="16:18">
      <c r="P334" s="568" t="s">
        <v>1904</v>
      </c>
      <c r="Q334" s="946">
        <v>6</v>
      </c>
      <c r="R334" s="946" t="s">
        <v>3300</v>
      </c>
    </row>
    <row r="335" spans="16:18">
      <c r="P335" s="568" t="s">
        <v>1905</v>
      </c>
      <c r="Q335" s="946">
        <v>6</v>
      </c>
      <c r="R335" s="946" t="s">
        <v>3300</v>
      </c>
    </row>
    <row r="336" spans="16:18">
      <c r="P336" s="568" t="s">
        <v>1906</v>
      </c>
      <c r="Q336" s="946">
        <v>6</v>
      </c>
      <c r="R336" s="946" t="s">
        <v>3300</v>
      </c>
    </row>
    <row r="337" spans="16:18">
      <c r="P337" s="575" t="s">
        <v>1907</v>
      </c>
      <c r="Q337" s="946">
        <v>6</v>
      </c>
      <c r="R337" s="946" t="s">
        <v>3300</v>
      </c>
    </row>
    <row r="338" spans="16:18">
      <c r="P338" s="568" t="s">
        <v>1908</v>
      </c>
      <c r="Q338" s="946">
        <v>6</v>
      </c>
      <c r="R338" s="946" t="s">
        <v>3300</v>
      </c>
    </row>
    <row r="339" spans="16:18">
      <c r="P339" s="568" t="s">
        <v>1909</v>
      </c>
      <c r="Q339" s="946">
        <v>6</v>
      </c>
      <c r="R339" s="946" t="s">
        <v>3300</v>
      </c>
    </row>
    <row r="340" spans="16:18">
      <c r="P340" s="568" t="s">
        <v>1910</v>
      </c>
      <c r="Q340" s="946">
        <v>6</v>
      </c>
      <c r="R340" s="946" t="s">
        <v>3300</v>
      </c>
    </row>
    <row r="341" spans="16:18">
      <c r="P341" s="568" t="s">
        <v>1911</v>
      </c>
      <c r="Q341" s="946">
        <v>6</v>
      </c>
      <c r="R341" s="946" t="s">
        <v>3300</v>
      </c>
    </row>
    <row r="342" spans="16:18">
      <c r="P342" s="568" t="s">
        <v>1912</v>
      </c>
      <c r="Q342" s="946">
        <v>6</v>
      </c>
      <c r="R342" s="946" t="s">
        <v>3300</v>
      </c>
    </row>
    <row r="343" spans="16:18">
      <c r="P343" s="568" t="s">
        <v>1913</v>
      </c>
      <c r="Q343" s="946">
        <v>6</v>
      </c>
      <c r="R343" s="946" t="s">
        <v>3300</v>
      </c>
    </row>
    <row r="344" spans="16:18">
      <c r="P344" s="568" t="s">
        <v>1914</v>
      </c>
      <c r="Q344" s="946">
        <v>6</v>
      </c>
      <c r="R344" s="946" t="s">
        <v>3300</v>
      </c>
    </row>
    <row r="345" spans="16:18">
      <c r="P345" s="568" t="s">
        <v>1915</v>
      </c>
      <c r="Q345" s="946">
        <v>6</v>
      </c>
      <c r="R345" s="946" t="s">
        <v>3300</v>
      </c>
    </row>
    <row r="346" spans="16:18">
      <c r="P346" s="575" t="s">
        <v>1916</v>
      </c>
      <c r="Q346" s="946">
        <v>6</v>
      </c>
      <c r="R346" s="946" t="s">
        <v>3300</v>
      </c>
    </row>
    <row r="347" spans="16:18">
      <c r="P347" s="568" t="s">
        <v>1917</v>
      </c>
      <c r="Q347" s="946">
        <v>6</v>
      </c>
      <c r="R347" s="946" t="s">
        <v>3300</v>
      </c>
    </row>
    <row r="348" spans="16:18">
      <c r="P348" s="568" t="s">
        <v>1918</v>
      </c>
      <c r="Q348" s="946">
        <v>6</v>
      </c>
      <c r="R348" s="946" t="s">
        <v>3300</v>
      </c>
    </row>
    <row r="349" spans="16:18">
      <c r="P349" s="568" t="s">
        <v>1919</v>
      </c>
      <c r="Q349" s="946">
        <v>6</v>
      </c>
      <c r="R349" s="946" t="s">
        <v>3300</v>
      </c>
    </row>
    <row r="350" spans="16:18">
      <c r="P350" s="568" t="s">
        <v>1920</v>
      </c>
      <c r="Q350" s="946">
        <v>6</v>
      </c>
      <c r="R350" s="946" t="s">
        <v>3300</v>
      </c>
    </row>
    <row r="351" spans="16:18">
      <c r="P351" s="568" t="s">
        <v>1921</v>
      </c>
      <c r="Q351" s="946">
        <v>6</v>
      </c>
      <c r="R351" s="946" t="s">
        <v>3300</v>
      </c>
    </row>
    <row r="352" spans="16:18">
      <c r="P352" s="568" t="s">
        <v>1922</v>
      </c>
      <c r="Q352" s="946">
        <v>6</v>
      </c>
      <c r="R352" s="946" t="s">
        <v>3300</v>
      </c>
    </row>
    <row r="353" spans="16:18">
      <c r="P353" s="568" t="s">
        <v>1923</v>
      </c>
      <c r="Q353" s="946">
        <v>6</v>
      </c>
      <c r="R353" s="946" t="s">
        <v>3300</v>
      </c>
    </row>
    <row r="354" spans="16:18">
      <c r="P354" s="568" t="s">
        <v>1924</v>
      </c>
      <c r="Q354" s="946">
        <v>6</v>
      </c>
      <c r="R354" s="946" t="s">
        <v>3300</v>
      </c>
    </row>
    <row r="355" spans="16:18">
      <c r="P355" s="568" t="s">
        <v>1925</v>
      </c>
      <c r="Q355" s="946">
        <v>6</v>
      </c>
      <c r="R355" s="946" t="s">
        <v>3300</v>
      </c>
    </row>
    <row r="356" spans="16:18">
      <c r="P356" s="568" t="s">
        <v>1926</v>
      </c>
      <c r="Q356" s="946">
        <v>6</v>
      </c>
      <c r="R356" s="946" t="s">
        <v>3300</v>
      </c>
    </row>
    <row r="357" spans="16:18">
      <c r="P357" s="568" t="s">
        <v>1927</v>
      </c>
      <c r="Q357" s="946">
        <v>6</v>
      </c>
      <c r="R357" s="946" t="s">
        <v>3300</v>
      </c>
    </row>
    <row r="358" spans="16:18">
      <c r="P358" s="568" t="s">
        <v>1928</v>
      </c>
      <c r="Q358" s="946">
        <v>6</v>
      </c>
      <c r="R358" s="946" t="s">
        <v>3300</v>
      </c>
    </row>
    <row r="359" spans="16:18">
      <c r="P359" s="568" t="s">
        <v>1929</v>
      </c>
      <c r="Q359" s="946">
        <v>6</v>
      </c>
      <c r="R359" s="946" t="s">
        <v>3300</v>
      </c>
    </row>
    <row r="360" spans="16:18">
      <c r="P360" s="568" t="s">
        <v>1930</v>
      </c>
      <c r="Q360" s="946">
        <v>6</v>
      </c>
      <c r="R360" s="946" t="s">
        <v>3300</v>
      </c>
    </row>
    <row r="361" spans="16:18">
      <c r="P361" s="568" t="s">
        <v>1932</v>
      </c>
      <c r="Q361" s="946">
        <v>6</v>
      </c>
      <c r="R361" s="946" t="s">
        <v>3300</v>
      </c>
    </row>
    <row r="362" spans="16:18">
      <c r="P362" s="568" t="s">
        <v>1935</v>
      </c>
      <c r="Q362" s="946">
        <v>6</v>
      </c>
      <c r="R362" s="946" t="s">
        <v>3300</v>
      </c>
    </row>
    <row r="363" spans="16:18">
      <c r="P363" s="568" t="s">
        <v>1936</v>
      </c>
      <c r="Q363" s="946">
        <v>6</v>
      </c>
      <c r="R363" s="946" t="s">
        <v>3300</v>
      </c>
    </row>
    <row r="364" spans="16:18">
      <c r="P364" s="568" t="s">
        <v>1937</v>
      </c>
      <c r="Q364" s="946">
        <v>6</v>
      </c>
      <c r="R364" s="946" t="s">
        <v>3300</v>
      </c>
    </row>
    <row r="365" spans="16:18">
      <c r="P365" s="568" t="s">
        <v>1938</v>
      </c>
      <c r="Q365" s="946">
        <v>6</v>
      </c>
      <c r="R365" s="946" t="s">
        <v>3300</v>
      </c>
    </row>
    <row r="366" spans="16:18">
      <c r="P366" s="568" t="s">
        <v>1939</v>
      </c>
      <c r="Q366" s="946">
        <v>6</v>
      </c>
      <c r="R366" s="946" t="s">
        <v>3300</v>
      </c>
    </row>
    <row r="367" spans="16:18">
      <c r="P367" s="568" t="s">
        <v>1940</v>
      </c>
      <c r="Q367" s="946">
        <v>6</v>
      </c>
      <c r="R367" s="946" t="s">
        <v>3300</v>
      </c>
    </row>
    <row r="368" spans="16:18">
      <c r="P368" s="568" t="s">
        <v>1941</v>
      </c>
      <c r="Q368" s="946">
        <v>6</v>
      </c>
      <c r="R368" s="946" t="s">
        <v>3300</v>
      </c>
    </row>
    <row r="369" spans="16:18">
      <c r="P369" s="568" t="s">
        <v>1943</v>
      </c>
      <c r="Q369" s="946">
        <v>6</v>
      </c>
      <c r="R369" s="946" t="s">
        <v>3300</v>
      </c>
    </row>
    <row r="370" spans="16:18">
      <c r="P370" s="568" t="s">
        <v>1945</v>
      </c>
      <c r="Q370" s="946">
        <v>6</v>
      </c>
      <c r="R370" s="946" t="s">
        <v>3300</v>
      </c>
    </row>
    <row r="371" spans="16:18">
      <c r="P371" s="568" t="s">
        <v>1946</v>
      </c>
      <c r="Q371" s="946">
        <v>6</v>
      </c>
      <c r="R371" s="946" t="s">
        <v>3300</v>
      </c>
    </row>
    <row r="372" spans="16:18">
      <c r="P372" s="568" t="s">
        <v>1948</v>
      </c>
      <c r="Q372" s="946">
        <v>6</v>
      </c>
      <c r="R372" s="946" t="s">
        <v>3300</v>
      </c>
    </row>
    <row r="373" spans="16:18">
      <c r="P373" s="568" t="s">
        <v>1950</v>
      </c>
      <c r="Q373" s="946">
        <v>6</v>
      </c>
      <c r="R373" s="946" t="s">
        <v>3300</v>
      </c>
    </row>
    <row r="374" spans="16:18">
      <c r="P374" s="568" t="s">
        <v>1952</v>
      </c>
      <c r="Q374" s="946">
        <v>6</v>
      </c>
      <c r="R374" s="946" t="s">
        <v>3300</v>
      </c>
    </row>
    <row r="375" spans="16:18">
      <c r="P375" s="568" t="s">
        <v>1971</v>
      </c>
      <c r="Q375" s="946">
        <v>6</v>
      </c>
      <c r="R375" s="946" t="s">
        <v>3300</v>
      </c>
    </row>
    <row r="376" spans="16:18">
      <c r="P376" s="568" t="s">
        <v>1972</v>
      </c>
      <c r="Q376" s="946">
        <v>6</v>
      </c>
      <c r="R376" s="946" t="s">
        <v>3300</v>
      </c>
    </row>
    <row r="377" spans="16:18">
      <c r="P377" s="568" t="s">
        <v>1974</v>
      </c>
      <c r="Q377" s="946">
        <v>6</v>
      </c>
      <c r="R377" s="946" t="s">
        <v>3300</v>
      </c>
    </row>
    <row r="378" spans="16:18">
      <c r="P378" s="568" t="s">
        <v>1975</v>
      </c>
      <c r="Q378" s="946">
        <v>6</v>
      </c>
      <c r="R378" s="946" t="s">
        <v>3300</v>
      </c>
    </row>
    <row r="379" spans="16:18">
      <c r="P379" s="568" t="s">
        <v>1978</v>
      </c>
      <c r="Q379" s="946">
        <v>6</v>
      </c>
      <c r="R379" s="946" t="s">
        <v>3300</v>
      </c>
    </row>
    <row r="380" spans="16:18">
      <c r="P380" s="568" t="s">
        <v>1979</v>
      </c>
      <c r="Q380" s="946">
        <v>6</v>
      </c>
      <c r="R380" s="946" t="s">
        <v>3300</v>
      </c>
    </row>
    <row r="381" spans="16:18">
      <c r="P381" s="568" t="s">
        <v>1983</v>
      </c>
      <c r="Q381" s="946">
        <v>6</v>
      </c>
      <c r="R381" s="946" t="s">
        <v>3300</v>
      </c>
    </row>
    <row r="382" spans="16:18">
      <c r="P382" s="568" t="s">
        <v>1984</v>
      </c>
      <c r="Q382" s="946">
        <v>6</v>
      </c>
      <c r="R382" s="946" t="s">
        <v>3300</v>
      </c>
    </row>
    <row r="383" spans="16:18">
      <c r="P383" s="568" t="s">
        <v>1985</v>
      </c>
      <c r="Q383" s="946">
        <v>6</v>
      </c>
      <c r="R383" s="946" t="s">
        <v>3300</v>
      </c>
    </row>
    <row r="384" spans="16:18">
      <c r="P384" s="568" t="s">
        <v>1990</v>
      </c>
      <c r="Q384" s="946">
        <v>6</v>
      </c>
      <c r="R384" s="946" t="s">
        <v>3300</v>
      </c>
    </row>
    <row r="385" spans="16:18">
      <c r="P385" s="568" t="s">
        <v>1991</v>
      </c>
      <c r="Q385" s="946">
        <v>6</v>
      </c>
      <c r="R385" s="946" t="s">
        <v>3300</v>
      </c>
    </row>
    <row r="386" spans="16:18">
      <c r="P386" s="568" t="s">
        <v>1992</v>
      </c>
      <c r="Q386" s="946">
        <v>6</v>
      </c>
      <c r="R386" s="946" t="s">
        <v>3300</v>
      </c>
    </row>
    <row r="387" spans="16:18">
      <c r="P387" s="568" t="s">
        <v>1994</v>
      </c>
      <c r="Q387" s="946">
        <v>6</v>
      </c>
      <c r="R387" s="946" t="s">
        <v>3300</v>
      </c>
    </row>
    <row r="388" spans="16:18">
      <c r="P388" s="568" t="s">
        <v>1995</v>
      </c>
      <c r="Q388" s="946">
        <v>6</v>
      </c>
      <c r="R388" s="946" t="s">
        <v>3300</v>
      </c>
    </row>
    <row r="389" spans="16:18">
      <c r="P389" s="568" t="s">
        <v>1997</v>
      </c>
      <c r="Q389" s="946">
        <v>6</v>
      </c>
      <c r="R389" s="946" t="s">
        <v>3300</v>
      </c>
    </row>
    <row r="390" spans="16:18">
      <c r="P390" s="568" t="s">
        <v>1999</v>
      </c>
      <c r="Q390" s="946">
        <v>6</v>
      </c>
      <c r="R390" s="946" t="s">
        <v>3300</v>
      </c>
    </row>
    <row r="391" spans="16:18">
      <c r="P391" s="568" t="s">
        <v>2001</v>
      </c>
      <c r="Q391" s="946">
        <v>6</v>
      </c>
      <c r="R391" s="946" t="s">
        <v>3300</v>
      </c>
    </row>
    <row r="392" spans="16:18">
      <c r="P392" s="568" t="s">
        <v>2002</v>
      </c>
      <c r="Q392" s="946">
        <v>6</v>
      </c>
      <c r="R392" s="946" t="s">
        <v>3300</v>
      </c>
    </row>
    <row r="393" spans="16:18">
      <c r="P393" s="568" t="s">
        <v>2003</v>
      </c>
      <c r="Q393" s="946">
        <v>6</v>
      </c>
      <c r="R393" s="946" t="s">
        <v>3300</v>
      </c>
    </row>
    <row r="394" spans="16:18">
      <c r="P394" s="568" t="s">
        <v>2004</v>
      </c>
      <c r="Q394" s="946">
        <v>6</v>
      </c>
      <c r="R394" s="946" t="s">
        <v>3300</v>
      </c>
    </row>
    <row r="395" spans="16:18">
      <c r="P395" s="568" t="s">
        <v>2005</v>
      </c>
      <c r="Q395" s="946">
        <v>6</v>
      </c>
      <c r="R395" s="946" t="s">
        <v>3300</v>
      </c>
    </row>
    <row r="396" spans="16:18">
      <c r="P396" s="568" t="s">
        <v>2006</v>
      </c>
      <c r="Q396" s="946">
        <v>6</v>
      </c>
      <c r="R396" s="946" t="s">
        <v>3300</v>
      </c>
    </row>
    <row r="397" spans="16:18">
      <c r="P397" s="568" t="s">
        <v>2007</v>
      </c>
      <c r="Q397" s="946">
        <v>6</v>
      </c>
      <c r="R397" s="946" t="s">
        <v>3300</v>
      </c>
    </row>
    <row r="398" spans="16:18">
      <c r="P398" s="568" t="s">
        <v>2010</v>
      </c>
      <c r="Q398" s="946">
        <v>6</v>
      </c>
      <c r="R398" s="946" t="s">
        <v>3300</v>
      </c>
    </row>
    <row r="399" spans="16:18">
      <c r="P399" s="568" t="s">
        <v>2011</v>
      </c>
      <c r="Q399" s="946">
        <v>6</v>
      </c>
      <c r="R399" s="946" t="s">
        <v>3300</v>
      </c>
    </row>
    <row r="400" spans="16:18">
      <c r="P400" s="575" t="s">
        <v>2012</v>
      </c>
      <c r="Q400" s="946">
        <v>6</v>
      </c>
      <c r="R400" s="946" t="s">
        <v>3300</v>
      </c>
    </row>
    <row r="401" spans="16:18">
      <c r="P401" s="568" t="s">
        <v>2016</v>
      </c>
      <c r="Q401" s="946">
        <v>6</v>
      </c>
      <c r="R401" s="946" t="s">
        <v>3300</v>
      </c>
    </row>
    <row r="402" spans="16:18">
      <c r="P402" s="568" t="s">
        <v>2017</v>
      </c>
      <c r="Q402" s="946">
        <v>6</v>
      </c>
      <c r="R402" s="946" t="s">
        <v>3300</v>
      </c>
    </row>
    <row r="403" spans="16:18">
      <c r="P403" s="568" t="s">
        <v>2018</v>
      </c>
      <c r="Q403" s="946">
        <v>6</v>
      </c>
      <c r="R403" s="946" t="s">
        <v>3300</v>
      </c>
    </row>
    <row r="404" spans="16:18">
      <c r="P404" s="568" t="s">
        <v>2019</v>
      </c>
      <c r="Q404" s="946">
        <v>6</v>
      </c>
      <c r="R404" s="946" t="s">
        <v>3300</v>
      </c>
    </row>
    <row r="405" spans="16:18">
      <c r="P405" s="568" t="s">
        <v>2020</v>
      </c>
      <c r="Q405" s="946">
        <v>6</v>
      </c>
      <c r="R405" s="946" t="s">
        <v>3300</v>
      </c>
    </row>
    <row r="406" spans="16:18">
      <c r="P406" s="568" t="s">
        <v>2022</v>
      </c>
      <c r="Q406" s="946">
        <v>6</v>
      </c>
      <c r="R406" s="946" t="s">
        <v>3300</v>
      </c>
    </row>
    <row r="407" spans="16:18">
      <c r="P407" s="568" t="s">
        <v>2023</v>
      </c>
      <c r="Q407" s="946">
        <v>6</v>
      </c>
      <c r="R407" s="946" t="s">
        <v>3300</v>
      </c>
    </row>
    <row r="408" spans="16:18">
      <c r="P408" s="568" t="s">
        <v>2024</v>
      </c>
      <c r="Q408" s="946">
        <v>6</v>
      </c>
      <c r="R408" s="946" t="s">
        <v>3300</v>
      </c>
    </row>
    <row r="409" spans="16:18">
      <c r="P409" s="568" t="s">
        <v>2025</v>
      </c>
      <c r="Q409" s="946">
        <v>6</v>
      </c>
      <c r="R409" s="946" t="s">
        <v>3300</v>
      </c>
    </row>
    <row r="410" spans="16:18">
      <c r="P410" s="568" t="s">
        <v>2026</v>
      </c>
      <c r="Q410" s="946">
        <v>6</v>
      </c>
      <c r="R410" s="946" t="s">
        <v>3300</v>
      </c>
    </row>
    <row r="411" spans="16:18">
      <c r="P411" s="568" t="s">
        <v>2027</v>
      </c>
      <c r="Q411" s="946">
        <v>6</v>
      </c>
      <c r="R411" s="946" t="s">
        <v>3300</v>
      </c>
    </row>
    <row r="412" spans="16:18">
      <c r="P412" s="568" t="s">
        <v>2028</v>
      </c>
      <c r="Q412" s="946">
        <v>6</v>
      </c>
      <c r="R412" s="946" t="s">
        <v>3300</v>
      </c>
    </row>
    <row r="413" spans="16:18">
      <c r="P413" s="568" t="s">
        <v>2029</v>
      </c>
      <c r="Q413" s="946">
        <v>6</v>
      </c>
      <c r="R413" s="946" t="s">
        <v>3300</v>
      </c>
    </row>
    <row r="414" spans="16:18">
      <c r="P414" s="568" t="s">
        <v>2030</v>
      </c>
      <c r="Q414" s="946">
        <v>6</v>
      </c>
      <c r="R414" s="946" t="s">
        <v>3300</v>
      </c>
    </row>
    <row r="415" spans="16:18">
      <c r="P415" s="568" t="s">
        <v>2031</v>
      </c>
      <c r="Q415" s="946">
        <v>6</v>
      </c>
      <c r="R415" s="946" t="s">
        <v>3300</v>
      </c>
    </row>
    <row r="416" spans="16:18">
      <c r="P416" s="568" t="s">
        <v>2032</v>
      </c>
      <c r="Q416" s="946">
        <v>6</v>
      </c>
      <c r="R416" s="946" t="s">
        <v>3300</v>
      </c>
    </row>
    <row r="417" spans="16:18">
      <c r="P417" s="568" t="s">
        <v>2033</v>
      </c>
      <c r="Q417" s="946">
        <v>6</v>
      </c>
      <c r="R417" s="946" t="s">
        <v>3300</v>
      </c>
    </row>
    <row r="418" spans="16:18">
      <c r="P418" s="568" t="s">
        <v>2034</v>
      </c>
      <c r="Q418" s="946">
        <v>6</v>
      </c>
      <c r="R418" s="946" t="s">
        <v>3300</v>
      </c>
    </row>
    <row r="419" spans="16:18">
      <c r="P419" s="568" t="s">
        <v>2035</v>
      </c>
      <c r="Q419" s="946">
        <v>6</v>
      </c>
      <c r="R419" s="946" t="s">
        <v>3300</v>
      </c>
    </row>
    <row r="420" spans="16:18">
      <c r="P420" s="568" t="s">
        <v>2036</v>
      </c>
      <c r="Q420" s="946">
        <v>6</v>
      </c>
      <c r="R420" s="946" t="s">
        <v>3300</v>
      </c>
    </row>
    <row r="421" spans="16:18">
      <c r="P421" s="568" t="s">
        <v>2037</v>
      </c>
      <c r="Q421" s="946">
        <v>6</v>
      </c>
      <c r="R421" s="946" t="s">
        <v>3300</v>
      </c>
    </row>
    <row r="422" spans="16:18">
      <c r="P422" s="568" t="s">
        <v>2038</v>
      </c>
      <c r="Q422" s="946">
        <v>6</v>
      </c>
      <c r="R422" s="946" t="s">
        <v>3300</v>
      </c>
    </row>
    <row r="423" spans="16:18">
      <c r="P423" s="568" t="s">
        <v>2039</v>
      </c>
      <c r="Q423" s="946">
        <v>6</v>
      </c>
      <c r="R423" s="946" t="s">
        <v>3300</v>
      </c>
    </row>
    <row r="424" spans="16:18">
      <c r="P424" s="568" t="s">
        <v>2040</v>
      </c>
      <c r="Q424" s="946">
        <v>6</v>
      </c>
      <c r="R424" s="946" t="s">
        <v>3300</v>
      </c>
    </row>
    <row r="425" spans="16:18">
      <c r="P425" s="568" t="s">
        <v>2041</v>
      </c>
      <c r="Q425" s="946">
        <v>6</v>
      </c>
      <c r="R425" s="946" t="s">
        <v>3300</v>
      </c>
    </row>
    <row r="426" spans="16:18">
      <c r="P426" s="568" t="s">
        <v>2042</v>
      </c>
      <c r="Q426" s="946">
        <v>6</v>
      </c>
      <c r="R426" s="946" t="s">
        <v>3300</v>
      </c>
    </row>
    <row r="427" spans="16:18">
      <c r="P427" s="568" t="s">
        <v>2043</v>
      </c>
      <c r="Q427" s="946">
        <v>6</v>
      </c>
      <c r="R427" s="946" t="s">
        <v>3300</v>
      </c>
    </row>
  </sheetData>
  <autoFilter ref="P7:Q427" xr:uid="{00000000-0009-0000-0000-000033000000}"/>
  <mergeCells count="2">
    <mergeCell ref="F10:K10"/>
    <mergeCell ref="F11:J11"/>
  </mergeCells>
  <pageMargins left="0.45" right="0.45" top="0.75" bottom="0.75" header="0.3" footer="0.3"/>
  <pageSetup scale="64" fitToHeight="2" orientation="landscape" verticalDpi="1200" r:id="rId1"/>
  <headerFooter>
    <oddFooter>&amp;RPage &amp;P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3">
    <tabColor rgb="FFFFFF00"/>
  </sheetPr>
  <dimension ref="A1:AC45"/>
  <sheetViews>
    <sheetView showGridLines="0" topLeftCell="D1" workbookViewId="0">
      <selection activeCell="O6" sqref="O6"/>
    </sheetView>
  </sheetViews>
  <sheetFormatPr defaultColWidth="9.140625" defaultRowHeight="15" outlineLevelCol="1"/>
  <cols>
    <col min="1" max="1" width="6.85546875" hidden="1" customWidth="1" outlineLevel="1"/>
    <col min="2" max="2" width="27.7109375" style="176" hidden="1" customWidth="1" outlineLevel="1"/>
    <col min="3" max="3" width="27.7109375" style="176" customWidth="1" collapsed="1"/>
    <col min="4" max="4" width="18.5703125" customWidth="1"/>
    <col min="5" max="5" width="21" customWidth="1"/>
    <col min="6" max="6" width="21.140625" style="651" customWidth="1"/>
    <col min="7" max="7" width="14.42578125" customWidth="1"/>
    <col min="8" max="9" width="17.85546875" customWidth="1"/>
    <col min="10" max="10" width="12.5703125" customWidth="1"/>
    <col min="11" max="11" width="1.42578125" customWidth="1"/>
    <col min="12" max="12" width="22.140625" style="586" customWidth="1"/>
    <col min="13" max="13" width="37.85546875" style="665" customWidth="1"/>
    <col min="14" max="22" width="9.140625" style="588" customWidth="1" outlineLevel="1"/>
  </cols>
  <sheetData>
    <row r="1" spans="1:22">
      <c r="D1" s="580" t="s">
        <v>3329</v>
      </c>
      <c r="E1" s="395" t="s">
        <v>3078</v>
      </c>
    </row>
    <row r="2" spans="1:22" ht="15.75" thickBot="1">
      <c r="D2" s="666" t="s">
        <v>244</v>
      </c>
      <c r="E2" s="599" t="s">
        <v>3079</v>
      </c>
      <c r="F2" s="667" t="e">
        <f>IF('EQ rate no1'!H21=Algorithm_ON_Eco!$M$10,INDEX($F$13:$G$18,$M$14,$M$13),'EQ rate no1'!H21)</f>
        <v>#N/A</v>
      </c>
    </row>
    <row r="3" spans="1:22" ht="15.75" thickBot="1">
      <c r="D3" s="666"/>
      <c r="E3" s="599"/>
      <c r="F3" s="668"/>
      <c r="L3" s="3608" t="s">
        <v>3092</v>
      </c>
      <c r="M3" s="3609"/>
      <c r="N3" s="3609"/>
      <c r="O3" s="3609"/>
      <c r="P3" s="3609"/>
      <c r="Q3" s="3609"/>
      <c r="R3" s="3609"/>
      <c r="S3" s="3609"/>
      <c r="T3" s="3609"/>
      <c r="U3" s="3609"/>
      <c r="V3" s="3610"/>
    </row>
    <row r="4" spans="1:22">
      <c r="D4" s="666"/>
      <c r="E4" s="599" t="s">
        <v>3080</v>
      </c>
      <c r="F4" s="605" t="e">
        <f>INDEX($H$13:$I$18,$M$14,M13)</f>
        <v>#N/A</v>
      </c>
    </row>
    <row r="5" spans="1:22">
      <c r="D5" s="666"/>
      <c r="E5" s="599" t="s">
        <v>3081</v>
      </c>
      <c r="F5" s="606">
        <v>100000</v>
      </c>
    </row>
    <row r="6" spans="1:22">
      <c r="D6" s="395"/>
      <c r="E6" s="599" t="s">
        <v>1321</v>
      </c>
      <c r="F6" s="607">
        <v>1</v>
      </c>
      <c r="H6" s="669"/>
      <c r="I6" s="669"/>
      <c r="L6" s="586" t="s">
        <v>3082</v>
      </c>
      <c r="M6" s="670" t="e">
        <f>IF('EQ rate no1'!$D$4="ON",PostalCode,"Postal code is outside of ON")</f>
        <v>#N/A</v>
      </c>
      <c r="O6" s="588" t="s">
        <v>3146</v>
      </c>
      <c r="R6" s="588" t="s">
        <v>3147</v>
      </c>
      <c r="S6" s="588" t="s">
        <v>3148</v>
      </c>
      <c r="U6" s="588" t="s">
        <v>3149</v>
      </c>
      <c r="V6" s="588" t="s">
        <v>3148</v>
      </c>
    </row>
    <row r="7" spans="1:22">
      <c r="E7" s="395"/>
      <c r="L7" s="586" t="s">
        <v>1300</v>
      </c>
      <c r="M7" s="671">
        <f>Yrbuilt</f>
        <v>0</v>
      </c>
      <c r="O7" s="588" t="e">
        <f>VLOOKUP(M7,#REF!,2,TRUE)</f>
        <v>#REF!</v>
      </c>
      <c r="R7" s="609"/>
    </row>
    <row r="8" spans="1:22" s="255" customFormat="1">
      <c r="B8" s="672"/>
      <c r="C8" s="672"/>
      <c r="D8" s="608"/>
      <c r="E8"/>
      <c r="F8"/>
      <c r="G8"/>
      <c r="H8"/>
      <c r="I8"/>
      <c r="L8" s="586" t="s">
        <v>1301</v>
      </c>
      <c r="M8" s="671" t="str">
        <f>'EQ rate no1'!D8</f>
        <v>Fire Resistive</v>
      </c>
      <c r="N8" s="644"/>
      <c r="O8" s="644"/>
      <c r="P8" s="644"/>
      <c r="Q8" s="644"/>
      <c r="R8" s="609"/>
      <c r="S8" s="588"/>
      <c r="T8" s="644"/>
      <c r="U8" s="609"/>
      <c r="V8" s="588"/>
    </row>
    <row r="9" spans="1:22" ht="15.75" thickBot="1">
      <c r="D9" s="608"/>
      <c r="F9">
        <v>1</v>
      </c>
      <c r="G9">
        <v>2</v>
      </c>
      <c r="H9">
        <v>3</v>
      </c>
      <c r="I9">
        <v>4</v>
      </c>
      <c r="J9">
        <v>5</v>
      </c>
      <c r="L9" s="586" t="s">
        <v>1302</v>
      </c>
      <c r="M9" s="671">
        <f>Nbofstoreys</f>
        <v>0</v>
      </c>
      <c r="R9" s="609"/>
      <c r="U9" s="609"/>
    </row>
    <row r="10" spans="1:22" ht="15.75" thickBot="1">
      <c r="D10" s="673"/>
      <c r="E10" s="674"/>
      <c r="F10" s="617" t="s">
        <v>3097</v>
      </c>
      <c r="G10" s="615"/>
      <c r="H10" s="675"/>
      <c r="I10" s="166"/>
      <c r="L10" s="967" t="s">
        <v>1235</v>
      </c>
      <c r="M10" s="972" t="s">
        <v>2048</v>
      </c>
      <c r="R10" s="609"/>
      <c r="U10" s="609"/>
    </row>
    <row r="11" spans="1:22">
      <c r="D11" s="676"/>
      <c r="E11" s="96"/>
      <c r="F11" s="677" t="s">
        <v>3153</v>
      </c>
      <c r="G11" s="615"/>
      <c r="H11" s="615"/>
      <c r="I11" s="166"/>
      <c r="R11" s="609"/>
      <c r="U11" s="609"/>
    </row>
    <row r="12" spans="1:22" ht="30">
      <c r="A12" s="678" t="s">
        <v>3338</v>
      </c>
      <c r="B12" s="679"/>
      <c r="C12" s="973"/>
      <c r="D12" s="953" t="s">
        <v>3157</v>
      </c>
      <c r="E12" s="974" t="s">
        <v>3158</v>
      </c>
      <c r="F12" s="975" t="s">
        <v>3339</v>
      </c>
      <c r="G12" s="976" t="s">
        <v>2107</v>
      </c>
      <c r="H12" s="977" t="s">
        <v>3340</v>
      </c>
      <c r="I12" s="977" t="s">
        <v>3341</v>
      </c>
      <c r="J12" s="978" t="s">
        <v>3342</v>
      </c>
      <c r="L12" s="586" t="s">
        <v>3117</v>
      </c>
      <c r="M12" s="671"/>
      <c r="R12" s="609"/>
      <c r="U12" s="609"/>
    </row>
    <row r="13" spans="1:22">
      <c r="A13" s="685">
        <v>1</v>
      </c>
      <c r="B13" s="686"/>
      <c r="C13" s="960" t="s">
        <v>1155</v>
      </c>
      <c r="D13" s="961">
        <v>1</v>
      </c>
      <c r="E13" s="962" t="s">
        <v>3333</v>
      </c>
      <c r="F13" s="979">
        <v>8.0000000000000002E-3</v>
      </c>
      <c r="G13" s="979">
        <v>2.5000000000000001E-2</v>
      </c>
      <c r="H13" s="931">
        <v>0.05</v>
      </c>
      <c r="I13" s="931">
        <v>0.1</v>
      </c>
      <c r="J13" s="980">
        <v>100000</v>
      </c>
      <c r="L13" s="586" t="s">
        <v>3162</v>
      </c>
      <c r="M13" s="671" t="e">
        <f>IF(M6=$G$12,2,1)</f>
        <v>#N/A</v>
      </c>
      <c r="R13" s="609"/>
      <c r="U13" s="609"/>
    </row>
    <row r="14" spans="1:22">
      <c r="A14" s="685">
        <v>2</v>
      </c>
      <c r="B14" s="686"/>
      <c r="C14" s="965" t="s">
        <v>1157</v>
      </c>
      <c r="D14" s="961">
        <v>2</v>
      </c>
      <c r="E14" s="962" t="s">
        <v>3333</v>
      </c>
      <c r="F14" s="979">
        <v>1.4999999999999999E-2</v>
      </c>
      <c r="G14" s="979">
        <v>0.03</v>
      </c>
      <c r="H14" s="931">
        <v>0.05</v>
      </c>
      <c r="I14" s="931">
        <v>0.1</v>
      </c>
      <c r="J14" s="980">
        <v>100000</v>
      </c>
      <c r="L14" s="586" t="s">
        <v>3120</v>
      </c>
      <c r="M14" s="671">
        <f>MATCH(M8,C13:C18,0)</f>
        <v>1</v>
      </c>
      <c r="R14" s="609"/>
      <c r="U14" s="609"/>
    </row>
    <row r="15" spans="1:22" s="701" customFormat="1">
      <c r="A15" s="685">
        <v>4</v>
      </c>
      <c r="B15" s="686"/>
      <c r="C15" s="906" t="s">
        <v>1159</v>
      </c>
      <c r="D15" s="966">
        <v>3</v>
      </c>
      <c r="E15" s="962" t="s">
        <v>3333</v>
      </c>
      <c r="F15" s="979">
        <v>5.0000000000000001E-3</v>
      </c>
      <c r="G15" s="979">
        <v>1.4999999999999999E-2</v>
      </c>
      <c r="H15" s="931">
        <v>0.05</v>
      </c>
      <c r="I15" s="931">
        <v>0.1</v>
      </c>
      <c r="J15" s="980">
        <v>100000</v>
      </c>
      <c r="L15" s="648"/>
      <c r="M15" s="665"/>
      <c r="N15" s="702"/>
      <c r="O15" s="702"/>
      <c r="P15" s="702"/>
      <c r="Q15" s="702"/>
      <c r="R15" s="609"/>
      <c r="S15" s="588"/>
      <c r="T15" s="702"/>
      <c r="U15" s="609"/>
      <c r="V15" s="588"/>
    </row>
    <row r="16" spans="1:22">
      <c r="A16" s="685">
        <v>6</v>
      </c>
      <c r="B16" s="686"/>
      <c r="C16" s="965" t="s">
        <v>1161</v>
      </c>
      <c r="D16" s="961">
        <v>4</v>
      </c>
      <c r="E16" s="962" t="s">
        <v>3333</v>
      </c>
      <c r="F16" s="979">
        <v>0.03</v>
      </c>
      <c r="G16" s="979">
        <v>0.05</v>
      </c>
      <c r="H16" s="931">
        <v>0.05</v>
      </c>
      <c r="I16" s="931">
        <v>0.1</v>
      </c>
      <c r="J16" s="980">
        <v>100000</v>
      </c>
      <c r="L16" s="652"/>
      <c r="R16" s="609"/>
      <c r="U16" s="609"/>
    </row>
    <row r="17" spans="1:21">
      <c r="A17" s="685">
        <v>7</v>
      </c>
      <c r="B17" s="686"/>
      <c r="C17" s="960" t="s">
        <v>1162</v>
      </c>
      <c r="D17" s="961">
        <v>5</v>
      </c>
      <c r="E17" s="962" t="s">
        <v>3333</v>
      </c>
      <c r="F17" s="979">
        <v>5.0000000000000001E-3</v>
      </c>
      <c r="G17" s="979">
        <v>1.4999999999999999E-2</v>
      </c>
      <c r="H17" s="931">
        <v>0.05</v>
      </c>
      <c r="I17" s="931">
        <v>0.1</v>
      </c>
      <c r="J17" s="980">
        <v>100000</v>
      </c>
      <c r="L17" s="652"/>
      <c r="R17" s="609"/>
      <c r="U17" s="609"/>
    </row>
    <row r="18" spans="1:21">
      <c r="A18" s="685">
        <v>8</v>
      </c>
      <c r="B18" s="686"/>
      <c r="C18" s="960" t="s">
        <v>1150</v>
      </c>
      <c r="D18" s="961">
        <v>6</v>
      </c>
      <c r="E18" s="962" t="s">
        <v>3333</v>
      </c>
      <c r="F18" s="979">
        <v>5.0000000000000001E-3</v>
      </c>
      <c r="G18" s="979">
        <v>1.4999999999999999E-2</v>
      </c>
      <c r="H18" s="931">
        <v>0.05</v>
      </c>
      <c r="I18" s="931">
        <v>0.1</v>
      </c>
      <c r="J18" s="980">
        <v>100000</v>
      </c>
      <c r="R18" s="609"/>
      <c r="U18" s="609"/>
    </row>
    <row r="19" spans="1:21">
      <c r="R19" s="609"/>
      <c r="U19" s="609"/>
    </row>
    <row r="20" spans="1:21">
      <c r="R20" s="609"/>
      <c r="U20" s="609"/>
    </row>
    <row r="21" spans="1:21" ht="15.75" thickBot="1">
      <c r="D21" s="658" t="s">
        <v>3189</v>
      </c>
      <c r="R21" s="609"/>
      <c r="U21" s="609"/>
    </row>
    <row r="22" spans="1:21" ht="15.75" thickBot="1">
      <c r="D22" s="659" t="s">
        <v>1083</v>
      </c>
      <c r="E22" s="660" t="s">
        <v>3140</v>
      </c>
      <c r="R22" s="609"/>
      <c r="U22" s="609"/>
    </row>
    <row r="23" spans="1:21">
      <c r="D23" s="715"/>
      <c r="E23" s="716"/>
      <c r="R23" s="609"/>
      <c r="U23" s="609"/>
    </row>
    <row r="24" spans="1:21">
      <c r="D24" s="661"/>
      <c r="E24" s="662"/>
      <c r="R24" s="609"/>
      <c r="U24" s="609"/>
    </row>
    <row r="25" spans="1:21">
      <c r="D25" s="661"/>
      <c r="E25" s="662"/>
      <c r="R25" s="609"/>
      <c r="U25" s="609"/>
    </row>
    <row r="26" spans="1:21" ht="15.75" thickBot="1">
      <c r="D26" s="717"/>
      <c r="E26" s="664"/>
      <c r="R26" s="609"/>
      <c r="U26" s="609"/>
    </row>
    <row r="27" spans="1:21">
      <c r="R27" s="609"/>
    </row>
    <row r="28" spans="1:21">
      <c r="R28" s="609"/>
    </row>
    <row r="29" spans="1:21">
      <c r="R29" s="609"/>
    </row>
    <row r="30" spans="1:21">
      <c r="R30" s="609"/>
    </row>
    <row r="31" spans="1:21">
      <c r="R31" s="609"/>
    </row>
    <row r="32" spans="1:21">
      <c r="R32" s="609"/>
    </row>
    <row r="33" spans="1:29">
      <c r="R33" s="609"/>
    </row>
    <row r="34" spans="1:29">
      <c r="R34" s="609"/>
    </row>
    <row r="35" spans="1:29">
      <c r="R35" s="609"/>
    </row>
    <row r="36" spans="1:29">
      <c r="R36" s="609"/>
    </row>
    <row r="37" spans="1:29">
      <c r="R37" s="609"/>
    </row>
    <row r="38" spans="1:29">
      <c r="R38" s="609"/>
    </row>
    <row r="39" spans="1:29">
      <c r="R39" s="609"/>
    </row>
    <row r="40" spans="1:29">
      <c r="R40" s="609"/>
    </row>
    <row r="41" spans="1:29" s="588" customFormat="1">
      <c r="A41"/>
      <c r="B41" s="176"/>
      <c r="C41" s="176"/>
      <c r="D41"/>
      <c r="E41"/>
      <c r="F41" s="651"/>
      <c r="G41"/>
      <c r="H41"/>
      <c r="I41"/>
      <c r="J41"/>
      <c r="K41"/>
      <c r="L41" s="586"/>
      <c r="M41" s="665"/>
      <c r="R41" s="609"/>
      <c r="W41"/>
      <c r="X41"/>
      <c r="Y41"/>
      <c r="Z41"/>
      <c r="AA41"/>
      <c r="AB41"/>
      <c r="AC41"/>
    </row>
    <row r="42" spans="1:29" s="588" customFormat="1">
      <c r="A42"/>
      <c r="B42" s="176"/>
      <c r="C42" s="176"/>
      <c r="D42"/>
      <c r="E42"/>
      <c r="F42" s="651"/>
      <c r="G42"/>
      <c r="H42"/>
      <c r="I42"/>
      <c r="J42"/>
      <c r="K42"/>
      <c r="L42" s="586"/>
      <c r="M42" s="665"/>
      <c r="R42" s="609"/>
      <c r="W42"/>
      <c r="X42"/>
      <c r="Y42"/>
      <c r="Z42"/>
      <c r="AA42"/>
      <c r="AB42"/>
      <c r="AC42"/>
    </row>
    <row r="43" spans="1:29" s="588" customFormat="1">
      <c r="A43"/>
      <c r="B43" s="176"/>
      <c r="C43" s="176"/>
      <c r="D43"/>
      <c r="E43"/>
      <c r="F43" s="651"/>
      <c r="G43"/>
      <c r="H43"/>
      <c r="I43"/>
      <c r="J43"/>
      <c r="K43"/>
      <c r="L43" s="586"/>
      <c r="M43" s="665"/>
      <c r="R43" s="609"/>
      <c r="W43"/>
      <c r="X43"/>
      <c r="Y43"/>
      <c r="Z43"/>
      <c r="AA43"/>
      <c r="AB43"/>
      <c r="AC43"/>
    </row>
    <row r="44" spans="1:29" s="588" customFormat="1">
      <c r="A44"/>
      <c r="B44" s="176"/>
      <c r="C44" s="176"/>
      <c r="D44"/>
      <c r="E44"/>
      <c r="F44" s="651"/>
      <c r="G44"/>
      <c r="H44"/>
      <c r="I44"/>
      <c r="J44"/>
      <c r="K44"/>
      <c r="L44" s="586"/>
      <c r="M44" s="665"/>
      <c r="R44" s="609"/>
      <c r="W44"/>
      <c r="X44"/>
      <c r="Y44"/>
      <c r="Z44"/>
      <c r="AA44"/>
      <c r="AB44"/>
      <c r="AC44"/>
    </row>
    <row r="45" spans="1:29" s="588" customFormat="1">
      <c r="A45"/>
      <c r="B45" s="176"/>
      <c r="C45" s="176"/>
      <c r="D45"/>
      <c r="E45"/>
      <c r="F45" s="651"/>
      <c r="G45"/>
      <c r="H45"/>
      <c r="I45"/>
      <c r="J45"/>
      <c r="K45"/>
      <c r="L45" s="586"/>
      <c r="M45" s="665"/>
      <c r="R45" s="609"/>
      <c r="W45"/>
      <c r="X45"/>
      <c r="Y45"/>
      <c r="Z45"/>
      <c r="AA45"/>
      <c r="AB45"/>
      <c r="AC45"/>
    </row>
  </sheetData>
  <mergeCells count="1">
    <mergeCell ref="L3:V3"/>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4">
    <tabColor rgb="FFFFFF00"/>
  </sheetPr>
  <dimension ref="A1:S402"/>
  <sheetViews>
    <sheetView showGridLines="0" topLeftCell="F1" zoomScaleNormal="100" zoomScaleSheetLayoutView="85" workbookViewId="0">
      <selection activeCell="P12" sqref="P12"/>
    </sheetView>
  </sheetViews>
  <sheetFormatPr defaultColWidth="9.140625" defaultRowHeight="15" outlineLevelCol="1"/>
  <cols>
    <col min="1" max="1" width="9.140625" style="598"/>
    <col min="2" max="2" width="19.42578125" hidden="1" customWidth="1" outlineLevel="1"/>
    <col min="3" max="3" width="26.7109375" customWidth="1" collapsed="1"/>
    <col min="4" max="4" width="6.5703125" customWidth="1"/>
    <col min="5" max="5" width="16.140625" customWidth="1"/>
    <col min="6" max="6" width="20.5703125" customWidth="1"/>
    <col min="7" max="11" width="17.42578125" customWidth="1"/>
    <col min="12" max="12" width="3.140625" style="255" customWidth="1"/>
    <col min="13" max="13" width="21.5703125" style="586" customWidth="1"/>
    <col min="14" max="14" width="37.42578125" style="590" customWidth="1"/>
    <col min="15" max="15" width="9.5703125" style="588" customWidth="1" outlineLevel="1"/>
    <col min="16" max="16" width="19.28515625" style="588" customWidth="1" outlineLevel="1"/>
    <col min="17" max="17" width="9.7109375" style="981" customWidth="1" outlineLevel="1"/>
    <col min="18" max="19" width="9.28515625" style="946" customWidth="1" outlineLevel="1"/>
    <col min="20" max="20" width="15" customWidth="1"/>
    <col min="263" max="263" width="14.5703125" customWidth="1"/>
    <col min="264" max="264" width="12.5703125" customWidth="1"/>
    <col min="265" max="265" width="16.140625" customWidth="1"/>
    <col min="266" max="266" width="20.5703125" customWidth="1"/>
    <col min="267" max="267" width="21" customWidth="1"/>
    <col min="268" max="274" width="19.28515625" customWidth="1"/>
    <col min="519" max="519" width="14.5703125" customWidth="1"/>
    <col min="520" max="520" width="12.5703125" customWidth="1"/>
    <col min="521" max="521" width="16.140625" customWidth="1"/>
    <col min="522" max="522" width="20.5703125" customWidth="1"/>
    <col min="523" max="523" width="21" customWidth="1"/>
    <col min="524" max="530" width="19.28515625" customWidth="1"/>
    <col min="775" max="775" width="14.5703125" customWidth="1"/>
    <col min="776" max="776" width="12.5703125" customWidth="1"/>
    <col min="777" max="777" width="16.140625" customWidth="1"/>
    <col min="778" max="778" width="20.5703125" customWidth="1"/>
    <col min="779" max="779" width="21" customWidth="1"/>
    <col min="780" max="786" width="19.28515625" customWidth="1"/>
    <col min="1031" max="1031" width="14.5703125" customWidth="1"/>
    <col min="1032" max="1032" width="12.5703125" customWidth="1"/>
    <col min="1033" max="1033" width="16.140625" customWidth="1"/>
    <col min="1034" max="1034" width="20.5703125" customWidth="1"/>
    <col min="1035" max="1035" width="21" customWidth="1"/>
    <col min="1036" max="1042" width="19.28515625" customWidth="1"/>
    <col min="1287" max="1287" width="14.5703125" customWidth="1"/>
    <col min="1288" max="1288" width="12.5703125" customWidth="1"/>
    <col min="1289" max="1289" width="16.140625" customWidth="1"/>
    <col min="1290" max="1290" width="20.5703125" customWidth="1"/>
    <col min="1291" max="1291" width="21" customWidth="1"/>
    <col min="1292" max="1298" width="19.28515625" customWidth="1"/>
    <col min="1543" max="1543" width="14.5703125" customWidth="1"/>
    <col min="1544" max="1544" width="12.5703125" customWidth="1"/>
    <col min="1545" max="1545" width="16.140625" customWidth="1"/>
    <col min="1546" max="1546" width="20.5703125" customWidth="1"/>
    <col min="1547" max="1547" width="21" customWidth="1"/>
    <col min="1548" max="1554" width="19.28515625" customWidth="1"/>
    <col min="1799" max="1799" width="14.5703125" customWidth="1"/>
    <col min="1800" max="1800" width="12.5703125" customWidth="1"/>
    <col min="1801" max="1801" width="16.140625" customWidth="1"/>
    <col min="1802" max="1802" width="20.5703125" customWidth="1"/>
    <col min="1803" max="1803" width="21" customWidth="1"/>
    <col min="1804" max="1810" width="19.28515625" customWidth="1"/>
    <col min="2055" max="2055" width="14.5703125" customWidth="1"/>
    <col min="2056" max="2056" width="12.5703125" customWidth="1"/>
    <col min="2057" max="2057" width="16.140625" customWidth="1"/>
    <col min="2058" max="2058" width="20.5703125" customWidth="1"/>
    <col min="2059" max="2059" width="21" customWidth="1"/>
    <col min="2060" max="2066" width="19.28515625" customWidth="1"/>
    <col min="2311" max="2311" width="14.5703125" customWidth="1"/>
    <col min="2312" max="2312" width="12.5703125" customWidth="1"/>
    <col min="2313" max="2313" width="16.140625" customWidth="1"/>
    <col min="2314" max="2314" width="20.5703125" customWidth="1"/>
    <col min="2315" max="2315" width="21" customWidth="1"/>
    <col min="2316" max="2322" width="19.28515625" customWidth="1"/>
    <col min="2567" max="2567" width="14.5703125" customWidth="1"/>
    <col min="2568" max="2568" width="12.5703125" customWidth="1"/>
    <col min="2569" max="2569" width="16.140625" customWidth="1"/>
    <col min="2570" max="2570" width="20.5703125" customWidth="1"/>
    <col min="2571" max="2571" width="21" customWidth="1"/>
    <col min="2572" max="2578" width="19.28515625" customWidth="1"/>
    <col min="2823" max="2823" width="14.5703125" customWidth="1"/>
    <col min="2824" max="2824" width="12.5703125" customWidth="1"/>
    <col min="2825" max="2825" width="16.140625" customWidth="1"/>
    <col min="2826" max="2826" width="20.5703125" customWidth="1"/>
    <col min="2827" max="2827" width="21" customWidth="1"/>
    <col min="2828" max="2834" width="19.28515625" customWidth="1"/>
    <col min="3079" max="3079" width="14.5703125" customWidth="1"/>
    <col min="3080" max="3080" width="12.5703125" customWidth="1"/>
    <col min="3081" max="3081" width="16.140625" customWidth="1"/>
    <col min="3082" max="3082" width="20.5703125" customWidth="1"/>
    <col min="3083" max="3083" width="21" customWidth="1"/>
    <col min="3084" max="3090" width="19.28515625" customWidth="1"/>
    <col min="3335" max="3335" width="14.5703125" customWidth="1"/>
    <col min="3336" max="3336" width="12.5703125" customWidth="1"/>
    <col min="3337" max="3337" width="16.140625" customWidth="1"/>
    <col min="3338" max="3338" width="20.5703125" customWidth="1"/>
    <col min="3339" max="3339" width="21" customWidth="1"/>
    <col min="3340" max="3346" width="19.28515625" customWidth="1"/>
    <col min="3591" max="3591" width="14.5703125" customWidth="1"/>
    <col min="3592" max="3592" width="12.5703125" customWidth="1"/>
    <col min="3593" max="3593" width="16.140625" customWidth="1"/>
    <col min="3594" max="3594" width="20.5703125" customWidth="1"/>
    <col min="3595" max="3595" width="21" customWidth="1"/>
    <col min="3596" max="3602" width="19.28515625" customWidth="1"/>
    <col min="3847" max="3847" width="14.5703125" customWidth="1"/>
    <col min="3848" max="3848" width="12.5703125" customWidth="1"/>
    <col min="3849" max="3849" width="16.140625" customWidth="1"/>
    <col min="3850" max="3850" width="20.5703125" customWidth="1"/>
    <col min="3851" max="3851" width="21" customWidth="1"/>
    <col min="3852" max="3858" width="19.28515625" customWidth="1"/>
    <col min="4103" max="4103" width="14.5703125" customWidth="1"/>
    <col min="4104" max="4104" width="12.5703125" customWidth="1"/>
    <col min="4105" max="4105" width="16.140625" customWidth="1"/>
    <col min="4106" max="4106" width="20.5703125" customWidth="1"/>
    <col min="4107" max="4107" width="21" customWidth="1"/>
    <col min="4108" max="4114" width="19.28515625" customWidth="1"/>
    <col min="4359" max="4359" width="14.5703125" customWidth="1"/>
    <col min="4360" max="4360" width="12.5703125" customWidth="1"/>
    <col min="4361" max="4361" width="16.140625" customWidth="1"/>
    <col min="4362" max="4362" width="20.5703125" customWidth="1"/>
    <col min="4363" max="4363" width="21" customWidth="1"/>
    <col min="4364" max="4370" width="19.28515625" customWidth="1"/>
    <col min="4615" max="4615" width="14.5703125" customWidth="1"/>
    <col min="4616" max="4616" width="12.5703125" customWidth="1"/>
    <col min="4617" max="4617" width="16.140625" customWidth="1"/>
    <col min="4618" max="4618" width="20.5703125" customWidth="1"/>
    <col min="4619" max="4619" width="21" customWidth="1"/>
    <col min="4620" max="4626" width="19.28515625" customWidth="1"/>
    <col min="4871" max="4871" width="14.5703125" customWidth="1"/>
    <col min="4872" max="4872" width="12.5703125" customWidth="1"/>
    <col min="4873" max="4873" width="16.140625" customWidth="1"/>
    <col min="4874" max="4874" width="20.5703125" customWidth="1"/>
    <col min="4875" max="4875" width="21" customWidth="1"/>
    <col min="4876" max="4882" width="19.28515625" customWidth="1"/>
    <col min="5127" max="5127" width="14.5703125" customWidth="1"/>
    <col min="5128" max="5128" width="12.5703125" customWidth="1"/>
    <col min="5129" max="5129" width="16.140625" customWidth="1"/>
    <col min="5130" max="5130" width="20.5703125" customWidth="1"/>
    <col min="5131" max="5131" width="21" customWidth="1"/>
    <col min="5132" max="5138" width="19.28515625" customWidth="1"/>
    <col min="5383" max="5383" width="14.5703125" customWidth="1"/>
    <col min="5384" max="5384" width="12.5703125" customWidth="1"/>
    <col min="5385" max="5385" width="16.140625" customWidth="1"/>
    <col min="5386" max="5386" width="20.5703125" customWidth="1"/>
    <col min="5387" max="5387" width="21" customWidth="1"/>
    <col min="5388" max="5394" width="19.28515625" customWidth="1"/>
    <col min="5639" max="5639" width="14.5703125" customWidth="1"/>
    <col min="5640" max="5640" width="12.5703125" customWidth="1"/>
    <col min="5641" max="5641" width="16.140625" customWidth="1"/>
    <col min="5642" max="5642" width="20.5703125" customWidth="1"/>
    <col min="5643" max="5643" width="21" customWidth="1"/>
    <col min="5644" max="5650" width="19.28515625" customWidth="1"/>
    <col min="5895" max="5895" width="14.5703125" customWidth="1"/>
    <col min="5896" max="5896" width="12.5703125" customWidth="1"/>
    <col min="5897" max="5897" width="16.140625" customWidth="1"/>
    <col min="5898" max="5898" width="20.5703125" customWidth="1"/>
    <col min="5899" max="5899" width="21" customWidth="1"/>
    <col min="5900" max="5906" width="19.28515625" customWidth="1"/>
    <col min="6151" max="6151" width="14.5703125" customWidth="1"/>
    <col min="6152" max="6152" width="12.5703125" customWidth="1"/>
    <col min="6153" max="6153" width="16.140625" customWidth="1"/>
    <col min="6154" max="6154" width="20.5703125" customWidth="1"/>
    <col min="6155" max="6155" width="21" customWidth="1"/>
    <col min="6156" max="6162" width="19.28515625" customWidth="1"/>
    <col min="6407" max="6407" width="14.5703125" customWidth="1"/>
    <col min="6408" max="6408" width="12.5703125" customWidth="1"/>
    <col min="6409" max="6409" width="16.140625" customWidth="1"/>
    <col min="6410" max="6410" width="20.5703125" customWidth="1"/>
    <col min="6411" max="6411" width="21" customWidth="1"/>
    <col min="6412" max="6418" width="19.28515625" customWidth="1"/>
    <col min="6663" max="6663" width="14.5703125" customWidth="1"/>
    <col min="6664" max="6664" width="12.5703125" customWidth="1"/>
    <col min="6665" max="6665" width="16.140625" customWidth="1"/>
    <col min="6666" max="6666" width="20.5703125" customWidth="1"/>
    <col min="6667" max="6667" width="21" customWidth="1"/>
    <col min="6668" max="6674" width="19.28515625" customWidth="1"/>
    <col min="6919" max="6919" width="14.5703125" customWidth="1"/>
    <col min="6920" max="6920" width="12.5703125" customWidth="1"/>
    <col min="6921" max="6921" width="16.140625" customWidth="1"/>
    <col min="6922" max="6922" width="20.5703125" customWidth="1"/>
    <col min="6923" max="6923" width="21" customWidth="1"/>
    <col min="6924" max="6930" width="19.28515625" customWidth="1"/>
    <col min="7175" max="7175" width="14.5703125" customWidth="1"/>
    <col min="7176" max="7176" width="12.5703125" customWidth="1"/>
    <col min="7177" max="7177" width="16.140625" customWidth="1"/>
    <col min="7178" max="7178" width="20.5703125" customWidth="1"/>
    <col min="7179" max="7179" width="21" customWidth="1"/>
    <col min="7180" max="7186" width="19.28515625" customWidth="1"/>
    <col min="7431" max="7431" width="14.5703125" customWidth="1"/>
    <col min="7432" max="7432" width="12.5703125" customWidth="1"/>
    <col min="7433" max="7433" width="16.140625" customWidth="1"/>
    <col min="7434" max="7434" width="20.5703125" customWidth="1"/>
    <col min="7435" max="7435" width="21" customWidth="1"/>
    <col min="7436" max="7442" width="19.28515625" customWidth="1"/>
    <col min="7687" max="7687" width="14.5703125" customWidth="1"/>
    <col min="7688" max="7688" width="12.5703125" customWidth="1"/>
    <col min="7689" max="7689" width="16.140625" customWidth="1"/>
    <col min="7690" max="7690" width="20.5703125" customWidth="1"/>
    <col min="7691" max="7691" width="21" customWidth="1"/>
    <col min="7692" max="7698" width="19.28515625" customWidth="1"/>
    <col min="7943" max="7943" width="14.5703125" customWidth="1"/>
    <col min="7944" max="7944" width="12.5703125" customWidth="1"/>
    <col min="7945" max="7945" width="16.140625" customWidth="1"/>
    <col min="7946" max="7946" width="20.5703125" customWidth="1"/>
    <col min="7947" max="7947" width="21" customWidth="1"/>
    <col min="7948" max="7954" width="19.28515625" customWidth="1"/>
    <col min="8199" max="8199" width="14.5703125" customWidth="1"/>
    <col min="8200" max="8200" width="12.5703125" customWidth="1"/>
    <col min="8201" max="8201" width="16.140625" customWidth="1"/>
    <col min="8202" max="8202" width="20.5703125" customWidth="1"/>
    <col min="8203" max="8203" width="21" customWidth="1"/>
    <col min="8204" max="8210" width="19.28515625" customWidth="1"/>
    <col min="8455" max="8455" width="14.5703125" customWidth="1"/>
    <col min="8456" max="8456" width="12.5703125" customWidth="1"/>
    <col min="8457" max="8457" width="16.140625" customWidth="1"/>
    <col min="8458" max="8458" width="20.5703125" customWidth="1"/>
    <col min="8459" max="8459" width="21" customWidth="1"/>
    <col min="8460" max="8466" width="19.28515625" customWidth="1"/>
    <col min="8711" max="8711" width="14.5703125" customWidth="1"/>
    <col min="8712" max="8712" width="12.5703125" customWidth="1"/>
    <col min="8713" max="8713" width="16.140625" customWidth="1"/>
    <col min="8714" max="8714" width="20.5703125" customWidth="1"/>
    <col min="8715" max="8715" width="21" customWidth="1"/>
    <col min="8716" max="8722" width="19.28515625" customWidth="1"/>
    <col min="8967" max="8967" width="14.5703125" customWidth="1"/>
    <col min="8968" max="8968" width="12.5703125" customWidth="1"/>
    <col min="8969" max="8969" width="16.140625" customWidth="1"/>
    <col min="8970" max="8970" width="20.5703125" customWidth="1"/>
    <col min="8971" max="8971" width="21" customWidth="1"/>
    <col min="8972" max="8978" width="19.28515625" customWidth="1"/>
    <col min="9223" max="9223" width="14.5703125" customWidth="1"/>
    <col min="9224" max="9224" width="12.5703125" customWidth="1"/>
    <col min="9225" max="9225" width="16.140625" customWidth="1"/>
    <col min="9226" max="9226" width="20.5703125" customWidth="1"/>
    <col min="9227" max="9227" width="21" customWidth="1"/>
    <col min="9228" max="9234" width="19.28515625" customWidth="1"/>
    <col min="9479" max="9479" width="14.5703125" customWidth="1"/>
    <col min="9480" max="9480" width="12.5703125" customWidth="1"/>
    <col min="9481" max="9481" width="16.140625" customWidth="1"/>
    <col min="9482" max="9482" width="20.5703125" customWidth="1"/>
    <col min="9483" max="9483" width="21" customWidth="1"/>
    <col min="9484" max="9490" width="19.28515625" customWidth="1"/>
    <col min="9735" max="9735" width="14.5703125" customWidth="1"/>
    <col min="9736" max="9736" width="12.5703125" customWidth="1"/>
    <col min="9737" max="9737" width="16.140625" customWidth="1"/>
    <col min="9738" max="9738" width="20.5703125" customWidth="1"/>
    <col min="9739" max="9739" width="21" customWidth="1"/>
    <col min="9740" max="9746" width="19.28515625" customWidth="1"/>
    <col min="9991" max="9991" width="14.5703125" customWidth="1"/>
    <col min="9992" max="9992" width="12.5703125" customWidth="1"/>
    <col min="9993" max="9993" width="16.140625" customWidth="1"/>
    <col min="9994" max="9994" width="20.5703125" customWidth="1"/>
    <col min="9995" max="9995" width="21" customWidth="1"/>
    <col min="9996" max="10002" width="19.28515625" customWidth="1"/>
    <col min="10247" max="10247" width="14.5703125" customWidth="1"/>
    <col min="10248" max="10248" width="12.5703125" customWidth="1"/>
    <col min="10249" max="10249" width="16.140625" customWidth="1"/>
    <col min="10250" max="10250" width="20.5703125" customWidth="1"/>
    <col min="10251" max="10251" width="21" customWidth="1"/>
    <col min="10252" max="10258" width="19.28515625" customWidth="1"/>
    <col min="10503" max="10503" width="14.5703125" customWidth="1"/>
    <col min="10504" max="10504" width="12.5703125" customWidth="1"/>
    <col min="10505" max="10505" width="16.140625" customWidth="1"/>
    <col min="10506" max="10506" width="20.5703125" customWidth="1"/>
    <col min="10507" max="10507" width="21" customWidth="1"/>
    <col min="10508" max="10514" width="19.28515625" customWidth="1"/>
    <col min="10759" max="10759" width="14.5703125" customWidth="1"/>
    <col min="10760" max="10760" width="12.5703125" customWidth="1"/>
    <col min="10761" max="10761" width="16.140625" customWidth="1"/>
    <col min="10762" max="10762" width="20.5703125" customWidth="1"/>
    <col min="10763" max="10763" width="21" customWidth="1"/>
    <col min="10764" max="10770" width="19.28515625" customWidth="1"/>
    <col min="11015" max="11015" width="14.5703125" customWidth="1"/>
    <col min="11016" max="11016" width="12.5703125" customWidth="1"/>
    <col min="11017" max="11017" width="16.140625" customWidth="1"/>
    <col min="11018" max="11018" width="20.5703125" customWidth="1"/>
    <col min="11019" max="11019" width="21" customWidth="1"/>
    <col min="11020" max="11026" width="19.28515625" customWidth="1"/>
    <col min="11271" max="11271" width="14.5703125" customWidth="1"/>
    <col min="11272" max="11272" width="12.5703125" customWidth="1"/>
    <col min="11273" max="11273" width="16.140625" customWidth="1"/>
    <col min="11274" max="11274" width="20.5703125" customWidth="1"/>
    <col min="11275" max="11275" width="21" customWidth="1"/>
    <col min="11276" max="11282" width="19.28515625" customWidth="1"/>
    <col min="11527" max="11527" width="14.5703125" customWidth="1"/>
    <col min="11528" max="11528" width="12.5703125" customWidth="1"/>
    <col min="11529" max="11529" width="16.140625" customWidth="1"/>
    <col min="11530" max="11530" width="20.5703125" customWidth="1"/>
    <col min="11531" max="11531" width="21" customWidth="1"/>
    <col min="11532" max="11538" width="19.28515625" customWidth="1"/>
    <col min="11783" max="11783" width="14.5703125" customWidth="1"/>
    <col min="11784" max="11784" width="12.5703125" customWidth="1"/>
    <col min="11785" max="11785" width="16.140625" customWidth="1"/>
    <col min="11786" max="11786" width="20.5703125" customWidth="1"/>
    <col min="11787" max="11787" width="21" customWidth="1"/>
    <col min="11788" max="11794" width="19.28515625" customWidth="1"/>
    <col min="12039" max="12039" width="14.5703125" customWidth="1"/>
    <col min="12040" max="12040" width="12.5703125" customWidth="1"/>
    <col min="12041" max="12041" width="16.140625" customWidth="1"/>
    <col min="12042" max="12042" width="20.5703125" customWidth="1"/>
    <col min="12043" max="12043" width="21" customWidth="1"/>
    <col min="12044" max="12050" width="19.28515625" customWidth="1"/>
    <col min="12295" max="12295" width="14.5703125" customWidth="1"/>
    <col min="12296" max="12296" width="12.5703125" customWidth="1"/>
    <col min="12297" max="12297" width="16.140625" customWidth="1"/>
    <col min="12298" max="12298" width="20.5703125" customWidth="1"/>
    <col min="12299" max="12299" width="21" customWidth="1"/>
    <col min="12300" max="12306" width="19.28515625" customWidth="1"/>
    <col min="12551" max="12551" width="14.5703125" customWidth="1"/>
    <col min="12552" max="12552" width="12.5703125" customWidth="1"/>
    <col min="12553" max="12553" width="16.140625" customWidth="1"/>
    <col min="12554" max="12554" width="20.5703125" customWidth="1"/>
    <col min="12555" max="12555" width="21" customWidth="1"/>
    <col min="12556" max="12562" width="19.28515625" customWidth="1"/>
    <col min="12807" max="12807" width="14.5703125" customWidth="1"/>
    <col min="12808" max="12808" width="12.5703125" customWidth="1"/>
    <col min="12809" max="12809" width="16.140625" customWidth="1"/>
    <col min="12810" max="12810" width="20.5703125" customWidth="1"/>
    <col min="12811" max="12811" width="21" customWidth="1"/>
    <col min="12812" max="12818" width="19.28515625" customWidth="1"/>
    <col min="13063" max="13063" width="14.5703125" customWidth="1"/>
    <col min="13064" max="13064" width="12.5703125" customWidth="1"/>
    <col min="13065" max="13065" width="16.140625" customWidth="1"/>
    <col min="13066" max="13066" width="20.5703125" customWidth="1"/>
    <col min="13067" max="13067" width="21" customWidth="1"/>
    <col min="13068" max="13074" width="19.28515625" customWidth="1"/>
    <col min="13319" max="13319" width="14.5703125" customWidth="1"/>
    <col min="13320" max="13320" width="12.5703125" customWidth="1"/>
    <col min="13321" max="13321" width="16.140625" customWidth="1"/>
    <col min="13322" max="13322" width="20.5703125" customWidth="1"/>
    <col min="13323" max="13323" width="21" customWidth="1"/>
    <col min="13324" max="13330" width="19.28515625" customWidth="1"/>
    <col min="13575" max="13575" width="14.5703125" customWidth="1"/>
    <col min="13576" max="13576" width="12.5703125" customWidth="1"/>
    <col min="13577" max="13577" width="16.140625" customWidth="1"/>
    <col min="13578" max="13578" width="20.5703125" customWidth="1"/>
    <col min="13579" max="13579" width="21" customWidth="1"/>
    <col min="13580" max="13586" width="19.28515625" customWidth="1"/>
    <col min="13831" max="13831" width="14.5703125" customWidth="1"/>
    <col min="13832" max="13832" width="12.5703125" customWidth="1"/>
    <col min="13833" max="13833" width="16.140625" customWidth="1"/>
    <col min="13834" max="13834" width="20.5703125" customWidth="1"/>
    <col min="13835" max="13835" width="21" customWidth="1"/>
    <col min="13836" max="13842" width="19.28515625" customWidth="1"/>
    <col min="14087" max="14087" width="14.5703125" customWidth="1"/>
    <col min="14088" max="14088" width="12.5703125" customWidth="1"/>
    <col min="14089" max="14089" width="16.140625" customWidth="1"/>
    <col min="14090" max="14090" width="20.5703125" customWidth="1"/>
    <col min="14091" max="14091" width="21" customWidth="1"/>
    <col min="14092" max="14098" width="19.28515625" customWidth="1"/>
    <col min="14343" max="14343" width="14.5703125" customWidth="1"/>
    <col min="14344" max="14344" width="12.5703125" customWidth="1"/>
    <col min="14345" max="14345" width="16.140625" customWidth="1"/>
    <col min="14346" max="14346" width="20.5703125" customWidth="1"/>
    <col min="14347" max="14347" width="21" customWidth="1"/>
    <col min="14348" max="14354" width="19.28515625" customWidth="1"/>
    <col min="14599" max="14599" width="14.5703125" customWidth="1"/>
    <col min="14600" max="14600" width="12.5703125" customWidth="1"/>
    <col min="14601" max="14601" width="16.140625" customWidth="1"/>
    <col min="14602" max="14602" width="20.5703125" customWidth="1"/>
    <col min="14603" max="14603" width="21" customWidth="1"/>
    <col min="14604" max="14610" width="19.28515625" customWidth="1"/>
    <col min="14855" max="14855" width="14.5703125" customWidth="1"/>
    <col min="14856" max="14856" width="12.5703125" customWidth="1"/>
    <col min="14857" max="14857" width="16.140625" customWidth="1"/>
    <col min="14858" max="14858" width="20.5703125" customWidth="1"/>
    <col min="14859" max="14859" width="21" customWidth="1"/>
    <col min="14860" max="14866" width="19.28515625" customWidth="1"/>
    <col min="15111" max="15111" width="14.5703125" customWidth="1"/>
    <col min="15112" max="15112" width="12.5703125" customWidth="1"/>
    <col min="15113" max="15113" width="16.140625" customWidth="1"/>
    <col min="15114" max="15114" width="20.5703125" customWidth="1"/>
    <col min="15115" max="15115" width="21" customWidth="1"/>
    <col min="15116" max="15122" width="19.28515625" customWidth="1"/>
    <col min="15367" max="15367" width="14.5703125" customWidth="1"/>
    <col min="15368" max="15368" width="12.5703125" customWidth="1"/>
    <col min="15369" max="15369" width="16.140625" customWidth="1"/>
    <col min="15370" max="15370" width="20.5703125" customWidth="1"/>
    <col min="15371" max="15371" width="21" customWidth="1"/>
    <col min="15372" max="15378" width="19.28515625" customWidth="1"/>
    <col min="15623" max="15623" width="14.5703125" customWidth="1"/>
    <col min="15624" max="15624" width="12.5703125" customWidth="1"/>
    <col min="15625" max="15625" width="16.140625" customWidth="1"/>
    <col min="15626" max="15626" width="20.5703125" customWidth="1"/>
    <col min="15627" max="15627" width="21" customWidth="1"/>
    <col min="15628" max="15634" width="19.28515625" customWidth="1"/>
    <col min="15879" max="15879" width="14.5703125" customWidth="1"/>
    <col min="15880" max="15880" width="12.5703125" customWidth="1"/>
    <col min="15881" max="15881" width="16.140625" customWidth="1"/>
    <col min="15882" max="15882" width="20.5703125" customWidth="1"/>
    <col min="15883" max="15883" width="21" customWidth="1"/>
    <col min="15884" max="15890" width="19.28515625" customWidth="1"/>
    <col min="16135" max="16135" width="14.5703125" customWidth="1"/>
    <col min="16136" max="16136" width="12.5703125" customWidth="1"/>
    <col min="16137" max="16137" width="16.140625" customWidth="1"/>
    <col min="16138" max="16138" width="20.5703125" customWidth="1"/>
    <col min="16139" max="16139" width="21" customWidth="1"/>
    <col min="16140" max="16146" width="19.28515625" customWidth="1"/>
  </cols>
  <sheetData>
    <row r="1" spans="1:19">
      <c r="C1" s="580" t="s">
        <v>3329</v>
      </c>
      <c r="E1" s="395" t="s">
        <v>3078</v>
      </c>
    </row>
    <row r="2" spans="1:19" ht="15.75" thickBot="1">
      <c r="C2" s="395" t="s">
        <v>246</v>
      </c>
      <c r="E2" s="599" t="s">
        <v>3079</v>
      </c>
      <c r="F2" s="600" t="e">
        <f>INDEX($F$13:$K$18,$N$18,$N$17)</f>
        <v>#N/A</v>
      </c>
    </row>
    <row r="3" spans="1:19" ht="15.75" thickBot="1">
      <c r="C3" s="395"/>
      <c r="E3" s="599"/>
      <c r="F3" s="601"/>
      <c r="N3" s="602" t="s">
        <v>3092</v>
      </c>
      <c r="O3" s="603"/>
      <c r="P3" s="603"/>
      <c r="Q3" s="982"/>
      <c r="R3" s="948"/>
      <c r="S3" s="948"/>
    </row>
    <row r="4" spans="1:19">
      <c r="C4" s="395"/>
      <c r="E4" s="599" t="s">
        <v>3080</v>
      </c>
      <c r="F4" s="605" t="e">
        <f>INDEX($F$19:$K$19,1,N17)</f>
        <v>#N/A</v>
      </c>
    </row>
    <row r="5" spans="1:19">
      <c r="C5" s="395"/>
      <c r="E5" s="599" t="s">
        <v>3081</v>
      </c>
      <c r="F5" s="949">
        <f>INDEX($F$20:$K$20,1,N18)</f>
        <v>100000</v>
      </c>
    </row>
    <row r="6" spans="1:19">
      <c r="C6" s="395"/>
      <c r="E6" s="599" t="s">
        <v>1321</v>
      </c>
      <c r="F6" s="607">
        <v>1</v>
      </c>
    </row>
    <row r="7" spans="1:19">
      <c r="B7" s="395"/>
      <c r="D7" s="608"/>
      <c r="Q7" s="981" t="s">
        <v>3330</v>
      </c>
      <c r="R7" s="946" t="s">
        <v>3283</v>
      </c>
      <c r="S7" s="946" t="s">
        <v>3331</v>
      </c>
    </row>
    <row r="8" spans="1:19">
      <c r="B8" s="395"/>
      <c r="D8" s="608"/>
      <c r="E8" s="612"/>
      <c r="F8" s="613">
        <v>1</v>
      </c>
      <c r="G8" s="613">
        <v>2</v>
      </c>
      <c r="H8" s="613">
        <v>3</v>
      </c>
      <c r="I8" s="613">
        <v>4</v>
      </c>
      <c r="J8" s="613">
        <v>5</v>
      </c>
      <c r="K8" s="613">
        <v>6</v>
      </c>
      <c r="L8" s="983"/>
      <c r="M8" s="586" t="s">
        <v>3082</v>
      </c>
      <c r="N8" s="587" t="e">
        <f>IF('EQ rate no1'!H21=Algorithm_BC_Eco!N16,PostalCode,"Postal code is outside of BC")</f>
        <v>#N/A</v>
      </c>
      <c r="Q8" s="984" t="s">
        <v>2857</v>
      </c>
      <c r="R8" s="985">
        <v>6</v>
      </c>
      <c r="S8" s="950"/>
    </row>
    <row r="9" spans="1:19">
      <c r="A9" s="610"/>
      <c r="B9" s="611"/>
      <c r="C9" s="612"/>
      <c r="D9" s="612"/>
      <c r="E9" s="92"/>
      <c r="F9" s="986" t="s">
        <v>3097</v>
      </c>
      <c r="G9" s="987"/>
      <c r="H9" s="987"/>
      <c r="I9" s="987"/>
      <c r="J9" s="987"/>
      <c r="K9" s="988"/>
      <c r="L9" s="907"/>
      <c r="Q9" s="984" t="s">
        <v>2862</v>
      </c>
      <c r="R9" s="985">
        <v>6</v>
      </c>
      <c r="S9" s="950"/>
    </row>
    <row r="10" spans="1:19">
      <c r="C10" s="951"/>
      <c r="D10" s="165"/>
      <c r="E10" s="92"/>
      <c r="F10" s="3633" t="s">
        <v>3332</v>
      </c>
      <c r="G10" s="3634"/>
      <c r="H10" s="3634"/>
      <c r="I10" s="3634"/>
      <c r="J10" s="3634"/>
      <c r="K10" s="93"/>
      <c r="L10" s="893"/>
      <c r="Q10" s="984" t="s">
        <v>2864</v>
      </c>
      <c r="R10" s="985">
        <v>6</v>
      </c>
      <c r="S10" s="950"/>
    </row>
    <row r="11" spans="1:19">
      <c r="C11" s="951"/>
      <c r="D11" s="165"/>
      <c r="F11" s="989"/>
      <c r="G11" s="990"/>
      <c r="H11" s="956"/>
      <c r="I11" s="957"/>
      <c r="J11" s="958"/>
      <c r="K11" s="959"/>
      <c r="L11" s="991"/>
      <c r="M11" s="586" t="s">
        <v>1300</v>
      </c>
      <c r="N11" s="591">
        <f>Yrbuilt</f>
        <v>0</v>
      </c>
      <c r="Q11" s="984" t="s">
        <v>2865</v>
      </c>
      <c r="R11" s="985">
        <v>6</v>
      </c>
      <c r="S11" s="950"/>
    </row>
    <row r="12" spans="1:19" ht="30">
      <c r="A12" s="610" t="s">
        <v>3101</v>
      </c>
      <c r="C12" s="952" t="s">
        <v>1152</v>
      </c>
      <c r="D12" s="953" t="s">
        <v>3157</v>
      </c>
      <c r="E12" s="625" t="s">
        <v>3104</v>
      </c>
      <c r="F12" s="954" t="s">
        <v>2942</v>
      </c>
      <c r="G12" s="955" t="s">
        <v>2932</v>
      </c>
      <c r="H12" s="992" t="s">
        <v>2895</v>
      </c>
      <c r="I12" s="993" t="s">
        <v>2925</v>
      </c>
      <c r="J12" s="994" t="s">
        <v>2921</v>
      </c>
      <c r="K12" s="995" t="s">
        <v>3343</v>
      </c>
      <c r="L12" s="991"/>
      <c r="M12" s="586" t="s">
        <v>1301</v>
      </c>
      <c r="N12" s="591" t="str">
        <f>'EQ rate no1'!D8</f>
        <v>Fire Resistive</v>
      </c>
      <c r="O12" s="592"/>
      <c r="P12" s="593"/>
      <c r="Q12" s="984" t="s">
        <v>2866</v>
      </c>
      <c r="R12" s="985">
        <v>6</v>
      </c>
      <c r="S12" s="950"/>
    </row>
    <row r="13" spans="1:19">
      <c r="A13" s="628">
        <v>1</v>
      </c>
      <c r="C13" s="960" t="s">
        <v>1155</v>
      </c>
      <c r="D13" s="961">
        <v>1</v>
      </c>
      <c r="E13" s="962" t="s">
        <v>3333</v>
      </c>
      <c r="F13" s="913">
        <v>0.15</v>
      </c>
      <c r="G13" s="963">
        <v>0.12</v>
      </c>
      <c r="H13" s="996">
        <v>0.1</v>
      </c>
      <c r="I13" s="918">
        <v>7.0000000000000007E-2</v>
      </c>
      <c r="J13" s="964">
        <v>0.06</v>
      </c>
      <c r="K13" s="920">
        <v>0.01</v>
      </c>
      <c r="L13" s="914"/>
      <c r="M13" s="586" t="s">
        <v>1302</v>
      </c>
      <c r="N13" s="591">
        <f>Nbofstoreys</f>
        <v>0</v>
      </c>
      <c r="Q13" s="984" t="s">
        <v>2867</v>
      </c>
      <c r="R13" s="985">
        <v>6</v>
      </c>
      <c r="S13" s="950"/>
    </row>
    <row r="14" spans="1:19">
      <c r="A14" s="628">
        <v>2</v>
      </c>
      <c r="C14" s="965" t="s">
        <v>1157</v>
      </c>
      <c r="D14" s="961">
        <v>2</v>
      </c>
      <c r="E14" s="962" t="s">
        <v>3333</v>
      </c>
      <c r="F14" s="913">
        <v>0.18</v>
      </c>
      <c r="G14" s="963">
        <v>0.15</v>
      </c>
      <c r="H14" s="996">
        <v>0.11</v>
      </c>
      <c r="I14" s="918">
        <v>0.08</v>
      </c>
      <c r="J14" s="964">
        <v>7.0000000000000007E-2</v>
      </c>
      <c r="K14" s="920">
        <v>0.02</v>
      </c>
      <c r="L14" s="914"/>
      <c r="M14" s="586" t="s">
        <v>3084</v>
      </c>
      <c r="N14" s="591">
        <f>Totalinsuredvalue</f>
        <v>0</v>
      </c>
      <c r="Q14" s="984" t="s">
        <v>2868</v>
      </c>
      <c r="R14" s="985">
        <v>6</v>
      </c>
      <c r="S14" s="950"/>
    </row>
    <row r="15" spans="1:19">
      <c r="A15" s="628">
        <v>3</v>
      </c>
      <c r="C15" s="906" t="s">
        <v>1159</v>
      </c>
      <c r="D15" s="966">
        <v>3</v>
      </c>
      <c r="E15" s="962" t="s">
        <v>3333</v>
      </c>
      <c r="F15" s="913">
        <v>0.1</v>
      </c>
      <c r="G15" s="963">
        <v>0.1</v>
      </c>
      <c r="H15" s="996">
        <v>0.08</v>
      </c>
      <c r="I15" s="918">
        <v>0.05</v>
      </c>
      <c r="J15" s="964">
        <v>0.04</v>
      </c>
      <c r="K15" s="920">
        <v>0.01</v>
      </c>
      <c r="L15" s="914"/>
      <c r="Q15" s="984" t="s">
        <v>2869</v>
      </c>
      <c r="R15" s="985">
        <v>6</v>
      </c>
      <c r="S15" s="950"/>
    </row>
    <row r="16" spans="1:19">
      <c r="A16" s="628">
        <v>4</v>
      </c>
      <c r="C16" s="965" t="s">
        <v>1161</v>
      </c>
      <c r="D16" s="961">
        <v>4</v>
      </c>
      <c r="E16" s="962" t="s">
        <v>3333</v>
      </c>
      <c r="F16" s="913">
        <v>0.2</v>
      </c>
      <c r="G16" s="963">
        <v>0.18</v>
      </c>
      <c r="H16" s="996">
        <v>0.15</v>
      </c>
      <c r="I16" s="918">
        <v>0.1</v>
      </c>
      <c r="J16" s="964">
        <v>0.08</v>
      </c>
      <c r="K16" s="920">
        <v>0.03</v>
      </c>
      <c r="L16" s="914"/>
      <c r="M16" s="967" t="s">
        <v>1235</v>
      </c>
      <c r="N16" s="968" t="s">
        <v>2861</v>
      </c>
      <c r="Q16" s="984" t="s">
        <v>2870</v>
      </c>
      <c r="R16" s="985">
        <v>6</v>
      </c>
      <c r="S16" s="950"/>
    </row>
    <row r="17" spans="1:19">
      <c r="A17" s="628">
        <v>5</v>
      </c>
      <c r="C17" s="960" t="s">
        <v>1162</v>
      </c>
      <c r="D17" s="961">
        <v>5</v>
      </c>
      <c r="E17" s="962" t="s">
        <v>3333</v>
      </c>
      <c r="F17" s="913">
        <v>0.1</v>
      </c>
      <c r="G17" s="963">
        <v>0.1</v>
      </c>
      <c r="H17" s="996">
        <v>0.08</v>
      </c>
      <c r="I17" s="918">
        <v>0.05</v>
      </c>
      <c r="J17" s="964">
        <v>0.04</v>
      </c>
      <c r="K17" s="920">
        <v>0.01</v>
      </c>
      <c r="L17" s="914"/>
      <c r="M17" s="586" t="s">
        <v>3095</v>
      </c>
      <c r="N17" s="591" t="e">
        <f>VLOOKUP($N$8,$Q:$R,2,FALSE)</f>
        <v>#N/A</v>
      </c>
      <c r="Q17" s="984" t="s">
        <v>2871</v>
      </c>
      <c r="R17" s="997">
        <v>5</v>
      </c>
    </row>
    <row r="18" spans="1:19">
      <c r="A18" s="628">
        <v>6</v>
      </c>
      <c r="C18" s="960" t="s">
        <v>1150</v>
      </c>
      <c r="D18" s="961">
        <v>6</v>
      </c>
      <c r="E18" s="962" t="s">
        <v>3333</v>
      </c>
      <c r="F18" s="913">
        <v>0.1</v>
      </c>
      <c r="G18" s="963">
        <v>0.1</v>
      </c>
      <c r="H18" s="996">
        <v>0.08</v>
      </c>
      <c r="I18" s="918">
        <v>0.05</v>
      </c>
      <c r="J18" s="964">
        <v>0.04</v>
      </c>
      <c r="K18" s="920">
        <v>0.01</v>
      </c>
      <c r="L18" s="914"/>
      <c r="M18" s="586" t="s">
        <v>3120</v>
      </c>
      <c r="N18" s="591">
        <f>MATCH(N12,$C$13:$C$18,0)</f>
        <v>1</v>
      </c>
      <c r="O18" s="644"/>
      <c r="P18" s="644"/>
      <c r="Q18" s="984" t="s">
        <v>2873</v>
      </c>
      <c r="R18" s="997">
        <v>5</v>
      </c>
    </row>
    <row r="19" spans="1:19">
      <c r="C19" s="59" t="s">
        <v>3334</v>
      </c>
      <c r="D19" s="166"/>
      <c r="E19" s="166"/>
      <c r="F19" s="969">
        <v>0.15</v>
      </c>
      <c r="G19" s="969">
        <v>0.15</v>
      </c>
      <c r="H19" s="969">
        <v>0.1</v>
      </c>
      <c r="I19" s="969">
        <v>0.1</v>
      </c>
      <c r="J19" s="969">
        <v>0.1</v>
      </c>
      <c r="K19" s="969">
        <v>0.05</v>
      </c>
      <c r="L19" s="998"/>
      <c r="Q19" s="984" t="s">
        <v>2875</v>
      </c>
      <c r="R19" s="946">
        <v>3</v>
      </c>
    </row>
    <row r="20" spans="1:19">
      <c r="C20" s="164" t="s">
        <v>3335</v>
      </c>
      <c r="D20" s="167"/>
      <c r="E20" s="167"/>
      <c r="F20" s="949">
        <v>100000</v>
      </c>
      <c r="G20" s="949">
        <v>100000</v>
      </c>
      <c r="H20" s="949">
        <v>100000</v>
      </c>
      <c r="I20" s="949">
        <v>100000</v>
      </c>
      <c r="J20" s="949">
        <v>100000</v>
      </c>
      <c r="K20" s="971">
        <v>100000</v>
      </c>
      <c r="L20" s="999"/>
      <c r="M20" s="648"/>
      <c r="Q20" s="984" t="s">
        <v>2877</v>
      </c>
      <c r="R20" s="946">
        <v>3</v>
      </c>
    </row>
    <row r="21" spans="1:19">
      <c r="M21" s="648"/>
      <c r="Q21" s="984" t="s">
        <v>2879</v>
      </c>
      <c r="R21" s="946">
        <v>3</v>
      </c>
    </row>
    <row r="22" spans="1:19">
      <c r="N22" s="649"/>
      <c r="Q22" s="1000" t="s">
        <v>2880</v>
      </c>
      <c r="R22" s="985">
        <v>6</v>
      </c>
    </row>
    <row r="23" spans="1:19">
      <c r="Q23" s="984" t="s">
        <v>2881</v>
      </c>
      <c r="R23" s="985">
        <v>6</v>
      </c>
      <c r="S23" s="950"/>
    </row>
    <row r="24" spans="1:19">
      <c r="Q24" s="984" t="s">
        <v>2882</v>
      </c>
      <c r="R24" s="985">
        <v>6</v>
      </c>
    </row>
    <row r="25" spans="1:19">
      <c r="Q25" s="984" t="s">
        <v>2883</v>
      </c>
      <c r="R25" s="997">
        <v>5</v>
      </c>
    </row>
    <row r="26" spans="1:19">
      <c r="Q26" s="984" t="s">
        <v>2885</v>
      </c>
      <c r="R26" s="985">
        <v>6</v>
      </c>
    </row>
    <row r="27" spans="1:19">
      <c r="Q27" s="984" t="s">
        <v>2886</v>
      </c>
      <c r="R27" s="985">
        <v>6</v>
      </c>
    </row>
    <row r="28" spans="1:19">
      <c r="Q28" s="984" t="s">
        <v>2887</v>
      </c>
      <c r="R28" s="985">
        <v>6</v>
      </c>
    </row>
    <row r="29" spans="1:19">
      <c r="Q29" s="984" t="s">
        <v>2888</v>
      </c>
      <c r="R29" s="985">
        <v>6</v>
      </c>
    </row>
    <row r="30" spans="1:19">
      <c r="Q30" s="984" t="s">
        <v>2889</v>
      </c>
      <c r="R30" s="985">
        <v>6</v>
      </c>
    </row>
    <row r="31" spans="1:19">
      <c r="Q31" s="984" t="s">
        <v>2890</v>
      </c>
      <c r="R31" s="985">
        <v>6</v>
      </c>
    </row>
    <row r="32" spans="1:19">
      <c r="Q32" s="984" t="s">
        <v>2891</v>
      </c>
      <c r="R32" s="985">
        <v>6</v>
      </c>
    </row>
    <row r="33" spans="17:18">
      <c r="Q33" s="984" t="s">
        <v>2892</v>
      </c>
      <c r="R33" s="985">
        <v>6</v>
      </c>
    </row>
    <row r="34" spans="17:18">
      <c r="Q34" s="984" t="s">
        <v>2893</v>
      </c>
      <c r="R34" s="985">
        <v>6</v>
      </c>
    </row>
    <row r="35" spans="17:18">
      <c r="Q35" s="984" t="s">
        <v>2894</v>
      </c>
      <c r="R35" s="946">
        <v>4</v>
      </c>
    </row>
    <row r="36" spans="17:18">
      <c r="Q36" s="984" t="s">
        <v>2896</v>
      </c>
      <c r="R36" s="985">
        <v>6</v>
      </c>
    </row>
    <row r="37" spans="17:18">
      <c r="Q37" s="984" t="s">
        <v>2897</v>
      </c>
      <c r="R37" s="985">
        <v>6</v>
      </c>
    </row>
    <row r="38" spans="17:18">
      <c r="Q38" s="984" t="s">
        <v>2898</v>
      </c>
      <c r="R38" s="985">
        <v>6</v>
      </c>
    </row>
    <row r="39" spans="17:18">
      <c r="Q39" s="984" t="s">
        <v>2899</v>
      </c>
      <c r="R39" s="985">
        <v>6</v>
      </c>
    </row>
    <row r="40" spans="17:18">
      <c r="Q40" s="984" t="s">
        <v>2900</v>
      </c>
      <c r="R40" s="985">
        <v>6</v>
      </c>
    </row>
    <row r="41" spans="17:18">
      <c r="Q41" s="984" t="s">
        <v>2901</v>
      </c>
      <c r="R41" s="985">
        <v>6</v>
      </c>
    </row>
    <row r="42" spans="17:18">
      <c r="Q42" s="984" t="s">
        <v>2902</v>
      </c>
      <c r="R42" s="985">
        <v>6</v>
      </c>
    </row>
    <row r="43" spans="17:18">
      <c r="Q43" s="984" t="s">
        <v>2903</v>
      </c>
      <c r="R43" s="985">
        <v>6</v>
      </c>
    </row>
    <row r="44" spans="17:18">
      <c r="Q44" s="984" t="s">
        <v>2904</v>
      </c>
      <c r="R44" s="985">
        <v>6</v>
      </c>
    </row>
    <row r="45" spans="17:18">
      <c r="Q45" s="984" t="s">
        <v>2905</v>
      </c>
      <c r="R45" s="985">
        <v>6</v>
      </c>
    </row>
    <row r="46" spans="17:18">
      <c r="Q46" s="984" t="s">
        <v>2906</v>
      </c>
      <c r="R46" s="985">
        <v>6</v>
      </c>
    </row>
    <row r="47" spans="17:18">
      <c r="Q47" s="984" t="s">
        <v>2907</v>
      </c>
      <c r="R47" s="985">
        <v>6</v>
      </c>
    </row>
    <row r="48" spans="17:18">
      <c r="Q48" s="984" t="s">
        <v>2908</v>
      </c>
      <c r="R48" s="985">
        <v>6</v>
      </c>
    </row>
    <row r="49" spans="17:18">
      <c r="Q49" s="984" t="s">
        <v>2909</v>
      </c>
      <c r="R49" s="985">
        <v>6</v>
      </c>
    </row>
    <row r="50" spans="17:18">
      <c r="Q50" s="984" t="s">
        <v>2910</v>
      </c>
      <c r="R50" s="985">
        <v>6</v>
      </c>
    </row>
    <row r="51" spans="17:18">
      <c r="Q51" s="984" t="s">
        <v>2911</v>
      </c>
      <c r="R51" s="985">
        <v>6</v>
      </c>
    </row>
    <row r="52" spans="17:18">
      <c r="Q52" s="984" t="s">
        <v>2912</v>
      </c>
      <c r="R52" s="985">
        <v>6</v>
      </c>
    </row>
    <row r="53" spans="17:18">
      <c r="Q53" s="984" t="s">
        <v>2913</v>
      </c>
      <c r="R53" s="985">
        <v>6</v>
      </c>
    </row>
    <row r="54" spans="17:18">
      <c r="Q54" s="984" t="s">
        <v>2914</v>
      </c>
      <c r="R54" s="985">
        <v>6</v>
      </c>
    </row>
    <row r="55" spans="17:18">
      <c r="Q55" s="984" t="s">
        <v>2915</v>
      </c>
      <c r="R55" s="985">
        <v>6</v>
      </c>
    </row>
    <row r="56" spans="17:18">
      <c r="Q56" s="984" t="s">
        <v>2916</v>
      </c>
      <c r="R56" s="985">
        <v>6</v>
      </c>
    </row>
    <row r="57" spans="17:18">
      <c r="Q57" s="984" t="s">
        <v>2917</v>
      </c>
      <c r="R57" s="946">
        <v>4</v>
      </c>
    </row>
    <row r="58" spans="17:18">
      <c r="Q58" s="984" t="s">
        <v>2919</v>
      </c>
      <c r="R58" s="946">
        <v>4</v>
      </c>
    </row>
    <row r="59" spans="17:18">
      <c r="Q59" s="984" t="s">
        <v>2920</v>
      </c>
      <c r="R59" s="946">
        <v>3</v>
      </c>
    </row>
    <row r="60" spans="17:18">
      <c r="Q60" s="984" t="s">
        <v>2922</v>
      </c>
      <c r="R60" s="946">
        <v>3</v>
      </c>
    </row>
    <row r="61" spans="17:18">
      <c r="Q61" s="984" t="s">
        <v>2923</v>
      </c>
      <c r="R61" s="981">
        <v>4</v>
      </c>
    </row>
    <row r="62" spans="17:18">
      <c r="Q62" s="984" t="s">
        <v>2924</v>
      </c>
      <c r="R62" s="946">
        <v>4</v>
      </c>
    </row>
    <row r="63" spans="17:18">
      <c r="Q63" s="984" t="s">
        <v>2926</v>
      </c>
      <c r="R63" s="946">
        <v>4</v>
      </c>
    </row>
    <row r="64" spans="17:18">
      <c r="Q64" s="984" t="s">
        <v>2927</v>
      </c>
      <c r="R64" s="997">
        <v>5</v>
      </c>
    </row>
    <row r="65" spans="17:18">
      <c r="Q65" s="984" t="s">
        <v>2928</v>
      </c>
      <c r="R65" s="946">
        <v>4</v>
      </c>
    </row>
    <row r="66" spans="17:18">
      <c r="Q66" s="984" t="s">
        <v>2929</v>
      </c>
      <c r="R66" s="997">
        <v>5</v>
      </c>
    </row>
    <row r="67" spans="17:18">
      <c r="Q67" s="984" t="s">
        <v>2930</v>
      </c>
      <c r="R67" s="946">
        <v>4</v>
      </c>
    </row>
    <row r="68" spans="17:18">
      <c r="Q68" s="984" t="s">
        <v>2931</v>
      </c>
      <c r="R68" s="946">
        <v>4</v>
      </c>
    </row>
    <row r="69" spans="17:18">
      <c r="Q69" s="984" t="s">
        <v>2933</v>
      </c>
      <c r="R69" s="946">
        <v>4</v>
      </c>
    </row>
    <row r="70" spans="17:18">
      <c r="Q70" s="984" t="s">
        <v>2934</v>
      </c>
      <c r="R70" s="946">
        <v>4</v>
      </c>
    </row>
    <row r="71" spans="17:18">
      <c r="Q71" s="984" t="s">
        <v>2935</v>
      </c>
      <c r="R71" s="946">
        <v>4</v>
      </c>
    </row>
    <row r="72" spans="17:18">
      <c r="Q72" s="984" t="s">
        <v>2936</v>
      </c>
      <c r="R72" s="946">
        <v>4</v>
      </c>
    </row>
    <row r="73" spans="17:18">
      <c r="Q73" s="984" t="s">
        <v>2937</v>
      </c>
      <c r="R73" s="946">
        <v>4</v>
      </c>
    </row>
    <row r="74" spans="17:18">
      <c r="Q74" s="984" t="s">
        <v>2938</v>
      </c>
      <c r="R74" s="946">
        <v>4</v>
      </c>
    </row>
    <row r="75" spans="17:18">
      <c r="Q75" s="984" t="s">
        <v>2939</v>
      </c>
      <c r="R75" s="946">
        <v>4</v>
      </c>
    </row>
    <row r="76" spans="17:18">
      <c r="Q76" s="984" t="s">
        <v>2940</v>
      </c>
      <c r="R76" s="946">
        <v>4</v>
      </c>
    </row>
    <row r="77" spans="17:18">
      <c r="Q77" s="984" t="s">
        <v>2941</v>
      </c>
      <c r="R77" s="997">
        <v>5</v>
      </c>
    </row>
    <row r="78" spans="17:18">
      <c r="Q78" s="984" t="s">
        <v>2943</v>
      </c>
      <c r="R78" s="946">
        <v>4</v>
      </c>
    </row>
    <row r="79" spans="17:18">
      <c r="Q79" s="984" t="s">
        <v>2944</v>
      </c>
      <c r="R79" s="997">
        <v>5</v>
      </c>
    </row>
    <row r="80" spans="17:18">
      <c r="Q80" s="984" t="s">
        <v>2945</v>
      </c>
      <c r="R80" s="946">
        <v>4</v>
      </c>
    </row>
    <row r="81" spans="17:18">
      <c r="Q81" s="984" t="s">
        <v>2946</v>
      </c>
      <c r="R81" s="946">
        <v>4</v>
      </c>
    </row>
    <row r="82" spans="17:18">
      <c r="Q82" s="984" t="s">
        <v>2947</v>
      </c>
      <c r="R82" s="946">
        <v>4</v>
      </c>
    </row>
    <row r="83" spans="17:18">
      <c r="Q83" s="984" t="s">
        <v>2948</v>
      </c>
      <c r="R83" s="946">
        <v>4</v>
      </c>
    </row>
    <row r="84" spans="17:18">
      <c r="Q84" s="984" t="s">
        <v>2949</v>
      </c>
      <c r="R84" s="946">
        <v>4</v>
      </c>
    </row>
    <row r="85" spans="17:18">
      <c r="Q85" s="984" t="s">
        <v>2950</v>
      </c>
      <c r="R85" s="946">
        <v>4</v>
      </c>
    </row>
    <row r="86" spans="17:18">
      <c r="Q86" s="984" t="s">
        <v>2951</v>
      </c>
      <c r="R86" s="946">
        <v>2</v>
      </c>
    </row>
    <row r="87" spans="17:18">
      <c r="Q87" s="984" t="s">
        <v>2952</v>
      </c>
      <c r="R87" s="946">
        <v>2</v>
      </c>
    </row>
    <row r="88" spans="17:18">
      <c r="Q88" s="984" t="s">
        <v>2953</v>
      </c>
      <c r="R88" s="946">
        <v>2</v>
      </c>
    </row>
    <row r="89" spans="17:18">
      <c r="Q89" s="984" t="s">
        <v>2954</v>
      </c>
      <c r="R89" s="946">
        <v>2</v>
      </c>
    </row>
    <row r="90" spans="17:18">
      <c r="Q90" s="984" t="s">
        <v>2956</v>
      </c>
      <c r="R90" s="946">
        <v>2</v>
      </c>
    </row>
    <row r="91" spans="17:18">
      <c r="Q91" s="984" t="s">
        <v>2957</v>
      </c>
      <c r="R91" s="946">
        <v>4</v>
      </c>
    </row>
    <row r="92" spans="17:18">
      <c r="Q92" s="984" t="s">
        <v>2958</v>
      </c>
      <c r="R92" s="997">
        <v>5</v>
      </c>
    </row>
    <row r="93" spans="17:18">
      <c r="Q93" s="984" t="s">
        <v>2959</v>
      </c>
      <c r="R93" s="946">
        <v>4</v>
      </c>
    </row>
    <row r="94" spans="17:18">
      <c r="Q94" s="984" t="s">
        <v>2960</v>
      </c>
      <c r="R94" s="946">
        <v>3</v>
      </c>
    </row>
    <row r="95" spans="17:18">
      <c r="Q95" s="984" t="s">
        <v>2961</v>
      </c>
      <c r="R95" s="997">
        <v>5</v>
      </c>
    </row>
    <row r="96" spans="17:18">
      <c r="Q96" s="984" t="s">
        <v>2962</v>
      </c>
      <c r="R96" s="985">
        <v>6</v>
      </c>
    </row>
    <row r="97" spans="17:19">
      <c r="Q97" s="984" t="s">
        <v>2963</v>
      </c>
      <c r="R97" s="985">
        <v>6</v>
      </c>
    </row>
    <row r="98" spans="17:19">
      <c r="Q98" s="1000" t="s">
        <v>2964</v>
      </c>
      <c r="R98" s="946">
        <v>4</v>
      </c>
    </row>
    <row r="99" spans="17:19">
      <c r="Q99" s="984" t="s">
        <v>2965</v>
      </c>
      <c r="R99" s="946">
        <v>4</v>
      </c>
    </row>
    <row r="100" spans="17:19">
      <c r="Q100" s="984" t="s">
        <v>2966</v>
      </c>
      <c r="R100" s="997">
        <v>5</v>
      </c>
    </row>
    <row r="101" spans="17:19">
      <c r="Q101" s="984" t="s">
        <v>2967</v>
      </c>
      <c r="R101" s="946">
        <v>4</v>
      </c>
    </row>
    <row r="102" spans="17:19">
      <c r="Q102" s="984" t="s">
        <v>2968</v>
      </c>
      <c r="R102" s="946">
        <v>4</v>
      </c>
    </row>
    <row r="103" spans="17:19">
      <c r="Q103" s="984" t="s">
        <v>2969</v>
      </c>
      <c r="R103" s="946">
        <v>4</v>
      </c>
    </row>
    <row r="104" spans="17:19">
      <c r="Q104" s="984" t="s">
        <v>2970</v>
      </c>
      <c r="R104" s="997">
        <v>5</v>
      </c>
    </row>
    <row r="105" spans="17:19">
      <c r="Q105" s="984" t="s">
        <v>2971</v>
      </c>
      <c r="R105" s="997">
        <v>5</v>
      </c>
    </row>
    <row r="106" spans="17:19">
      <c r="Q106" s="984" t="s">
        <v>2972</v>
      </c>
      <c r="R106" s="997">
        <v>5</v>
      </c>
    </row>
    <row r="107" spans="17:19">
      <c r="Q107" s="984" t="s">
        <v>2973</v>
      </c>
      <c r="R107" s="946">
        <v>4</v>
      </c>
    </row>
    <row r="108" spans="17:19">
      <c r="Q108" s="984" t="s">
        <v>2974</v>
      </c>
      <c r="R108" s="946">
        <v>4</v>
      </c>
    </row>
    <row r="109" spans="17:19">
      <c r="Q109" s="984" t="s">
        <v>2975</v>
      </c>
      <c r="R109" s="997">
        <v>5</v>
      </c>
    </row>
    <row r="110" spans="17:19">
      <c r="Q110" s="984" t="s">
        <v>2976</v>
      </c>
      <c r="R110" s="997">
        <v>5</v>
      </c>
      <c r="S110" s="950"/>
    </row>
    <row r="111" spans="17:19">
      <c r="Q111" s="984" t="s">
        <v>2977</v>
      </c>
      <c r="R111" s="950">
        <v>4</v>
      </c>
      <c r="S111" s="950"/>
    </row>
    <row r="112" spans="17:19">
      <c r="Q112" s="984" t="s">
        <v>2978</v>
      </c>
      <c r="R112" s="950">
        <v>4</v>
      </c>
      <c r="S112" s="950"/>
    </row>
    <row r="113" spans="17:19">
      <c r="Q113" s="984" t="s">
        <v>2979</v>
      </c>
      <c r="R113" s="950">
        <v>4</v>
      </c>
      <c r="S113" s="950"/>
    </row>
    <row r="114" spans="17:19">
      <c r="Q114" s="984" t="s">
        <v>2980</v>
      </c>
      <c r="R114" s="950">
        <v>4</v>
      </c>
      <c r="S114" s="950"/>
    </row>
    <row r="115" spans="17:19">
      <c r="Q115" s="984" t="s">
        <v>2981</v>
      </c>
      <c r="R115" s="950">
        <v>4</v>
      </c>
      <c r="S115" s="950"/>
    </row>
    <row r="116" spans="17:19">
      <c r="Q116" s="984" t="s">
        <v>2982</v>
      </c>
      <c r="R116" s="1001">
        <v>4</v>
      </c>
      <c r="S116" s="950" t="s">
        <v>2925</v>
      </c>
    </row>
    <row r="117" spans="17:19">
      <c r="Q117" s="984" t="s">
        <v>2983</v>
      </c>
      <c r="R117" s="997">
        <v>5</v>
      </c>
      <c r="S117" s="950"/>
    </row>
    <row r="118" spans="17:19">
      <c r="Q118" s="984" t="s">
        <v>2984</v>
      </c>
      <c r="R118" s="950">
        <v>4</v>
      </c>
      <c r="S118" s="950"/>
    </row>
    <row r="119" spans="17:19">
      <c r="Q119" s="984" t="s">
        <v>2985</v>
      </c>
      <c r="R119" s="997">
        <v>5</v>
      </c>
      <c r="S119" s="950"/>
    </row>
    <row r="120" spans="17:19">
      <c r="Q120" s="984" t="s">
        <v>2986</v>
      </c>
      <c r="R120" s="997">
        <v>5</v>
      </c>
      <c r="S120" s="950"/>
    </row>
    <row r="121" spans="17:19">
      <c r="Q121" s="984" t="s">
        <v>2987</v>
      </c>
      <c r="R121" s="950">
        <v>4</v>
      </c>
      <c r="S121" s="950"/>
    </row>
    <row r="122" spans="17:19">
      <c r="Q122" s="984" t="s">
        <v>2988</v>
      </c>
      <c r="R122" s="950">
        <v>4</v>
      </c>
      <c r="S122" s="950"/>
    </row>
    <row r="123" spans="17:19">
      <c r="Q123" s="984" t="s">
        <v>2989</v>
      </c>
      <c r="R123" s="950">
        <v>4</v>
      </c>
      <c r="S123" s="950"/>
    </row>
    <row r="124" spans="17:19">
      <c r="Q124" s="984" t="s">
        <v>2990</v>
      </c>
      <c r="R124" s="950">
        <v>4</v>
      </c>
      <c r="S124" s="950"/>
    </row>
    <row r="125" spans="17:19">
      <c r="Q125" s="984" t="s">
        <v>2991</v>
      </c>
      <c r="R125" s="950">
        <v>4</v>
      </c>
      <c r="S125" s="950"/>
    </row>
    <row r="126" spans="17:19">
      <c r="Q126" s="984" t="s">
        <v>2992</v>
      </c>
      <c r="R126" s="997">
        <v>5</v>
      </c>
      <c r="S126" s="950"/>
    </row>
    <row r="127" spans="17:19">
      <c r="Q127" s="984" t="s">
        <v>2993</v>
      </c>
      <c r="R127" s="997">
        <v>5</v>
      </c>
      <c r="S127" s="950"/>
    </row>
    <row r="128" spans="17:19">
      <c r="Q128" s="984" t="s">
        <v>2994</v>
      </c>
      <c r="R128" s="997">
        <v>5</v>
      </c>
      <c r="S128" s="950"/>
    </row>
    <row r="129" spans="17:19">
      <c r="Q129" s="984" t="s">
        <v>2995</v>
      </c>
      <c r="R129" s="997">
        <v>5</v>
      </c>
      <c r="S129" s="950"/>
    </row>
    <row r="130" spans="17:19">
      <c r="Q130" s="984" t="s">
        <v>2996</v>
      </c>
      <c r="R130" s="997">
        <v>5</v>
      </c>
      <c r="S130" s="950"/>
    </row>
    <row r="131" spans="17:19">
      <c r="Q131" s="984" t="s">
        <v>2997</v>
      </c>
      <c r="R131" s="950">
        <v>4</v>
      </c>
      <c r="S131" s="950"/>
    </row>
    <row r="132" spans="17:19">
      <c r="Q132" s="984" t="s">
        <v>2998</v>
      </c>
      <c r="R132" s="946">
        <v>4</v>
      </c>
    </row>
    <row r="133" spans="17:19">
      <c r="Q133" s="984" t="s">
        <v>2999</v>
      </c>
      <c r="R133" s="997">
        <v>5</v>
      </c>
    </row>
    <row r="134" spans="17:19">
      <c r="Q134" s="984" t="s">
        <v>3000</v>
      </c>
      <c r="R134" s="997">
        <v>5</v>
      </c>
    </row>
    <row r="135" spans="17:19">
      <c r="Q135" s="984" t="s">
        <v>3001</v>
      </c>
      <c r="R135" s="997">
        <v>5</v>
      </c>
    </row>
    <row r="136" spans="17:19">
      <c r="Q136" s="984" t="s">
        <v>3002</v>
      </c>
      <c r="R136" s="946">
        <v>2</v>
      </c>
    </row>
    <row r="137" spans="17:19">
      <c r="Q137" s="984" t="s">
        <v>3003</v>
      </c>
      <c r="R137" s="946">
        <v>2</v>
      </c>
    </row>
    <row r="138" spans="17:19">
      <c r="Q138" s="984" t="s">
        <v>3004</v>
      </c>
      <c r="R138" s="946">
        <v>2</v>
      </c>
    </row>
    <row r="139" spans="17:19">
      <c r="Q139" s="984" t="s">
        <v>3005</v>
      </c>
      <c r="R139" s="946">
        <v>2</v>
      </c>
    </row>
    <row r="140" spans="17:19">
      <c r="Q140" s="984" t="s">
        <v>3006</v>
      </c>
      <c r="R140" s="946">
        <v>4</v>
      </c>
    </row>
    <row r="141" spans="17:19">
      <c r="Q141" s="984" t="s">
        <v>3007</v>
      </c>
      <c r="R141" s="946">
        <v>2</v>
      </c>
    </row>
    <row r="142" spans="17:19">
      <c r="Q142" s="984" t="s">
        <v>3008</v>
      </c>
      <c r="R142" s="946">
        <v>1</v>
      </c>
    </row>
    <row r="143" spans="17:19">
      <c r="Q143" s="984" t="s">
        <v>3009</v>
      </c>
      <c r="R143" s="946">
        <v>2</v>
      </c>
    </row>
    <row r="144" spans="17:19">
      <c r="Q144" s="984" t="s">
        <v>3010</v>
      </c>
      <c r="R144" s="946">
        <v>2</v>
      </c>
    </row>
    <row r="145" spans="17:19">
      <c r="Q145" s="984" t="s">
        <v>3011</v>
      </c>
      <c r="R145" s="997">
        <v>5</v>
      </c>
    </row>
    <row r="146" spans="17:19">
      <c r="Q146" s="984" t="s">
        <v>3012</v>
      </c>
      <c r="R146" s="946">
        <v>4</v>
      </c>
    </row>
    <row r="147" spans="17:19">
      <c r="Q147" s="984" t="s">
        <v>3013</v>
      </c>
      <c r="R147" s="946">
        <v>4</v>
      </c>
    </row>
    <row r="148" spans="17:19">
      <c r="Q148" s="984" t="s">
        <v>3014</v>
      </c>
      <c r="R148" s="997">
        <v>5</v>
      </c>
    </row>
    <row r="149" spans="17:19">
      <c r="Q149" s="984" t="s">
        <v>3015</v>
      </c>
      <c r="R149" s="997">
        <v>5</v>
      </c>
    </row>
    <row r="150" spans="17:19">
      <c r="Q150" s="984" t="s">
        <v>3016</v>
      </c>
      <c r="R150" s="997">
        <v>5</v>
      </c>
    </row>
    <row r="151" spans="17:19">
      <c r="Q151" s="984" t="s">
        <v>3017</v>
      </c>
      <c r="R151" s="997">
        <v>5</v>
      </c>
    </row>
    <row r="152" spans="17:19">
      <c r="Q152" s="984" t="s">
        <v>3018</v>
      </c>
      <c r="R152" s="946">
        <v>3</v>
      </c>
    </row>
    <row r="153" spans="17:19">
      <c r="Q153" s="984" t="s">
        <v>3019</v>
      </c>
      <c r="R153" s="997">
        <v>5</v>
      </c>
    </row>
    <row r="154" spans="17:19">
      <c r="Q154" s="984" t="s">
        <v>3020</v>
      </c>
      <c r="R154" s="997">
        <v>5</v>
      </c>
    </row>
    <row r="155" spans="17:19">
      <c r="Q155" s="984" t="s">
        <v>3021</v>
      </c>
      <c r="R155" s="997">
        <v>5</v>
      </c>
    </row>
    <row r="156" spans="17:19">
      <c r="Q156" s="984" t="s">
        <v>3022</v>
      </c>
      <c r="R156" s="997">
        <v>5</v>
      </c>
    </row>
    <row r="157" spans="17:19">
      <c r="Q157" s="984" t="s">
        <v>3023</v>
      </c>
      <c r="R157" s="997">
        <v>5</v>
      </c>
    </row>
    <row r="158" spans="17:19">
      <c r="Q158" s="984" t="s">
        <v>3024</v>
      </c>
      <c r="R158" s="1001">
        <v>4</v>
      </c>
      <c r="S158" s="950" t="s">
        <v>2925</v>
      </c>
    </row>
    <row r="159" spans="17:19">
      <c r="Q159" s="984" t="s">
        <v>3025</v>
      </c>
      <c r="R159" s="997">
        <v>5</v>
      </c>
    </row>
    <row r="160" spans="17:19">
      <c r="Q160" s="984" t="s">
        <v>3026</v>
      </c>
      <c r="R160" s="997">
        <v>5</v>
      </c>
    </row>
    <row r="161" spans="17:18">
      <c r="Q161" s="984" t="s">
        <v>3027</v>
      </c>
      <c r="R161" s="997">
        <v>5</v>
      </c>
    </row>
    <row r="162" spans="17:18">
      <c r="Q162" s="984" t="s">
        <v>3029</v>
      </c>
      <c r="R162" s="985">
        <v>6</v>
      </c>
    </row>
    <row r="163" spans="17:18">
      <c r="Q163" s="984" t="s">
        <v>3030</v>
      </c>
      <c r="R163" s="985">
        <v>6</v>
      </c>
    </row>
    <row r="164" spans="17:18">
      <c r="Q164" s="984" t="s">
        <v>3031</v>
      </c>
      <c r="R164" s="985">
        <v>6</v>
      </c>
    </row>
    <row r="165" spans="17:18">
      <c r="Q165" s="984" t="s">
        <v>3032</v>
      </c>
      <c r="R165" s="997">
        <v>5</v>
      </c>
    </row>
    <row r="166" spans="17:18">
      <c r="Q166" s="984" t="s">
        <v>3033</v>
      </c>
      <c r="R166" s="946">
        <v>3</v>
      </c>
    </row>
    <row r="167" spans="17:18">
      <c r="Q167" s="984" t="s">
        <v>3034</v>
      </c>
      <c r="R167" s="946">
        <v>1</v>
      </c>
    </row>
    <row r="168" spans="17:18">
      <c r="Q168" s="984" t="s">
        <v>3036</v>
      </c>
      <c r="R168" s="946">
        <v>2</v>
      </c>
    </row>
    <row r="169" spans="17:18">
      <c r="Q169" s="984" t="s">
        <v>3038</v>
      </c>
      <c r="R169" s="946">
        <v>2</v>
      </c>
    </row>
    <row r="170" spans="17:18">
      <c r="Q170" s="984" t="s">
        <v>3039</v>
      </c>
      <c r="R170" s="946">
        <v>1</v>
      </c>
    </row>
    <row r="171" spans="17:18">
      <c r="Q171" s="984" t="s">
        <v>3040</v>
      </c>
      <c r="R171" s="946">
        <v>1</v>
      </c>
    </row>
    <row r="172" spans="17:18">
      <c r="Q172" s="984" t="s">
        <v>3041</v>
      </c>
      <c r="R172" s="946">
        <v>1</v>
      </c>
    </row>
    <row r="173" spans="17:18">
      <c r="Q173" s="984" t="s">
        <v>3042</v>
      </c>
      <c r="R173" s="946">
        <v>1</v>
      </c>
    </row>
    <row r="174" spans="17:18">
      <c r="Q174" s="984" t="s">
        <v>3043</v>
      </c>
      <c r="R174" s="946">
        <v>1</v>
      </c>
    </row>
    <row r="175" spans="17:18">
      <c r="Q175" s="984" t="s">
        <v>3044</v>
      </c>
      <c r="R175" s="946">
        <v>2</v>
      </c>
    </row>
    <row r="176" spans="17:18">
      <c r="Q176" s="984" t="s">
        <v>3045</v>
      </c>
      <c r="R176" s="946">
        <v>2</v>
      </c>
    </row>
    <row r="177" spans="17:18">
      <c r="Q177" s="984" t="s">
        <v>3046</v>
      </c>
      <c r="R177" s="946">
        <v>1</v>
      </c>
    </row>
    <row r="178" spans="17:18">
      <c r="Q178" s="984" t="s">
        <v>3047</v>
      </c>
      <c r="R178" s="946">
        <v>2</v>
      </c>
    </row>
    <row r="179" spans="17:18">
      <c r="Q179" s="984" t="s">
        <v>3048</v>
      </c>
      <c r="R179" s="946">
        <v>2</v>
      </c>
    </row>
    <row r="180" spans="17:18">
      <c r="Q180" s="984" t="s">
        <v>3049</v>
      </c>
      <c r="R180" s="946">
        <v>2</v>
      </c>
    </row>
    <row r="181" spans="17:18">
      <c r="Q181" s="984" t="s">
        <v>3050</v>
      </c>
      <c r="R181" s="946">
        <v>3</v>
      </c>
    </row>
    <row r="182" spans="17:18">
      <c r="Q182" s="984" t="s">
        <v>3051</v>
      </c>
      <c r="R182" s="946">
        <v>3</v>
      </c>
    </row>
    <row r="183" spans="17:18">
      <c r="Q183" s="984" t="s">
        <v>3052</v>
      </c>
      <c r="R183" s="946">
        <v>3</v>
      </c>
    </row>
    <row r="184" spans="17:18">
      <c r="Q184" s="984" t="s">
        <v>3053</v>
      </c>
      <c r="R184" s="946">
        <v>3</v>
      </c>
    </row>
    <row r="185" spans="17:18">
      <c r="Q185" s="984" t="s">
        <v>3054</v>
      </c>
      <c r="R185" s="946">
        <v>3</v>
      </c>
    </row>
    <row r="186" spans="17:18">
      <c r="Q186" s="984" t="s">
        <v>3055</v>
      </c>
      <c r="R186" s="946">
        <v>2</v>
      </c>
    </row>
    <row r="187" spans="17:18">
      <c r="Q187" s="984" t="s">
        <v>3056</v>
      </c>
      <c r="R187" s="946">
        <v>3</v>
      </c>
    </row>
    <row r="188" spans="17:18">
      <c r="Q188" s="984" t="s">
        <v>3057</v>
      </c>
      <c r="R188" s="946">
        <v>3</v>
      </c>
    </row>
    <row r="189" spans="17:18">
      <c r="Q189" s="984" t="s">
        <v>3058</v>
      </c>
      <c r="R189" s="946">
        <v>3</v>
      </c>
    </row>
    <row r="190" spans="17:18">
      <c r="Q190" s="984" t="s">
        <v>3059</v>
      </c>
      <c r="R190" s="946">
        <v>3</v>
      </c>
    </row>
    <row r="191" spans="17:18">
      <c r="Q191" s="984" t="s">
        <v>3060</v>
      </c>
      <c r="R191" s="946">
        <v>3</v>
      </c>
    </row>
    <row r="192" spans="17:18">
      <c r="Q192" s="984" t="s">
        <v>3061</v>
      </c>
      <c r="R192" s="946">
        <v>3</v>
      </c>
    </row>
    <row r="193" spans="17:18">
      <c r="Q193" s="984" t="s">
        <v>3062</v>
      </c>
      <c r="R193" s="946">
        <v>3</v>
      </c>
    </row>
    <row r="194" spans="17:18">
      <c r="Q194" s="984" t="s">
        <v>3063</v>
      </c>
      <c r="R194" s="946">
        <v>3</v>
      </c>
    </row>
    <row r="195" spans="17:18">
      <c r="Q195" s="984" t="s">
        <v>3064</v>
      </c>
      <c r="R195" s="946">
        <v>3</v>
      </c>
    </row>
    <row r="196" spans="17:18">
      <c r="Q196" s="984" t="s">
        <v>3065</v>
      </c>
      <c r="R196" s="946">
        <v>3</v>
      </c>
    </row>
    <row r="197" spans="17:18">
      <c r="Q197" s="984" t="s">
        <v>3066</v>
      </c>
      <c r="R197" s="946">
        <v>2</v>
      </c>
    </row>
    <row r="198" spans="17:18">
      <c r="Q198" s="984"/>
    </row>
    <row r="199" spans="17:18">
      <c r="Q199" s="984"/>
    </row>
    <row r="200" spans="17:18">
      <c r="Q200" s="984"/>
    </row>
    <row r="201" spans="17:18">
      <c r="Q201" s="984"/>
    </row>
    <row r="202" spans="17:18">
      <c r="Q202" s="984"/>
    </row>
    <row r="203" spans="17:18">
      <c r="Q203" s="984"/>
    </row>
    <row r="204" spans="17:18">
      <c r="Q204" s="984"/>
    </row>
    <row r="205" spans="17:18">
      <c r="Q205" s="984"/>
    </row>
    <row r="206" spans="17:18">
      <c r="Q206" s="984"/>
    </row>
    <row r="207" spans="17:18">
      <c r="Q207" s="984"/>
    </row>
    <row r="208" spans="17:18">
      <c r="Q208" s="984"/>
    </row>
    <row r="209" spans="17:17">
      <c r="Q209" s="984"/>
    </row>
    <row r="210" spans="17:17">
      <c r="Q210" s="984"/>
    </row>
    <row r="211" spans="17:17">
      <c r="Q211" s="984"/>
    </row>
    <row r="212" spans="17:17">
      <c r="Q212" s="984"/>
    </row>
    <row r="213" spans="17:17">
      <c r="Q213" s="984"/>
    </row>
    <row r="214" spans="17:17">
      <c r="Q214" s="984"/>
    </row>
    <row r="215" spans="17:17">
      <c r="Q215" s="984"/>
    </row>
    <row r="216" spans="17:17">
      <c r="Q216" s="984"/>
    </row>
    <row r="217" spans="17:17">
      <c r="Q217" s="984"/>
    </row>
    <row r="218" spans="17:17">
      <c r="Q218" s="984"/>
    </row>
    <row r="219" spans="17:17">
      <c r="Q219" s="984"/>
    </row>
    <row r="220" spans="17:17">
      <c r="Q220" s="984"/>
    </row>
    <row r="221" spans="17:17">
      <c r="Q221" s="984"/>
    </row>
    <row r="222" spans="17:17">
      <c r="Q222" s="984"/>
    </row>
    <row r="223" spans="17:17">
      <c r="Q223" s="984"/>
    </row>
    <row r="224" spans="17:17">
      <c r="Q224" s="984"/>
    </row>
    <row r="225" spans="17:17">
      <c r="Q225" s="984"/>
    </row>
    <row r="226" spans="17:17">
      <c r="Q226" s="984"/>
    </row>
    <row r="227" spans="17:17">
      <c r="Q227" s="984"/>
    </row>
    <row r="228" spans="17:17">
      <c r="Q228" s="984"/>
    </row>
    <row r="229" spans="17:17">
      <c r="Q229" s="984"/>
    </row>
    <row r="230" spans="17:17">
      <c r="Q230" s="984"/>
    </row>
    <row r="231" spans="17:17">
      <c r="Q231" s="984"/>
    </row>
    <row r="232" spans="17:17">
      <c r="Q232" s="984"/>
    </row>
    <row r="233" spans="17:17">
      <c r="Q233" s="984"/>
    </row>
    <row r="234" spans="17:17">
      <c r="Q234" s="984"/>
    </row>
    <row r="235" spans="17:17">
      <c r="Q235" s="984"/>
    </row>
    <row r="236" spans="17:17">
      <c r="Q236" s="984"/>
    </row>
    <row r="237" spans="17:17">
      <c r="Q237" s="984"/>
    </row>
    <row r="238" spans="17:17">
      <c r="Q238" s="984"/>
    </row>
    <row r="239" spans="17:17">
      <c r="Q239" s="984"/>
    </row>
    <row r="240" spans="17:17">
      <c r="Q240" s="984"/>
    </row>
    <row r="241" spans="17:17">
      <c r="Q241" s="984"/>
    </row>
    <row r="242" spans="17:17">
      <c r="Q242" s="984"/>
    </row>
    <row r="243" spans="17:17">
      <c r="Q243" s="984"/>
    </row>
    <row r="244" spans="17:17">
      <c r="Q244" s="984"/>
    </row>
    <row r="245" spans="17:17">
      <c r="Q245" s="984"/>
    </row>
    <row r="246" spans="17:17">
      <c r="Q246" s="984"/>
    </row>
    <row r="247" spans="17:17">
      <c r="Q247" s="984"/>
    </row>
    <row r="248" spans="17:17">
      <c r="Q248" s="984"/>
    </row>
    <row r="249" spans="17:17">
      <c r="Q249" s="984"/>
    </row>
    <row r="250" spans="17:17">
      <c r="Q250" s="984"/>
    </row>
    <row r="251" spans="17:17">
      <c r="Q251" s="984"/>
    </row>
    <row r="252" spans="17:17">
      <c r="Q252" s="984"/>
    </row>
    <row r="253" spans="17:17">
      <c r="Q253" s="984"/>
    </row>
    <row r="254" spans="17:17">
      <c r="Q254" s="984"/>
    </row>
    <row r="255" spans="17:17">
      <c r="Q255" s="984"/>
    </row>
    <row r="256" spans="17:17">
      <c r="Q256" s="984"/>
    </row>
    <row r="257" spans="17:17">
      <c r="Q257" s="984"/>
    </row>
    <row r="258" spans="17:17">
      <c r="Q258" s="984"/>
    </row>
    <row r="259" spans="17:17">
      <c r="Q259" s="984"/>
    </row>
    <row r="260" spans="17:17">
      <c r="Q260" s="984"/>
    </row>
    <row r="261" spans="17:17">
      <c r="Q261" s="984"/>
    </row>
    <row r="262" spans="17:17">
      <c r="Q262" s="984"/>
    </row>
    <row r="263" spans="17:17">
      <c r="Q263" s="984"/>
    </row>
    <row r="264" spans="17:17">
      <c r="Q264" s="984"/>
    </row>
    <row r="265" spans="17:17">
      <c r="Q265" s="984"/>
    </row>
    <row r="266" spans="17:17">
      <c r="Q266" s="984"/>
    </row>
    <row r="267" spans="17:17">
      <c r="Q267" s="984"/>
    </row>
    <row r="268" spans="17:17">
      <c r="Q268" s="984"/>
    </row>
    <row r="269" spans="17:17">
      <c r="Q269" s="984"/>
    </row>
    <row r="270" spans="17:17">
      <c r="Q270" s="984"/>
    </row>
    <row r="271" spans="17:17">
      <c r="Q271" s="984"/>
    </row>
    <row r="272" spans="17:17">
      <c r="Q272" s="984"/>
    </row>
    <row r="273" spans="17:17">
      <c r="Q273" s="984"/>
    </row>
    <row r="274" spans="17:17">
      <c r="Q274" s="984"/>
    </row>
    <row r="275" spans="17:17">
      <c r="Q275" s="984"/>
    </row>
    <row r="276" spans="17:17">
      <c r="Q276" s="984"/>
    </row>
    <row r="277" spans="17:17">
      <c r="Q277" s="984"/>
    </row>
    <row r="278" spans="17:17">
      <c r="Q278" s="984"/>
    </row>
    <row r="279" spans="17:17">
      <c r="Q279" s="984"/>
    </row>
    <row r="280" spans="17:17">
      <c r="Q280" s="984"/>
    </row>
    <row r="281" spans="17:17">
      <c r="Q281" s="984"/>
    </row>
    <row r="282" spans="17:17">
      <c r="Q282" s="984"/>
    </row>
    <row r="283" spans="17:17">
      <c r="Q283" s="984"/>
    </row>
    <row r="284" spans="17:17">
      <c r="Q284" s="984"/>
    </row>
    <row r="285" spans="17:17">
      <c r="Q285" s="984"/>
    </row>
    <row r="286" spans="17:17">
      <c r="Q286" s="984"/>
    </row>
    <row r="287" spans="17:17">
      <c r="Q287" s="984"/>
    </row>
    <row r="288" spans="17:17">
      <c r="Q288" s="984"/>
    </row>
    <row r="289" spans="17:17">
      <c r="Q289" s="984"/>
    </row>
    <row r="290" spans="17:17">
      <c r="Q290" s="984"/>
    </row>
    <row r="291" spans="17:17">
      <c r="Q291" s="984"/>
    </row>
    <row r="292" spans="17:17">
      <c r="Q292" s="984"/>
    </row>
    <row r="293" spans="17:17">
      <c r="Q293" s="984"/>
    </row>
    <row r="294" spans="17:17">
      <c r="Q294" s="984"/>
    </row>
    <row r="295" spans="17:17">
      <c r="Q295" s="984"/>
    </row>
    <row r="296" spans="17:17">
      <c r="Q296" s="984"/>
    </row>
    <row r="297" spans="17:17">
      <c r="Q297" s="984"/>
    </row>
    <row r="298" spans="17:17">
      <c r="Q298" s="984"/>
    </row>
    <row r="299" spans="17:17">
      <c r="Q299" s="984"/>
    </row>
    <row r="300" spans="17:17">
      <c r="Q300" s="984"/>
    </row>
    <row r="301" spans="17:17">
      <c r="Q301" s="984"/>
    </row>
    <row r="302" spans="17:17">
      <c r="Q302" s="984"/>
    </row>
    <row r="303" spans="17:17">
      <c r="Q303" s="984"/>
    </row>
    <row r="304" spans="17:17">
      <c r="Q304" s="984"/>
    </row>
    <row r="305" spans="17:17">
      <c r="Q305" s="984"/>
    </row>
    <row r="306" spans="17:17">
      <c r="Q306" s="984"/>
    </row>
    <row r="307" spans="17:17">
      <c r="Q307" s="984"/>
    </row>
    <row r="308" spans="17:17">
      <c r="Q308" s="984"/>
    </row>
    <row r="309" spans="17:17">
      <c r="Q309" s="984"/>
    </row>
    <row r="310" spans="17:17">
      <c r="Q310" s="984"/>
    </row>
    <row r="311" spans="17:17">
      <c r="Q311" s="984"/>
    </row>
    <row r="312" spans="17:17">
      <c r="Q312" s="984"/>
    </row>
    <row r="313" spans="17:17">
      <c r="Q313" s="984"/>
    </row>
    <row r="314" spans="17:17">
      <c r="Q314" s="984"/>
    </row>
    <row r="315" spans="17:17">
      <c r="Q315" s="984"/>
    </row>
    <row r="316" spans="17:17">
      <c r="Q316" s="984"/>
    </row>
    <row r="317" spans="17:17">
      <c r="Q317" s="984"/>
    </row>
    <row r="318" spans="17:17">
      <c r="Q318" s="984"/>
    </row>
    <row r="319" spans="17:17">
      <c r="Q319" s="984"/>
    </row>
    <row r="320" spans="17:17">
      <c r="Q320" s="984"/>
    </row>
    <row r="321" spans="17:17">
      <c r="Q321" s="984"/>
    </row>
    <row r="322" spans="17:17">
      <c r="Q322" s="984"/>
    </row>
    <row r="323" spans="17:17">
      <c r="Q323" s="984"/>
    </row>
    <row r="324" spans="17:17">
      <c r="Q324" s="984"/>
    </row>
    <row r="325" spans="17:17">
      <c r="Q325" s="984"/>
    </row>
    <row r="326" spans="17:17">
      <c r="Q326" s="984"/>
    </row>
    <row r="327" spans="17:17">
      <c r="Q327" s="984"/>
    </row>
    <row r="328" spans="17:17">
      <c r="Q328" s="984"/>
    </row>
    <row r="329" spans="17:17">
      <c r="Q329" s="984"/>
    </row>
    <row r="330" spans="17:17">
      <c r="Q330" s="984"/>
    </row>
    <row r="331" spans="17:17">
      <c r="Q331" s="984"/>
    </row>
    <row r="332" spans="17:17">
      <c r="Q332" s="984"/>
    </row>
    <row r="333" spans="17:17">
      <c r="Q333" s="984"/>
    </row>
    <row r="334" spans="17:17">
      <c r="Q334" s="984"/>
    </row>
    <row r="335" spans="17:17">
      <c r="Q335" s="984"/>
    </row>
    <row r="336" spans="17:17">
      <c r="Q336" s="984"/>
    </row>
    <row r="337" spans="17:17">
      <c r="Q337" s="984"/>
    </row>
    <row r="338" spans="17:17">
      <c r="Q338" s="984"/>
    </row>
    <row r="339" spans="17:17">
      <c r="Q339" s="984"/>
    </row>
    <row r="340" spans="17:17">
      <c r="Q340" s="984"/>
    </row>
    <row r="341" spans="17:17">
      <c r="Q341" s="984"/>
    </row>
    <row r="342" spans="17:17">
      <c r="Q342" s="984"/>
    </row>
    <row r="343" spans="17:17">
      <c r="Q343" s="984"/>
    </row>
    <row r="344" spans="17:17">
      <c r="Q344" s="984"/>
    </row>
    <row r="345" spans="17:17">
      <c r="Q345" s="984"/>
    </row>
    <row r="346" spans="17:17">
      <c r="Q346" s="984"/>
    </row>
    <row r="347" spans="17:17">
      <c r="Q347" s="984"/>
    </row>
    <row r="348" spans="17:17">
      <c r="Q348" s="984"/>
    </row>
    <row r="349" spans="17:17">
      <c r="Q349" s="984"/>
    </row>
    <row r="350" spans="17:17">
      <c r="Q350" s="984"/>
    </row>
    <row r="351" spans="17:17">
      <c r="Q351" s="984"/>
    </row>
    <row r="352" spans="17:17">
      <c r="Q352" s="984"/>
    </row>
    <row r="353" spans="17:17">
      <c r="Q353" s="984"/>
    </row>
    <row r="354" spans="17:17">
      <c r="Q354" s="984"/>
    </row>
    <row r="355" spans="17:17">
      <c r="Q355" s="984"/>
    </row>
    <row r="356" spans="17:17">
      <c r="Q356" s="984"/>
    </row>
    <row r="357" spans="17:17">
      <c r="Q357" s="984"/>
    </row>
    <row r="358" spans="17:17">
      <c r="Q358" s="984"/>
    </row>
    <row r="359" spans="17:17">
      <c r="Q359" s="984"/>
    </row>
    <row r="360" spans="17:17">
      <c r="Q360" s="984"/>
    </row>
    <row r="361" spans="17:17">
      <c r="Q361" s="984"/>
    </row>
    <row r="362" spans="17:17">
      <c r="Q362" s="984"/>
    </row>
    <row r="363" spans="17:17">
      <c r="Q363" s="984"/>
    </row>
    <row r="364" spans="17:17">
      <c r="Q364" s="984"/>
    </row>
    <row r="365" spans="17:17">
      <c r="Q365" s="984"/>
    </row>
    <row r="366" spans="17:17">
      <c r="Q366" s="984"/>
    </row>
    <row r="367" spans="17:17">
      <c r="Q367" s="984"/>
    </row>
    <row r="368" spans="17:17">
      <c r="Q368" s="984"/>
    </row>
    <row r="369" spans="17:17">
      <c r="Q369" s="984"/>
    </row>
    <row r="370" spans="17:17">
      <c r="Q370" s="984"/>
    </row>
    <row r="371" spans="17:17">
      <c r="Q371" s="984"/>
    </row>
    <row r="372" spans="17:17">
      <c r="Q372" s="984"/>
    </row>
    <row r="373" spans="17:17">
      <c r="Q373" s="984"/>
    </row>
    <row r="374" spans="17:17">
      <c r="Q374" s="984"/>
    </row>
    <row r="375" spans="17:17">
      <c r="Q375" s="984"/>
    </row>
    <row r="376" spans="17:17">
      <c r="Q376" s="984"/>
    </row>
    <row r="377" spans="17:17">
      <c r="Q377" s="984"/>
    </row>
    <row r="378" spans="17:17">
      <c r="Q378" s="984"/>
    </row>
    <row r="379" spans="17:17">
      <c r="Q379" s="984"/>
    </row>
    <row r="380" spans="17:17">
      <c r="Q380" s="984"/>
    </row>
    <row r="381" spans="17:17">
      <c r="Q381" s="984"/>
    </row>
    <row r="382" spans="17:17">
      <c r="Q382" s="984"/>
    </row>
    <row r="383" spans="17:17">
      <c r="Q383" s="984"/>
    </row>
    <row r="384" spans="17:17">
      <c r="Q384" s="984"/>
    </row>
    <row r="385" spans="17:17">
      <c r="Q385" s="984"/>
    </row>
    <row r="386" spans="17:17">
      <c r="Q386" s="984"/>
    </row>
    <row r="387" spans="17:17">
      <c r="Q387" s="984"/>
    </row>
    <row r="388" spans="17:17">
      <c r="Q388" s="984"/>
    </row>
    <row r="389" spans="17:17">
      <c r="Q389" s="984"/>
    </row>
    <row r="390" spans="17:17">
      <c r="Q390" s="984"/>
    </row>
    <row r="391" spans="17:17">
      <c r="Q391" s="984"/>
    </row>
    <row r="392" spans="17:17">
      <c r="Q392" s="984"/>
    </row>
    <row r="393" spans="17:17">
      <c r="Q393" s="984"/>
    </row>
    <row r="394" spans="17:17">
      <c r="Q394" s="984"/>
    </row>
    <row r="395" spans="17:17">
      <c r="Q395" s="984"/>
    </row>
    <row r="396" spans="17:17">
      <c r="Q396" s="984"/>
    </row>
    <row r="397" spans="17:17">
      <c r="Q397" s="984"/>
    </row>
    <row r="398" spans="17:17">
      <c r="Q398" s="984"/>
    </row>
    <row r="399" spans="17:17">
      <c r="Q399" s="984"/>
    </row>
    <row r="400" spans="17:17">
      <c r="Q400" s="984"/>
    </row>
    <row r="401" spans="17:17">
      <c r="Q401" s="984"/>
    </row>
    <row r="402" spans="17:17">
      <c r="Q402" s="984"/>
    </row>
  </sheetData>
  <autoFilter ref="Q7:R402" xr:uid="{00000000-0009-0000-0000-000035000000}"/>
  <mergeCells count="1">
    <mergeCell ref="F10:J10"/>
  </mergeCells>
  <pageMargins left="0.45" right="0.45" top="0.75" bottom="0.75" header="0.3" footer="0.3"/>
  <pageSetup scale="64" fitToHeight="2" orientation="landscape" verticalDpi="1200" r:id="rId1"/>
  <headerFooter>
    <oddFooter>&amp;RPage &amp;P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5">
    <tabColor rgb="FFFFFF00"/>
  </sheetPr>
  <dimension ref="A1:N402"/>
  <sheetViews>
    <sheetView showGridLines="0" topLeftCell="D7" zoomScaleNormal="100" zoomScaleSheetLayoutView="85" workbookViewId="0">
      <selection activeCell="D3" sqref="D3"/>
    </sheetView>
  </sheetViews>
  <sheetFormatPr defaultColWidth="9.140625" defaultRowHeight="15" outlineLevelCol="1"/>
  <cols>
    <col min="1" max="1" width="9.140625" style="598"/>
    <col min="2" max="2" width="19.42578125" hidden="1" customWidth="1" outlineLevel="1"/>
    <col min="3" max="3" width="26.7109375" customWidth="1" collapsed="1"/>
    <col min="4" max="4" width="12.5703125" customWidth="1"/>
    <col min="5" max="5" width="16.140625" customWidth="1"/>
    <col min="6" max="6" width="20.5703125" customWidth="1"/>
    <col min="7" max="7" width="20.5703125" style="255" customWidth="1"/>
    <col min="8" max="8" width="21.5703125" style="586" customWidth="1"/>
    <col min="9" max="9" width="37.42578125" style="590" customWidth="1"/>
    <col min="10" max="10" width="9.5703125" style="588" customWidth="1" outlineLevel="1"/>
    <col min="11" max="11" width="6.85546875" style="588" customWidth="1" outlineLevel="1"/>
    <col min="12" max="12" width="9.7109375" style="946" customWidth="1" outlineLevel="1"/>
    <col min="13" max="14" width="9.28515625" style="946" customWidth="1" outlineLevel="1"/>
    <col min="15" max="15" width="15" customWidth="1"/>
    <col min="258" max="258" width="14.5703125" customWidth="1"/>
    <col min="259" max="259" width="12.5703125" customWidth="1"/>
    <col min="260" max="260" width="16.140625" customWidth="1"/>
    <col min="261" max="261" width="20.5703125" customWidth="1"/>
    <col min="262" max="262" width="21" customWidth="1"/>
    <col min="263" max="269" width="19.28515625" customWidth="1"/>
    <col min="514" max="514" width="14.5703125" customWidth="1"/>
    <col min="515" max="515" width="12.5703125" customWidth="1"/>
    <col min="516" max="516" width="16.140625" customWidth="1"/>
    <col min="517" max="517" width="20.5703125" customWidth="1"/>
    <col min="518" max="518" width="21" customWidth="1"/>
    <col min="519" max="525" width="19.28515625" customWidth="1"/>
    <col min="770" max="770" width="14.5703125" customWidth="1"/>
    <col min="771" max="771" width="12.5703125" customWidth="1"/>
    <col min="772" max="772" width="16.140625" customWidth="1"/>
    <col min="773" max="773" width="20.5703125" customWidth="1"/>
    <col min="774" max="774" width="21" customWidth="1"/>
    <col min="775" max="781" width="19.28515625" customWidth="1"/>
    <col min="1026" max="1026" width="14.5703125" customWidth="1"/>
    <col min="1027" max="1027" width="12.5703125" customWidth="1"/>
    <col min="1028" max="1028" width="16.140625" customWidth="1"/>
    <col min="1029" max="1029" width="20.5703125" customWidth="1"/>
    <col min="1030" max="1030" width="21" customWidth="1"/>
    <col min="1031" max="1037" width="19.28515625" customWidth="1"/>
    <col min="1282" max="1282" width="14.5703125" customWidth="1"/>
    <col min="1283" max="1283" width="12.5703125" customWidth="1"/>
    <col min="1284" max="1284" width="16.140625" customWidth="1"/>
    <col min="1285" max="1285" width="20.5703125" customWidth="1"/>
    <col min="1286" max="1286" width="21" customWidth="1"/>
    <col min="1287" max="1293" width="19.28515625" customWidth="1"/>
    <col min="1538" max="1538" width="14.5703125" customWidth="1"/>
    <col min="1539" max="1539" width="12.5703125" customWidth="1"/>
    <col min="1540" max="1540" width="16.140625" customWidth="1"/>
    <col min="1541" max="1541" width="20.5703125" customWidth="1"/>
    <col min="1542" max="1542" width="21" customWidth="1"/>
    <col min="1543" max="1549" width="19.28515625" customWidth="1"/>
    <col min="1794" max="1794" width="14.5703125" customWidth="1"/>
    <col min="1795" max="1795" width="12.5703125" customWidth="1"/>
    <col min="1796" max="1796" width="16.140625" customWidth="1"/>
    <col min="1797" max="1797" width="20.5703125" customWidth="1"/>
    <col min="1798" max="1798" width="21" customWidth="1"/>
    <col min="1799" max="1805" width="19.28515625" customWidth="1"/>
    <col min="2050" max="2050" width="14.5703125" customWidth="1"/>
    <col min="2051" max="2051" width="12.5703125" customWidth="1"/>
    <col min="2052" max="2052" width="16.140625" customWidth="1"/>
    <col min="2053" max="2053" width="20.5703125" customWidth="1"/>
    <col min="2054" max="2054" width="21" customWidth="1"/>
    <col min="2055" max="2061" width="19.28515625" customWidth="1"/>
    <col min="2306" max="2306" width="14.5703125" customWidth="1"/>
    <col min="2307" max="2307" width="12.5703125" customWidth="1"/>
    <col min="2308" max="2308" width="16.140625" customWidth="1"/>
    <col min="2309" max="2309" width="20.5703125" customWidth="1"/>
    <col min="2310" max="2310" width="21" customWidth="1"/>
    <col min="2311" max="2317" width="19.28515625" customWidth="1"/>
    <col min="2562" max="2562" width="14.5703125" customWidth="1"/>
    <col min="2563" max="2563" width="12.5703125" customWidth="1"/>
    <col min="2564" max="2564" width="16.140625" customWidth="1"/>
    <col min="2565" max="2565" width="20.5703125" customWidth="1"/>
    <col min="2566" max="2566" width="21" customWidth="1"/>
    <col min="2567" max="2573" width="19.28515625" customWidth="1"/>
    <col min="2818" max="2818" width="14.5703125" customWidth="1"/>
    <col min="2819" max="2819" width="12.5703125" customWidth="1"/>
    <col min="2820" max="2820" width="16.140625" customWidth="1"/>
    <col min="2821" max="2821" width="20.5703125" customWidth="1"/>
    <col min="2822" max="2822" width="21" customWidth="1"/>
    <col min="2823" max="2829" width="19.28515625" customWidth="1"/>
    <col min="3074" max="3074" width="14.5703125" customWidth="1"/>
    <col min="3075" max="3075" width="12.5703125" customWidth="1"/>
    <col min="3076" max="3076" width="16.140625" customWidth="1"/>
    <col min="3077" max="3077" width="20.5703125" customWidth="1"/>
    <col min="3078" max="3078" width="21" customWidth="1"/>
    <col min="3079" max="3085" width="19.28515625" customWidth="1"/>
    <col min="3330" max="3330" width="14.5703125" customWidth="1"/>
    <col min="3331" max="3331" width="12.5703125" customWidth="1"/>
    <col min="3332" max="3332" width="16.140625" customWidth="1"/>
    <col min="3333" max="3333" width="20.5703125" customWidth="1"/>
    <col min="3334" max="3334" width="21" customWidth="1"/>
    <col min="3335" max="3341" width="19.28515625" customWidth="1"/>
    <col min="3586" max="3586" width="14.5703125" customWidth="1"/>
    <col min="3587" max="3587" width="12.5703125" customWidth="1"/>
    <col min="3588" max="3588" width="16.140625" customWidth="1"/>
    <col min="3589" max="3589" width="20.5703125" customWidth="1"/>
    <col min="3590" max="3590" width="21" customWidth="1"/>
    <col min="3591" max="3597" width="19.28515625" customWidth="1"/>
    <col min="3842" max="3842" width="14.5703125" customWidth="1"/>
    <col min="3843" max="3843" width="12.5703125" customWidth="1"/>
    <col min="3844" max="3844" width="16.140625" customWidth="1"/>
    <col min="3845" max="3845" width="20.5703125" customWidth="1"/>
    <col min="3846" max="3846" width="21" customWidth="1"/>
    <col min="3847" max="3853" width="19.28515625" customWidth="1"/>
    <col min="4098" max="4098" width="14.5703125" customWidth="1"/>
    <col min="4099" max="4099" width="12.5703125" customWidth="1"/>
    <col min="4100" max="4100" width="16.140625" customWidth="1"/>
    <col min="4101" max="4101" width="20.5703125" customWidth="1"/>
    <col min="4102" max="4102" width="21" customWidth="1"/>
    <col min="4103" max="4109" width="19.28515625" customWidth="1"/>
    <col min="4354" max="4354" width="14.5703125" customWidth="1"/>
    <col min="4355" max="4355" width="12.5703125" customWidth="1"/>
    <col min="4356" max="4356" width="16.140625" customWidth="1"/>
    <col min="4357" max="4357" width="20.5703125" customWidth="1"/>
    <col min="4358" max="4358" width="21" customWidth="1"/>
    <col min="4359" max="4365" width="19.28515625" customWidth="1"/>
    <col min="4610" max="4610" width="14.5703125" customWidth="1"/>
    <col min="4611" max="4611" width="12.5703125" customWidth="1"/>
    <col min="4612" max="4612" width="16.140625" customWidth="1"/>
    <col min="4613" max="4613" width="20.5703125" customWidth="1"/>
    <col min="4614" max="4614" width="21" customWidth="1"/>
    <col min="4615" max="4621" width="19.28515625" customWidth="1"/>
    <col min="4866" max="4866" width="14.5703125" customWidth="1"/>
    <col min="4867" max="4867" width="12.5703125" customWidth="1"/>
    <col min="4868" max="4868" width="16.140625" customWidth="1"/>
    <col min="4869" max="4869" width="20.5703125" customWidth="1"/>
    <col min="4870" max="4870" width="21" customWidth="1"/>
    <col min="4871" max="4877" width="19.28515625" customWidth="1"/>
    <col min="5122" max="5122" width="14.5703125" customWidth="1"/>
    <col min="5123" max="5123" width="12.5703125" customWidth="1"/>
    <col min="5124" max="5124" width="16.140625" customWidth="1"/>
    <col min="5125" max="5125" width="20.5703125" customWidth="1"/>
    <col min="5126" max="5126" width="21" customWidth="1"/>
    <col min="5127" max="5133" width="19.28515625" customWidth="1"/>
    <col min="5378" max="5378" width="14.5703125" customWidth="1"/>
    <col min="5379" max="5379" width="12.5703125" customWidth="1"/>
    <col min="5380" max="5380" width="16.140625" customWidth="1"/>
    <col min="5381" max="5381" width="20.5703125" customWidth="1"/>
    <col min="5382" max="5382" width="21" customWidth="1"/>
    <col min="5383" max="5389" width="19.28515625" customWidth="1"/>
    <col min="5634" max="5634" width="14.5703125" customWidth="1"/>
    <col min="5635" max="5635" width="12.5703125" customWidth="1"/>
    <col min="5636" max="5636" width="16.140625" customWidth="1"/>
    <col min="5637" max="5637" width="20.5703125" customWidth="1"/>
    <col min="5638" max="5638" width="21" customWidth="1"/>
    <col min="5639" max="5645" width="19.28515625" customWidth="1"/>
    <col min="5890" max="5890" width="14.5703125" customWidth="1"/>
    <col min="5891" max="5891" width="12.5703125" customWidth="1"/>
    <col min="5892" max="5892" width="16.140625" customWidth="1"/>
    <col min="5893" max="5893" width="20.5703125" customWidth="1"/>
    <col min="5894" max="5894" width="21" customWidth="1"/>
    <col min="5895" max="5901" width="19.28515625" customWidth="1"/>
    <col min="6146" max="6146" width="14.5703125" customWidth="1"/>
    <col min="6147" max="6147" width="12.5703125" customWidth="1"/>
    <col min="6148" max="6148" width="16.140625" customWidth="1"/>
    <col min="6149" max="6149" width="20.5703125" customWidth="1"/>
    <col min="6150" max="6150" width="21" customWidth="1"/>
    <col min="6151" max="6157" width="19.28515625" customWidth="1"/>
    <col min="6402" max="6402" width="14.5703125" customWidth="1"/>
    <col min="6403" max="6403" width="12.5703125" customWidth="1"/>
    <col min="6404" max="6404" width="16.140625" customWidth="1"/>
    <col min="6405" max="6405" width="20.5703125" customWidth="1"/>
    <col min="6406" max="6406" width="21" customWidth="1"/>
    <col min="6407" max="6413" width="19.28515625" customWidth="1"/>
    <col min="6658" max="6658" width="14.5703125" customWidth="1"/>
    <col min="6659" max="6659" width="12.5703125" customWidth="1"/>
    <col min="6660" max="6660" width="16.140625" customWidth="1"/>
    <col min="6661" max="6661" width="20.5703125" customWidth="1"/>
    <col min="6662" max="6662" width="21" customWidth="1"/>
    <col min="6663" max="6669" width="19.28515625" customWidth="1"/>
    <col min="6914" max="6914" width="14.5703125" customWidth="1"/>
    <col min="6915" max="6915" width="12.5703125" customWidth="1"/>
    <col min="6916" max="6916" width="16.140625" customWidth="1"/>
    <col min="6917" max="6917" width="20.5703125" customWidth="1"/>
    <col min="6918" max="6918" width="21" customWidth="1"/>
    <col min="6919" max="6925" width="19.28515625" customWidth="1"/>
    <col min="7170" max="7170" width="14.5703125" customWidth="1"/>
    <col min="7171" max="7171" width="12.5703125" customWidth="1"/>
    <col min="7172" max="7172" width="16.140625" customWidth="1"/>
    <col min="7173" max="7173" width="20.5703125" customWidth="1"/>
    <col min="7174" max="7174" width="21" customWidth="1"/>
    <col min="7175" max="7181" width="19.28515625" customWidth="1"/>
    <col min="7426" max="7426" width="14.5703125" customWidth="1"/>
    <col min="7427" max="7427" width="12.5703125" customWidth="1"/>
    <col min="7428" max="7428" width="16.140625" customWidth="1"/>
    <col min="7429" max="7429" width="20.5703125" customWidth="1"/>
    <col min="7430" max="7430" width="21" customWidth="1"/>
    <col min="7431" max="7437" width="19.28515625" customWidth="1"/>
    <col min="7682" max="7682" width="14.5703125" customWidth="1"/>
    <col min="7683" max="7683" width="12.5703125" customWidth="1"/>
    <col min="7684" max="7684" width="16.140625" customWidth="1"/>
    <col min="7685" max="7685" width="20.5703125" customWidth="1"/>
    <col min="7686" max="7686" width="21" customWidth="1"/>
    <col min="7687" max="7693" width="19.28515625" customWidth="1"/>
    <col min="7938" max="7938" width="14.5703125" customWidth="1"/>
    <col min="7939" max="7939" width="12.5703125" customWidth="1"/>
    <col min="7940" max="7940" width="16.140625" customWidth="1"/>
    <col min="7941" max="7941" width="20.5703125" customWidth="1"/>
    <col min="7942" max="7942" width="21" customWidth="1"/>
    <col min="7943" max="7949" width="19.28515625" customWidth="1"/>
    <col min="8194" max="8194" width="14.5703125" customWidth="1"/>
    <col min="8195" max="8195" width="12.5703125" customWidth="1"/>
    <col min="8196" max="8196" width="16.140625" customWidth="1"/>
    <col min="8197" max="8197" width="20.5703125" customWidth="1"/>
    <col min="8198" max="8198" width="21" customWidth="1"/>
    <col min="8199" max="8205" width="19.28515625" customWidth="1"/>
    <col min="8450" max="8450" width="14.5703125" customWidth="1"/>
    <col min="8451" max="8451" width="12.5703125" customWidth="1"/>
    <col min="8452" max="8452" width="16.140625" customWidth="1"/>
    <col min="8453" max="8453" width="20.5703125" customWidth="1"/>
    <col min="8454" max="8454" width="21" customWidth="1"/>
    <col min="8455" max="8461" width="19.28515625" customWidth="1"/>
    <col min="8706" max="8706" width="14.5703125" customWidth="1"/>
    <col min="8707" max="8707" width="12.5703125" customWidth="1"/>
    <col min="8708" max="8708" width="16.140625" customWidth="1"/>
    <col min="8709" max="8709" width="20.5703125" customWidth="1"/>
    <col min="8710" max="8710" width="21" customWidth="1"/>
    <col min="8711" max="8717" width="19.28515625" customWidth="1"/>
    <col min="8962" max="8962" width="14.5703125" customWidth="1"/>
    <col min="8963" max="8963" width="12.5703125" customWidth="1"/>
    <col min="8964" max="8964" width="16.140625" customWidth="1"/>
    <col min="8965" max="8965" width="20.5703125" customWidth="1"/>
    <col min="8966" max="8966" width="21" customWidth="1"/>
    <col min="8967" max="8973" width="19.28515625" customWidth="1"/>
    <col min="9218" max="9218" width="14.5703125" customWidth="1"/>
    <col min="9219" max="9219" width="12.5703125" customWidth="1"/>
    <col min="9220" max="9220" width="16.140625" customWidth="1"/>
    <col min="9221" max="9221" width="20.5703125" customWidth="1"/>
    <col min="9222" max="9222" width="21" customWidth="1"/>
    <col min="9223" max="9229" width="19.28515625" customWidth="1"/>
    <col min="9474" max="9474" width="14.5703125" customWidth="1"/>
    <col min="9475" max="9475" width="12.5703125" customWidth="1"/>
    <col min="9476" max="9476" width="16.140625" customWidth="1"/>
    <col min="9477" max="9477" width="20.5703125" customWidth="1"/>
    <col min="9478" max="9478" width="21" customWidth="1"/>
    <col min="9479" max="9485" width="19.28515625" customWidth="1"/>
    <col min="9730" max="9730" width="14.5703125" customWidth="1"/>
    <col min="9731" max="9731" width="12.5703125" customWidth="1"/>
    <col min="9732" max="9732" width="16.140625" customWidth="1"/>
    <col min="9733" max="9733" width="20.5703125" customWidth="1"/>
    <col min="9734" max="9734" width="21" customWidth="1"/>
    <col min="9735" max="9741" width="19.28515625" customWidth="1"/>
    <col min="9986" max="9986" width="14.5703125" customWidth="1"/>
    <col min="9987" max="9987" width="12.5703125" customWidth="1"/>
    <col min="9988" max="9988" width="16.140625" customWidth="1"/>
    <col min="9989" max="9989" width="20.5703125" customWidth="1"/>
    <col min="9990" max="9990" width="21" customWidth="1"/>
    <col min="9991" max="9997" width="19.28515625" customWidth="1"/>
    <col min="10242" max="10242" width="14.5703125" customWidth="1"/>
    <col min="10243" max="10243" width="12.5703125" customWidth="1"/>
    <col min="10244" max="10244" width="16.140625" customWidth="1"/>
    <col min="10245" max="10245" width="20.5703125" customWidth="1"/>
    <col min="10246" max="10246" width="21" customWidth="1"/>
    <col min="10247" max="10253" width="19.28515625" customWidth="1"/>
    <col min="10498" max="10498" width="14.5703125" customWidth="1"/>
    <col min="10499" max="10499" width="12.5703125" customWidth="1"/>
    <col min="10500" max="10500" width="16.140625" customWidth="1"/>
    <col min="10501" max="10501" width="20.5703125" customWidth="1"/>
    <col min="10502" max="10502" width="21" customWidth="1"/>
    <col min="10503" max="10509" width="19.28515625" customWidth="1"/>
    <col min="10754" max="10754" width="14.5703125" customWidth="1"/>
    <col min="10755" max="10755" width="12.5703125" customWidth="1"/>
    <col min="10756" max="10756" width="16.140625" customWidth="1"/>
    <col min="10757" max="10757" width="20.5703125" customWidth="1"/>
    <col min="10758" max="10758" width="21" customWidth="1"/>
    <col min="10759" max="10765" width="19.28515625" customWidth="1"/>
    <col min="11010" max="11010" width="14.5703125" customWidth="1"/>
    <col min="11011" max="11011" width="12.5703125" customWidth="1"/>
    <col min="11012" max="11012" width="16.140625" customWidth="1"/>
    <col min="11013" max="11013" width="20.5703125" customWidth="1"/>
    <col min="11014" max="11014" width="21" customWidth="1"/>
    <col min="11015" max="11021" width="19.28515625" customWidth="1"/>
    <col min="11266" max="11266" width="14.5703125" customWidth="1"/>
    <col min="11267" max="11267" width="12.5703125" customWidth="1"/>
    <col min="11268" max="11268" width="16.140625" customWidth="1"/>
    <col min="11269" max="11269" width="20.5703125" customWidth="1"/>
    <col min="11270" max="11270" width="21" customWidth="1"/>
    <col min="11271" max="11277" width="19.28515625" customWidth="1"/>
    <col min="11522" max="11522" width="14.5703125" customWidth="1"/>
    <col min="11523" max="11523" width="12.5703125" customWidth="1"/>
    <col min="11524" max="11524" width="16.140625" customWidth="1"/>
    <col min="11525" max="11525" width="20.5703125" customWidth="1"/>
    <col min="11526" max="11526" width="21" customWidth="1"/>
    <col min="11527" max="11533" width="19.28515625" customWidth="1"/>
    <col min="11778" max="11778" width="14.5703125" customWidth="1"/>
    <col min="11779" max="11779" width="12.5703125" customWidth="1"/>
    <col min="11780" max="11780" width="16.140625" customWidth="1"/>
    <col min="11781" max="11781" width="20.5703125" customWidth="1"/>
    <col min="11782" max="11782" width="21" customWidth="1"/>
    <col min="11783" max="11789" width="19.28515625" customWidth="1"/>
    <col min="12034" max="12034" width="14.5703125" customWidth="1"/>
    <col min="12035" max="12035" width="12.5703125" customWidth="1"/>
    <col min="12036" max="12036" width="16.140625" customWidth="1"/>
    <col min="12037" max="12037" width="20.5703125" customWidth="1"/>
    <col min="12038" max="12038" width="21" customWidth="1"/>
    <col min="12039" max="12045" width="19.28515625" customWidth="1"/>
    <col min="12290" max="12290" width="14.5703125" customWidth="1"/>
    <col min="12291" max="12291" width="12.5703125" customWidth="1"/>
    <col min="12292" max="12292" width="16.140625" customWidth="1"/>
    <col min="12293" max="12293" width="20.5703125" customWidth="1"/>
    <col min="12294" max="12294" width="21" customWidth="1"/>
    <col min="12295" max="12301" width="19.28515625" customWidth="1"/>
    <col min="12546" max="12546" width="14.5703125" customWidth="1"/>
    <col min="12547" max="12547" width="12.5703125" customWidth="1"/>
    <col min="12548" max="12548" width="16.140625" customWidth="1"/>
    <col min="12549" max="12549" width="20.5703125" customWidth="1"/>
    <col min="12550" max="12550" width="21" customWidth="1"/>
    <col min="12551" max="12557" width="19.28515625" customWidth="1"/>
    <col min="12802" max="12802" width="14.5703125" customWidth="1"/>
    <col min="12803" max="12803" width="12.5703125" customWidth="1"/>
    <col min="12804" max="12804" width="16.140625" customWidth="1"/>
    <col min="12805" max="12805" width="20.5703125" customWidth="1"/>
    <col min="12806" max="12806" width="21" customWidth="1"/>
    <col min="12807" max="12813" width="19.28515625" customWidth="1"/>
    <col min="13058" max="13058" width="14.5703125" customWidth="1"/>
    <col min="13059" max="13059" width="12.5703125" customWidth="1"/>
    <col min="13060" max="13060" width="16.140625" customWidth="1"/>
    <col min="13061" max="13061" width="20.5703125" customWidth="1"/>
    <col min="13062" max="13062" width="21" customWidth="1"/>
    <col min="13063" max="13069" width="19.28515625" customWidth="1"/>
    <col min="13314" max="13314" width="14.5703125" customWidth="1"/>
    <col min="13315" max="13315" width="12.5703125" customWidth="1"/>
    <col min="13316" max="13316" width="16.140625" customWidth="1"/>
    <col min="13317" max="13317" width="20.5703125" customWidth="1"/>
    <col min="13318" max="13318" width="21" customWidth="1"/>
    <col min="13319" max="13325" width="19.28515625" customWidth="1"/>
    <col min="13570" max="13570" width="14.5703125" customWidth="1"/>
    <col min="13571" max="13571" width="12.5703125" customWidth="1"/>
    <col min="13572" max="13572" width="16.140625" customWidth="1"/>
    <col min="13573" max="13573" width="20.5703125" customWidth="1"/>
    <col min="13574" max="13574" width="21" customWidth="1"/>
    <col min="13575" max="13581" width="19.28515625" customWidth="1"/>
    <col min="13826" max="13826" width="14.5703125" customWidth="1"/>
    <col min="13827" max="13827" width="12.5703125" customWidth="1"/>
    <col min="13828" max="13828" width="16.140625" customWidth="1"/>
    <col min="13829" max="13829" width="20.5703125" customWidth="1"/>
    <col min="13830" max="13830" width="21" customWidth="1"/>
    <col min="13831" max="13837" width="19.28515625" customWidth="1"/>
    <col min="14082" max="14082" width="14.5703125" customWidth="1"/>
    <col min="14083" max="14083" width="12.5703125" customWidth="1"/>
    <col min="14084" max="14084" width="16.140625" customWidth="1"/>
    <col min="14085" max="14085" width="20.5703125" customWidth="1"/>
    <col min="14086" max="14086" width="21" customWidth="1"/>
    <col min="14087" max="14093" width="19.28515625" customWidth="1"/>
    <col min="14338" max="14338" width="14.5703125" customWidth="1"/>
    <col min="14339" max="14339" width="12.5703125" customWidth="1"/>
    <col min="14340" max="14340" width="16.140625" customWidth="1"/>
    <col min="14341" max="14341" width="20.5703125" customWidth="1"/>
    <col min="14342" max="14342" width="21" customWidth="1"/>
    <col min="14343" max="14349" width="19.28515625" customWidth="1"/>
    <col min="14594" max="14594" width="14.5703125" customWidth="1"/>
    <col min="14595" max="14595" width="12.5703125" customWidth="1"/>
    <col min="14596" max="14596" width="16.140625" customWidth="1"/>
    <col min="14597" max="14597" width="20.5703125" customWidth="1"/>
    <col min="14598" max="14598" width="21" customWidth="1"/>
    <col min="14599" max="14605" width="19.28515625" customWidth="1"/>
    <col min="14850" max="14850" width="14.5703125" customWidth="1"/>
    <col min="14851" max="14851" width="12.5703125" customWidth="1"/>
    <col min="14852" max="14852" width="16.140625" customWidth="1"/>
    <col min="14853" max="14853" width="20.5703125" customWidth="1"/>
    <col min="14854" max="14854" width="21" customWidth="1"/>
    <col min="14855" max="14861" width="19.28515625" customWidth="1"/>
    <col min="15106" max="15106" width="14.5703125" customWidth="1"/>
    <col min="15107" max="15107" width="12.5703125" customWidth="1"/>
    <col min="15108" max="15108" width="16.140625" customWidth="1"/>
    <col min="15109" max="15109" width="20.5703125" customWidth="1"/>
    <col min="15110" max="15110" width="21" customWidth="1"/>
    <col min="15111" max="15117" width="19.28515625" customWidth="1"/>
    <col min="15362" max="15362" width="14.5703125" customWidth="1"/>
    <col min="15363" max="15363" width="12.5703125" customWidth="1"/>
    <col min="15364" max="15364" width="16.140625" customWidth="1"/>
    <col min="15365" max="15365" width="20.5703125" customWidth="1"/>
    <col min="15366" max="15366" width="21" customWidth="1"/>
    <col min="15367" max="15373" width="19.28515625" customWidth="1"/>
    <col min="15618" max="15618" width="14.5703125" customWidth="1"/>
    <col min="15619" max="15619" width="12.5703125" customWidth="1"/>
    <col min="15620" max="15620" width="16.140625" customWidth="1"/>
    <col min="15621" max="15621" width="20.5703125" customWidth="1"/>
    <col min="15622" max="15622" width="21" customWidth="1"/>
    <col min="15623" max="15629" width="19.28515625" customWidth="1"/>
    <col min="15874" max="15874" width="14.5703125" customWidth="1"/>
    <col min="15875" max="15875" width="12.5703125" customWidth="1"/>
    <col min="15876" max="15876" width="16.140625" customWidth="1"/>
    <col min="15877" max="15877" width="20.5703125" customWidth="1"/>
    <col min="15878" max="15878" width="21" customWidth="1"/>
    <col min="15879" max="15885" width="19.28515625" customWidth="1"/>
    <col min="16130" max="16130" width="14.5703125" customWidth="1"/>
    <col min="16131" max="16131" width="12.5703125" customWidth="1"/>
    <col min="16132" max="16132" width="16.140625" customWidth="1"/>
    <col min="16133" max="16133" width="20.5703125" customWidth="1"/>
    <col min="16134" max="16134" width="21" customWidth="1"/>
    <col min="16135" max="16141" width="19.28515625" customWidth="1"/>
  </cols>
  <sheetData>
    <row r="1" spans="1:14">
      <c r="C1" s="580" t="s">
        <v>3329</v>
      </c>
      <c r="E1" s="395" t="s">
        <v>3078</v>
      </c>
    </row>
    <row r="2" spans="1:14" ht="15.75" thickBot="1">
      <c r="C2" s="395"/>
      <c r="E2" s="599" t="s">
        <v>3079</v>
      </c>
      <c r="F2" s="600" t="e">
        <f>INDEX($F$13:$F$18,$I$18,$I$17)</f>
        <v>#VALUE!</v>
      </c>
      <c r="G2" s="1002"/>
    </row>
    <row r="3" spans="1:14" ht="15.75" thickBot="1">
      <c r="C3" s="395"/>
      <c r="E3" s="599"/>
      <c r="F3" s="601"/>
      <c r="G3" s="900"/>
      <c r="I3" s="602" t="s">
        <v>3092</v>
      </c>
      <c r="J3" s="603"/>
      <c r="K3" s="603"/>
      <c r="L3" s="947"/>
      <c r="M3" s="948"/>
      <c r="N3" s="948"/>
    </row>
    <row r="4" spans="1:14">
      <c r="C4" s="395"/>
      <c r="E4" s="599" t="s">
        <v>3080</v>
      </c>
      <c r="F4" s="605">
        <v>0.05</v>
      </c>
      <c r="G4" s="1003"/>
    </row>
    <row r="5" spans="1:14">
      <c r="C5" s="395"/>
      <c r="E5" s="599" t="s">
        <v>3081</v>
      </c>
      <c r="F5" s="949">
        <v>100000</v>
      </c>
      <c r="G5" s="999"/>
    </row>
    <row r="6" spans="1:14">
      <c r="C6" s="395"/>
      <c r="E6" s="599" t="s">
        <v>1321</v>
      </c>
      <c r="F6" s="607">
        <v>1</v>
      </c>
      <c r="G6" s="904"/>
    </row>
    <row r="7" spans="1:14">
      <c r="B7" s="395"/>
      <c r="D7" s="608"/>
    </row>
    <row r="8" spans="1:14">
      <c r="B8" s="395"/>
      <c r="D8" s="608"/>
      <c r="E8" s="612"/>
      <c r="F8" s="613">
        <v>1</v>
      </c>
      <c r="G8" s="983"/>
      <c r="H8" s="586" t="s">
        <v>3082</v>
      </c>
      <c r="I8" s="587" t="e">
        <f>IF('EQ rate no1'!H21=Algorithm_AB_Other_Eco!I16,PostalCode,"Postal code is outside of AB / ATL/ Other")</f>
        <v>#N/A</v>
      </c>
      <c r="L8" s="950"/>
      <c r="M8" s="950"/>
      <c r="N8" s="950"/>
    </row>
    <row r="9" spans="1:14">
      <c r="A9" s="610"/>
      <c r="B9" s="611"/>
      <c r="C9" s="612"/>
      <c r="D9" s="612"/>
      <c r="E9" s="92"/>
      <c r="F9" s="986" t="s">
        <v>3097</v>
      </c>
      <c r="G9" s="907"/>
      <c r="L9" s="950"/>
      <c r="M9" s="950"/>
      <c r="N9" s="950"/>
    </row>
    <row r="10" spans="1:14">
      <c r="C10" s="951"/>
      <c r="D10" s="165"/>
      <c r="E10" s="92"/>
      <c r="F10" s="1004" t="s">
        <v>3332</v>
      </c>
      <c r="G10" s="907"/>
      <c r="L10" s="950"/>
      <c r="M10" s="950"/>
      <c r="N10" s="950"/>
    </row>
    <row r="11" spans="1:14">
      <c r="C11" s="951"/>
      <c r="D11" s="165"/>
      <c r="F11" s="976" t="s">
        <v>3322</v>
      </c>
      <c r="G11" s="1005"/>
      <c r="H11" s="586" t="s">
        <v>1300</v>
      </c>
      <c r="I11" s="591">
        <f>Yrbuilt</f>
        <v>0</v>
      </c>
      <c r="L11" s="950"/>
      <c r="M11" s="950"/>
      <c r="N11" s="950"/>
    </row>
    <row r="12" spans="1:14">
      <c r="A12" s="610" t="s">
        <v>3101</v>
      </c>
      <c r="C12" s="952" t="s">
        <v>1152</v>
      </c>
      <c r="D12" s="953" t="s">
        <v>3157</v>
      </c>
      <c r="E12" s="625" t="s">
        <v>3104</v>
      </c>
      <c r="F12" s="976"/>
      <c r="G12" s="1005"/>
      <c r="H12" s="586" t="s">
        <v>1301</v>
      </c>
      <c r="I12" s="591" t="e">
        <f>typeofconstruction</f>
        <v>#VALUE!</v>
      </c>
      <c r="J12" s="592"/>
      <c r="K12" s="593" t="e">
        <v>#VALUE!</v>
      </c>
      <c r="L12" s="950"/>
      <c r="M12" s="950"/>
      <c r="N12" s="950"/>
    </row>
    <row r="13" spans="1:14">
      <c r="A13" s="628">
        <v>1</v>
      </c>
      <c r="C13" s="960" t="s">
        <v>1155</v>
      </c>
      <c r="D13" s="961">
        <v>1</v>
      </c>
      <c r="E13" s="962" t="s">
        <v>3333</v>
      </c>
      <c r="F13" s="913">
        <v>8.0000000000000002E-3</v>
      </c>
      <c r="G13" s="914"/>
      <c r="H13" s="586" t="s">
        <v>1302</v>
      </c>
      <c r="I13" s="591">
        <f>Nbofstoreys</f>
        <v>0</v>
      </c>
      <c r="L13" s="950"/>
      <c r="M13" s="950"/>
      <c r="N13" s="950"/>
    </row>
    <row r="14" spans="1:14">
      <c r="A14" s="628">
        <v>2</v>
      </c>
      <c r="C14" s="965" t="s">
        <v>1157</v>
      </c>
      <c r="D14" s="961">
        <v>2</v>
      </c>
      <c r="E14" s="962" t="s">
        <v>3333</v>
      </c>
      <c r="F14" s="913">
        <v>1.4999999999999999E-2</v>
      </c>
      <c r="G14" s="914"/>
      <c r="H14" s="586" t="s">
        <v>3084</v>
      </c>
      <c r="I14" s="591">
        <f>Totalinsuredvalue</f>
        <v>0</v>
      </c>
      <c r="L14" s="950"/>
      <c r="M14" s="950"/>
      <c r="N14" s="950"/>
    </row>
    <row r="15" spans="1:14">
      <c r="A15" s="628">
        <v>3</v>
      </c>
      <c r="C15" s="906" t="s">
        <v>1159</v>
      </c>
      <c r="D15" s="966">
        <v>3</v>
      </c>
      <c r="E15" s="962" t="s">
        <v>3333</v>
      </c>
      <c r="F15" s="913">
        <v>5.0000000000000001E-3</v>
      </c>
      <c r="G15" s="914"/>
      <c r="L15" s="950"/>
      <c r="M15" s="950"/>
      <c r="N15" s="950"/>
    </row>
    <row r="16" spans="1:14">
      <c r="A16" s="628">
        <v>4</v>
      </c>
      <c r="C16" s="965" t="s">
        <v>1161</v>
      </c>
      <c r="D16" s="961">
        <v>4</v>
      </c>
      <c r="E16" s="962" t="s">
        <v>3333</v>
      </c>
      <c r="F16" s="913">
        <v>0.03</v>
      </c>
      <c r="G16" s="914"/>
      <c r="H16" s="967" t="s">
        <v>1235</v>
      </c>
      <c r="I16" s="968" t="s">
        <v>1350</v>
      </c>
      <c r="L16" s="950"/>
      <c r="M16" s="950"/>
      <c r="N16" s="950"/>
    </row>
    <row r="17" spans="1:14">
      <c r="A17" s="628">
        <v>5</v>
      </c>
      <c r="C17" s="960" t="s">
        <v>1162</v>
      </c>
      <c r="D17" s="961">
        <v>5</v>
      </c>
      <c r="E17" s="962" t="s">
        <v>3333</v>
      </c>
      <c r="F17" s="913">
        <v>5.0000000000000001E-3</v>
      </c>
      <c r="G17" s="914"/>
      <c r="H17" s="586" t="s">
        <v>3095</v>
      </c>
      <c r="I17" s="591" t="e">
        <f>IF('EQ rate no1'!H21=Algorithm_AB_Other_Eco!I16,1,"N/A")</f>
        <v>#N/A</v>
      </c>
    </row>
    <row r="18" spans="1:14">
      <c r="A18" s="628">
        <v>6</v>
      </c>
      <c r="C18" s="960" t="s">
        <v>1150</v>
      </c>
      <c r="D18" s="961">
        <v>6</v>
      </c>
      <c r="E18" s="962" t="s">
        <v>3333</v>
      </c>
      <c r="F18" s="913">
        <v>5.0000000000000001E-3</v>
      </c>
      <c r="G18" s="914"/>
      <c r="H18" s="586" t="s">
        <v>3120</v>
      </c>
      <c r="I18" s="591" t="e">
        <f>MATCH(I12,$C$13:$C$18,0)</f>
        <v>#VALUE!</v>
      </c>
      <c r="J18" s="644"/>
      <c r="K18" s="644"/>
    </row>
    <row r="19" spans="1:14">
      <c r="C19" s="59" t="s">
        <v>3334</v>
      </c>
      <c r="D19" s="166"/>
      <c r="E19" s="166"/>
      <c r="F19" s="969">
        <v>0.05</v>
      </c>
      <c r="G19" s="998"/>
    </row>
    <row r="20" spans="1:14">
      <c r="C20" s="164" t="s">
        <v>3335</v>
      </c>
      <c r="D20" s="167"/>
      <c r="E20" s="167"/>
      <c r="F20" s="949">
        <v>100000</v>
      </c>
      <c r="G20" s="999"/>
      <c r="H20" s="648"/>
    </row>
    <row r="21" spans="1:14">
      <c r="H21" s="648"/>
    </row>
    <row r="22" spans="1:14">
      <c r="I22" s="649"/>
    </row>
    <row r="23" spans="1:14">
      <c r="L23" s="950"/>
      <c r="M23" s="950"/>
      <c r="N23" s="950"/>
    </row>
    <row r="24" spans="1:14">
      <c r="D24" s="567" t="s">
        <v>249</v>
      </c>
    </row>
    <row r="25" spans="1:14">
      <c r="D25" s="572" t="s">
        <v>243</v>
      </c>
    </row>
    <row r="26" spans="1:14">
      <c r="D26" s="571" t="s">
        <v>242</v>
      </c>
    </row>
    <row r="27" spans="1:14">
      <c r="D27" s="573" t="s">
        <v>241</v>
      </c>
    </row>
    <row r="28" spans="1:14">
      <c r="D28" s="574" t="s">
        <v>1380</v>
      </c>
    </row>
    <row r="29" spans="1:14">
      <c r="D29" s="574" t="s">
        <v>1239</v>
      </c>
    </row>
    <row r="110" spans="12:14">
      <c r="L110" s="950"/>
      <c r="M110" s="950"/>
      <c r="N110" s="950"/>
    </row>
    <row r="111" spans="12:14">
      <c r="L111" s="950"/>
      <c r="M111" s="950"/>
      <c r="N111" s="950"/>
    </row>
    <row r="112" spans="12:14">
      <c r="L112" s="950"/>
      <c r="M112" s="950"/>
      <c r="N112" s="950"/>
    </row>
    <row r="113" spans="12:14">
      <c r="L113" s="950"/>
      <c r="M113" s="950"/>
      <c r="N113" s="950"/>
    </row>
    <row r="114" spans="12:14">
      <c r="L114" s="950"/>
      <c r="M114" s="950"/>
      <c r="N114" s="950"/>
    </row>
    <row r="115" spans="12:14">
      <c r="L115" s="950"/>
      <c r="M115" s="950"/>
      <c r="N115" s="950"/>
    </row>
    <row r="116" spans="12:14">
      <c r="L116" s="950"/>
      <c r="M116" s="950"/>
      <c r="N116" s="950"/>
    </row>
    <row r="117" spans="12:14">
      <c r="L117" s="950"/>
      <c r="M117" s="950"/>
      <c r="N117" s="950"/>
    </row>
    <row r="118" spans="12:14">
      <c r="L118" s="950"/>
      <c r="M118" s="950"/>
      <c r="N118" s="950"/>
    </row>
    <row r="119" spans="12:14">
      <c r="L119" s="950"/>
      <c r="M119" s="950"/>
      <c r="N119" s="950"/>
    </row>
    <row r="120" spans="12:14">
      <c r="L120" s="950"/>
      <c r="M120" s="950"/>
      <c r="N120" s="950"/>
    </row>
    <row r="121" spans="12:14">
      <c r="L121" s="950"/>
      <c r="M121" s="950"/>
      <c r="N121" s="950"/>
    </row>
    <row r="122" spans="12:14">
      <c r="L122" s="950"/>
      <c r="M122" s="950"/>
      <c r="N122" s="950"/>
    </row>
    <row r="123" spans="12:14">
      <c r="L123" s="950"/>
      <c r="M123" s="950"/>
      <c r="N123" s="950"/>
    </row>
    <row r="124" spans="12:14">
      <c r="L124" s="950"/>
      <c r="M124" s="950"/>
      <c r="N124" s="950"/>
    </row>
    <row r="125" spans="12:14">
      <c r="L125" s="950"/>
      <c r="M125" s="950"/>
      <c r="N125" s="950"/>
    </row>
    <row r="126" spans="12:14">
      <c r="L126" s="950"/>
      <c r="M126" s="950"/>
      <c r="N126" s="950"/>
    </row>
    <row r="127" spans="12:14">
      <c r="L127" s="950"/>
      <c r="M127" s="950"/>
      <c r="N127" s="950"/>
    </row>
    <row r="128" spans="12:14">
      <c r="L128" s="950"/>
      <c r="M128" s="950"/>
      <c r="N128" s="950"/>
    </row>
    <row r="129" spans="12:14">
      <c r="L129" s="950"/>
      <c r="M129" s="950"/>
      <c r="N129" s="950"/>
    </row>
    <row r="130" spans="12:14">
      <c r="L130" s="950"/>
      <c r="M130" s="950"/>
      <c r="N130" s="950"/>
    </row>
    <row r="131" spans="12:14">
      <c r="L131" s="950"/>
      <c r="M131" s="950"/>
      <c r="N131" s="950"/>
    </row>
    <row r="132" spans="12:14">
      <c r="L132" s="568"/>
    </row>
    <row r="133" spans="12:14">
      <c r="L133" s="568"/>
    </row>
    <row r="134" spans="12:14">
      <c r="L134" s="568"/>
    </row>
    <row r="135" spans="12:14">
      <c r="L135" s="568"/>
    </row>
    <row r="136" spans="12:14">
      <c r="L136" s="568"/>
    </row>
    <row r="137" spans="12:14">
      <c r="L137" s="568"/>
    </row>
    <row r="138" spans="12:14">
      <c r="L138" s="568"/>
    </row>
    <row r="139" spans="12:14">
      <c r="L139" s="568"/>
    </row>
    <row r="140" spans="12:14">
      <c r="L140" s="568"/>
    </row>
    <row r="141" spans="12:14">
      <c r="L141" s="568"/>
    </row>
    <row r="142" spans="12:14">
      <c r="L142" s="568"/>
    </row>
    <row r="143" spans="12:14">
      <c r="L143" s="568"/>
    </row>
    <row r="144" spans="12:14">
      <c r="L144" s="568"/>
    </row>
    <row r="145" spans="12:12">
      <c r="L145" s="568"/>
    </row>
    <row r="146" spans="12:12">
      <c r="L146" s="568"/>
    </row>
    <row r="147" spans="12:12">
      <c r="L147" s="568"/>
    </row>
    <row r="148" spans="12:12">
      <c r="L148" s="568"/>
    </row>
    <row r="149" spans="12:12">
      <c r="L149" s="568"/>
    </row>
    <row r="150" spans="12:12">
      <c r="L150" s="568"/>
    </row>
    <row r="151" spans="12:12">
      <c r="L151" s="568"/>
    </row>
    <row r="152" spans="12:12">
      <c r="L152" s="568"/>
    </row>
    <row r="153" spans="12:12">
      <c r="L153" s="568"/>
    </row>
    <row r="154" spans="12:12">
      <c r="L154" s="568"/>
    </row>
    <row r="155" spans="12:12">
      <c r="L155" s="568"/>
    </row>
    <row r="156" spans="12:12">
      <c r="L156" s="568"/>
    </row>
    <row r="157" spans="12:12">
      <c r="L157" s="568"/>
    </row>
    <row r="158" spans="12:12">
      <c r="L158" s="568"/>
    </row>
    <row r="159" spans="12:12">
      <c r="L159" s="568"/>
    </row>
    <row r="160" spans="12:12">
      <c r="L160" s="568"/>
    </row>
    <row r="161" spans="12:12">
      <c r="L161" s="568"/>
    </row>
    <row r="162" spans="12:12">
      <c r="L162" s="568"/>
    </row>
    <row r="163" spans="12:12">
      <c r="L163" s="568"/>
    </row>
    <row r="164" spans="12:12">
      <c r="L164" s="568"/>
    </row>
    <row r="165" spans="12:12">
      <c r="L165" s="568"/>
    </row>
    <row r="166" spans="12:12">
      <c r="L166" s="568"/>
    </row>
    <row r="167" spans="12:12">
      <c r="L167" s="568"/>
    </row>
    <row r="168" spans="12:12">
      <c r="L168" s="568"/>
    </row>
    <row r="169" spans="12:12">
      <c r="L169" s="568"/>
    </row>
    <row r="170" spans="12:12">
      <c r="L170" s="568"/>
    </row>
    <row r="171" spans="12:12">
      <c r="L171" s="568"/>
    </row>
    <row r="172" spans="12:12">
      <c r="L172" s="568"/>
    </row>
    <row r="173" spans="12:12">
      <c r="L173" s="568"/>
    </row>
    <row r="174" spans="12:12">
      <c r="L174" s="568"/>
    </row>
    <row r="175" spans="12:12">
      <c r="L175" s="568"/>
    </row>
    <row r="176" spans="12:12">
      <c r="L176" s="568"/>
    </row>
    <row r="177" spans="12:12">
      <c r="L177" s="568"/>
    </row>
    <row r="178" spans="12:12">
      <c r="L178" s="568"/>
    </row>
    <row r="179" spans="12:12">
      <c r="L179" s="568"/>
    </row>
    <row r="180" spans="12:12">
      <c r="L180" s="568"/>
    </row>
    <row r="181" spans="12:12">
      <c r="L181" s="575"/>
    </row>
    <row r="182" spans="12:12">
      <c r="L182" s="568"/>
    </row>
    <row r="183" spans="12:12">
      <c r="L183" s="568"/>
    </row>
    <row r="184" spans="12:12">
      <c r="L184" s="568"/>
    </row>
    <row r="185" spans="12:12">
      <c r="L185" s="568"/>
    </row>
    <row r="186" spans="12:12">
      <c r="L186" s="568"/>
    </row>
    <row r="187" spans="12:12">
      <c r="L187" s="568"/>
    </row>
    <row r="188" spans="12:12">
      <c r="L188" s="568"/>
    </row>
    <row r="189" spans="12:12">
      <c r="L189" s="575"/>
    </row>
    <row r="190" spans="12:12">
      <c r="L190" s="568"/>
    </row>
    <row r="191" spans="12:12">
      <c r="L191" s="568"/>
    </row>
    <row r="192" spans="12:12">
      <c r="L192" s="568"/>
    </row>
    <row r="193" spans="12:12">
      <c r="L193" s="568"/>
    </row>
    <row r="194" spans="12:12">
      <c r="L194" s="568"/>
    </row>
    <row r="195" spans="12:12">
      <c r="L195" s="568"/>
    </row>
    <row r="196" spans="12:12">
      <c r="L196" s="568"/>
    </row>
    <row r="197" spans="12:12">
      <c r="L197" s="568"/>
    </row>
    <row r="198" spans="12:12">
      <c r="L198" s="568"/>
    </row>
    <row r="199" spans="12:12">
      <c r="L199" s="568"/>
    </row>
    <row r="200" spans="12:12">
      <c r="L200" s="568"/>
    </row>
    <row r="201" spans="12:12">
      <c r="L201" s="568"/>
    </row>
    <row r="202" spans="12:12">
      <c r="L202" s="568"/>
    </row>
    <row r="203" spans="12:12">
      <c r="L203" s="568"/>
    </row>
    <row r="204" spans="12:12">
      <c r="L204" s="568"/>
    </row>
    <row r="205" spans="12:12">
      <c r="L205" s="568"/>
    </row>
    <row r="206" spans="12:12">
      <c r="L206" s="568"/>
    </row>
    <row r="207" spans="12:12">
      <c r="L207" s="568"/>
    </row>
    <row r="208" spans="12:12">
      <c r="L208" s="568"/>
    </row>
    <row r="209" spans="12:12">
      <c r="L209" s="568"/>
    </row>
    <row r="210" spans="12:12">
      <c r="L210" s="568"/>
    </row>
    <row r="211" spans="12:12">
      <c r="L211" s="568"/>
    </row>
    <row r="212" spans="12:12">
      <c r="L212" s="568"/>
    </row>
    <row r="213" spans="12:12">
      <c r="L213" s="568"/>
    </row>
    <row r="214" spans="12:12">
      <c r="L214" s="568"/>
    </row>
    <row r="215" spans="12:12">
      <c r="L215" s="568"/>
    </row>
    <row r="216" spans="12:12">
      <c r="L216" s="568"/>
    </row>
    <row r="217" spans="12:12">
      <c r="L217" s="568"/>
    </row>
    <row r="218" spans="12:12">
      <c r="L218" s="568"/>
    </row>
    <row r="219" spans="12:12">
      <c r="L219" s="568"/>
    </row>
    <row r="220" spans="12:12">
      <c r="L220" s="568"/>
    </row>
    <row r="221" spans="12:12">
      <c r="L221" s="568"/>
    </row>
    <row r="222" spans="12:12">
      <c r="L222" s="568"/>
    </row>
    <row r="223" spans="12:12">
      <c r="L223" s="568"/>
    </row>
    <row r="224" spans="12:12">
      <c r="L224" s="568"/>
    </row>
    <row r="225" spans="12:12">
      <c r="L225" s="568"/>
    </row>
    <row r="226" spans="12:12">
      <c r="L226" s="568"/>
    </row>
    <row r="227" spans="12:12">
      <c r="L227" s="568"/>
    </row>
    <row r="228" spans="12:12">
      <c r="L228" s="568"/>
    </row>
    <row r="229" spans="12:12">
      <c r="L229" s="568"/>
    </row>
    <row r="230" spans="12:12">
      <c r="L230" s="568"/>
    </row>
    <row r="231" spans="12:12">
      <c r="L231" s="568"/>
    </row>
    <row r="232" spans="12:12">
      <c r="L232" s="568"/>
    </row>
    <row r="233" spans="12:12">
      <c r="L233" s="568"/>
    </row>
    <row r="234" spans="12:12">
      <c r="L234" s="568"/>
    </row>
    <row r="235" spans="12:12">
      <c r="L235" s="568"/>
    </row>
    <row r="236" spans="12:12">
      <c r="L236" s="568"/>
    </row>
    <row r="237" spans="12:12">
      <c r="L237" s="568"/>
    </row>
    <row r="238" spans="12:12">
      <c r="L238" s="568"/>
    </row>
    <row r="239" spans="12:12">
      <c r="L239" s="568"/>
    </row>
    <row r="240" spans="12:12">
      <c r="L240" s="568"/>
    </row>
    <row r="241" spans="12:12">
      <c r="L241" s="568"/>
    </row>
    <row r="242" spans="12:12">
      <c r="L242" s="568"/>
    </row>
    <row r="243" spans="12:12">
      <c r="L243" s="568"/>
    </row>
    <row r="244" spans="12:12">
      <c r="L244" s="568"/>
    </row>
    <row r="245" spans="12:12">
      <c r="L245" s="568"/>
    </row>
    <row r="246" spans="12:12">
      <c r="L246" s="568"/>
    </row>
    <row r="247" spans="12:12">
      <c r="L247" s="568"/>
    </row>
    <row r="248" spans="12:12">
      <c r="L248" s="568"/>
    </row>
    <row r="249" spans="12:12">
      <c r="L249" s="568"/>
    </row>
    <row r="250" spans="12:12">
      <c r="L250" s="568"/>
    </row>
    <row r="251" spans="12:12">
      <c r="L251" s="568"/>
    </row>
    <row r="252" spans="12:12">
      <c r="L252" s="568"/>
    </row>
    <row r="253" spans="12:12">
      <c r="L253" s="568"/>
    </row>
    <row r="254" spans="12:12">
      <c r="L254" s="568"/>
    </row>
    <row r="255" spans="12:12">
      <c r="L255" s="568"/>
    </row>
    <row r="256" spans="12:12">
      <c r="L256" s="568"/>
    </row>
    <row r="257" spans="12:12">
      <c r="L257" s="568"/>
    </row>
    <row r="258" spans="12:12">
      <c r="L258" s="568"/>
    </row>
    <row r="259" spans="12:12">
      <c r="L259" s="568"/>
    </row>
    <row r="260" spans="12:12">
      <c r="L260" s="568"/>
    </row>
    <row r="261" spans="12:12">
      <c r="L261" s="568"/>
    </row>
    <row r="262" spans="12:12">
      <c r="L262" s="568"/>
    </row>
    <row r="263" spans="12:12">
      <c r="L263" s="568"/>
    </row>
    <row r="264" spans="12:12">
      <c r="L264" s="568"/>
    </row>
    <row r="265" spans="12:12">
      <c r="L265" s="568"/>
    </row>
    <row r="266" spans="12:12">
      <c r="L266" s="568"/>
    </row>
    <row r="267" spans="12:12">
      <c r="L267" s="568"/>
    </row>
    <row r="268" spans="12:12">
      <c r="L268" s="568"/>
    </row>
    <row r="269" spans="12:12">
      <c r="L269" s="568"/>
    </row>
    <row r="270" spans="12:12">
      <c r="L270" s="568"/>
    </row>
    <row r="271" spans="12:12">
      <c r="L271" s="568"/>
    </row>
    <row r="272" spans="12:12">
      <c r="L272" s="568"/>
    </row>
    <row r="273" spans="12:12">
      <c r="L273" s="568"/>
    </row>
    <row r="274" spans="12:12">
      <c r="L274" s="568"/>
    </row>
    <row r="275" spans="12:12">
      <c r="L275" s="568"/>
    </row>
    <row r="276" spans="12:12">
      <c r="L276" s="568"/>
    </row>
    <row r="277" spans="12:12">
      <c r="L277" s="568"/>
    </row>
    <row r="278" spans="12:12">
      <c r="L278" s="568"/>
    </row>
    <row r="279" spans="12:12">
      <c r="L279" s="568"/>
    </row>
    <row r="280" spans="12:12">
      <c r="L280" s="568"/>
    </row>
    <row r="281" spans="12:12">
      <c r="L281" s="568"/>
    </row>
    <row r="282" spans="12:12">
      <c r="L282" s="568"/>
    </row>
    <row r="283" spans="12:12">
      <c r="L283" s="568"/>
    </row>
    <row r="284" spans="12:12">
      <c r="L284" s="568"/>
    </row>
    <row r="285" spans="12:12">
      <c r="L285" s="568"/>
    </row>
    <row r="286" spans="12:12">
      <c r="L286" s="568"/>
    </row>
    <row r="287" spans="12:12">
      <c r="L287" s="568"/>
    </row>
    <row r="288" spans="12:12">
      <c r="L288" s="568"/>
    </row>
    <row r="289" spans="12:12">
      <c r="L289" s="568"/>
    </row>
    <row r="290" spans="12:12">
      <c r="L290" s="568"/>
    </row>
    <row r="291" spans="12:12">
      <c r="L291" s="568"/>
    </row>
    <row r="292" spans="12:12">
      <c r="L292" s="568"/>
    </row>
    <row r="293" spans="12:12">
      <c r="L293" s="568"/>
    </row>
    <row r="294" spans="12:12">
      <c r="L294" s="568"/>
    </row>
    <row r="295" spans="12:12">
      <c r="L295" s="568"/>
    </row>
    <row r="296" spans="12:12">
      <c r="L296" s="568"/>
    </row>
    <row r="297" spans="12:12">
      <c r="L297" s="568"/>
    </row>
    <row r="298" spans="12:12">
      <c r="L298" s="568"/>
    </row>
    <row r="299" spans="12:12">
      <c r="L299" s="568"/>
    </row>
    <row r="300" spans="12:12">
      <c r="L300" s="568"/>
    </row>
    <row r="301" spans="12:12">
      <c r="L301" s="568"/>
    </row>
    <row r="302" spans="12:12">
      <c r="L302" s="568"/>
    </row>
    <row r="303" spans="12:12">
      <c r="L303" s="568"/>
    </row>
    <row r="304" spans="12:12">
      <c r="L304" s="568"/>
    </row>
    <row r="305" spans="12:12">
      <c r="L305" s="568"/>
    </row>
    <row r="306" spans="12:12">
      <c r="L306" s="568"/>
    </row>
    <row r="307" spans="12:12">
      <c r="L307" s="568"/>
    </row>
    <row r="308" spans="12:12">
      <c r="L308" s="568"/>
    </row>
    <row r="309" spans="12:12">
      <c r="L309" s="568"/>
    </row>
    <row r="310" spans="12:12">
      <c r="L310" s="568"/>
    </row>
    <row r="311" spans="12:12">
      <c r="L311" s="568"/>
    </row>
    <row r="312" spans="12:12">
      <c r="L312" s="575"/>
    </row>
    <row r="313" spans="12:12">
      <c r="L313" s="568"/>
    </row>
    <row r="314" spans="12:12">
      <c r="L314" s="568"/>
    </row>
    <row r="315" spans="12:12">
      <c r="L315" s="568"/>
    </row>
    <row r="316" spans="12:12">
      <c r="L316" s="568"/>
    </row>
    <row r="317" spans="12:12">
      <c r="L317" s="568"/>
    </row>
    <row r="318" spans="12:12">
      <c r="L318" s="568"/>
    </row>
    <row r="319" spans="12:12">
      <c r="L319" s="568"/>
    </row>
    <row r="320" spans="12:12">
      <c r="L320" s="568"/>
    </row>
    <row r="321" spans="12:12">
      <c r="L321" s="575"/>
    </row>
    <row r="322" spans="12:12">
      <c r="L322" s="568"/>
    </row>
    <row r="323" spans="12:12">
      <c r="L323" s="568"/>
    </row>
    <row r="324" spans="12:12">
      <c r="L324" s="568"/>
    </row>
    <row r="325" spans="12:12">
      <c r="L325" s="568"/>
    </row>
    <row r="326" spans="12:12">
      <c r="L326" s="568"/>
    </row>
    <row r="327" spans="12:12">
      <c r="L327" s="568"/>
    </row>
    <row r="328" spans="12:12">
      <c r="L328" s="568"/>
    </row>
    <row r="329" spans="12:12">
      <c r="L329" s="568"/>
    </row>
    <row r="330" spans="12:12">
      <c r="L330" s="568"/>
    </row>
    <row r="331" spans="12:12">
      <c r="L331" s="568"/>
    </row>
    <row r="332" spans="12:12">
      <c r="L332" s="568"/>
    </row>
    <row r="333" spans="12:12">
      <c r="L333" s="568"/>
    </row>
    <row r="334" spans="12:12">
      <c r="L334" s="568"/>
    </row>
    <row r="335" spans="12:12">
      <c r="L335" s="568"/>
    </row>
    <row r="336" spans="12:12">
      <c r="L336" s="568"/>
    </row>
    <row r="337" spans="12:12">
      <c r="L337" s="568"/>
    </row>
    <row r="338" spans="12:12">
      <c r="L338" s="568"/>
    </row>
    <row r="339" spans="12:12">
      <c r="L339" s="568"/>
    </row>
    <row r="340" spans="12:12">
      <c r="L340" s="568"/>
    </row>
    <row r="341" spans="12:12">
      <c r="L341" s="568"/>
    </row>
    <row r="342" spans="12:12">
      <c r="L342" s="568"/>
    </row>
    <row r="343" spans="12:12">
      <c r="L343" s="568"/>
    </row>
    <row r="344" spans="12:12">
      <c r="L344" s="568"/>
    </row>
    <row r="345" spans="12:12">
      <c r="L345" s="568"/>
    </row>
    <row r="346" spans="12:12">
      <c r="L346" s="568"/>
    </row>
    <row r="347" spans="12:12">
      <c r="L347" s="568"/>
    </row>
    <row r="348" spans="12:12">
      <c r="L348" s="568"/>
    </row>
    <row r="349" spans="12:12">
      <c r="L349" s="568"/>
    </row>
    <row r="350" spans="12:12">
      <c r="L350" s="568"/>
    </row>
    <row r="351" spans="12:12">
      <c r="L351" s="568"/>
    </row>
    <row r="352" spans="12:12">
      <c r="L352" s="568"/>
    </row>
    <row r="353" spans="12:12">
      <c r="L353" s="568"/>
    </row>
    <row r="354" spans="12:12">
      <c r="L354" s="568"/>
    </row>
    <row r="355" spans="12:12">
      <c r="L355" s="568"/>
    </row>
    <row r="356" spans="12:12">
      <c r="L356" s="568"/>
    </row>
    <row r="357" spans="12:12">
      <c r="L357" s="568"/>
    </row>
    <row r="358" spans="12:12">
      <c r="L358" s="568"/>
    </row>
    <row r="359" spans="12:12">
      <c r="L359" s="568"/>
    </row>
    <row r="360" spans="12:12">
      <c r="L360" s="568"/>
    </row>
    <row r="361" spans="12:12">
      <c r="L361" s="568"/>
    </row>
    <row r="362" spans="12:12">
      <c r="L362" s="568"/>
    </row>
    <row r="363" spans="12:12">
      <c r="L363" s="568"/>
    </row>
    <row r="364" spans="12:12">
      <c r="L364" s="568"/>
    </row>
    <row r="365" spans="12:12">
      <c r="L365" s="568"/>
    </row>
    <row r="366" spans="12:12">
      <c r="L366" s="568"/>
    </row>
    <row r="367" spans="12:12">
      <c r="L367" s="568"/>
    </row>
    <row r="368" spans="12:12">
      <c r="L368" s="568"/>
    </row>
    <row r="369" spans="12:12">
      <c r="L369" s="568"/>
    </row>
    <row r="370" spans="12:12">
      <c r="L370" s="568"/>
    </row>
    <row r="371" spans="12:12">
      <c r="L371" s="568"/>
    </row>
    <row r="372" spans="12:12">
      <c r="L372" s="568"/>
    </row>
    <row r="373" spans="12:12">
      <c r="L373" s="568"/>
    </row>
    <row r="374" spans="12:12">
      <c r="L374" s="568"/>
    </row>
    <row r="375" spans="12:12">
      <c r="L375" s="575"/>
    </row>
    <row r="376" spans="12:12">
      <c r="L376" s="568"/>
    </row>
    <row r="377" spans="12:12">
      <c r="L377" s="568"/>
    </row>
    <row r="378" spans="12:12">
      <c r="L378" s="568"/>
    </row>
    <row r="379" spans="12:12">
      <c r="L379" s="568"/>
    </row>
    <row r="380" spans="12:12">
      <c r="L380" s="568"/>
    </row>
    <row r="381" spans="12:12">
      <c r="L381" s="568"/>
    </row>
    <row r="382" spans="12:12">
      <c r="L382" s="568"/>
    </row>
    <row r="383" spans="12:12">
      <c r="L383" s="568"/>
    </row>
    <row r="384" spans="12:12">
      <c r="L384" s="568"/>
    </row>
    <row r="385" spans="12:12">
      <c r="L385" s="568"/>
    </row>
    <row r="386" spans="12:12">
      <c r="L386" s="568"/>
    </row>
    <row r="387" spans="12:12">
      <c r="L387" s="568"/>
    </row>
    <row r="388" spans="12:12">
      <c r="L388" s="568"/>
    </row>
    <row r="389" spans="12:12">
      <c r="L389" s="568"/>
    </row>
    <row r="390" spans="12:12">
      <c r="L390" s="568"/>
    </row>
    <row r="391" spans="12:12">
      <c r="L391" s="568"/>
    </row>
    <row r="392" spans="12:12">
      <c r="L392" s="568"/>
    </row>
    <row r="393" spans="12:12">
      <c r="L393" s="568"/>
    </row>
    <row r="394" spans="12:12">
      <c r="L394" s="568"/>
    </row>
    <row r="395" spans="12:12">
      <c r="L395" s="568"/>
    </row>
    <row r="396" spans="12:12">
      <c r="L396" s="568"/>
    </row>
    <row r="397" spans="12:12">
      <c r="L397" s="568"/>
    </row>
    <row r="398" spans="12:12">
      <c r="L398" s="568"/>
    </row>
    <row r="399" spans="12:12">
      <c r="L399" s="568"/>
    </row>
    <row r="400" spans="12:12">
      <c r="L400" s="568"/>
    </row>
    <row r="401" spans="12:12">
      <c r="L401" s="568"/>
    </row>
    <row r="402" spans="12:12">
      <c r="L402" s="568"/>
    </row>
  </sheetData>
  <pageMargins left="0.45" right="0.45" top="0.75" bottom="0.75" header="0.3" footer="0.3"/>
  <pageSetup scale="64" fitToHeight="2" orientation="landscape" verticalDpi="1200" r:id="rId1"/>
  <headerFooter>
    <oddFooter>&amp;RPage &amp;P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6"/>
  <dimension ref="B5:C30"/>
  <sheetViews>
    <sheetView workbookViewId="0">
      <selection activeCell="D3" sqref="D3"/>
    </sheetView>
  </sheetViews>
  <sheetFormatPr defaultColWidth="9.140625" defaultRowHeight="15"/>
  <sheetData>
    <row r="5" spans="2:3" ht="45">
      <c r="B5" s="1006" t="s">
        <v>1335</v>
      </c>
      <c r="C5" s="1006" t="s">
        <v>3344</v>
      </c>
    </row>
    <row r="6" spans="2:3">
      <c r="B6" s="596" t="s">
        <v>1479</v>
      </c>
      <c r="C6" s="597">
        <v>17</v>
      </c>
    </row>
    <row r="7" spans="2:3">
      <c r="B7" s="596" t="s">
        <v>1518</v>
      </c>
      <c r="C7" s="597">
        <v>17</v>
      </c>
    </row>
    <row r="8" spans="2:3">
      <c r="B8" s="596" t="s">
        <v>1670</v>
      </c>
      <c r="C8" s="597">
        <v>16</v>
      </c>
    </row>
    <row r="9" spans="2:3">
      <c r="B9" s="596" t="s">
        <v>1678</v>
      </c>
      <c r="C9" s="597">
        <v>16</v>
      </c>
    </row>
    <row r="10" spans="2:3">
      <c r="B10" s="596" t="s">
        <v>1844</v>
      </c>
      <c r="C10" s="597">
        <v>5</v>
      </c>
    </row>
    <row r="11" spans="2:3">
      <c r="B11" s="596" t="s">
        <v>1845</v>
      </c>
      <c r="C11" s="597">
        <v>7</v>
      </c>
    </row>
    <row r="12" spans="2:3">
      <c r="B12" s="596" t="s">
        <v>1846</v>
      </c>
      <c r="C12" s="597">
        <v>7</v>
      </c>
    </row>
    <row r="13" spans="2:3">
      <c r="B13" s="596" t="s">
        <v>1907</v>
      </c>
      <c r="C13" s="597">
        <v>16</v>
      </c>
    </row>
    <row r="14" spans="2:3">
      <c r="B14" s="596" t="s">
        <v>1916</v>
      </c>
      <c r="C14" s="597">
        <v>16</v>
      </c>
    </row>
    <row r="15" spans="2:3">
      <c r="B15" s="596" t="s">
        <v>2012</v>
      </c>
      <c r="C15" s="597">
        <v>9</v>
      </c>
    </row>
    <row r="16" spans="2:3">
      <c r="B16" s="596" t="s">
        <v>2261</v>
      </c>
      <c r="C16" s="597">
        <v>15</v>
      </c>
    </row>
    <row r="17" spans="2:3">
      <c r="B17" s="596" t="s">
        <v>2288</v>
      </c>
      <c r="C17" s="597">
        <v>15</v>
      </c>
    </row>
    <row r="18" spans="2:3">
      <c r="B18" s="596" t="s">
        <v>2575</v>
      </c>
      <c r="C18" s="597">
        <v>15</v>
      </c>
    </row>
    <row r="19" spans="2:3">
      <c r="B19" s="596" t="s">
        <v>2598</v>
      </c>
      <c r="C19" s="597">
        <v>14</v>
      </c>
    </row>
    <row r="20" spans="2:3">
      <c r="B20" s="596" t="s">
        <v>2669</v>
      </c>
      <c r="C20" s="597">
        <v>13</v>
      </c>
    </row>
    <row r="21" spans="2:3">
      <c r="B21" s="596" t="s">
        <v>2713</v>
      </c>
      <c r="C21" s="597">
        <v>12</v>
      </c>
    </row>
    <row r="22" spans="2:3">
      <c r="B22" s="596" t="s">
        <v>2732</v>
      </c>
      <c r="C22" s="597">
        <v>12</v>
      </c>
    </row>
    <row r="23" spans="2:3">
      <c r="B23" s="596" t="s">
        <v>2766</v>
      </c>
      <c r="C23" s="597">
        <v>12</v>
      </c>
    </row>
    <row r="24" spans="2:3">
      <c r="B24" s="596" t="s">
        <v>2840</v>
      </c>
      <c r="C24" s="597">
        <v>12</v>
      </c>
    </row>
    <row r="25" spans="2:3">
      <c r="B25" s="596" t="s">
        <v>3027</v>
      </c>
      <c r="C25" s="597">
        <v>4</v>
      </c>
    </row>
    <row r="26" spans="2:3">
      <c r="B26" s="596" t="s">
        <v>3066</v>
      </c>
      <c r="C26" s="597">
        <v>1</v>
      </c>
    </row>
    <row r="27" spans="2:3">
      <c r="B27" s="596" t="s">
        <v>3067</v>
      </c>
      <c r="C27" s="597">
        <v>20</v>
      </c>
    </row>
    <row r="28" spans="2:3">
      <c r="B28" s="596" t="s">
        <v>3068</v>
      </c>
      <c r="C28" s="597">
        <v>20</v>
      </c>
    </row>
    <row r="29" spans="2:3">
      <c r="B29" s="596" t="s">
        <v>3069</v>
      </c>
      <c r="C29" s="597">
        <v>20</v>
      </c>
    </row>
    <row r="30" spans="2:3">
      <c r="B30" s="596" t="s">
        <v>3072</v>
      </c>
      <c r="C30" s="597">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91</vt:i4>
      </vt:variant>
    </vt:vector>
  </HeadingPairs>
  <TitlesOfParts>
    <vt:vector size="141" baseType="lpstr">
      <vt:lpstr>Log</vt:lpstr>
      <vt:lpstr>Map</vt:lpstr>
      <vt:lpstr>Input </vt:lpstr>
      <vt:lpstr>CGL coverage</vt:lpstr>
      <vt:lpstr>Settings</vt:lpstr>
      <vt:lpstr>Input Property info </vt:lpstr>
      <vt:lpstr>Pricing CGL</vt:lpstr>
      <vt:lpstr>Property</vt:lpstr>
      <vt:lpstr>Rate increase</vt:lpstr>
      <vt:lpstr>Translation endorsments</vt:lpstr>
      <vt:lpstr>Low risk commission</vt:lpstr>
      <vt:lpstr>Quote template-1</vt:lpstr>
      <vt:lpstr>Quote template-2</vt:lpstr>
      <vt:lpstr>QBE Rates CGL</vt:lpstr>
      <vt:lpstr>Mandatory endorsements</vt:lpstr>
      <vt:lpstr>Aide-Help IBC codes</vt:lpstr>
      <vt:lpstr>Rates- Limits UW settings</vt:lpstr>
      <vt:lpstr>Conditions (sept 2020)</vt:lpstr>
      <vt:lpstr>April Rating Property</vt:lpstr>
      <vt:lpstr>April Property risk grading</vt:lpstr>
      <vt:lpstr>Additional condition CGL Amlin</vt:lpstr>
      <vt:lpstr>Hazards updated Dec 2018</vt:lpstr>
      <vt:lpstr>Intact property rates</vt:lpstr>
      <vt:lpstr>EQ rate no1</vt:lpstr>
      <vt:lpstr>EQ rate no2</vt:lpstr>
      <vt:lpstr>EQ rate no3</vt:lpstr>
      <vt:lpstr>EQ rate no4</vt:lpstr>
      <vt:lpstr>EQ rate no5</vt:lpstr>
      <vt:lpstr>EQ rate no6</vt:lpstr>
      <vt:lpstr>EQ rate no7</vt:lpstr>
      <vt:lpstr>EQ rate no8</vt:lpstr>
      <vt:lpstr>EQ rate no9</vt:lpstr>
      <vt:lpstr>EQ rate no10</vt:lpstr>
      <vt:lpstr>PCODES EQ</vt:lpstr>
      <vt:lpstr>Algorithm_Temple</vt:lpstr>
      <vt:lpstr>Algorithm_QC</vt:lpstr>
      <vt:lpstr>Algorithm_ON</vt:lpstr>
      <vt:lpstr>Algorithm_BC</vt:lpstr>
      <vt:lpstr>Algorithm_West</vt:lpstr>
      <vt:lpstr>Algorithm_ATL</vt:lpstr>
      <vt:lpstr>Algorithm_QC_2590</vt:lpstr>
      <vt:lpstr>Algorithm_ON_2590</vt:lpstr>
      <vt:lpstr>Algorithm_West_2590</vt:lpstr>
      <vt:lpstr>Algorithm_Other_2590</vt:lpstr>
      <vt:lpstr>Algorithm_East_2590</vt:lpstr>
      <vt:lpstr>Algorithm_QC_Eco</vt:lpstr>
      <vt:lpstr>Algorithm_ON_Eco</vt:lpstr>
      <vt:lpstr>Algorithm_BC_Eco</vt:lpstr>
      <vt:lpstr>Algorithm_AB_Other_Eco</vt:lpstr>
      <vt:lpstr>Sheet3</vt:lpstr>
      <vt:lpstr>'Input '!afficher_prime</vt:lpstr>
      <vt:lpstr>BrisMachine</vt:lpstr>
      <vt:lpstr>Broadform</vt:lpstr>
      <vt:lpstr>CGL</vt:lpstr>
      <vt:lpstr>CGL_Limite</vt:lpstr>
      <vt:lpstr>ChoixCGL</vt:lpstr>
      <vt:lpstr>Claims</vt:lpstr>
      <vt:lpstr>Contract</vt:lpstr>
      <vt:lpstr>Coverage</vt:lpstr>
      <vt:lpstr>CW182_</vt:lpstr>
      <vt:lpstr>cyber</vt:lpstr>
      <vt:lpstr>Form</vt:lpstr>
      <vt:lpstr>Heating_System</vt:lpstr>
      <vt:lpstr>Inspection</vt:lpstr>
      <vt:lpstr>Language</vt:lpstr>
      <vt:lpstr>List_ApprovedCGL</vt:lpstr>
      <vt:lpstr>'Conditions (sept 2020)'!List_Opreations</vt:lpstr>
      <vt:lpstr>Location</vt:lpstr>
      <vt:lpstr>'EQ rate no10'!Nbofstoreys</vt:lpstr>
      <vt:lpstr>'EQ rate no2'!Nbofstoreys</vt:lpstr>
      <vt:lpstr>'EQ rate no3'!Nbofstoreys</vt:lpstr>
      <vt:lpstr>'EQ rate no4'!Nbofstoreys</vt:lpstr>
      <vt:lpstr>'EQ rate no5'!Nbofstoreys</vt:lpstr>
      <vt:lpstr>'EQ rate no7'!Nbofstoreys</vt:lpstr>
      <vt:lpstr>'EQ rate no8'!Nbofstoreys</vt:lpstr>
      <vt:lpstr>'EQ rate no9'!Nbofstoreys</vt:lpstr>
      <vt:lpstr>Nbofstoreys</vt:lpstr>
      <vt:lpstr>package</vt:lpstr>
      <vt:lpstr>Particular_situation</vt:lpstr>
      <vt:lpstr>PolicyLenght</vt:lpstr>
      <vt:lpstr>'EQ rate no10'!PostalCode</vt:lpstr>
      <vt:lpstr>'EQ rate no2'!PostalCode</vt:lpstr>
      <vt:lpstr>'EQ rate no3'!PostalCode</vt:lpstr>
      <vt:lpstr>'EQ rate no4'!PostalCode</vt:lpstr>
      <vt:lpstr>'EQ rate no5'!PostalCode</vt:lpstr>
      <vt:lpstr>'EQ rate no7'!PostalCode</vt:lpstr>
      <vt:lpstr>'EQ rate no8'!PostalCode</vt:lpstr>
      <vt:lpstr>'EQ rate no9'!PostalCode</vt:lpstr>
      <vt:lpstr>PostalCode</vt:lpstr>
      <vt:lpstr>Print</vt:lpstr>
      <vt:lpstr>'April Property risk grading'!Print_Area</vt:lpstr>
      <vt:lpstr>'Conditions (sept 2020)'!Print_Area</vt:lpstr>
      <vt:lpstr>'Input '!Print_Area</vt:lpstr>
      <vt:lpstr>'Quote template-1'!Print_Area</vt:lpstr>
      <vt:lpstr>'Quote template-2'!Print_Area</vt:lpstr>
      <vt:lpstr>'Conditions (sept 2020)'!Print_Titles</vt:lpstr>
      <vt:lpstr>'Quote template-1'!Print_Titles</vt:lpstr>
      <vt:lpstr>'Quote template-2'!Print_Titles</vt:lpstr>
      <vt:lpstr>Propertytotal</vt:lpstr>
      <vt:lpstr>Protection</vt:lpstr>
      <vt:lpstr>RateBC</vt:lpstr>
      <vt:lpstr>Algorithm_ON_2590!RateON</vt:lpstr>
      <vt:lpstr>RateON</vt:lpstr>
      <vt:lpstr>reason</vt:lpstr>
      <vt:lpstr>Renovations</vt:lpstr>
      <vt:lpstr>'CGL coverage'!Risque_excluded</vt:lpstr>
      <vt:lpstr>'EQ rate no10'!Totalinsuredvalue</vt:lpstr>
      <vt:lpstr>'EQ rate no2'!Totalinsuredvalue</vt:lpstr>
      <vt:lpstr>'EQ rate no3'!Totalinsuredvalue</vt:lpstr>
      <vt:lpstr>'EQ rate no4'!Totalinsuredvalue</vt:lpstr>
      <vt:lpstr>'EQ rate no5'!Totalinsuredvalue</vt:lpstr>
      <vt:lpstr>'EQ rate no7'!Totalinsuredvalue</vt:lpstr>
      <vt:lpstr>'EQ rate no8'!Totalinsuredvalue</vt:lpstr>
      <vt:lpstr>'EQ rate no9'!Totalinsuredvalue</vt:lpstr>
      <vt:lpstr>Totalinsuredvalue</vt:lpstr>
      <vt:lpstr>Town_Grade</vt:lpstr>
      <vt:lpstr>Type</vt:lpstr>
      <vt:lpstr>Type_Alarm</vt:lpstr>
      <vt:lpstr>Type_Property</vt:lpstr>
      <vt:lpstr>typeconstrucion</vt:lpstr>
      <vt:lpstr>typeconstruction</vt:lpstr>
      <vt:lpstr>typeofconstruction</vt:lpstr>
      <vt:lpstr>up_to_1000</vt:lpstr>
      <vt:lpstr>up_to_25</vt:lpstr>
      <vt:lpstr>up_to_250</vt:lpstr>
      <vt:lpstr>up_to_50</vt:lpstr>
      <vt:lpstr>up_to_500</vt:lpstr>
      <vt:lpstr>up_to_50K</vt:lpstr>
      <vt:lpstr>Up_to100K</vt:lpstr>
      <vt:lpstr>Updates</vt:lpstr>
      <vt:lpstr>Y_N</vt:lpstr>
      <vt:lpstr>Year_Built</vt:lpstr>
      <vt:lpstr>'EQ rate no10'!Yrbuilt</vt:lpstr>
      <vt:lpstr>'EQ rate no2'!Yrbuilt</vt:lpstr>
      <vt:lpstr>'EQ rate no3'!Yrbuilt</vt:lpstr>
      <vt:lpstr>'EQ rate no4'!Yrbuilt</vt:lpstr>
      <vt:lpstr>'EQ rate no5'!Yrbuilt</vt:lpstr>
      <vt:lpstr>'EQ rate no7'!Yrbuilt</vt:lpstr>
      <vt:lpstr>'EQ rate no8'!Yrbuilt</vt:lpstr>
      <vt:lpstr>'EQ rate no9'!Yrbuilt</vt:lpstr>
      <vt:lpstr>Yrbuilt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msokolova</dc:creator>
  <cp:lastModifiedBy>Nick Kidd</cp:lastModifiedBy>
  <cp:lastPrinted>2022-04-04T13:17:21Z</cp:lastPrinted>
  <dcterms:created xsi:type="dcterms:W3CDTF">2018-02-25T18:22:29Z</dcterms:created>
  <dcterms:modified xsi:type="dcterms:W3CDTF">2022-07-23T15:43:34Z</dcterms:modified>
</cp:coreProperties>
</file>